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docProps/custom.xml" ContentType="application/vnd.openxmlformats-officedocument.custom-properties+xml"/>
  <Override PartName="/xl/customProperty41.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42.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xr:revisionPtr revIDLastSave="0" documentId="13_ncr:1_{4D27E542-A0C0-4D1E-BED9-794CB137845F}" xr6:coauthVersionLast="47" xr6:coauthVersionMax="47" xr10:uidLastSave="{00000000-0000-0000-0000-000000000000}"/>
  <bookViews>
    <workbookView xWindow="28680" yWindow="-2370" windowWidth="29040" windowHeight="15840" tabRatio="878" xr2:uid="{00000000-000D-0000-FFFF-FFFF00000000}"/>
  </bookViews>
  <sheets>
    <sheet name="Cover" sheetId="317" r:id="rId1"/>
    <sheet name="ChangeLog" sheetId="327" r:id="rId2"/>
    <sheet name="SelectCompany" sheetId="79" r:id="rId3"/>
    <sheet name="Section 1 &gt;&gt;" sheetId="201" r:id="rId4"/>
    <sheet name="1A" sheetId="202" r:id="rId5"/>
    <sheet name="1B" sheetId="203" r:id="rId6"/>
    <sheet name="1C" sheetId="204" r:id="rId7"/>
    <sheet name="1D" sheetId="205" r:id="rId8"/>
    <sheet name="1E" sheetId="206" r:id="rId9"/>
    <sheet name="1F" sheetId="305" r:id="rId10"/>
    <sheet name="Section 2 &gt;&gt; " sheetId="208" r:id="rId11"/>
    <sheet name="2A" sheetId="209" r:id="rId12"/>
    <sheet name="2B" sheetId="210" r:id="rId13"/>
    <sheet name="2C" sheetId="211" r:id="rId14"/>
    <sheet name="2D" sheetId="212" r:id="rId15"/>
    <sheet name="2E" sheetId="328" r:id="rId16"/>
    <sheet name="2F" sheetId="214" r:id="rId17"/>
    <sheet name="2H" sheetId="263" r:id="rId18"/>
    <sheet name="2I" sheetId="215" r:id="rId19"/>
    <sheet name="2J" sheetId="216" r:id="rId20"/>
    <sheet name="2K" sheetId="217" r:id="rId21"/>
    <sheet name="2G" sheetId="262" r:id="rId22"/>
    <sheet name="2L" sheetId="218" r:id="rId23"/>
    <sheet name="2M" sheetId="219" r:id="rId24"/>
    <sheet name="2N" sheetId="220" r:id="rId25"/>
    <sheet name="2O" sheetId="221" r:id="rId26"/>
    <sheet name="Section 4 &gt;&gt;" sheetId="222" r:id="rId27"/>
    <sheet name="4A" sheetId="223" r:id="rId28"/>
    <sheet name="4B" sheetId="293" r:id="rId29"/>
    <sheet name="4C" sheetId="225" r:id="rId30"/>
    <sheet name="4D" sheetId="226" r:id="rId31"/>
    <sheet name="4E" sheetId="227" r:id="rId32"/>
    <sheet name="4F" sheetId="228" r:id="rId33"/>
    <sheet name="4G" sheetId="229" r:id="rId34"/>
    <sheet name="4H" sheetId="230" r:id="rId35"/>
    <sheet name="4I" sheetId="231" r:id="rId36"/>
    <sheet name="4J" sheetId="232" r:id="rId37"/>
    <sheet name="4K" sheetId="233" r:id="rId38"/>
    <sheet name="4L" sheetId="234" r:id="rId39"/>
    <sheet name="4M" sheetId="235" r:id="rId40"/>
    <sheet name="4N" sheetId="236" r:id="rId41"/>
    <sheet name="4O" sheetId="237" r:id="rId42"/>
    <sheet name="4P" sheetId="238" r:id="rId43"/>
    <sheet name="4Q" sheetId="239" r:id="rId44"/>
    <sheet name="4R" sheetId="240" r:id="rId45"/>
    <sheet name="4S" sheetId="279" r:id="rId46"/>
    <sheet name="4T" sheetId="280" r:id="rId47"/>
    <sheet name="4U" sheetId="281" r:id="rId48"/>
    <sheet name="4V" sheetId="314" r:id="rId49"/>
    <sheet name="4W" sheetId="313" r:id="rId50"/>
    <sheet name="Section 5 &gt;&gt;" sheetId="241" r:id="rId51"/>
    <sheet name="5A" sheetId="242" r:id="rId52"/>
    <sheet name="5B" sheetId="243" r:id="rId53"/>
    <sheet name="Section 6 &gt;&gt;" sheetId="244" r:id="rId54"/>
    <sheet name="6A" sheetId="245" r:id="rId55"/>
    <sheet name="6B" sheetId="246" r:id="rId56"/>
    <sheet name="6C" sheetId="247" r:id="rId57"/>
    <sheet name="6D" sheetId="248" r:id="rId58"/>
    <sheet name="6F" sheetId="285" r:id="rId59"/>
    <sheet name="Section 7 &gt;&gt;" sheetId="249" r:id="rId60"/>
    <sheet name="7A" sheetId="250" r:id="rId61"/>
    <sheet name="7B" sheetId="251" r:id="rId62"/>
    <sheet name="7C" sheetId="252" r:id="rId63"/>
    <sheet name="7D" sheetId="253" r:id="rId64"/>
    <sheet name="7E" sheetId="254" r:id="rId65"/>
    <sheet name="7F" sheetId="284" r:id="rId66"/>
    <sheet name="Section 8 &gt;&gt;" sheetId="255" r:id="rId67"/>
    <sheet name="8A" sheetId="256" r:id="rId68"/>
    <sheet name="8B" sheetId="257" r:id="rId69"/>
    <sheet name="8C" sheetId="258" r:id="rId70"/>
    <sheet name="8D" sheetId="259" r:id="rId71"/>
    <sheet name="Section 9 &gt;&gt;" sheetId="260" r:id="rId72"/>
    <sheet name="9A" sheetId="261" r:id="rId73"/>
    <sheet name="Section 10 &gt;&gt;" sheetId="286" r:id="rId74"/>
    <sheet name="10A" sheetId="287" r:id="rId75"/>
    <sheet name="10B" sheetId="288" r:id="rId76"/>
    <sheet name="10C" sheetId="289" r:id="rId77"/>
    <sheet name="10D" sheetId="290" r:id="rId78"/>
    <sheet name="10E" sheetId="291" r:id="rId79"/>
    <sheet name="Section 11 &gt;&gt;" sheetId="304" r:id="rId80"/>
    <sheet name="11A" sheetId="315" r:id="rId81"/>
  </sheets>
  <externalReferences>
    <externalReference r:id="rId82"/>
    <externalReference r:id="rId83"/>
    <externalReference r:id="rId84"/>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65" hidden="1">'7F'!$B$9:$BL$209</definedName>
    <definedName name="_Order1">255</definedName>
    <definedName name="_Order2">255</definedName>
    <definedName name="Anglian_Water">#REF!</definedName>
    <definedName name="C_ISF">'[1]PC lists'!$N$8:$O$18</definedName>
    <definedName name="C_PI">'[1]PC lists'!$P$8:$Q$19</definedName>
    <definedName name="C_SC">'[1]PC lists'!$R$8:$S$18</definedName>
    <definedName name="Classification_of_treatment_works" localSheetId="80">[2]Lists!$S$5:$S$11</definedName>
    <definedName name="Classification_of_treatment_works">#REF!</definedName>
    <definedName name="Dŵr_Cymru">#REF!</definedName>
    <definedName name="F" localSheetId="78" hidden="1">{"bal",#N/A,FALSE,"working papers";"income",#N/A,FALSE,"working papers"}</definedName>
    <definedName name="F" localSheetId="80" hidden="1">{"bal",#N/A,FALSE,"working papers";"income",#N/A,FALSE,"working papers"}</definedName>
    <definedName name="F" localSheetId="27">{"bal",#N/A,FALSE,"working papers";"income",#N/A,FALSE,"working papers"}</definedName>
    <definedName name="F" localSheetId="28" hidden="1">{"bal",#N/A,FALSE,"working papers";"income",#N/A,FALSE,"working papers"}</definedName>
    <definedName name="F" localSheetId="29">{"bal",#N/A,FALSE,"working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51" hidden="1">{"bal",#N/A,FALSE,"working papers";"income",#N/A,FALSE,"working papers"}</definedName>
    <definedName name="F" localSheetId="52" hidden="1">{"bal",#N/A,FALSE,"working papers";"income",#N/A,FALSE,"working papers"}</definedName>
    <definedName name="F" localSheetId="54" hidden="1">{"bal",#N/A,FALSE,"working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5"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{"bal",#N/A,FALSE,"working papers";"income",#N/A,FALSE,"working papers"}</definedName>
    <definedName name="fdraf" localSheetId="78" hidden="1">{"bal",#N/A,FALSE,"working papers";"income",#N/A,FALSE,"working papers"}</definedName>
    <definedName name="fdraf" localSheetId="80" hidden="1">{"bal",#N/A,FALSE,"working papers";"income",#N/A,FALSE,"working papers"}</definedName>
    <definedName name="fdraf" localSheetId="27">{"bal",#N/A,FALSE,"working papers";"income",#N/A,FALSE,"working papers"}</definedName>
    <definedName name="fdraf" localSheetId="28" hidden="1">{"bal",#N/A,FALSE,"working papers";"income",#N/A,FALSE,"working papers"}</definedName>
    <definedName name="fdraf" localSheetId="29">{"bal",#N/A,FALSE,"working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51" hidden="1">{"bal",#N/A,FALSE,"working papers";"income",#N/A,FALSE,"working papers"}</definedName>
    <definedName name="fdraf" localSheetId="52" hidden="1">{"bal",#N/A,FALSE,"working papers";"income",#N/A,FALSE,"working papers"}</definedName>
    <definedName name="fdraf" localSheetId="54" hidden="1">{"bal",#N/A,FALSE,"working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5"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{"bal",#N/A,FALSE,"working papers";"income",#N/A,FALSE,"working papers"}</definedName>
    <definedName name="Fdraft" localSheetId="78" hidden="1">{"bal",#N/A,FALSE,"working papers";"income",#N/A,FALSE,"working papers"}</definedName>
    <definedName name="Fdraft" localSheetId="80" hidden="1">{"bal",#N/A,FALSE,"working papers";"income",#N/A,FALSE,"working papers"}</definedName>
    <definedName name="Fdraft" localSheetId="27">{"bal",#N/A,FALSE,"working papers";"income",#N/A,FALSE,"working papers"}</definedName>
    <definedName name="Fdraft" localSheetId="28" hidden="1">{"bal",#N/A,FALSE,"working papers";"income",#N/A,FALSE,"working papers"}</definedName>
    <definedName name="Fdraft" localSheetId="29">{"bal",#N/A,FALSE,"working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51" hidden="1">{"bal",#N/A,FALSE,"working papers";"income",#N/A,FALSE,"working papers"}</definedName>
    <definedName name="Fdraft" localSheetId="52" hidden="1">{"bal",#N/A,FALSE,"working papers";"income",#N/A,FALSE,"working papers"}</definedName>
    <definedName name="Fdraft" localSheetId="54" hidden="1">{"bal",#N/A,FALSE,"working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5"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78" hidden="1">{"bal",#N/A,FALSE,"working papers";"income",#N/A,FALSE,"working papers"}</definedName>
    <definedName name="new" localSheetId="80" hidden="1">{"bal",#N/A,FALSE,"working papers";"income",#N/A,FALSE,"working papers"}</definedName>
    <definedName name="new" localSheetId="58" hidden="1">{"bal",#N/A,FALSE,"working papers";"income",#N/A,FALSE,"working papers"}</definedName>
    <definedName name="new" localSheetId="65" hidden="1">{"bal",#N/A,FALSE,"working papers";"income",#N/A,FALSE,"working papers"}</definedName>
    <definedName name="new" hidden="1">{"bal",#N/A,FALSE,"working papers";"income",#N/A,FALSE,"working papers"}</definedName>
    <definedName name="Northumbrian_Water">#REF!</definedName>
    <definedName name="_xlnm.Print_Area" localSheetId="74">'10A'!$B$1:$N$47</definedName>
    <definedName name="_xlnm.Print_Area" localSheetId="75">'10B'!$B$1:$T$18</definedName>
    <definedName name="_xlnm.Print_Area" localSheetId="76">'10C'!$B$1:$Q$25</definedName>
    <definedName name="_xlnm.Print_Area" localSheetId="77">'10D'!$B$1:$L$18</definedName>
    <definedName name="_xlnm.Print_Area" localSheetId="78">'10E'!$B$1:$Y$186</definedName>
    <definedName name="_xlnm.Print_Area" localSheetId="80">'11A'!$B$1:$H$68</definedName>
    <definedName name="_xlnm.Print_Area" localSheetId="4">'1A'!$A$1:$AG$38</definedName>
    <definedName name="_xlnm.Print_Area" localSheetId="5">'1B'!$B$1:$M$11</definedName>
    <definedName name="_xlnm.Print_Area" localSheetId="6">'1C'!$B$1:$M$53</definedName>
    <definedName name="_xlnm.Print_Area" localSheetId="7">'1D'!$B$1:$M$37</definedName>
    <definedName name="_xlnm.Print_Area" localSheetId="8">'1E'!$B$1:$L$30</definedName>
    <definedName name="_xlnm.Print_Area" localSheetId="11">'2A'!$B$1:$O$22</definedName>
    <definedName name="_xlnm.Print_Area" localSheetId="12">'2B'!$B$1:$M$45</definedName>
    <definedName name="_xlnm.Print_Area" localSheetId="13">'2C'!$B$1:$J$51</definedName>
    <definedName name="_xlnm.Print_Area" localSheetId="14">'2D'!$B$1:$O$31</definedName>
    <definedName name="_xlnm.Print_Area" localSheetId="16">'2F'!$B$1:$H$29</definedName>
    <definedName name="_xlnm.Print_Area" localSheetId="21">'2G'!$AG$1:$AR$30</definedName>
    <definedName name="_xlnm.Print_Area" localSheetId="17">'2H'!$B$1:$O$26</definedName>
    <definedName name="_xlnm.Print_Area" localSheetId="18">'2I'!$B$1:$M$29</definedName>
    <definedName name="_xlnm.Print_Area" localSheetId="19">'2J'!$B$1:$I$19</definedName>
    <definedName name="_xlnm.Print_Area" localSheetId="20">'2K'!$B$1:$J$17</definedName>
    <definedName name="_xlnm.Print_Area" localSheetId="22">'2L'!$B$1:$L$7</definedName>
    <definedName name="_xlnm.Print_Area" localSheetId="23">'2M'!$Z$1:$AG$23</definedName>
    <definedName name="_xlnm.Print_Area" localSheetId="24">'2N'!$B$1:$I$43</definedName>
    <definedName name="_xlnm.Print_Area" localSheetId="25">'2O'!$B$1:$N$32</definedName>
    <definedName name="_xlnm.Print_Area" localSheetId="27">'4A'!$B$1:$H$68</definedName>
    <definedName name="_xlnm.Print_Area" localSheetId="28">'4B'!$B$1:$BS$641</definedName>
    <definedName name="_xlnm.Print_Area" localSheetId="29">'4C'!$B$1:$Q$47</definedName>
    <definedName name="_xlnm.Print_Area" localSheetId="30">'4D'!$B$1:$M$47</definedName>
    <definedName name="_xlnm.Print_Area" localSheetId="31">'4E'!$B$1:$P$46</definedName>
    <definedName name="_xlnm.Print_Area" localSheetId="32">'4F'!$B$1:$S$34</definedName>
    <definedName name="_xlnm.Print_Area" localSheetId="33">'4G'!$B$1:$Y$35</definedName>
    <definedName name="_xlnm.Print_Area" localSheetId="34">'4H'!$B$1:$I$38</definedName>
    <definedName name="_xlnm.Print_Area" localSheetId="35">'4I'!$B$1:$N$49</definedName>
    <definedName name="_xlnm.Print_Area" localSheetId="36">'4J'!$B$1:$P$36</definedName>
    <definedName name="_xlnm.Print_Area" localSheetId="37">'4K'!$B$1:$P$37</definedName>
    <definedName name="_xlnm.Print_Area" localSheetId="38">'4L'!$B$1:$W$131</definedName>
    <definedName name="_xlnm.Print_Area" localSheetId="39">'4M'!$B$1:$AC$102</definedName>
    <definedName name="_xlnm.Print_Area" localSheetId="40">'4N'!$B$1:$J$13</definedName>
    <definedName name="_xlnm.Print_Area" localSheetId="41">'4O'!$B$1:$M$14</definedName>
    <definedName name="_xlnm.Print_Area" localSheetId="42">'4P'!$B$1:$N$25</definedName>
    <definedName name="_xlnm.Print_Area" localSheetId="43">'4Q'!$B$1:$J$28</definedName>
    <definedName name="_xlnm.Print_Area" localSheetId="44">'4R'!$B$1:$W$52</definedName>
    <definedName name="_xlnm.Print_Area" localSheetId="51">'5A'!$B$1:$H$38</definedName>
    <definedName name="_xlnm.Print_Area" localSheetId="52">'5B'!$B$1:$O$19</definedName>
    <definedName name="_xlnm.Print_Area" localSheetId="54">'6A'!$B$1:$I$58</definedName>
    <definedName name="_xlnm.Print_Area" localSheetId="55">'6B'!$B$1:$H$40</definedName>
    <definedName name="_xlnm.Print_Area" localSheetId="56">'6C'!$B$1:$H$38</definedName>
    <definedName name="_xlnm.Print_Area" localSheetId="57">'6D'!$B$1:$I$39</definedName>
    <definedName name="_xlnm.Print_Area" localSheetId="58">'6F'!$B$1:$CJ$63</definedName>
    <definedName name="_xlnm.Print_Area" localSheetId="60">'7A'!$B$1:$H$26</definedName>
    <definedName name="_xlnm.Print_Area" localSheetId="61">'7B'!$B$1:$CJ$28</definedName>
    <definedName name="_xlnm.Print_Area" localSheetId="62">'7C'!$B$1:$H$30</definedName>
    <definedName name="_xlnm.Print_Area" localSheetId="63">'7D'!$B$1:$AE$36</definedName>
    <definedName name="_xlnm.Print_Area" localSheetId="64">'7E'!$B$1:$H$18</definedName>
    <definedName name="_xlnm.Print_Area" localSheetId="65">'7F'!$B$1:$BL$210</definedName>
    <definedName name="_xlnm.Print_Area" localSheetId="67">'8A'!$B$1:$H$32</definedName>
    <definedName name="_xlnm.Print_Area" localSheetId="68">'8B'!$B$1:$P$52</definedName>
    <definedName name="_xlnm.Print_Area" localSheetId="69">'8C'!$B$1:$O$32</definedName>
    <definedName name="_xlnm.Print_Area" localSheetId="70">'8D'!$B$1:$I$23</definedName>
    <definedName name="_xlnm.Print_Area" localSheetId="72">'9A'!$B$1:$R$40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#REF!</definedName>
    <definedName name="South_West_Water">#REF!</definedName>
    <definedName name="Southern_Water">#REF!</definedName>
    <definedName name="Thames_Water">#REF!</definedName>
    <definedName name="United_Utilities_Water">#REF!</definedName>
    <definedName name="Wessex_Water">#REF!</definedName>
    <definedName name="wrn.papersdraft" localSheetId="78" hidden="1">{"bal",#N/A,FALSE,"working papers";"income",#N/A,FALSE,"working papers"}</definedName>
    <definedName name="wrn.papersdraft" localSheetId="80" hidden="1">{"bal",#N/A,FALSE,"working papers";"income",#N/A,FALSE,"working papers"}</definedName>
    <definedName name="wrn.papersdraft" localSheetId="27">{"bal",#N/A,FALSE,"working papers";"income",#N/A,FALSE,"working papers"}</definedName>
    <definedName name="wrn.papersdraft" localSheetId="28" hidden="1">{"bal",#N/A,FALSE,"working papers";"income",#N/A,FALSE,"working papers"}</definedName>
    <definedName name="wrn.papersdraft" localSheetId="29">{"bal",#N/A,FALSE,"working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51" hidden="1">{"bal",#N/A,FALSE,"working papers";"income",#N/A,FALSE,"working papers"}</definedName>
    <definedName name="wrn.papersdraft" localSheetId="52" hidden="1">{"bal",#N/A,FALSE,"working papers";"income",#N/A,FALSE,"working papers"}</definedName>
    <definedName name="wrn.papersdraft" localSheetId="54" hidden="1">{"bal",#N/A,FALSE,"working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5"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{"bal",#N/A,FALSE,"working papers";"income",#N/A,FALSE,"working papers"}</definedName>
    <definedName name="wrn.wpapers." localSheetId="78" hidden="1">{"bal",#N/A,FALSE,"working papers";"income",#N/A,FALSE,"working papers"}</definedName>
    <definedName name="wrn.wpapers." localSheetId="80" hidden="1">{"bal",#N/A,FALSE,"working papers";"income",#N/A,FALSE,"working papers"}</definedName>
    <definedName name="wrn.wpapers." localSheetId="4">{"bal",#N/A,FALSE,"working papers";"income",#N/A,FALSE,"working papers"}</definedName>
    <definedName name="wrn.wpapers." localSheetId="14">{"bal",#N/A,FALSE,"working papers";"income",#N/A,FALSE,"working papers"}</definedName>
    <definedName name="wrn.wpapers." localSheetId="18">{"bal",#N/A,FALSE,"working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5">{"bal",#N/A,FALSE,"working papers";"income",#N/A,FALSE,"working papers"}</definedName>
    <definedName name="wrn.wpapers." localSheetId="27">{"bal",#N/A,FALSE,"working papers";"income",#N/A,FALSE,"working papers"}</definedName>
    <definedName name="wrn.wpapers." localSheetId="28" hidden="1">{"bal",#N/A,FALSE,"working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51" hidden="1">{"bal",#N/A,FALSE,"working papers";"income",#N/A,FALSE,"working papers"}</definedName>
    <definedName name="wrn.wpapers." localSheetId="52" hidden="1">{"bal",#N/A,FALSE,"working papers";"income",#N/A,FALSE,"working papers"}</definedName>
    <definedName name="wrn.wpapers." localSheetId="54" hidden="1">{"bal",#N/A,FALSE,"working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5"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{"bal",#N/A,FALSE,"working papers";"income",#N/A,FALSE,"working papers"}</definedName>
    <definedName name="Yorkshire_Water">#REF!</definedName>
    <definedName name="Z_1B259DF3_2D8D_4DFB_A9C4_F29F1CEBD105_.wvu.PrintArea" localSheetId="80" hidden="1">'11A'!$B$1:$H$57</definedName>
    <definedName name="Z_1B259DF3_2D8D_4DFB_A9C4_F29F1CEBD105_.wvu.PrintArea" localSheetId="4">'1A'!$B$1:$L$34</definedName>
    <definedName name="Z_1B259DF3_2D8D_4DFB_A9C4_F29F1CEBD105_.wvu.PrintArea" localSheetId="5">'1B'!$B$1:$L$11</definedName>
    <definedName name="Z_1B259DF3_2D8D_4DFB_A9C4_F29F1CEBD105_.wvu.PrintArea" localSheetId="6">'1C'!$B$1:$L$53</definedName>
    <definedName name="Z_1B259DF3_2D8D_4DFB_A9C4_F29F1CEBD105_.wvu.PrintArea" localSheetId="8">'1E'!$B$1:$K$30</definedName>
    <definedName name="Z_1B259DF3_2D8D_4DFB_A9C4_F29F1CEBD105_.wvu.PrintArea" localSheetId="11">'2A'!#REF!</definedName>
    <definedName name="Z_1B259DF3_2D8D_4DFB_A9C4_F29F1CEBD105_.wvu.PrintArea" localSheetId="12">'2B'!$B$1:$L$45</definedName>
    <definedName name="Z_1B259DF3_2D8D_4DFB_A9C4_F29F1CEBD105_.wvu.PrintArea" localSheetId="16">'2F'!$B$1:$F$28</definedName>
    <definedName name="Z_1B259DF3_2D8D_4DFB_A9C4_F29F1CEBD105_.wvu.PrintArea" localSheetId="21">'2G'!$AG$1:$AR$31</definedName>
    <definedName name="Z_1B259DF3_2D8D_4DFB_A9C4_F29F1CEBD105_.wvu.PrintArea" localSheetId="17">'2H'!$B$1:$O$25</definedName>
    <definedName name="Z_1B259DF3_2D8D_4DFB_A9C4_F29F1CEBD105_.wvu.PrintArea" localSheetId="18">'2I'!$B$1:$M$29</definedName>
    <definedName name="Z_1B259DF3_2D8D_4DFB_A9C4_F29F1CEBD105_.wvu.PrintArea" localSheetId="19">'2J'!$B$1:$I$20</definedName>
    <definedName name="Z_1B259DF3_2D8D_4DFB_A9C4_F29F1CEBD105_.wvu.PrintArea" localSheetId="20">'2K'!$B$1:$I$18</definedName>
    <definedName name="Z_1B259DF3_2D8D_4DFB_A9C4_F29F1CEBD105_.wvu.PrintArea" localSheetId="22">'2L'!$B$1:$K$7</definedName>
    <definedName name="Z_1B259DF3_2D8D_4DFB_A9C4_F29F1CEBD105_.wvu.PrintArea" localSheetId="23">'2M'!$Z$1:$AG$24</definedName>
    <definedName name="Z_1B259DF3_2D8D_4DFB_A9C4_F29F1CEBD105_.wvu.PrintArea" localSheetId="27">'4A'!$B$1:$G$18</definedName>
    <definedName name="Z_1B259DF3_2D8D_4DFB_A9C4_F29F1CEBD105_.wvu.PrintArea" localSheetId="29">'4C'!$B$1:$M$30</definedName>
    <definedName name="Z_1B259DF3_2D8D_4DFB_A9C4_F29F1CEBD105_.wvu.PrintArea" localSheetId="30">'4D'!$B$1:$L$40</definedName>
    <definedName name="Z_1B259DF3_2D8D_4DFB_A9C4_F29F1CEBD105_.wvu.PrintArea" localSheetId="31">'4E'!$B$1:$O$46</definedName>
    <definedName name="Z_1B259DF3_2D8D_4DFB_A9C4_F29F1CEBD105_.wvu.PrintArea" localSheetId="34">'4H'!$B$1:$H$38</definedName>
    <definedName name="Z_1B259DF3_2D8D_4DFB_A9C4_F29F1CEBD105_.wvu.PrintArea" localSheetId="35">'4I'!$B$1:$M$49</definedName>
    <definedName name="Z_1B259DF3_2D8D_4DFB_A9C4_F29F1CEBD105_.wvu.PrintArea" localSheetId="36">'4J'!$B$1:$L$25</definedName>
    <definedName name="Z_1B259DF3_2D8D_4DFB_A9C4_F29F1CEBD105_.wvu.PrintArea" localSheetId="37">'4K'!$B$1:$O$26</definedName>
    <definedName name="Z_1B259DF3_2D8D_4DFB_A9C4_F29F1CEBD105_.wvu.PrintArea" localSheetId="39">'4M'!$B$1:$AB$40</definedName>
    <definedName name="Z_1B259DF3_2D8D_4DFB_A9C4_F29F1CEBD105_.wvu.PrintArea" localSheetId="41">'4O'!$C$1:$L$15</definedName>
    <definedName name="Z_1B259DF3_2D8D_4DFB_A9C4_F29F1CEBD105_.wvu.PrintArea" localSheetId="42">'4P'!$B$1:$G$25</definedName>
    <definedName name="Z_1B259DF3_2D8D_4DFB_A9C4_F29F1CEBD105_.wvu.PrintArea" localSheetId="52" hidden="1">'5B'!$B$1:$N$19</definedName>
    <definedName name="Z_1B259DF3_2D8D_4DFB_A9C4_F29F1CEBD105_.wvu.PrintArea" localSheetId="60" hidden="1">'7A'!$B$1:$H$24</definedName>
    <definedName name="Z_1B259DF3_2D8D_4DFB_A9C4_F29F1CEBD105_.wvu.PrintArea" localSheetId="68" hidden="1">'8B'!$B$1:$O$52</definedName>
    <definedName name="Z_1B259DF3_2D8D_4DFB_A9C4_F29F1CEBD105_.wvu.PrintArea" localSheetId="69" hidden="1">'8C'!$B$1:$M$31</definedName>
    <definedName name="Z_650D7366_A5BD_406B_9661_ED9F5F01D420_.wvu.PrintArea" localSheetId="4">'1A'!$B$1:$L$23</definedName>
    <definedName name="Z_650D7366_A5BD_406B_9661_ED9F5F01D420_.wvu.PrintArea" localSheetId="5">'1B'!$B$1:$L$11</definedName>
    <definedName name="Z_650D7366_A5BD_406B_9661_ED9F5F01D420_.wvu.PrintArea" localSheetId="6">'1C'!$B$1:$L$53</definedName>
    <definedName name="Z_650D7366_A5BD_406B_9661_ED9F5F01D420_.wvu.PrintArea" localSheetId="8">'1E'!$B$1:$K$30</definedName>
    <definedName name="Z_650D7366_A5BD_406B_9661_ED9F5F01D420_.wvu.PrintArea" localSheetId="11">'2A'!#REF!</definedName>
    <definedName name="Z_650D7366_A5BD_406B_9661_ED9F5F01D420_.wvu.PrintArea" localSheetId="12">'2B'!$B$1:$L$45</definedName>
    <definedName name="Z_650D7366_A5BD_406B_9661_ED9F5F01D420_.wvu.PrintArea" localSheetId="16">'2F'!$B$1:$F$28</definedName>
    <definedName name="Z_650D7366_A5BD_406B_9661_ED9F5F01D420_.wvu.PrintArea" localSheetId="21">'2G'!$AG$1:$AR$31</definedName>
    <definedName name="Z_650D7366_A5BD_406B_9661_ED9F5F01D420_.wvu.PrintArea" localSheetId="17">'2H'!$B$1:$O$25</definedName>
    <definedName name="Z_650D7366_A5BD_406B_9661_ED9F5F01D420_.wvu.PrintArea" localSheetId="18">'2I'!$B$1:$M$29</definedName>
    <definedName name="Z_650D7366_A5BD_406B_9661_ED9F5F01D420_.wvu.PrintArea" localSheetId="22">'2L'!$B$1:$K$7</definedName>
    <definedName name="Z_650D7366_A5BD_406B_9661_ED9F5F01D420_.wvu.PrintArea" localSheetId="23">'2M'!$Z$1:$AG$24</definedName>
    <definedName name="Z_650D7366_A5BD_406B_9661_ED9F5F01D420_.wvu.PrintArea" localSheetId="27">'4A'!$B$1:$G$18</definedName>
    <definedName name="Z_650D7366_A5BD_406B_9661_ED9F5F01D420_.wvu.PrintArea" localSheetId="29">'4C'!$B$1:$M$28</definedName>
    <definedName name="Z_650D7366_A5BD_406B_9661_ED9F5F01D420_.wvu.PrintArea" localSheetId="34">'4H'!$B$1:$H$38</definedName>
    <definedName name="Z_650D7366_A5BD_406B_9661_ED9F5F01D420_.wvu.PrintArea" localSheetId="35">'4I'!$B$1:$M$49</definedName>
    <definedName name="Z_69104686_4F2A_41D5_9B15_E00B9826BCA2_.wvu.PrintArea" localSheetId="28" hidden="1">'4B'!$B$3:$AD$641</definedName>
    <definedName name="Z_71BC5093_C9C1_4AA0_864A_AADBDC96B3C1_.wvu.PrintArea" localSheetId="80" hidden="1">'11A'!$B$1:$H$57</definedName>
    <definedName name="Z_71BC5093_C9C1_4AA0_864A_AADBDC96B3C1_.wvu.PrintArea" localSheetId="4">'1A'!$B$1:$P$34</definedName>
    <definedName name="Z_71BC5093_C9C1_4AA0_864A_AADBDC96B3C1_.wvu.PrintArea" localSheetId="5">'1B'!$B$1:$M$11</definedName>
    <definedName name="Z_71BC5093_C9C1_4AA0_864A_AADBDC96B3C1_.wvu.PrintArea" localSheetId="6">'1C'!$B$1:$M$53</definedName>
    <definedName name="Z_71BC5093_C9C1_4AA0_864A_AADBDC96B3C1_.wvu.PrintArea" localSheetId="7">'1D'!$B$1:$M$37</definedName>
    <definedName name="Z_71BC5093_C9C1_4AA0_864A_AADBDC96B3C1_.wvu.PrintArea" localSheetId="8">'1E'!$B$1:$L$30</definedName>
    <definedName name="Z_71BC5093_C9C1_4AA0_864A_AADBDC96B3C1_.wvu.PrintArea" localSheetId="11">'2A'!$B$1:$O$22</definedName>
    <definedName name="Z_71BC5093_C9C1_4AA0_864A_AADBDC96B3C1_.wvu.PrintArea" localSheetId="12">'2B'!$B$1:$M$45</definedName>
    <definedName name="Z_71BC5093_C9C1_4AA0_864A_AADBDC96B3C1_.wvu.PrintArea" localSheetId="13">'2C'!$B$1:$J$51</definedName>
    <definedName name="Z_71BC5093_C9C1_4AA0_864A_AADBDC96B3C1_.wvu.PrintArea" localSheetId="14">'2D'!$B$1:$O$31</definedName>
    <definedName name="Z_71BC5093_C9C1_4AA0_864A_AADBDC96B3C1_.wvu.PrintArea" localSheetId="16">'2F'!$B$1:$H$29</definedName>
    <definedName name="Z_71BC5093_C9C1_4AA0_864A_AADBDC96B3C1_.wvu.PrintArea" localSheetId="21">'2G'!$AG$1:$AR$30</definedName>
    <definedName name="Z_71BC5093_C9C1_4AA0_864A_AADBDC96B3C1_.wvu.PrintArea" localSheetId="17">'2H'!$B$1:$O$26</definedName>
    <definedName name="Z_71BC5093_C9C1_4AA0_864A_AADBDC96B3C1_.wvu.PrintArea" localSheetId="18">'2I'!$B$1:$M$29</definedName>
    <definedName name="Z_71BC5093_C9C1_4AA0_864A_AADBDC96B3C1_.wvu.PrintArea" localSheetId="19">'2J'!$B$1:$I$19</definedName>
    <definedName name="Z_71BC5093_C9C1_4AA0_864A_AADBDC96B3C1_.wvu.PrintArea" localSheetId="20">'2K'!$B$1:$J$17</definedName>
    <definedName name="Z_71BC5093_C9C1_4AA0_864A_AADBDC96B3C1_.wvu.PrintArea" localSheetId="22">'2L'!$B$1:$L$7</definedName>
    <definedName name="Z_71BC5093_C9C1_4AA0_864A_AADBDC96B3C1_.wvu.PrintArea" localSheetId="23">'2M'!$Z$1:$AG$23</definedName>
    <definedName name="Z_71BC5093_C9C1_4AA0_864A_AADBDC96B3C1_.wvu.PrintArea" localSheetId="24">'2N'!$B$1:$I$43</definedName>
    <definedName name="Z_71BC5093_C9C1_4AA0_864A_AADBDC96B3C1_.wvu.PrintArea" localSheetId="25">'2O'!$B$1:$N$32</definedName>
    <definedName name="Z_71BC5093_C9C1_4AA0_864A_AADBDC96B3C1_.wvu.PrintArea" localSheetId="27">'4A'!$B$1:$H$68</definedName>
    <definedName name="Z_71BC5093_C9C1_4AA0_864A_AADBDC96B3C1_.wvu.PrintArea" localSheetId="28" hidden="1">'4B'!$B$1:$BS$641</definedName>
    <definedName name="Z_71BC5093_C9C1_4AA0_864A_AADBDC96B3C1_.wvu.PrintArea" localSheetId="29">'4C'!$B$1:$Q$47</definedName>
    <definedName name="Z_71BC5093_C9C1_4AA0_864A_AADBDC96B3C1_.wvu.PrintArea" localSheetId="30">'4D'!$B$1:$M$47</definedName>
    <definedName name="Z_71BC5093_C9C1_4AA0_864A_AADBDC96B3C1_.wvu.PrintArea" localSheetId="31">'4E'!$B$1:$O$46</definedName>
    <definedName name="Z_71BC5093_C9C1_4AA0_864A_AADBDC96B3C1_.wvu.PrintArea" localSheetId="32">'4F'!$B$1:$S$34</definedName>
    <definedName name="Z_71BC5093_C9C1_4AA0_864A_AADBDC96B3C1_.wvu.PrintArea" localSheetId="33">'4G'!$B$1:$Y$35</definedName>
    <definedName name="Z_71BC5093_C9C1_4AA0_864A_AADBDC96B3C1_.wvu.PrintArea" localSheetId="34">'4H'!$B$1:$I$38</definedName>
    <definedName name="Z_71BC5093_C9C1_4AA0_864A_AADBDC96B3C1_.wvu.PrintArea" localSheetId="35">'4I'!$B$1:$N$49</definedName>
    <definedName name="Z_71BC5093_C9C1_4AA0_864A_AADBDC96B3C1_.wvu.PrintArea" localSheetId="36">'4J'!$B$1:$P$35</definedName>
    <definedName name="Z_71BC5093_C9C1_4AA0_864A_AADBDC96B3C1_.wvu.PrintArea" localSheetId="37">'4K'!$B$1:$P$37</definedName>
    <definedName name="Z_71BC5093_C9C1_4AA0_864A_AADBDC96B3C1_.wvu.PrintArea" localSheetId="38">'4L'!$B$1:$W$130</definedName>
    <definedName name="Z_71BC5093_C9C1_4AA0_864A_AADBDC96B3C1_.wvu.PrintArea" localSheetId="39">'4M'!$B$1:$AC$101</definedName>
    <definedName name="Z_71BC5093_C9C1_4AA0_864A_AADBDC96B3C1_.wvu.PrintArea" localSheetId="40">'4N'!$B$1:$J$13</definedName>
    <definedName name="Z_71BC5093_C9C1_4AA0_864A_AADBDC96B3C1_.wvu.PrintArea" localSheetId="41">'4O'!$B$1:$M$14</definedName>
    <definedName name="Z_71BC5093_C9C1_4AA0_864A_AADBDC96B3C1_.wvu.PrintArea" localSheetId="42">'4P'!$B$1:$N$25</definedName>
    <definedName name="Z_71BC5093_C9C1_4AA0_864A_AADBDC96B3C1_.wvu.PrintArea" localSheetId="43">'4Q'!$B$1:$J$28</definedName>
    <definedName name="Z_71BC5093_C9C1_4AA0_864A_AADBDC96B3C1_.wvu.PrintArea" localSheetId="44">'4R'!$B$1:$W$52</definedName>
    <definedName name="Z_71BC5093_C9C1_4AA0_864A_AADBDC96B3C1_.wvu.PrintArea" localSheetId="51" hidden="1">'5A'!$B$1:$H$38</definedName>
    <definedName name="Z_71BC5093_C9C1_4AA0_864A_AADBDC96B3C1_.wvu.PrintArea" localSheetId="52" hidden="1">'5B'!$B$1:$O$19</definedName>
    <definedName name="Z_71BC5093_C9C1_4AA0_864A_AADBDC96B3C1_.wvu.PrintArea" localSheetId="54" hidden="1">'6A'!$B$1:$I$58</definedName>
    <definedName name="Z_71BC5093_C9C1_4AA0_864A_AADBDC96B3C1_.wvu.PrintArea" localSheetId="55" hidden="1">'6B'!$B$1:$H$31</definedName>
    <definedName name="Z_71BC5093_C9C1_4AA0_864A_AADBDC96B3C1_.wvu.PrintArea" localSheetId="56" hidden="1">'6C'!$B$1:$H$38</definedName>
    <definedName name="Z_71BC5093_C9C1_4AA0_864A_AADBDC96B3C1_.wvu.PrintArea" localSheetId="57" hidden="1">'6D'!$B$1:$I$39</definedName>
    <definedName name="Z_71BC5093_C9C1_4AA0_864A_AADBDC96B3C1_.wvu.PrintArea" localSheetId="60" hidden="1">'7A'!$B$1:$H$24</definedName>
    <definedName name="Z_71BC5093_C9C1_4AA0_864A_AADBDC96B3C1_.wvu.PrintArea" localSheetId="61" hidden="1">'7B'!$B$1:$CJ$28</definedName>
    <definedName name="Z_71BC5093_C9C1_4AA0_864A_AADBDC96B3C1_.wvu.PrintArea" localSheetId="62" hidden="1">'7C'!$B$1:$H$30</definedName>
    <definedName name="Z_71BC5093_C9C1_4AA0_864A_AADBDC96B3C1_.wvu.PrintArea" localSheetId="63" hidden="1">'7D'!$B$1:$AE$36</definedName>
    <definedName name="Z_71BC5093_C9C1_4AA0_864A_AADBDC96B3C1_.wvu.PrintArea" localSheetId="64">'7E'!$B$1:$H$18</definedName>
    <definedName name="Z_71BC5093_C9C1_4AA0_864A_AADBDC96B3C1_.wvu.PrintArea" localSheetId="67">'8A'!$B$1:$H$32</definedName>
    <definedName name="Z_71BC5093_C9C1_4AA0_864A_AADBDC96B3C1_.wvu.PrintArea" localSheetId="68" hidden="1">'8B'!$B$1:$P$52</definedName>
    <definedName name="Z_71BC5093_C9C1_4AA0_864A_AADBDC96B3C1_.wvu.PrintArea" localSheetId="69" hidden="1">'8C'!$B$1:$O$32</definedName>
    <definedName name="Z_71BC5093_C9C1_4AA0_864A_AADBDC96B3C1_.wvu.PrintArea" localSheetId="70">'8D'!$B$1:$I$23</definedName>
    <definedName name="Z_71BC5093_C9C1_4AA0_864A_AADBDC96B3C1_.wvu.PrintArea" localSheetId="72" hidden="1">'9A'!$B$1:$R$40</definedName>
    <definedName name="Z_71BC5093_C9C1_4AA0_864A_AADBDC96B3C1_.wvu.Rows" localSheetId="28" hidden="1">'4B'!$643:$1048576,'4B'!$60:$108,'4B'!$110:$158,'4B'!#REF!,'4B'!$163:$211,'4B'!$213:$261,'4B'!$263:$311,'4B'!#REF!,'4B'!$316:$364,'4B'!$366:$414,'4B'!$416:$464,'4B'!#REF!,'4B'!$469:$517,'4B'!$519:$567,'4B'!$569:$617,'4B'!#REF!,'4B'!#REF!</definedName>
    <definedName name="Z_9D0BCB94_913C_464E_843B_7A43F508C4E7_.wvu.PrintArea" localSheetId="4">'1A'!$B$1:$L$23</definedName>
    <definedName name="Z_9D0BCB94_913C_464E_843B_7A43F508C4E7_.wvu.PrintArea" localSheetId="5">'1B'!$B$1:$L$11</definedName>
    <definedName name="Z_9D0BCB94_913C_464E_843B_7A43F508C4E7_.wvu.PrintArea" localSheetId="6">'1C'!$B$1:$L$53</definedName>
    <definedName name="Z_9D0BCB94_913C_464E_843B_7A43F508C4E7_.wvu.PrintArea" localSheetId="8">'1E'!$B$1:$K$30</definedName>
    <definedName name="Z_9D0BCB94_913C_464E_843B_7A43F508C4E7_.wvu.PrintArea" localSheetId="11">'2A'!#REF!</definedName>
    <definedName name="Z_9D0BCB94_913C_464E_843B_7A43F508C4E7_.wvu.PrintArea" localSheetId="12">'2B'!$B$1:$L$45</definedName>
    <definedName name="Z_9D0BCB94_913C_464E_843B_7A43F508C4E7_.wvu.PrintArea" localSheetId="16">'2F'!$B$1:$F$28</definedName>
    <definedName name="Z_9D0BCB94_913C_464E_843B_7A43F508C4E7_.wvu.PrintArea" localSheetId="21">'2G'!$AG$1:$AR$31</definedName>
    <definedName name="Z_9D0BCB94_913C_464E_843B_7A43F508C4E7_.wvu.PrintArea" localSheetId="17">'2H'!$B$1:$O$25</definedName>
    <definedName name="Z_9D0BCB94_913C_464E_843B_7A43F508C4E7_.wvu.PrintArea" localSheetId="18">'2I'!$B$1:$M$29</definedName>
    <definedName name="Z_9D0BCB94_913C_464E_843B_7A43F508C4E7_.wvu.PrintArea" localSheetId="22">'2L'!$B$1:$K$7</definedName>
    <definedName name="Z_9D0BCB94_913C_464E_843B_7A43F508C4E7_.wvu.PrintArea" localSheetId="23">'2M'!$Z$1:$AG$24</definedName>
    <definedName name="Z_9D0BCB94_913C_464E_843B_7A43F508C4E7_.wvu.PrintArea" localSheetId="27">'4A'!$B$1:$G$18</definedName>
    <definedName name="Z_9D0BCB94_913C_464E_843B_7A43F508C4E7_.wvu.PrintArea" localSheetId="29">'4C'!$B$1:$M$28</definedName>
    <definedName name="Z_9D0BCB94_913C_464E_843B_7A43F508C4E7_.wvu.PrintArea" localSheetId="34">'4H'!$B$1:$H$38</definedName>
    <definedName name="Z_9D0BCB94_913C_464E_843B_7A43F508C4E7_.wvu.PrintArea" localSheetId="35">'4I'!$B$1:$M$49</definedName>
    <definedName name="Z_A8453347_62D5_433C_AC17_73E6B4F2766F_.wvu.PrintArea" localSheetId="28" hidden="1">'4B'!$B$3:$AD$641</definedName>
    <definedName name="Z_C52B46E3_F629_4DFA_829C_FFB772C5F657_.wvu.PrintArea" localSheetId="4">'1A'!$B$1:$J$23</definedName>
    <definedName name="Z_C52B46E3_F629_4DFA_829C_FFB772C5F657_.wvu.PrintArea" localSheetId="5">'1B'!$B$1:$I$11</definedName>
    <definedName name="Z_C52B46E3_F629_4DFA_829C_FFB772C5F657_.wvu.PrintArea" localSheetId="6">'1C'!$B$1:$I$53</definedName>
    <definedName name="Z_C52B46E3_F629_4DFA_829C_FFB772C5F657_.wvu.PrintArea" localSheetId="11">'2A'!#REF!</definedName>
    <definedName name="Z_C52B46E3_F629_4DFA_829C_FFB772C5F657_.wvu.PrintArea" localSheetId="12">'2B'!$B$1:$G$45</definedName>
    <definedName name="Z_C52B46E3_F629_4DFA_829C_FFB772C5F657_.wvu.PrintArea" localSheetId="18">'2I'!$B$1:$G$28</definedName>
    <definedName name="Z_C52B46E3_F629_4DFA_829C_FFB772C5F657_.wvu.PrintArea" localSheetId="22">'2L'!$B$1:$I$7</definedName>
    <definedName name="Z_C52B46E3_F629_4DFA_829C_FFB772C5F657_.wvu.PrintArea" localSheetId="23">'2M'!$Z$1:$AF$5</definedName>
    <definedName name="Z_C52B46E3_F629_4DFA_829C_FFB772C5F657_.wvu.PrintArea" localSheetId="29">'4C'!$B$1:$E$28</definedName>
    <definedName name="Z_C52B46E3_F629_4DFA_829C_FFB772C5F657_.wvu.PrintArea" localSheetId="34">'4H'!$B$1:$E$13</definedName>
    <definedName name="Z_C52B46E3_F629_4DFA_829C_FFB772C5F657_.wvu.PrintArea" localSheetId="35">'4I'!$B$1:$D$20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 i="219" l="1"/>
  <c r="G15" i="226"/>
  <c r="H15" i="226"/>
  <c r="I15" i="226"/>
  <c r="F15" i="226"/>
  <c r="E15" i="226"/>
  <c r="F15" i="227" l="1"/>
  <c r="G15" i="227"/>
  <c r="H15" i="227"/>
  <c r="I15" i="227"/>
  <c r="J15" i="227"/>
  <c r="K15" i="227"/>
  <c r="L15" i="227"/>
  <c r="E15" i="227"/>
  <c r="E24" i="242" l="1"/>
  <c r="I14" i="232"/>
  <c r="H11" i="258" l="1"/>
  <c r="Z8" i="261"/>
  <c r="F21" i="328"/>
  <c r="G33" i="248"/>
  <c r="L37" i="258" l="1"/>
  <c r="T54" i="328" l="1"/>
  <c r="S54" i="328"/>
  <c r="R54" i="328"/>
  <c r="H54" i="328"/>
  <c r="T52" i="328"/>
  <c r="S52" i="328"/>
  <c r="R52" i="328"/>
  <c r="P52" i="328" s="1"/>
  <c r="H52" i="328"/>
  <c r="S47" i="328"/>
  <c r="R47" i="328"/>
  <c r="H47" i="328"/>
  <c r="T44" i="328"/>
  <c r="S44" i="328"/>
  <c r="R44" i="328"/>
  <c r="H44" i="328"/>
  <c r="T43" i="328"/>
  <c r="S43" i="328"/>
  <c r="R43" i="328"/>
  <c r="H43" i="328"/>
  <c r="T42" i="328"/>
  <c r="S42" i="328"/>
  <c r="R42" i="328"/>
  <c r="H42" i="328"/>
  <c r="T40" i="328"/>
  <c r="S40" i="328"/>
  <c r="R40" i="328"/>
  <c r="P40" i="328" s="1"/>
  <c r="H40" i="328"/>
  <c r="G39" i="328"/>
  <c r="G41" i="328" s="1"/>
  <c r="G45" i="328" s="1"/>
  <c r="F39" i="328"/>
  <c r="F41" i="328" s="1"/>
  <c r="F45" i="328" s="1"/>
  <c r="G53" i="328" s="1"/>
  <c r="G55" i="328" s="1"/>
  <c r="E39" i="328"/>
  <c r="E41" i="328" s="1"/>
  <c r="E45" i="328" s="1"/>
  <c r="T38" i="328"/>
  <c r="S38" i="328"/>
  <c r="R38" i="328"/>
  <c r="H38" i="328"/>
  <c r="T37" i="328"/>
  <c r="S37" i="328"/>
  <c r="R37" i="328"/>
  <c r="P37" i="328" s="1"/>
  <c r="H37" i="328"/>
  <c r="T36" i="328"/>
  <c r="S36" i="328"/>
  <c r="R36" i="328"/>
  <c r="P36" i="328" s="1"/>
  <c r="H36" i="328"/>
  <c r="T35" i="328"/>
  <c r="S35" i="328"/>
  <c r="R35" i="328"/>
  <c r="H35" i="328"/>
  <c r="S32" i="328"/>
  <c r="R32" i="328"/>
  <c r="H32" i="328"/>
  <c r="T29" i="328"/>
  <c r="S29" i="328"/>
  <c r="R29" i="328"/>
  <c r="P29" i="328" s="1"/>
  <c r="H29" i="328"/>
  <c r="T28" i="328"/>
  <c r="S28" i="328"/>
  <c r="R28" i="328"/>
  <c r="H28" i="328"/>
  <c r="T27" i="328"/>
  <c r="S27" i="328"/>
  <c r="R27" i="328"/>
  <c r="H27" i="328"/>
  <c r="T25" i="328"/>
  <c r="S25" i="328"/>
  <c r="R25" i="328"/>
  <c r="H25" i="328"/>
  <c r="G24" i="328"/>
  <c r="G26" i="328" s="1"/>
  <c r="G30" i="328" s="1"/>
  <c r="F24" i="328"/>
  <c r="E24" i="328"/>
  <c r="E26" i="328" s="1"/>
  <c r="E30" i="328" s="1"/>
  <c r="T23" i="328"/>
  <c r="S23" i="328"/>
  <c r="R23" i="328"/>
  <c r="H23" i="328"/>
  <c r="T22" i="328"/>
  <c r="S22" i="328"/>
  <c r="R22" i="328"/>
  <c r="H22" i="328"/>
  <c r="T21" i="328"/>
  <c r="S21" i="328"/>
  <c r="R21" i="328"/>
  <c r="H21" i="328"/>
  <c r="T20" i="328"/>
  <c r="S20" i="328"/>
  <c r="R20" i="328"/>
  <c r="H20" i="328"/>
  <c r="T19" i="328"/>
  <c r="S19" i="328"/>
  <c r="R19" i="328"/>
  <c r="H19" i="328"/>
  <c r="S16" i="328"/>
  <c r="R16" i="328"/>
  <c r="H16" i="328"/>
  <c r="T13" i="328"/>
  <c r="S13" i="328"/>
  <c r="R13" i="328"/>
  <c r="H13" i="328"/>
  <c r="T12" i="328"/>
  <c r="S12" i="328"/>
  <c r="R12" i="328"/>
  <c r="H12" i="328"/>
  <c r="T11" i="328"/>
  <c r="S11" i="328"/>
  <c r="R11" i="328"/>
  <c r="H11" i="328"/>
  <c r="G10" i="328"/>
  <c r="G14" i="328" s="1"/>
  <c r="F10" i="328"/>
  <c r="F14" i="328" s="1"/>
  <c r="E53" i="328" s="1"/>
  <c r="E10" i="328"/>
  <c r="E14" i="328" s="1"/>
  <c r="T9" i="328"/>
  <c r="S9" i="328"/>
  <c r="R9" i="328"/>
  <c r="H9" i="328"/>
  <c r="T8" i="328"/>
  <c r="S8" i="328"/>
  <c r="R8" i="328"/>
  <c r="H8" i="328"/>
  <c r="B2" i="328"/>
  <c r="X12" i="257"/>
  <c r="P11" i="328" l="1"/>
  <c r="P16" i="328"/>
  <c r="P12" i="328"/>
  <c r="P13" i="328"/>
  <c r="P8" i="328"/>
  <c r="P20" i="328"/>
  <c r="P22" i="328"/>
  <c r="P32" i="328"/>
  <c r="P47" i="328"/>
  <c r="P21" i="328"/>
  <c r="P19" i="328"/>
  <c r="P9" i="328"/>
  <c r="P25" i="328"/>
  <c r="P54" i="328"/>
  <c r="P38" i="328"/>
  <c r="P44" i="328"/>
  <c r="H45" i="328"/>
  <c r="P27" i="328"/>
  <c r="H39" i="328"/>
  <c r="P23" i="328"/>
  <c r="P28" i="328"/>
  <c r="P35" i="328"/>
  <c r="P42" i="328"/>
  <c r="H14" i="328"/>
  <c r="P43" i="328"/>
  <c r="E55" i="328"/>
  <c r="H41" i="328"/>
  <c r="H24" i="328"/>
  <c r="F26" i="328"/>
  <c r="H10" i="328"/>
  <c r="H39" i="233"/>
  <c r="K40" i="233"/>
  <c r="D84" i="315"/>
  <c r="C84" i="315"/>
  <c r="F30" i="328" l="1"/>
  <c r="H26" i="328"/>
  <c r="Q38" i="234"/>
  <c r="F53" i="328" l="1"/>
  <c r="H30" i="328"/>
  <c r="E25" i="251"/>
  <c r="M10" i="233"/>
  <c r="F55" i="328" l="1"/>
  <c r="H55" i="328" s="1"/>
  <c r="H53" i="328"/>
  <c r="E28" i="211"/>
  <c r="E11" i="209" s="1"/>
  <c r="K37" i="234" l="1"/>
  <c r="K10" i="234"/>
  <c r="G10" i="251" l="1"/>
  <c r="B2" i="279"/>
  <c r="R125" i="234" l="1"/>
  <c r="L12" i="315" l="1"/>
  <c r="L15" i="315"/>
  <c r="L16" i="315"/>
  <c r="L17" i="315"/>
  <c r="E44" i="315"/>
  <c r="E12" i="315"/>
  <c r="C19" i="231" l="1"/>
  <c r="E37" i="246"/>
  <c r="M47" i="245"/>
  <c r="M48" i="245"/>
  <c r="F81" i="234"/>
  <c r="Q34" i="287"/>
  <c r="Q32" i="287"/>
  <c r="P43" i="287"/>
  <c r="N43" i="287" s="1"/>
  <c r="P44" i="287"/>
  <c r="N44" i="287" s="1"/>
  <c r="G100" i="235"/>
  <c r="F10" i="227" s="1"/>
  <c r="H100" i="235"/>
  <c r="I100" i="235"/>
  <c r="J100" i="235"/>
  <c r="K100" i="235"/>
  <c r="L100" i="235"/>
  <c r="M100" i="235"/>
  <c r="F100" i="235"/>
  <c r="G99" i="235"/>
  <c r="H99" i="235"/>
  <c r="I99" i="235"/>
  <c r="J99" i="235"/>
  <c r="K99" i="235"/>
  <c r="L99" i="235"/>
  <c r="M99" i="235"/>
  <c r="F99" i="235"/>
  <c r="R33" i="287"/>
  <c r="N33" i="287" s="1"/>
  <c r="R32" i="287"/>
  <c r="N32" i="287" s="1"/>
  <c r="R29" i="287"/>
  <c r="Q28" i="287"/>
  <c r="N28" i="287" s="1"/>
  <c r="R28" i="287"/>
  <c r="R27" i="287"/>
  <c r="N27" i="287" s="1"/>
  <c r="Q26" i="287"/>
  <c r="R26" i="287"/>
  <c r="N29" i="287"/>
  <c r="S29" i="248"/>
  <c r="O29" i="248" s="1"/>
  <c r="S28" i="248"/>
  <c r="R28" i="248"/>
  <c r="S27" i="248"/>
  <c r="O27" i="248" s="1"/>
  <c r="S26" i="248"/>
  <c r="R26" i="248"/>
  <c r="S23" i="248"/>
  <c r="O23" i="248" s="1"/>
  <c r="R22" i="248"/>
  <c r="O22" i="248" s="1"/>
  <c r="S22" i="248"/>
  <c r="S21" i="248"/>
  <c r="O21" i="248" s="1"/>
  <c r="S20" i="248"/>
  <c r="R20" i="248"/>
  <c r="O20" i="248" s="1"/>
  <c r="I33" i="235"/>
  <c r="O30" i="235"/>
  <c r="F30" i="235"/>
  <c r="N32" i="235"/>
  <c r="W32" i="235"/>
  <c r="W31" i="235"/>
  <c r="N29" i="235"/>
  <c r="N26" i="235"/>
  <c r="F33" i="235"/>
  <c r="G33" i="235"/>
  <c r="H33" i="235"/>
  <c r="J33" i="235"/>
  <c r="K33" i="235"/>
  <c r="L33" i="235"/>
  <c r="M33" i="235"/>
  <c r="O33" i="235"/>
  <c r="P33" i="235"/>
  <c r="Q33" i="235"/>
  <c r="R33" i="235"/>
  <c r="S33" i="235"/>
  <c r="T33" i="235"/>
  <c r="U33" i="235"/>
  <c r="V33" i="235"/>
  <c r="G30" i="235"/>
  <c r="H30" i="235"/>
  <c r="I30" i="235"/>
  <c r="J30" i="235"/>
  <c r="K30" i="235"/>
  <c r="L30" i="235"/>
  <c r="M30" i="235"/>
  <c r="P30" i="235"/>
  <c r="Q30" i="235"/>
  <c r="R30" i="235"/>
  <c r="S30" i="235"/>
  <c r="T30" i="235"/>
  <c r="U30" i="235"/>
  <c r="V30" i="235"/>
  <c r="O40" i="261"/>
  <c r="M40" i="261"/>
  <c r="E84" i="315"/>
  <c r="C64" i="315"/>
  <c r="E41" i="315"/>
  <c r="E23" i="313"/>
  <c r="E15" i="313"/>
  <c r="I14" i="314"/>
  <c r="H13" i="314"/>
  <c r="E14" i="314"/>
  <c r="E23" i="238"/>
  <c r="E22" i="238"/>
  <c r="E21" i="238"/>
  <c r="C78" i="231"/>
  <c r="H71" i="231"/>
  <c r="G67" i="231"/>
  <c r="C71" i="231"/>
  <c r="C64" i="231"/>
  <c r="C48" i="315"/>
  <c r="D47" i="315"/>
  <c r="C47" i="315"/>
  <c r="C31" i="315"/>
  <c r="C30" i="315"/>
  <c r="C17" i="315"/>
  <c r="C16" i="315"/>
  <c r="J75" i="234"/>
  <c r="K73" i="234"/>
  <c r="R28" i="234"/>
  <c r="R30" i="313"/>
  <c r="Q30" i="313"/>
  <c r="P30" i="313"/>
  <c r="R29" i="313"/>
  <c r="Q29" i="313"/>
  <c r="P29" i="313"/>
  <c r="R28" i="313"/>
  <c r="Q28" i="313"/>
  <c r="P28" i="313"/>
  <c r="R27" i="313"/>
  <c r="Q27" i="313"/>
  <c r="P27" i="313"/>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S8" i="314" s="1"/>
  <c r="U8" i="314"/>
  <c r="L90" i="234"/>
  <c r="O77" i="315"/>
  <c r="L77" i="315" s="1"/>
  <c r="N76" i="315"/>
  <c r="L76" i="315" s="1"/>
  <c r="D64" i="315"/>
  <c r="E63" i="315"/>
  <c r="E62" i="315"/>
  <c r="E61" i="315"/>
  <c r="E60" i="315"/>
  <c r="E53" i="315"/>
  <c r="O52" i="315"/>
  <c r="N52" i="315"/>
  <c r="E52" i="315"/>
  <c r="O51" i="315"/>
  <c r="N51" i="315"/>
  <c r="E51" i="315"/>
  <c r="O50" i="315"/>
  <c r="N50" i="315"/>
  <c r="E50" i="315"/>
  <c r="D48" i="315"/>
  <c r="E46" i="315"/>
  <c r="E45" i="315"/>
  <c r="E43" i="315"/>
  <c r="E42" i="315"/>
  <c r="O40" i="315"/>
  <c r="N40" i="315"/>
  <c r="E40" i="315"/>
  <c r="O39" i="315"/>
  <c r="N39" i="315"/>
  <c r="E39" i="315"/>
  <c r="E36" i="315"/>
  <c r="O35" i="315"/>
  <c r="N35" i="315"/>
  <c r="L35" i="315" s="1"/>
  <c r="E35" i="315"/>
  <c r="O34" i="315"/>
  <c r="N34" i="315"/>
  <c r="E34" i="315"/>
  <c r="O33" i="315"/>
  <c r="N33" i="315"/>
  <c r="E33" i="315"/>
  <c r="D31" i="315"/>
  <c r="D30" i="315"/>
  <c r="O29" i="315"/>
  <c r="N29" i="315"/>
  <c r="E29" i="315"/>
  <c r="O28" i="315"/>
  <c r="N28" i="315"/>
  <c r="E28" i="315"/>
  <c r="O27" i="315"/>
  <c r="N27" i="315"/>
  <c r="E27" i="315"/>
  <c r="O26" i="315"/>
  <c r="N26" i="315"/>
  <c r="E26" i="315"/>
  <c r="O25" i="315"/>
  <c r="N25" i="315"/>
  <c r="E25" i="315"/>
  <c r="E22" i="315"/>
  <c r="O21" i="315"/>
  <c r="N21" i="315"/>
  <c r="E21" i="315"/>
  <c r="O20" i="315"/>
  <c r="N20" i="315"/>
  <c r="E20" i="315"/>
  <c r="O19" i="315"/>
  <c r="N19" i="315"/>
  <c r="E19" i="315"/>
  <c r="D17" i="315"/>
  <c r="D16" i="315"/>
  <c r="E15" i="315"/>
  <c r="O14" i="315"/>
  <c r="N14" i="315"/>
  <c r="E14" i="315"/>
  <c r="O13" i="315"/>
  <c r="N13" i="315"/>
  <c r="E13" i="315"/>
  <c r="O11" i="315"/>
  <c r="N11" i="315"/>
  <c r="E11" i="315"/>
  <c r="F11" i="206"/>
  <c r="F25" i="206" s="1"/>
  <c r="N106" i="246"/>
  <c r="L106" i="246" s="1"/>
  <c r="N105" i="246"/>
  <c r="L105" i="246" s="1"/>
  <c r="N104" i="246"/>
  <c r="L104" i="246" s="1"/>
  <c r="N103" i="246"/>
  <c r="L103" i="246" s="1"/>
  <c r="N102" i="246"/>
  <c r="L102" i="246" s="1"/>
  <c r="N101" i="246"/>
  <c r="L101" i="246" s="1"/>
  <c r="N100" i="246"/>
  <c r="L100" i="246" s="1"/>
  <c r="N99" i="246"/>
  <c r="L99" i="246"/>
  <c r="N98" i="246"/>
  <c r="L98" i="246"/>
  <c r="N97" i="246"/>
  <c r="L97" i="246" s="1"/>
  <c r="N94" i="246"/>
  <c r="L94" i="246" s="1"/>
  <c r="N93" i="246"/>
  <c r="L93" i="246" s="1"/>
  <c r="N92" i="246"/>
  <c r="L92" i="246" s="1"/>
  <c r="N91" i="246"/>
  <c r="L91" i="246" s="1"/>
  <c r="N90" i="246"/>
  <c r="L90" i="246" s="1"/>
  <c r="N89" i="246"/>
  <c r="L89" i="246" s="1"/>
  <c r="N88" i="246"/>
  <c r="L88" i="246"/>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70" i="246"/>
  <c r="L70" i="246"/>
  <c r="N62" i="246"/>
  <c r="L62" i="246"/>
  <c r="N63" i="246"/>
  <c r="L63" i="246" s="1"/>
  <c r="N64" i="246"/>
  <c r="L64" i="246" s="1"/>
  <c r="N65" i="246"/>
  <c r="N66" i="246"/>
  <c r="L66" i="246" s="1"/>
  <c r="N67" i="246"/>
  <c r="L67" i="246" s="1"/>
  <c r="N68" i="246"/>
  <c r="L68" i="246" s="1"/>
  <c r="L65" i="246"/>
  <c r="N56" i="246"/>
  <c r="L56" i="246" s="1"/>
  <c r="N57" i="246"/>
  <c r="L57" i="246" s="1"/>
  <c r="N58" i="246"/>
  <c r="L58" i="246" s="1"/>
  <c r="N59" i="246"/>
  <c r="L59" i="246" s="1"/>
  <c r="N51" i="246"/>
  <c r="L51" i="246" s="1"/>
  <c r="N52" i="246"/>
  <c r="L52" i="246"/>
  <c r="N53" i="246"/>
  <c r="L53" i="246"/>
  <c r="N54" i="246"/>
  <c r="L54" i="246" s="1"/>
  <c r="N36" i="246"/>
  <c r="L36" i="246" s="1"/>
  <c r="N37" i="246"/>
  <c r="L37" i="246" s="1"/>
  <c r="N45" i="246"/>
  <c r="L45" i="246" s="1"/>
  <c r="N46" i="246"/>
  <c r="L46" i="246" s="1"/>
  <c r="N47" i="246"/>
  <c r="L47" i="246" s="1"/>
  <c r="N48" i="246"/>
  <c r="L48" i="246" s="1"/>
  <c r="N39" i="246"/>
  <c r="N40" i="246"/>
  <c r="L40" i="246" s="1"/>
  <c r="N41" i="246"/>
  <c r="L41" i="246" s="1"/>
  <c r="N42" i="246"/>
  <c r="L42" i="246" s="1"/>
  <c r="N43" i="246"/>
  <c r="L43" i="246" s="1"/>
  <c r="N69" i="246"/>
  <c r="L69" i="246"/>
  <c r="N55" i="246"/>
  <c r="L55" i="246" s="1"/>
  <c r="B2" i="313"/>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R152" i="231" s="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R166" i="231" s="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R222" i="231" s="1"/>
  <c r="C223" i="231"/>
  <c r="D223" i="231"/>
  <c r="E223" i="231"/>
  <c r="F223" i="231"/>
  <c r="H223" i="231"/>
  <c r="I223" i="231"/>
  <c r="G226" i="231"/>
  <c r="T226" i="231"/>
  <c r="U226" i="231"/>
  <c r="V226" i="231"/>
  <c r="W226" i="231"/>
  <c r="Y226" i="231"/>
  <c r="Z226" i="231"/>
  <c r="G126" i="231"/>
  <c r="T126" i="231"/>
  <c r="U126" i="231"/>
  <c r="R126" i="231" s="1"/>
  <c r="V126" i="231"/>
  <c r="W126" i="231"/>
  <c r="Y126" i="231"/>
  <c r="Z126" i="231"/>
  <c r="G127" i="231"/>
  <c r="T127" i="231"/>
  <c r="R127" i="231" s="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G133" i="231" s="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R113" i="231" s="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R86" i="231" s="1"/>
  <c r="Y86" i="231"/>
  <c r="Z86" i="231"/>
  <c r="G87" i="231"/>
  <c r="T87" i="231"/>
  <c r="U87" i="231"/>
  <c r="V87" i="231"/>
  <c r="W87" i="231"/>
  <c r="Y87" i="231"/>
  <c r="Z87" i="231"/>
  <c r="C88" i="231"/>
  <c r="C93" i="231" s="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R67" i="231" s="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R57" i="231" s="1"/>
  <c r="Y57" i="231"/>
  <c r="Z57" i="231"/>
  <c r="AA57" i="231"/>
  <c r="AB57" i="231"/>
  <c r="G58" i="231"/>
  <c r="T58" i="231"/>
  <c r="R58" i="231" s="1"/>
  <c r="U58" i="231"/>
  <c r="V58" i="231"/>
  <c r="W58" i="231"/>
  <c r="Y58" i="231"/>
  <c r="Z58" i="231"/>
  <c r="AA58" i="231"/>
  <c r="AB58" i="231"/>
  <c r="G59" i="231"/>
  <c r="T59" i="231"/>
  <c r="U59" i="231"/>
  <c r="R59" i="231" s="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G25" i="206" s="1"/>
  <c r="H11" i="206"/>
  <c r="H26" i="206" s="1"/>
  <c r="J72" i="234"/>
  <c r="K72" i="234" s="1"/>
  <c r="K71" i="234"/>
  <c r="K70" i="234"/>
  <c r="J69" i="234"/>
  <c r="AG68" i="234"/>
  <c r="AA68" i="234" s="1"/>
  <c r="K68" i="234"/>
  <c r="AT67" i="234"/>
  <c r="AG67" i="234"/>
  <c r="AA67" i="234" s="1"/>
  <c r="K67" i="234"/>
  <c r="K61" i="234"/>
  <c r="K62" i="234"/>
  <c r="J63" i="234"/>
  <c r="K63" i="234" s="1"/>
  <c r="K64" i="234"/>
  <c r="K65" i="234"/>
  <c r="J66" i="234"/>
  <c r="K66" i="234" s="1"/>
  <c r="R202" i="231"/>
  <c r="I138" i="231"/>
  <c r="F93" i="231"/>
  <c r="R81" i="231"/>
  <c r="S14" i="314"/>
  <c r="C183" i="231"/>
  <c r="S12" i="248"/>
  <c r="R12" i="248"/>
  <c r="Q12" i="248"/>
  <c r="O12" i="248"/>
  <c r="L84" i="234"/>
  <c r="G107" i="234"/>
  <c r="H107" i="234"/>
  <c r="I107" i="234"/>
  <c r="J107" i="234"/>
  <c r="F107" i="234"/>
  <c r="G106" i="234"/>
  <c r="H106" i="234"/>
  <c r="I106" i="234"/>
  <c r="J106" i="234"/>
  <c r="F106" i="234"/>
  <c r="K97" i="234"/>
  <c r="K98" i="234"/>
  <c r="K100" i="234"/>
  <c r="K101" i="234"/>
  <c r="J102" i="234"/>
  <c r="I102" i="234"/>
  <c r="H102" i="234"/>
  <c r="G102" i="234"/>
  <c r="F102" i="234"/>
  <c r="G99" i="234"/>
  <c r="H99" i="234"/>
  <c r="I99" i="234"/>
  <c r="J99" i="234"/>
  <c r="F99" i="234"/>
  <c r="F84" i="234"/>
  <c r="F89" i="234"/>
  <c r="F88" i="234"/>
  <c r="F87" i="234"/>
  <c r="G89" i="234"/>
  <c r="AD89" i="234" s="1"/>
  <c r="H89" i="234"/>
  <c r="I89" i="234"/>
  <c r="J89" i="234"/>
  <c r="AG89" i="234" s="1"/>
  <c r="G88" i="234"/>
  <c r="H88" i="234"/>
  <c r="I88" i="234"/>
  <c r="J88" i="234"/>
  <c r="AQ84" i="234"/>
  <c r="AP84" i="234"/>
  <c r="AO84" i="234"/>
  <c r="P84" i="234"/>
  <c r="O84" i="234"/>
  <c r="N84" i="234"/>
  <c r="M84" i="234"/>
  <c r="J84" i="234"/>
  <c r="I84" i="234"/>
  <c r="H84" i="234"/>
  <c r="G84" i="234"/>
  <c r="AG83" i="234"/>
  <c r="AF83" i="234"/>
  <c r="AE83" i="234"/>
  <c r="AD83" i="234"/>
  <c r="AC83" i="234"/>
  <c r="Q83" i="234"/>
  <c r="K83" i="234"/>
  <c r="AG82" i="234"/>
  <c r="AF82" i="234"/>
  <c r="AE82" i="234"/>
  <c r="AD82" i="234"/>
  <c r="AC82" i="234"/>
  <c r="Q82" i="234"/>
  <c r="K82" i="234"/>
  <c r="K85" i="234"/>
  <c r="Q85" i="234"/>
  <c r="AC85" i="234"/>
  <c r="AD85" i="234"/>
  <c r="AE85" i="234"/>
  <c r="AF85" i="234"/>
  <c r="AG85" i="234"/>
  <c r="Q86" i="234"/>
  <c r="AC86" i="234"/>
  <c r="AD86" i="234"/>
  <c r="AE86" i="234"/>
  <c r="AF86" i="234"/>
  <c r="AG86" i="234"/>
  <c r="G87" i="234"/>
  <c r="H87" i="234"/>
  <c r="I87" i="234"/>
  <c r="J87" i="234"/>
  <c r="L87" i="234"/>
  <c r="M87" i="234"/>
  <c r="N87" i="234"/>
  <c r="O87" i="234"/>
  <c r="P87" i="234"/>
  <c r="AO87" i="234"/>
  <c r="AP87" i="234"/>
  <c r="AQ87" i="234"/>
  <c r="AQ105" i="234"/>
  <c r="AP105" i="234"/>
  <c r="AO105" i="234"/>
  <c r="AA105" i="234" s="1"/>
  <c r="J105" i="234"/>
  <c r="I105" i="234"/>
  <c r="H105" i="234"/>
  <c r="G105" i="234"/>
  <c r="F105" i="234"/>
  <c r="AG104" i="234"/>
  <c r="AF104" i="234"/>
  <c r="AE104" i="234"/>
  <c r="AD104" i="234"/>
  <c r="AC104" i="234"/>
  <c r="K104" i="234"/>
  <c r="AG103" i="234"/>
  <c r="AF103" i="234"/>
  <c r="AE103" i="234"/>
  <c r="AD103" i="234"/>
  <c r="AC103" i="234"/>
  <c r="K103" i="234"/>
  <c r="Q88" i="234"/>
  <c r="Q89" i="234"/>
  <c r="M90" i="234"/>
  <c r="N90" i="234"/>
  <c r="O90" i="234"/>
  <c r="P90" i="234"/>
  <c r="AO90" i="234"/>
  <c r="AP90" i="234"/>
  <c r="AQ90" i="234"/>
  <c r="X56" i="235"/>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Y25" i="235"/>
  <c r="AX25" i="235"/>
  <c r="AW25" i="235"/>
  <c r="AV25" i="235"/>
  <c r="AU25" i="235"/>
  <c r="AT25" i="235"/>
  <c r="AS25" i="235"/>
  <c r="AR25" i="235"/>
  <c r="AP25" i="235"/>
  <c r="AO25" i="235"/>
  <c r="AN25" i="235"/>
  <c r="AM25" i="235"/>
  <c r="AL25" i="235"/>
  <c r="AK25" i="235"/>
  <c r="AJ25" i="235"/>
  <c r="AI25" i="235"/>
  <c r="AG27" i="235"/>
  <c r="R46" i="235"/>
  <c r="O37" i="235"/>
  <c r="Y56" i="235"/>
  <c r="Z56" i="235"/>
  <c r="F27" i="235"/>
  <c r="W28" i="235"/>
  <c r="N31" i="235"/>
  <c r="N28" i="235"/>
  <c r="W26" i="235"/>
  <c r="V27" i="235"/>
  <c r="U27" i="235"/>
  <c r="T27" i="235"/>
  <c r="S27" i="235"/>
  <c r="R27" i="235"/>
  <c r="Q27" i="235"/>
  <c r="P27" i="235"/>
  <c r="O27" i="235"/>
  <c r="M27" i="235"/>
  <c r="L27" i="235"/>
  <c r="K27" i="235"/>
  <c r="J27" i="235"/>
  <c r="I27" i="235"/>
  <c r="H27" i="235"/>
  <c r="G27" i="235"/>
  <c r="W25" i="235"/>
  <c r="N25" i="235"/>
  <c r="D40" i="261"/>
  <c r="P27" i="234"/>
  <c r="O27" i="234"/>
  <c r="N27" i="234"/>
  <c r="M27" i="234"/>
  <c r="L27" i="234"/>
  <c r="Q26" i="234"/>
  <c r="Q25" i="234"/>
  <c r="Q31" i="234"/>
  <c r="Q32" i="234"/>
  <c r="L33" i="234"/>
  <c r="P33" i="234"/>
  <c r="O33" i="234"/>
  <c r="N33" i="234"/>
  <c r="M33" i="234"/>
  <c r="N35" i="246"/>
  <c r="L35" i="246" s="1"/>
  <c r="N44" i="246"/>
  <c r="L44" i="246" s="1"/>
  <c r="N35" i="254"/>
  <c r="L35" i="254" s="1"/>
  <c r="N36" i="254"/>
  <c r="L36" i="254" s="1"/>
  <c r="N33" i="254"/>
  <c r="L33" i="254" s="1"/>
  <c r="N34" i="254"/>
  <c r="L34" i="254"/>
  <c r="N32" i="254"/>
  <c r="L32" i="254" s="1"/>
  <c r="N21" i="254"/>
  <c r="L21" i="254" s="1"/>
  <c r="N29" i="254"/>
  <c r="L29" i="254" s="1"/>
  <c r="F23" i="238"/>
  <c r="G23" i="238"/>
  <c r="F22" i="238"/>
  <c r="G22" i="238"/>
  <c r="S22" i="238" s="1"/>
  <c r="Q22" i="238"/>
  <c r="F21" i="238"/>
  <c r="G21" i="238"/>
  <c r="G11" i="238"/>
  <c r="F11" i="238"/>
  <c r="E11" i="238"/>
  <c r="S10" i="238"/>
  <c r="R10" i="238"/>
  <c r="Q10" i="238"/>
  <c r="H10" i="238"/>
  <c r="S9" i="238"/>
  <c r="R9" i="238"/>
  <c r="O9" i="238" s="1"/>
  <c r="Q9" i="238"/>
  <c r="H9" i="238"/>
  <c r="S8" i="238"/>
  <c r="R8" i="238"/>
  <c r="O8" i="238" s="1"/>
  <c r="Q8" i="238"/>
  <c r="H8" i="238"/>
  <c r="G18" i="238"/>
  <c r="F18" i="238"/>
  <c r="E18" i="238"/>
  <c r="S17" i="238"/>
  <c r="R17" i="238"/>
  <c r="Q17" i="238"/>
  <c r="H17" i="238"/>
  <c r="S16" i="238"/>
  <c r="R16" i="238"/>
  <c r="Q16" i="238"/>
  <c r="H16" i="238"/>
  <c r="S15" i="238"/>
  <c r="R15" i="238"/>
  <c r="Q15" i="238"/>
  <c r="H15" i="238"/>
  <c r="Q21" i="238"/>
  <c r="E24" i="238"/>
  <c r="N23" i="254"/>
  <c r="L23" i="254"/>
  <c r="N24" i="254"/>
  <c r="L24" i="254" s="1"/>
  <c r="N25" i="254"/>
  <c r="L25" i="254" s="1"/>
  <c r="N26" i="254"/>
  <c r="L26" i="254" s="1"/>
  <c r="N27" i="254"/>
  <c r="L27" i="254" s="1"/>
  <c r="N28" i="254"/>
  <c r="L28" i="254" s="1"/>
  <c r="N30" i="254"/>
  <c r="L30" i="254" s="1"/>
  <c r="N31" i="254"/>
  <c r="L31" i="254" s="1"/>
  <c r="N22" i="254"/>
  <c r="L22" i="254" s="1"/>
  <c r="N20" i="254"/>
  <c r="L20" i="254" s="1"/>
  <c r="X19" i="261"/>
  <c r="J90" i="234"/>
  <c r="AG88" i="234"/>
  <c r="AD88" i="234"/>
  <c r="O15" i="238"/>
  <c r="I19" i="231"/>
  <c r="H19" i="231"/>
  <c r="F19" i="231"/>
  <c r="E19" i="231"/>
  <c r="D19" i="231"/>
  <c r="I23" i="237"/>
  <c r="H23" i="237"/>
  <c r="G23" i="237"/>
  <c r="F23" i="237"/>
  <c r="E23" i="237"/>
  <c r="I15" i="237"/>
  <c r="H15" i="237"/>
  <c r="G15" i="237"/>
  <c r="F15" i="237"/>
  <c r="E15" i="237"/>
  <c r="N25" i="242"/>
  <c r="L25" i="242" s="1"/>
  <c r="AZ46" i="305"/>
  <c r="AT46" i="305"/>
  <c r="AZ45" i="305"/>
  <c r="AT45" i="305"/>
  <c r="AX38" i="305"/>
  <c r="AW38" i="305"/>
  <c r="AR38" i="305"/>
  <c r="AQ38" i="305"/>
  <c r="F21" i="220"/>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6" i="221"/>
  <c r="L17" i="221"/>
  <c r="L18" i="221"/>
  <c r="L19" i="221"/>
  <c r="E20" i="22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E20" i="219" s="1"/>
  <c r="J16" i="219"/>
  <c r="J15" i="219"/>
  <c r="J14" i="219"/>
  <c r="J13" i="219"/>
  <c r="E8" i="219"/>
  <c r="G9" i="217"/>
  <c r="G13" i="217"/>
  <c r="F18" i="216"/>
  <c r="E18" i="216"/>
  <c r="F15" i="217" s="1"/>
  <c r="F11" i="216"/>
  <c r="E11" i="216"/>
  <c r="E15" i="217" s="1"/>
  <c r="G8" i="215"/>
  <c r="J8" i="215"/>
  <c r="G9" i="215"/>
  <c r="J9" i="215"/>
  <c r="G10" i="215"/>
  <c r="J10" i="215"/>
  <c r="E11" i="215"/>
  <c r="F11" i="215"/>
  <c r="H11" i="215"/>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33" i="215"/>
  <c r="G34" i="215"/>
  <c r="G35" i="215"/>
  <c r="E36" i="215"/>
  <c r="C11" i="214" s="1"/>
  <c r="C15" i="214" s="1"/>
  <c r="C17" i="214" s="1"/>
  <c r="F36" i="215"/>
  <c r="E16" i="263"/>
  <c r="G16" i="263" s="1"/>
  <c r="L13" i="263"/>
  <c r="K13" i="263"/>
  <c r="I13" i="263"/>
  <c r="H13" i="263"/>
  <c r="F13" i="263"/>
  <c r="F18" i="263" s="1"/>
  <c r="D13" i="263"/>
  <c r="D18" i="263"/>
  <c r="C13" i="263"/>
  <c r="C18" i="263" s="1"/>
  <c r="J12" i="263"/>
  <c r="G12" i="263"/>
  <c r="E12" i="263"/>
  <c r="J11" i="263"/>
  <c r="G11" i="263"/>
  <c r="G13" i="263" s="1"/>
  <c r="E11" i="263"/>
  <c r="J10" i="263"/>
  <c r="J13" i="263" s="1"/>
  <c r="G10" i="263"/>
  <c r="E10" i="263"/>
  <c r="E13" i="263" s="1"/>
  <c r="E10" i="262"/>
  <c r="E12" i="262" s="1"/>
  <c r="G10" i="262"/>
  <c r="G12" i="262" s="1"/>
  <c r="J10" i="262"/>
  <c r="E11" i="262"/>
  <c r="G11" i="262"/>
  <c r="J11" i="262"/>
  <c r="C12" i="262"/>
  <c r="D12" i="262"/>
  <c r="F12" i="262"/>
  <c r="H12" i="262"/>
  <c r="H17" i="262" s="1"/>
  <c r="I12" i="262"/>
  <c r="I17" i="262" s="1"/>
  <c r="J12" i="262"/>
  <c r="K12" i="262"/>
  <c r="L12" i="262"/>
  <c r="E15" i="262"/>
  <c r="G15" i="262" s="1"/>
  <c r="L15" i="262"/>
  <c r="L17" i="262" s="1"/>
  <c r="C17" i="262"/>
  <c r="C22" i="262" s="1"/>
  <c r="F17" i="262"/>
  <c r="K17" i="262"/>
  <c r="E20" i="262"/>
  <c r="G20" i="262" s="1"/>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E50" i="211"/>
  <c r="E46" i="211"/>
  <c r="G41" i="211"/>
  <c r="G38" i="211"/>
  <c r="G33" i="211"/>
  <c r="G32" i="211"/>
  <c r="F28" i="211"/>
  <c r="G27" i="211"/>
  <c r="G26" i="211"/>
  <c r="G25" i="211"/>
  <c r="G24" i="211"/>
  <c r="G21" i="211"/>
  <c r="G20" i="211"/>
  <c r="G19" i="211"/>
  <c r="G18" i="211"/>
  <c r="F15" i="211"/>
  <c r="F30" i="211" s="1"/>
  <c r="F35" i="211" s="1"/>
  <c r="E15" i="211"/>
  <c r="G15" i="211" s="1"/>
  <c r="G14" i="211"/>
  <c r="G13" i="211"/>
  <c r="G12" i="211"/>
  <c r="G11" i="211"/>
  <c r="G10" i="211"/>
  <c r="G9" i="211"/>
  <c r="G8" i="211"/>
  <c r="H43" i="210"/>
  <c r="G43" i="210"/>
  <c r="F43" i="210"/>
  <c r="E43" i="210"/>
  <c r="H42" i="210"/>
  <c r="G42" i="210"/>
  <c r="F42" i="210"/>
  <c r="E42" i="210"/>
  <c r="J42" i="210" s="1"/>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J13" i="210" s="1"/>
  <c r="H12" i="210"/>
  <c r="G12" i="210"/>
  <c r="F12" i="210"/>
  <c r="E12" i="210"/>
  <c r="H11" i="210"/>
  <c r="G11" i="210"/>
  <c r="F11" i="210"/>
  <c r="E11" i="210"/>
  <c r="H10" i="210"/>
  <c r="G10" i="210"/>
  <c r="F10" i="210"/>
  <c r="E10" i="210"/>
  <c r="H9" i="210"/>
  <c r="G9" i="210"/>
  <c r="F9" i="210"/>
  <c r="J9" i="210" s="1"/>
  <c r="E9" i="210"/>
  <c r="H8" i="210"/>
  <c r="G8" i="210"/>
  <c r="J8" i="210" s="1"/>
  <c r="F8" i="210"/>
  <c r="E8" i="210"/>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E10" i="251"/>
  <c r="F38" i="220"/>
  <c r="F37" i="220"/>
  <c r="F36" i="220"/>
  <c r="F30" i="220"/>
  <c r="F29" i="220"/>
  <c r="F28" i="220"/>
  <c r="S42" i="240"/>
  <c r="Y15" i="288"/>
  <c r="X15" i="288"/>
  <c r="V15" i="288"/>
  <c r="N81" i="235"/>
  <c r="B2" i="261"/>
  <c r="B2" i="259"/>
  <c r="B2" i="258"/>
  <c r="B2" i="257"/>
  <c r="B2" i="256"/>
  <c r="B2" i="284"/>
  <c r="B2" i="254"/>
  <c r="B2" i="253"/>
  <c r="B2" i="252"/>
  <c r="B2" i="251"/>
  <c r="B2" i="250"/>
  <c r="B2" i="285"/>
  <c r="B2" i="248"/>
  <c r="B2" i="247"/>
  <c r="B2" i="246"/>
  <c r="B2" i="245"/>
  <c r="B2" i="243"/>
  <c r="B2" i="242"/>
  <c r="B2" i="281"/>
  <c r="B2" i="280"/>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2"/>
  <c r="B2" i="211"/>
  <c r="B2" i="210"/>
  <c r="B2" i="209"/>
  <c r="B2" i="305"/>
  <c r="B2" i="206"/>
  <c r="B2" i="205"/>
  <c r="B2" i="204"/>
  <c r="B2" i="203"/>
  <c r="B2" i="202"/>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62" i="285"/>
  <c r="G62" i="285"/>
  <c r="H62" i="285"/>
  <c r="I62" i="285"/>
  <c r="J62" i="285"/>
  <c r="K62" i="285"/>
  <c r="M62" i="285"/>
  <c r="N62" i="285"/>
  <c r="O62" i="285"/>
  <c r="P62" i="285"/>
  <c r="Q62" i="285"/>
  <c r="R62" i="285"/>
  <c r="T62" i="285"/>
  <c r="U62" i="285"/>
  <c r="V62" i="285"/>
  <c r="W62" i="285"/>
  <c r="X62" i="285"/>
  <c r="Y62" i="285"/>
  <c r="AA62" i="285"/>
  <c r="AD62" i="285"/>
  <c r="AE62" i="285"/>
  <c r="K33" i="257"/>
  <c r="K35" i="257" s="1"/>
  <c r="J33" i="257"/>
  <c r="I33" i="257"/>
  <c r="I35" i="257" s="1"/>
  <c r="H33" i="257"/>
  <c r="G33" i="257"/>
  <c r="X33" i="257" s="1"/>
  <c r="F33" i="257"/>
  <c r="F35" i="257" s="1"/>
  <c r="E33" i="257"/>
  <c r="E35" i="257" s="1"/>
  <c r="BO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46" i="287"/>
  <c r="N46" i="287"/>
  <c r="P45" i="287"/>
  <c r="N45" i="287" s="1"/>
  <c r="P38" i="287"/>
  <c r="N38" i="287"/>
  <c r="R35" i="287"/>
  <c r="N35" i="287" s="1"/>
  <c r="R34" i="287"/>
  <c r="N34" i="287" s="1"/>
  <c r="R31" i="287"/>
  <c r="N31" i="287" s="1"/>
  <c r="R30" i="287"/>
  <c r="N30" i="287" s="1"/>
  <c r="R25" i="287"/>
  <c r="N25" i="287" s="1"/>
  <c r="R24" i="287"/>
  <c r="N24" i="287" s="1"/>
  <c r="R23" i="287"/>
  <c r="N23" i="287"/>
  <c r="R22" i="287"/>
  <c r="N22" i="287" s="1"/>
  <c r="R19" i="287"/>
  <c r="N19" i="287"/>
  <c r="R18" i="287"/>
  <c r="N18" i="287"/>
  <c r="R17" i="287"/>
  <c r="N17" i="287"/>
  <c r="R16" i="287"/>
  <c r="N16" i="287" s="1"/>
  <c r="P10" i="287"/>
  <c r="N10" i="287"/>
  <c r="AG39" i="261"/>
  <c r="AF39" i="261"/>
  <c r="AE39" i="261"/>
  <c r="AC39" i="261"/>
  <c r="AB39" i="261"/>
  <c r="Z39" i="261"/>
  <c r="Y39" i="261"/>
  <c r="X39" i="261"/>
  <c r="AG38" i="261"/>
  <c r="AF38" i="261"/>
  <c r="AE38" i="261"/>
  <c r="AC38" i="261"/>
  <c r="AB38" i="261"/>
  <c r="Z38" i="261"/>
  <c r="Y38" i="261"/>
  <c r="X38" i="261"/>
  <c r="AG37" i="261"/>
  <c r="AF37" i="261"/>
  <c r="AE37" i="261"/>
  <c r="AC37" i="261"/>
  <c r="AB37" i="261"/>
  <c r="Z37" i="261"/>
  <c r="Y37" i="261"/>
  <c r="X37" i="261"/>
  <c r="AG36" i="261"/>
  <c r="AF36" i="261"/>
  <c r="AE36" i="261"/>
  <c r="AC36" i="261"/>
  <c r="AB36" i="261"/>
  <c r="Z36" i="261"/>
  <c r="Y36" i="261"/>
  <c r="X36" i="261"/>
  <c r="AG35" i="261"/>
  <c r="AF35" i="261"/>
  <c r="AE35" i="261"/>
  <c r="AC35" i="261"/>
  <c r="AB35" i="261"/>
  <c r="Z35" i="261"/>
  <c r="Y35" i="261"/>
  <c r="X35" i="261"/>
  <c r="AG34" i="261"/>
  <c r="AF34" i="261"/>
  <c r="AE34" i="261"/>
  <c r="AC34" i="261"/>
  <c r="AB34" i="261"/>
  <c r="Z34" i="261"/>
  <c r="Y34" i="261"/>
  <c r="X34" i="261"/>
  <c r="AG33" i="261"/>
  <c r="AF33" i="261"/>
  <c r="AE33" i="261"/>
  <c r="AC33" i="261"/>
  <c r="AB33" i="261"/>
  <c r="Z33" i="261"/>
  <c r="Y33" i="261"/>
  <c r="X33" i="261"/>
  <c r="AG32" i="261"/>
  <c r="AF32" i="261"/>
  <c r="AE32" i="261"/>
  <c r="AC32" i="261"/>
  <c r="AB32" i="261"/>
  <c r="Z32" i="261"/>
  <c r="Y32" i="261"/>
  <c r="X32" i="261"/>
  <c r="AG31" i="261"/>
  <c r="AF31" i="261"/>
  <c r="AE31" i="261"/>
  <c r="AC31" i="261"/>
  <c r="AB31" i="261"/>
  <c r="Z31" i="261"/>
  <c r="Y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Z15" i="261"/>
  <c r="Z14" i="261"/>
  <c r="Z12" i="261"/>
  <c r="Z11" i="261"/>
  <c r="P21" i="259"/>
  <c r="O21" i="259"/>
  <c r="P20" i="259"/>
  <c r="O20" i="259"/>
  <c r="M20" i="259" s="1"/>
  <c r="P19" i="259"/>
  <c r="O19" i="259"/>
  <c r="P18" i="259"/>
  <c r="O18" i="259"/>
  <c r="M18" i="259" s="1"/>
  <c r="P17" i="259"/>
  <c r="O17" i="259"/>
  <c r="P13" i="259"/>
  <c r="O13" i="259"/>
  <c r="M13" i="259" s="1"/>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T40" i="257" s="1"/>
  <c r="X40" i="257"/>
  <c r="W40" i="257"/>
  <c r="V40" i="257"/>
  <c r="AB34" i="257"/>
  <c r="AA34" i="257"/>
  <c r="Z34" i="257"/>
  <c r="Y34" i="257"/>
  <c r="X34" i="257"/>
  <c r="W34" i="257"/>
  <c r="V34" i="257"/>
  <c r="AB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c r="N26" i="256"/>
  <c r="L26" i="256" s="1"/>
  <c r="N25" i="256"/>
  <c r="L25" i="256" s="1"/>
  <c r="N23" i="256"/>
  <c r="L23" i="256"/>
  <c r="N20" i="256"/>
  <c r="L20" i="256" s="1"/>
  <c r="N19" i="256"/>
  <c r="L19" i="256" s="1"/>
  <c r="N18" i="256"/>
  <c r="L18" i="256" s="1"/>
  <c r="N15" i="256"/>
  <c r="L15" i="256"/>
  <c r="N14" i="256"/>
  <c r="L14" i="256" s="1"/>
  <c r="N12" i="256"/>
  <c r="L12" i="256" s="1"/>
  <c r="N10" i="256"/>
  <c r="L10" i="256" s="1"/>
  <c r="N8" i="256"/>
  <c r="L8" i="256" s="1"/>
  <c r="N16" i="254"/>
  <c r="L16" i="254" s="1"/>
  <c r="N15" i="254"/>
  <c r="L15" i="254" s="1"/>
  <c r="N12" i="254"/>
  <c r="L12" i="254" s="1"/>
  <c r="N11" i="254"/>
  <c r="L11" i="254"/>
  <c r="N10" i="254"/>
  <c r="L10" i="254" s="1"/>
  <c r="N9" i="254"/>
  <c r="L9" i="254"/>
  <c r="AM32" i="253"/>
  <c r="AK32" i="253" s="1"/>
  <c r="AM35" i="253"/>
  <c r="AK35" i="253" s="1"/>
  <c r="AM34" i="253"/>
  <c r="AK34" i="253" s="1"/>
  <c r="AM33" i="253"/>
  <c r="AK33" i="253" s="1"/>
  <c r="AM31" i="253"/>
  <c r="AK31" i="253"/>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c r="N16" i="252"/>
  <c r="L16" i="252" s="1"/>
  <c r="N15" i="252"/>
  <c r="L15" i="252" s="1"/>
  <c r="N14" i="252"/>
  <c r="L14" i="252" s="1"/>
  <c r="N13" i="252"/>
  <c r="L13" i="252" s="1"/>
  <c r="N12" i="252"/>
  <c r="L12" i="252" s="1"/>
  <c r="N11" i="252"/>
  <c r="L11" i="252" s="1"/>
  <c r="N10" i="252"/>
  <c r="L10" i="252"/>
  <c r="N9" i="252"/>
  <c r="L9" i="252" s="1"/>
  <c r="N13" i="250"/>
  <c r="L13" i="250"/>
  <c r="N12" i="250"/>
  <c r="L12" i="250" s="1"/>
  <c r="N11" i="250"/>
  <c r="L11" i="250" s="1"/>
  <c r="N10" i="250"/>
  <c r="L10" i="250" s="1"/>
  <c r="N9" i="250"/>
  <c r="L9" i="250" s="1"/>
  <c r="Q38" i="248"/>
  <c r="O38" i="248" s="1"/>
  <c r="Q37" i="248"/>
  <c r="O37" i="248" s="1"/>
  <c r="S34" i="248"/>
  <c r="O34" i="248" s="1"/>
  <c r="R33" i="248"/>
  <c r="Q33" i="248"/>
  <c r="O33" i="248" s="1"/>
  <c r="S30" i="248"/>
  <c r="R30" i="248"/>
  <c r="Q30" i="248"/>
  <c r="O30" i="248" s="1"/>
  <c r="S25" i="248"/>
  <c r="R25" i="248"/>
  <c r="Q25" i="248"/>
  <c r="S24" i="248"/>
  <c r="R24" i="248"/>
  <c r="Q24" i="248"/>
  <c r="S19" i="248"/>
  <c r="R19" i="248"/>
  <c r="Q19" i="248"/>
  <c r="S18" i="248"/>
  <c r="R18" i="248"/>
  <c r="Q18" i="248"/>
  <c r="S17" i="248"/>
  <c r="R17" i="248"/>
  <c r="Q17" i="248"/>
  <c r="S16" i="248"/>
  <c r="O16" i="248" s="1"/>
  <c r="R16" i="248"/>
  <c r="Q16" i="248"/>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c r="N15" i="246"/>
  <c r="L15" i="246" s="1"/>
  <c r="N14" i="246"/>
  <c r="L14" i="246" s="1"/>
  <c r="N13" i="246"/>
  <c r="L13" i="246" s="1"/>
  <c r="N12" i="246"/>
  <c r="L12" i="246" s="1"/>
  <c r="N11" i="246"/>
  <c r="L11" i="246" s="1"/>
  <c r="N10" i="246"/>
  <c r="L10" i="246" s="1"/>
  <c r="N9" i="246"/>
  <c r="L9" i="246" s="1"/>
  <c r="Q57" i="245"/>
  <c r="M57" i="245" s="1"/>
  <c r="Q56" i="245"/>
  <c r="Q55" i="245"/>
  <c r="M55" i="245" s="1"/>
  <c r="Q54" i="245"/>
  <c r="Q53" i="245"/>
  <c r="M53" i="245" s="1"/>
  <c r="Q52" i="245"/>
  <c r="M52" i="245" s="1"/>
  <c r="Q51" i="245"/>
  <c r="Q50" i="245"/>
  <c r="M50" i="245" s="1"/>
  <c r="Q46" i="245"/>
  <c r="M46" i="245" s="1"/>
  <c r="P43" i="245"/>
  <c r="O43" i="245"/>
  <c r="P42" i="245"/>
  <c r="O42" i="245"/>
  <c r="M42" i="245" s="1"/>
  <c r="P41" i="245"/>
  <c r="O41" i="245"/>
  <c r="P40" i="245"/>
  <c r="O40" i="245"/>
  <c r="P39" i="245"/>
  <c r="O39" i="245"/>
  <c r="P38" i="245"/>
  <c r="O38" i="245"/>
  <c r="M38" i="245" s="1"/>
  <c r="P37" i="245"/>
  <c r="O37" i="245"/>
  <c r="P36" i="245"/>
  <c r="O36" i="245"/>
  <c r="R31" i="245"/>
  <c r="Q31" i="245"/>
  <c r="P31" i="245"/>
  <c r="O31" i="245"/>
  <c r="R30" i="245"/>
  <c r="Q30" i="245"/>
  <c r="P30" i="245"/>
  <c r="O30" i="245"/>
  <c r="R29" i="245"/>
  <c r="Q29" i="245"/>
  <c r="P29" i="245"/>
  <c r="O29" i="245"/>
  <c r="R28" i="245"/>
  <c r="Q28" i="245"/>
  <c r="P28" i="245"/>
  <c r="O28" i="245"/>
  <c r="R27" i="245"/>
  <c r="Q27" i="245"/>
  <c r="M27" i="245" s="1"/>
  <c r="P27" i="245"/>
  <c r="O27" i="245"/>
  <c r="R26" i="245"/>
  <c r="Q26" i="245"/>
  <c r="P26" i="245"/>
  <c r="O26" i="245"/>
  <c r="R25" i="245"/>
  <c r="Q25" i="245"/>
  <c r="P25" i="245"/>
  <c r="O25" i="245"/>
  <c r="Q19" i="245"/>
  <c r="M19" i="245" s="1"/>
  <c r="Q18" i="245"/>
  <c r="M18" i="245" s="1"/>
  <c r="Q17" i="245"/>
  <c r="M17" i="245"/>
  <c r="Q16" i="245"/>
  <c r="M16" i="245" s="1"/>
  <c r="Q15" i="245"/>
  <c r="M15" i="245" s="1"/>
  <c r="Q14" i="245"/>
  <c r="M14" i="245" s="1"/>
  <c r="Q13" i="245"/>
  <c r="M13" i="245"/>
  <c r="Q12" i="245"/>
  <c r="M12" i="245" s="1"/>
  <c r="Q11" i="245"/>
  <c r="M11" i="245"/>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c r="N10" i="242"/>
  <c r="L10" i="242"/>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A56" i="240" s="1"/>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A22" i="240" s="1"/>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N18" i="239" s="1"/>
  <c r="Q16" i="239"/>
  <c r="P16" i="239"/>
  <c r="Q15" i="239"/>
  <c r="P15" i="239"/>
  <c r="P12" i="239"/>
  <c r="N12" i="239" s="1"/>
  <c r="Q9" i="239"/>
  <c r="P9" i="239"/>
  <c r="N9" i="239" s="1"/>
  <c r="Q8" i="239"/>
  <c r="W22" i="237"/>
  <c r="V22" i="237"/>
  <c r="U22" i="237"/>
  <c r="T22" i="237"/>
  <c r="Q22" i="237" s="1"/>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s="1"/>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BC82" i="235"/>
  <c r="BB82" i="235"/>
  <c r="BA82" i="235"/>
  <c r="BC79" i="235"/>
  <c r="BB79" i="235"/>
  <c r="BA79" i="235"/>
  <c r="BC76" i="235"/>
  <c r="BB76" i="235"/>
  <c r="BA76" i="235"/>
  <c r="BC73" i="235"/>
  <c r="BB73" i="235"/>
  <c r="BA73" i="235"/>
  <c r="BC70" i="235"/>
  <c r="AG70" i="235" s="1"/>
  <c r="BB70" i="235"/>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BC46" i="235"/>
  <c r="BB46" i="235"/>
  <c r="BA46" i="235"/>
  <c r="BC43" i="235"/>
  <c r="BB43" i="235"/>
  <c r="BA43" i="235"/>
  <c r="BC40" i="235"/>
  <c r="BB40" i="235"/>
  <c r="BA40" i="235"/>
  <c r="BC37" i="235"/>
  <c r="AG37" i="235" s="1"/>
  <c r="BB37" i="235"/>
  <c r="BA37" i="235"/>
  <c r="BC34" i="235"/>
  <c r="BB34" i="235"/>
  <c r="BA34" i="235"/>
  <c r="BC24" i="235"/>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P96" i="234"/>
  <c r="AO96" i="234"/>
  <c r="AQ93" i="234"/>
  <c r="AP93" i="234"/>
  <c r="AO93" i="234"/>
  <c r="AQ108" i="234"/>
  <c r="AP108" i="234"/>
  <c r="AO108" i="234"/>
  <c r="AQ81" i="234"/>
  <c r="AP81" i="234"/>
  <c r="AO81" i="234"/>
  <c r="AG124" i="234"/>
  <c r="AF124" i="234"/>
  <c r="AE124" i="234"/>
  <c r="AD124" i="234"/>
  <c r="AC124" i="234"/>
  <c r="AG123" i="234"/>
  <c r="AF123" i="234"/>
  <c r="AE123" i="234"/>
  <c r="AD123" i="234"/>
  <c r="AC123" i="234"/>
  <c r="AG122" i="234"/>
  <c r="AF122" i="234"/>
  <c r="AE122" i="234"/>
  <c r="AD122" i="234"/>
  <c r="AC122" i="234"/>
  <c r="AG121" i="234"/>
  <c r="AF121" i="234"/>
  <c r="AE121" i="234"/>
  <c r="AD121" i="234"/>
  <c r="AC121" i="234"/>
  <c r="AG120" i="234"/>
  <c r="AF120" i="234"/>
  <c r="AE120" i="234"/>
  <c r="AD120" i="234"/>
  <c r="AC120" i="234"/>
  <c r="AG119" i="234"/>
  <c r="AF119" i="234"/>
  <c r="AE119" i="234"/>
  <c r="AD119" i="234"/>
  <c r="AC119" i="234"/>
  <c r="AG118" i="234"/>
  <c r="AF118" i="234"/>
  <c r="AE118" i="234"/>
  <c r="AD118" i="234"/>
  <c r="AC118" i="234"/>
  <c r="AG117" i="234"/>
  <c r="AF117" i="234"/>
  <c r="AE117" i="234"/>
  <c r="AD117" i="234"/>
  <c r="AC117" i="234"/>
  <c r="AA117" i="234" s="1"/>
  <c r="AG116" i="234"/>
  <c r="AF116" i="234"/>
  <c r="AE116" i="234"/>
  <c r="AD116" i="234"/>
  <c r="AC116" i="234"/>
  <c r="AG115" i="234"/>
  <c r="AF115" i="234"/>
  <c r="AE115" i="234"/>
  <c r="AD115" i="234"/>
  <c r="AC115" i="234"/>
  <c r="AG113" i="234"/>
  <c r="AF113" i="234"/>
  <c r="AE113" i="234"/>
  <c r="AD113" i="234"/>
  <c r="AC113" i="234"/>
  <c r="AG112" i="234"/>
  <c r="AF112" i="234"/>
  <c r="AE112" i="234"/>
  <c r="AD112" i="234"/>
  <c r="AC112" i="234"/>
  <c r="AG110" i="234"/>
  <c r="AF110" i="234"/>
  <c r="AE110" i="234"/>
  <c r="AD110" i="234"/>
  <c r="AC110" i="234"/>
  <c r="AG109" i="234"/>
  <c r="AF109" i="234"/>
  <c r="AE109" i="234"/>
  <c r="AD109" i="234"/>
  <c r="AC109" i="234"/>
  <c r="AG95" i="234"/>
  <c r="AF95" i="234"/>
  <c r="AE95" i="234"/>
  <c r="AD95" i="234"/>
  <c r="AC95" i="234"/>
  <c r="AG94" i="234"/>
  <c r="AF94" i="234"/>
  <c r="AE94" i="234"/>
  <c r="AD94" i="234"/>
  <c r="AC94" i="234"/>
  <c r="AG92" i="234"/>
  <c r="AF92" i="234"/>
  <c r="AE92" i="234"/>
  <c r="AD92" i="234"/>
  <c r="AC92" i="234"/>
  <c r="AG91" i="234"/>
  <c r="AF91" i="234"/>
  <c r="AE91" i="234"/>
  <c r="AD91" i="234"/>
  <c r="AC91" i="234"/>
  <c r="AG107" i="234"/>
  <c r="AF107" i="234"/>
  <c r="AE107" i="234"/>
  <c r="AD107" i="234"/>
  <c r="AG106" i="234"/>
  <c r="AE106" i="234"/>
  <c r="AC106" i="234"/>
  <c r="AG80" i="234"/>
  <c r="AF80" i="234"/>
  <c r="AE80" i="234"/>
  <c r="AD80" i="234"/>
  <c r="AC80" i="234"/>
  <c r="AG79" i="234"/>
  <c r="AF79" i="234"/>
  <c r="AE79" i="234"/>
  <c r="AD79" i="234"/>
  <c r="AC79" i="234"/>
  <c r="AO76" i="234"/>
  <c r="AP76" i="234"/>
  <c r="AQ76" i="234"/>
  <c r="AG74" i="234"/>
  <c r="AA74" i="234" s="1"/>
  <c r="AG73" i="234"/>
  <c r="AA73" i="234" s="1"/>
  <c r="AG59" i="234"/>
  <c r="AA59" i="234" s="1"/>
  <c r="AG58" i="234"/>
  <c r="AA58" i="234" s="1"/>
  <c r="AG56" i="234"/>
  <c r="AA56" i="234" s="1"/>
  <c r="AG55" i="234"/>
  <c r="AA55" i="234" s="1"/>
  <c r="AG53" i="234"/>
  <c r="AA53" i="234" s="1"/>
  <c r="AG52" i="234"/>
  <c r="AA52" i="234" s="1"/>
  <c r="AQ48" i="234"/>
  <c r="AP48" i="234"/>
  <c r="AO48" i="234"/>
  <c r="AQ45" i="234"/>
  <c r="AP45" i="234"/>
  <c r="AO45" i="234"/>
  <c r="AQ42" i="234"/>
  <c r="AA42" i="234" s="1"/>
  <c r="AP42" i="234"/>
  <c r="AO42" i="234"/>
  <c r="AQ39" i="234"/>
  <c r="AP39" i="234"/>
  <c r="AO39" i="234"/>
  <c r="AQ36" i="234"/>
  <c r="AP36" i="234"/>
  <c r="AO36" i="234"/>
  <c r="AA36" i="234" s="1"/>
  <c r="AQ33" i="234"/>
  <c r="AP33" i="234"/>
  <c r="AO33" i="234"/>
  <c r="AG47" i="234"/>
  <c r="AF47" i="234"/>
  <c r="AE47" i="234"/>
  <c r="AD47" i="234"/>
  <c r="AC47" i="234"/>
  <c r="AG46" i="234"/>
  <c r="AF46" i="234"/>
  <c r="AE46" i="234"/>
  <c r="AD46" i="234"/>
  <c r="AC46" i="234"/>
  <c r="AA46" i="234" s="1"/>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A21" i="234" s="1"/>
  <c r="AP21" i="234"/>
  <c r="AO21" i="234"/>
  <c r="AQ18" i="234"/>
  <c r="AP18" i="234"/>
  <c r="AO18" i="234"/>
  <c r="AA18" i="234" s="1"/>
  <c r="AQ15" i="234"/>
  <c r="AP15" i="234"/>
  <c r="AO15" i="234"/>
  <c r="AA15" i="234" s="1"/>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R18" i="231" s="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W28" i="228" s="1"/>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W18" i="228" s="1"/>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Q22" i="226" s="1"/>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L65" i="223" s="1"/>
  <c r="O64" i="223"/>
  <c r="L64" i="223" s="1"/>
  <c r="N64" i="223"/>
  <c r="O63" i="223"/>
  <c r="N63" i="223"/>
  <c r="O62" i="223"/>
  <c r="N62" i="223"/>
  <c r="L62" i="223" s="1"/>
  <c r="O61" i="223"/>
  <c r="N61" i="223"/>
  <c r="O60" i="223"/>
  <c r="N60" i="223"/>
  <c r="O59" i="223"/>
  <c r="N59" i="223"/>
  <c r="L59" i="223" s="1"/>
  <c r="O58" i="223"/>
  <c r="N58" i="223"/>
  <c r="O57" i="223"/>
  <c r="L57" i="223" s="1"/>
  <c r="N57" i="223"/>
  <c r="O56" i="223"/>
  <c r="N56" i="223"/>
  <c r="O55" i="223"/>
  <c r="N55" i="223"/>
  <c r="O54" i="223"/>
  <c r="N54" i="223"/>
  <c r="O53" i="223"/>
  <c r="N53" i="223"/>
  <c r="O52" i="223"/>
  <c r="N52" i="223"/>
  <c r="O51" i="223"/>
  <c r="N51" i="223"/>
  <c r="O50" i="223"/>
  <c r="N50" i="223"/>
  <c r="O49" i="223"/>
  <c r="N49" i="223"/>
  <c r="O48" i="223"/>
  <c r="N48" i="223"/>
  <c r="O47" i="223"/>
  <c r="N47" i="223"/>
  <c r="L47" i="223" s="1"/>
  <c r="O46" i="223"/>
  <c r="N46" i="223"/>
  <c r="O45" i="223"/>
  <c r="N45" i="223"/>
  <c r="O44" i="223"/>
  <c r="N44" i="223"/>
  <c r="L44" i="223" s="1"/>
  <c r="O43" i="223"/>
  <c r="N43" i="223"/>
  <c r="O42" i="223"/>
  <c r="N42" i="223"/>
  <c r="P34" i="223"/>
  <c r="O34" i="223"/>
  <c r="N34" i="223"/>
  <c r="P33" i="223"/>
  <c r="O33" i="223"/>
  <c r="N33" i="223"/>
  <c r="P32" i="223"/>
  <c r="O32" i="223"/>
  <c r="N32" i="223"/>
  <c r="P31" i="223"/>
  <c r="O31" i="223"/>
  <c r="N31" i="223"/>
  <c r="P30" i="223"/>
  <c r="O30" i="223"/>
  <c r="N30" i="223"/>
  <c r="L30" i="223" s="1"/>
  <c r="P29" i="223"/>
  <c r="O29" i="223"/>
  <c r="N29" i="223"/>
  <c r="P28" i="223"/>
  <c r="O28" i="223"/>
  <c r="N28" i="223"/>
  <c r="P27" i="223"/>
  <c r="O27" i="223"/>
  <c r="N27" i="223"/>
  <c r="P26" i="223"/>
  <c r="O26" i="223"/>
  <c r="N26" i="223"/>
  <c r="P25" i="223"/>
  <c r="O25" i="223"/>
  <c r="N25" i="223"/>
  <c r="P24" i="223"/>
  <c r="O24" i="223"/>
  <c r="N24" i="223"/>
  <c r="P23" i="223"/>
  <c r="L23" i="223" s="1"/>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c r="O25" i="220"/>
  <c r="M25" i="220" s="1"/>
  <c r="P17" i="220"/>
  <c r="M17" i="220" s="1"/>
  <c r="P16" i="220"/>
  <c r="M16" i="220"/>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c r="Q9" i="217"/>
  <c r="P17" i="216"/>
  <c r="O17" i="216"/>
  <c r="P16" i="216"/>
  <c r="O16" i="216"/>
  <c r="P15" i="216"/>
  <c r="M15" i="216" s="1"/>
  <c r="O15" i="216"/>
  <c r="P14" i="216"/>
  <c r="M14" i="216" s="1"/>
  <c r="O14" i="216"/>
  <c r="P10" i="216"/>
  <c r="O10" i="216"/>
  <c r="P9" i="216"/>
  <c r="O9" i="216"/>
  <c r="M9" i="216" s="1"/>
  <c r="P8" i="216"/>
  <c r="U44" i="215"/>
  <c r="Q44" i="215" s="1"/>
  <c r="U41" i="215"/>
  <c r="Q41" i="215" s="1"/>
  <c r="U40" i="215"/>
  <c r="Q40" i="215" s="1"/>
  <c r="U39" i="215"/>
  <c r="Q39" i="215" s="1"/>
  <c r="T35" i="215"/>
  <c r="S35" i="215"/>
  <c r="Q35" i="215" s="1"/>
  <c r="T34" i="215"/>
  <c r="S34" i="215"/>
  <c r="T33" i="215"/>
  <c r="S33" i="215"/>
  <c r="T27" i="215"/>
  <c r="S27" i="215"/>
  <c r="T26" i="215"/>
  <c r="S26" i="215"/>
  <c r="Q26" i="215" s="1"/>
  <c r="W22" i="215"/>
  <c r="V22" i="215"/>
  <c r="Q22" i="215" s="1"/>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Q9" i="215" s="1"/>
  <c r="T8" i="215"/>
  <c r="X25" i="263"/>
  <c r="S25" i="263" s="1"/>
  <c r="X16" i="263"/>
  <c r="V16" i="263"/>
  <c r="S16" i="263" s="1"/>
  <c r="U16" i="263"/>
  <c r="AD12" i="263"/>
  <c r="AC12" i="263"/>
  <c r="AD11" i="263"/>
  <c r="AC11" i="263"/>
  <c r="AD10" i="263"/>
  <c r="AC10" i="263"/>
  <c r="AA12" i="263"/>
  <c r="Z12" i="263"/>
  <c r="AA11" i="263"/>
  <c r="Z11" i="263"/>
  <c r="AA10" i="263"/>
  <c r="Z10" i="263"/>
  <c r="X12" i="263"/>
  <c r="X11" i="263"/>
  <c r="X10" i="263"/>
  <c r="V12" i="263"/>
  <c r="U12" i="263"/>
  <c r="V11" i="263"/>
  <c r="S11" i="263" s="1"/>
  <c r="U11" i="263"/>
  <c r="V10" i="263"/>
  <c r="U29" i="262"/>
  <c r="S29" i="262" s="1"/>
  <c r="X20" i="262"/>
  <c r="V20" i="262"/>
  <c r="S20" i="262" s="1"/>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c r="O20" i="214"/>
  <c r="L20" i="214" s="1"/>
  <c r="N16" i="214"/>
  <c r="L16" i="214" s="1"/>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S18" i="212" s="1"/>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Q38" i="211"/>
  <c r="P38" i="211"/>
  <c r="Q33" i="211"/>
  <c r="N33" i="211" s="1"/>
  <c r="P33" i="211"/>
  <c r="Q32" i="211"/>
  <c r="P32" i="211"/>
  <c r="Q27" i="211"/>
  <c r="P27" i="211"/>
  <c r="N27" i="211" s="1"/>
  <c r="Q26" i="211"/>
  <c r="P26" i="211"/>
  <c r="Q25" i="211"/>
  <c r="P25" i="211"/>
  <c r="N25" i="211" s="1"/>
  <c r="Q24" i="211"/>
  <c r="P24" i="211"/>
  <c r="N24" i="211" s="1"/>
  <c r="Q21" i="211"/>
  <c r="P21" i="211"/>
  <c r="Q20" i="211"/>
  <c r="P20" i="211"/>
  <c r="Q19" i="211"/>
  <c r="P19" i="211"/>
  <c r="N19" i="211" s="1"/>
  <c r="Q18" i="211"/>
  <c r="N18" i="211" s="1"/>
  <c r="P18" i="211"/>
  <c r="Q14" i="211"/>
  <c r="P14" i="211"/>
  <c r="N14" i="211" s="1"/>
  <c r="Q13" i="211"/>
  <c r="P13" i="211"/>
  <c r="N13" i="211" s="1"/>
  <c r="Q12" i="211"/>
  <c r="N12" i="211" s="1"/>
  <c r="Q11" i="211"/>
  <c r="P11" i="211"/>
  <c r="Q10" i="211"/>
  <c r="P10" i="211"/>
  <c r="N10" i="211" s="1"/>
  <c r="Q9" i="211"/>
  <c r="P9" i="211"/>
  <c r="Q8" i="211"/>
  <c r="W43" i="210"/>
  <c r="Q43" i="210" s="1"/>
  <c r="W42" i="210"/>
  <c r="Q42" i="210" s="1"/>
  <c r="W37" i="210"/>
  <c r="Q37" i="210" s="1"/>
  <c r="W33" i="210"/>
  <c r="Q33" i="210" s="1"/>
  <c r="W31" i="210"/>
  <c r="Q31" i="210" s="1"/>
  <c r="W30" i="210"/>
  <c r="Q30" i="210" s="1"/>
  <c r="W29" i="210"/>
  <c r="Q29" i="210"/>
  <c r="W26" i="210"/>
  <c r="Q26" i="210" s="1"/>
  <c r="W22" i="210"/>
  <c r="Q22" i="210" s="1"/>
  <c r="W20" i="210"/>
  <c r="Q20" i="210" s="1"/>
  <c r="W19" i="210"/>
  <c r="Q19" i="210" s="1"/>
  <c r="W15" i="210"/>
  <c r="Q15" i="210" s="1"/>
  <c r="W14" i="210"/>
  <c r="Q14" i="210" s="1"/>
  <c r="W13" i="210"/>
  <c r="Q13" i="210" s="1"/>
  <c r="W12" i="210"/>
  <c r="Q12" i="210"/>
  <c r="W11" i="210"/>
  <c r="Q11" i="210" s="1"/>
  <c r="W10" i="210"/>
  <c r="Q10" i="210" s="1"/>
  <c r="W9" i="210"/>
  <c r="Q9" i="210" s="1"/>
  <c r="AB22" i="209"/>
  <c r="S22" i="209" s="1"/>
  <c r="AA17" i="209"/>
  <c r="Z17" i="209"/>
  <c r="Y17" i="209"/>
  <c r="X17" i="209"/>
  <c r="W17" i="209"/>
  <c r="V17" i="209"/>
  <c r="U17" i="209"/>
  <c r="AA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c r="U34" i="205"/>
  <c r="T34" i="205"/>
  <c r="Q34" i="205" s="1"/>
  <c r="S34" i="205"/>
  <c r="U33" i="205"/>
  <c r="T33" i="205"/>
  <c r="S33" i="205"/>
  <c r="U32" i="205"/>
  <c r="T32" i="205"/>
  <c r="S32" i="205"/>
  <c r="U26" i="205"/>
  <c r="T26" i="205"/>
  <c r="S26" i="205"/>
  <c r="Q26" i="205" s="1"/>
  <c r="U25" i="205"/>
  <c r="T25" i="205"/>
  <c r="S25" i="205"/>
  <c r="U24" i="205"/>
  <c r="T24" i="205"/>
  <c r="S24" i="205"/>
  <c r="Q24" i="205" s="1"/>
  <c r="U23" i="205"/>
  <c r="T23" i="205"/>
  <c r="S23" i="205"/>
  <c r="U19" i="205"/>
  <c r="T19" i="205"/>
  <c r="S19" i="205"/>
  <c r="U18" i="205"/>
  <c r="T18" i="205"/>
  <c r="S18" i="205"/>
  <c r="U16" i="205"/>
  <c r="T16" i="205"/>
  <c r="S16" i="205"/>
  <c r="U15" i="205"/>
  <c r="T15" i="205"/>
  <c r="S15" i="205"/>
  <c r="U14" i="205"/>
  <c r="T14" i="205"/>
  <c r="S14" i="205"/>
  <c r="Q14" i="205" s="1"/>
  <c r="U13" i="205"/>
  <c r="T13" i="205"/>
  <c r="S13" i="205"/>
  <c r="U12" i="205"/>
  <c r="T12" i="205"/>
  <c r="S12" i="205"/>
  <c r="U11" i="205"/>
  <c r="T11" i="205"/>
  <c r="U51" i="204"/>
  <c r="T51" i="204"/>
  <c r="S51" i="204"/>
  <c r="U50" i="204"/>
  <c r="Q50" i="204" s="1"/>
  <c r="T50" i="204"/>
  <c r="S50" i="204"/>
  <c r="U44" i="204"/>
  <c r="T44" i="204"/>
  <c r="S44" i="204"/>
  <c r="U43" i="204"/>
  <c r="Q43" i="204" s="1"/>
  <c r="T43" i="204"/>
  <c r="S43" i="204"/>
  <c r="U42" i="204"/>
  <c r="T42" i="204"/>
  <c r="S42" i="204"/>
  <c r="U41" i="204"/>
  <c r="T41" i="204"/>
  <c r="S41" i="204"/>
  <c r="U40" i="204"/>
  <c r="T40" i="204"/>
  <c r="S40" i="204"/>
  <c r="U39" i="204"/>
  <c r="Q39" i="204" s="1"/>
  <c r="T39" i="204"/>
  <c r="S39" i="204"/>
  <c r="U38" i="204"/>
  <c r="T38" i="204"/>
  <c r="S38" i="204"/>
  <c r="U37" i="204"/>
  <c r="T37" i="204"/>
  <c r="S37" i="204"/>
  <c r="Q37" i="204" s="1"/>
  <c r="U36" i="204"/>
  <c r="T36" i="204"/>
  <c r="S36" i="204"/>
  <c r="U30" i="204"/>
  <c r="Q30" i="204" s="1"/>
  <c r="T30" i="204"/>
  <c r="S30" i="204"/>
  <c r="U29" i="204"/>
  <c r="T29" i="204"/>
  <c r="Q29" i="204" s="1"/>
  <c r="S29" i="204"/>
  <c r="U28" i="204"/>
  <c r="T28" i="204"/>
  <c r="S28" i="204"/>
  <c r="U27" i="204"/>
  <c r="T27" i="204"/>
  <c r="S27" i="204"/>
  <c r="U26" i="204"/>
  <c r="T26" i="204"/>
  <c r="S26" i="204"/>
  <c r="U25" i="204"/>
  <c r="T25" i="204"/>
  <c r="S25" i="204"/>
  <c r="U21" i="204"/>
  <c r="T21" i="204"/>
  <c r="S21" i="204"/>
  <c r="U20" i="204"/>
  <c r="T20" i="204"/>
  <c r="S20" i="204"/>
  <c r="Q20" i="204" s="1"/>
  <c r="U19" i="204"/>
  <c r="Q19" i="204" s="1"/>
  <c r="T19" i="204"/>
  <c r="S19" i="204"/>
  <c r="U18" i="204"/>
  <c r="T18" i="204"/>
  <c r="S18" i="204"/>
  <c r="U14" i="204"/>
  <c r="T14" i="204"/>
  <c r="S14" i="204"/>
  <c r="U13" i="204"/>
  <c r="T13" i="204"/>
  <c r="S13" i="204"/>
  <c r="U12" i="204"/>
  <c r="T12" i="204"/>
  <c r="S12" i="204"/>
  <c r="U11" i="204"/>
  <c r="T11" i="204"/>
  <c r="Q11" i="204" s="1"/>
  <c r="S11" i="204"/>
  <c r="U10" i="204"/>
  <c r="T10" i="204"/>
  <c r="S10" i="204"/>
  <c r="Q10" i="204" s="1"/>
  <c r="U9" i="204"/>
  <c r="T9" i="204"/>
  <c r="U10" i="203"/>
  <c r="T10" i="203"/>
  <c r="S10" i="203"/>
  <c r="U9" i="203"/>
  <c r="T9" i="203"/>
  <c r="U32" i="202"/>
  <c r="Q32" i="202" s="1"/>
  <c r="U31" i="202"/>
  <c r="Q31" i="202"/>
  <c r="U30" i="202"/>
  <c r="Q30" i="202" s="1"/>
  <c r="U26" i="202"/>
  <c r="Q26" i="202" s="1"/>
  <c r="T26" i="202"/>
  <c r="S26" i="202"/>
  <c r="U25" i="202"/>
  <c r="T25" i="202"/>
  <c r="S25" i="202"/>
  <c r="U22" i="202"/>
  <c r="T22" i="202"/>
  <c r="S22" i="202"/>
  <c r="Q22" i="202" s="1"/>
  <c r="U20" i="202"/>
  <c r="T20" i="202"/>
  <c r="Q20" i="202" s="1"/>
  <c r="S20" i="202"/>
  <c r="U17" i="202"/>
  <c r="T17" i="202"/>
  <c r="S17" i="202"/>
  <c r="U15" i="202"/>
  <c r="T15" i="202"/>
  <c r="Q15" i="202" s="1"/>
  <c r="S15" i="202"/>
  <c r="U14" i="202"/>
  <c r="T14" i="202"/>
  <c r="S14" i="202"/>
  <c r="U13" i="202"/>
  <c r="T13" i="202"/>
  <c r="S13" i="202"/>
  <c r="U12" i="202"/>
  <c r="Q12" i="202" s="1"/>
  <c r="T12" i="202"/>
  <c r="S12" i="202"/>
  <c r="U10" i="202"/>
  <c r="T10" i="202"/>
  <c r="S10" i="202"/>
  <c r="U9" i="202"/>
  <c r="T9" i="202"/>
  <c r="S9" i="202"/>
  <c r="U8" i="202"/>
  <c r="T8" i="202"/>
  <c r="O18" i="248"/>
  <c r="M56" i="245"/>
  <c r="M51" i="245"/>
  <c r="M54" i="245"/>
  <c r="N19" i="239"/>
  <c r="Q14" i="202"/>
  <c r="N32" i="211"/>
  <c r="O10" i="248"/>
  <c r="O11" i="248"/>
  <c r="M37" i="245"/>
  <c r="M41" i="245"/>
  <c r="AA39" i="240"/>
  <c r="AA23" i="240"/>
  <c r="N13" i="236"/>
  <c r="AG12" i="235"/>
  <c r="AG43" i="235"/>
  <c r="AG76" i="235"/>
  <c r="M10" i="216"/>
  <c r="M17" i="216"/>
  <c r="N9" i="211"/>
  <c r="Q12" i="204"/>
  <c r="Q13" i="204"/>
  <c r="Q18" i="204"/>
  <c r="Q27" i="204"/>
  <c r="Q18" i="205"/>
  <c r="R16" i="231"/>
  <c r="R36" i="231"/>
  <c r="R40" i="231"/>
  <c r="Q21" i="204"/>
  <c r="S12" i="263"/>
  <c r="Q10" i="215"/>
  <c r="Q19" i="215"/>
  <c r="Q18" i="215"/>
  <c r="Q27" i="215"/>
  <c r="Q34" i="215"/>
  <c r="L11" i="223"/>
  <c r="L27" i="223"/>
  <c r="L46" i="223"/>
  <c r="L48" i="223"/>
  <c r="L52" i="223"/>
  <c r="L56" i="223"/>
  <c r="L60" i="223"/>
  <c r="L66" i="223"/>
  <c r="Q14" i="237"/>
  <c r="Q21" i="237"/>
  <c r="T12" i="233"/>
  <c r="T24" i="233"/>
  <c r="AA19" i="234"/>
  <c r="AA116" i="234"/>
  <c r="AA108" i="234"/>
  <c r="AA111" i="234"/>
  <c r="AG21" i="235"/>
  <c r="AG40" i="235"/>
  <c r="AG52" i="235"/>
  <c r="AG55" i="235"/>
  <c r="AG85" i="235"/>
  <c r="AA26" i="240"/>
  <c r="AA43" i="240"/>
  <c r="S15" i="243"/>
  <c r="M26" i="245"/>
  <c r="M28" i="245"/>
  <c r="M30" i="245"/>
  <c r="O9" i="248"/>
  <c r="O15" i="248"/>
  <c r="O19" i="248"/>
  <c r="T14" i="257"/>
  <c r="S13" i="258"/>
  <c r="M16" i="216"/>
  <c r="M10" i="259"/>
  <c r="M17" i="259"/>
  <c r="M19" i="259"/>
  <c r="M21" i="259"/>
  <c r="V16" i="288"/>
  <c r="Y33" i="257"/>
  <c r="V33" i="257"/>
  <c r="T26" i="257"/>
  <c r="T32" i="257"/>
  <c r="T42" i="257"/>
  <c r="S12" i="258"/>
  <c r="T33" i="227"/>
  <c r="T43" i="227"/>
  <c r="T14" i="233"/>
  <c r="L16" i="223"/>
  <c r="L20" i="223"/>
  <c r="L24" i="223"/>
  <c r="L28" i="223"/>
  <c r="L32" i="223"/>
  <c r="T39" i="233"/>
  <c r="AA41" i="234"/>
  <c r="AA33" i="234"/>
  <c r="AA94" i="234"/>
  <c r="AA115" i="234"/>
  <c r="AA118" i="234"/>
  <c r="AA119" i="234"/>
  <c r="AA122" i="234"/>
  <c r="AA123" i="234"/>
  <c r="AG13" i="235"/>
  <c r="AG22" i="235"/>
  <c r="AG41" i="235"/>
  <c r="AG50" i="235"/>
  <c r="N10" i="236"/>
  <c r="N12" i="236"/>
  <c r="N16" i="239"/>
  <c r="AA38" i="240"/>
  <c r="AA55" i="240"/>
  <c r="S14" i="243"/>
  <c r="AL18" i="285"/>
  <c r="AL22" i="285"/>
  <c r="AL26" i="285"/>
  <c r="AL30" i="285"/>
  <c r="AL34" i="285"/>
  <c r="AL38" i="285"/>
  <c r="AL42" i="285"/>
  <c r="AL46" i="285"/>
  <c r="AL50" i="285"/>
  <c r="AL54" i="285"/>
  <c r="AL58" i="285"/>
  <c r="W23" i="228"/>
  <c r="W31" i="228"/>
  <c r="AA20" i="234"/>
  <c r="AA27" i="234"/>
  <c r="AA32" i="234"/>
  <c r="AA48" i="234"/>
  <c r="AA112" i="234"/>
  <c r="AG18" i="235"/>
  <c r="AG82" i="235"/>
  <c r="N15" i="239"/>
  <c r="R29" i="231"/>
  <c r="Q11" i="232"/>
  <c r="Q15" i="232"/>
  <c r="Q23" i="232"/>
  <c r="Q25" i="232"/>
  <c r="Q35" i="232"/>
  <c r="AA16" i="234"/>
  <c r="AA12" i="234"/>
  <c r="AG16" i="235"/>
  <c r="AG35" i="235"/>
  <c r="AG34" i="235"/>
  <c r="AG79" i="235"/>
  <c r="M43" i="245"/>
  <c r="N11" i="211"/>
  <c r="Q40" i="204"/>
  <c r="Q26" i="204"/>
  <c r="Q15" i="205"/>
  <c r="Q32" i="205"/>
  <c r="P21" i="206"/>
  <c r="S40" i="258"/>
  <c r="S38" i="258"/>
  <c r="S41" i="258"/>
  <c r="X14" i="279"/>
  <c r="X20" i="279"/>
  <c r="AL17" i="285"/>
  <c r="AL21" i="285"/>
  <c r="AL25" i="285"/>
  <c r="AL29" i="285"/>
  <c r="AL33" i="285"/>
  <c r="AL37" i="285"/>
  <c r="AL41" i="285"/>
  <c r="AL45" i="285"/>
  <c r="AL49" i="285"/>
  <c r="AL53" i="285"/>
  <c r="AL57" i="285"/>
  <c r="AL61" i="285"/>
  <c r="X17" i="279"/>
  <c r="U10" i="281"/>
  <c r="U14" i="281"/>
  <c r="U15" i="281"/>
  <c r="U22" i="281"/>
  <c r="AL16" i="285"/>
  <c r="AL20" i="285"/>
  <c r="AL24" i="285"/>
  <c r="AL28" i="285"/>
  <c r="AL32" i="285"/>
  <c r="AL36" i="285"/>
  <c r="AL40" i="285"/>
  <c r="AL44" i="285"/>
  <c r="AL48" i="285"/>
  <c r="AL52" i="285"/>
  <c r="AL56" i="285"/>
  <c r="AL60" i="285"/>
  <c r="AD17" i="280"/>
  <c r="AD20" i="280"/>
  <c r="U12" i="281"/>
  <c r="AL19" i="285"/>
  <c r="AL23" i="285"/>
  <c r="AL27" i="285"/>
  <c r="AL31" i="285"/>
  <c r="AL35" i="285"/>
  <c r="AL39" i="285"/>
  <c r="AL43" i="285"/>
  <c r="AL47" i="285"/>
  <c r="AL51" i="285"/>
  <c r="AL55" i="285"/>
  <c r="AL59" i="285"/>
  <c r="T24" i="289"/>
  <c r="V17" i="288"/>
  <c r="N14" i="290"/>
  <c r="N11" i="290"/>
  <c r="N12" i="290"/>
  <c r="N13" i="290"/>
  <c r="N15" i="290"/>
  <c r="N16" i="290"/>
  <c r="N17" i="290"/>
  <c r="P22" i="206"/>
  <c r="L22" i="223"/>
  <c r="Q33" i="226"/>
  <c r="Q43" i="226"/>
  <c r="S11" i="262"/>
  <c r="L17" i="223"/>
  <c r="L21" i="223"/>
  <c r="L25" i="223"/>
  <c r="L33" i="223"/>
  <c r="L45" i="223"/>
  <c r="L49" i="223"/>
  <c r="L53" i="223"/>
  <c r="T45" i="227"/>
  <c r="I49" i="257"/>
  <c r="I51" i="257"/>
  <c r="S125" i="234"/>
  <c r="T125" i="234"/>
  <c r="K115" i="234"/>
  <c r="I114" i="234"/>
  <c r="G111" i="234"/>
  <c r="F96" i="234"/>
  <c r="J81" i="234"/>
  <c r="K55" i="234"/>
  <c r="K56" i="234"/>
  <c r="K58" i="234"/>
  <c r="K59" i="234"/>
  <c r="K74" i="234"/>
  <c r="K53" i="234"/>
  <c r="K52" i="234"/>
  <c r="J60" i="234"/>
  <c r="K60" i="234" s="1"/>
  <c r="J57" i="234"/>
  <c r="J54" i="234"/>
  <c r="S49" i="234"/>
  <c r="T49" i="234"/>
  <c r="R49" i="234"/>
  <c r="R130" i="234" s="1"/>
  <c r="T28" i="234"/>
  <c r="S28" i="234"/>
  <c r="K40" i="234"/>
  <c r="Q37" i="234"/>
  <c r="L39" i="234"/>
  <c r="H48" i="234"/>
  <c r="F45" i="234"/>
  <c r="G42" i="234"/>
  <c r="H39" i="234"/>
  <c r="I36" i="234"/>
  <c r="J33" i="234"/>
  <c r="K25" i="234"/>
  <c r="I27" i="234"/>
  <c r="H24" i="234"/>
  <c r="G21" i="234"/>
  <c r="F18" i="234"/>
  <c r="I12" i="234"/>
  <c r="F12" i="234"/>
  <c r="E11" i="281"/>
  <c r="K23" i="280"/>
  <c r="T23" i="280"/>
  <c r="T22" i="280"/>
  <c r="R22" i="280"/>
  <c r="F22" i="280"/>
  <c r="F21" i="280"/>
  <c r="K10" i="279"/>
  <c r="F15" i="279"/>
  <c r="F21" i="279"/>
  <c r="F23" i="279"/>
  <c r="F22" i="279"/>
  <c r="S38" i="240"/>
  <c r="T38" i="240" s="1"/>
  <c r="P41" i="240"/>
  <c r="J41" i="240"/>
  <c r="P36" i="240"/>
  <c r="P37" i="240"/>
  <c r="P35" i="240"/>
  <c r="J36" i="240"/>
  <c r="J37" i="240"/>
  <c r="J35" i="240"/>
  <c r="J25" i="240"/>
  <c r="G25" i="240"/>
  <c r="G27" i="240" s="1"/>
  <c r="J22" i="240"/>
  <c r="J24" i="240" s="1"/>
  <c r="G22" i="240"/>
  <c r="G24" i="240"/>
  <c r="T42" i="240"/>
  <c r="Y96" i="235"/>
  <c r="Z96" i="235"/>
  <c r="X96" i="235"/>
  <c r="N40" i="261"/>
  <c r="L40" i="261"/>
  <c r="K40" i="261"/>
  <c r="I40" i="261"/>
  <c r="H40" i="261"/>
  <c r="F40" i="261"/>
  <c r="E40" i="261"/>
  <c r="C40" i="261"/>
  <c r="L28" i="233"/>
  <c r="L9" i="227" s="1"/>
  <c r="K28" i="233"/>
  <c r="J28" i="233"/>
  <c r="I28" i="233"/>
  <c r="H28" i="233"/>
  <c r="H9" i="227" s="1"/>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I9" i="227"/>
  <c r="AD618" i="293"/>
  <c r="AC618" i="293"/>
  <c r="AB618" i="293"/>
  <c r="P618" i="293"/>
  <c r="O618" i="293"/>
  <c r="O620" i="293" s="1"/>
  <c r="C637" i="293" s="1"/>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c r="Q588" i="293"/>
  <c r="Y587" i="293"/>
  <c r="W587" i="293"/>
  <c r="X587" i="293" s="1"/>
  <c r="Q587" i="293"/>
  <c r="Y586" i="293"/>
  <c r="W586" i="293"/>
  <c r="X586" i="293"/>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X566" i="293" s="1"/>
  <c r="Q566" i="293"/>
  <c r="Y565" i="293"/>
  <c r="W565" i="293"/>
  <c r="Q565" i="293"/>
  <c r="Y564" i="293"/>
  <c r="W564" i="293"/>
  <c r="Q564" i="293"/>
  <c r="Y563" i="293"/>
  <c r="W563" i="293"/>
  <c r="X563" i="293" s="1"/>
  <c r="Q563" i="293"/>
  <c r="Y562" i="293"/>
  <c r="W562" i="293"/>
  <c r="BG612" i="293" s="1"/>
  <c r="Q562" i="293"/>
  <c r="Y561" i="293"/>
  <c r="W561" i="293"/>
  <c r="X561" i="293" s="1"/>
  <c r="Q561" i="293"/>
  <c r="Y560" i="293"/>
  <c r="W560" i="293"/>
  <c r="Q560" i="293"/>
  <c r="Y559" i="293"/>
  <c r="W559" i="293"/>
  <c r="BG609" i="293" s="1"/>
  <c r="Q559" i="293"/>
  <c r="Y558" i="293"/>
  <c r="W558" i="293"/>
  <c r="X558" i="293" s="1"/>
  <c r="Q558" i="293"/>
  <c r="Y557" i="293"/>
  <c r="W557" i="293"/>
  <c r="Q557" i="293"/>
  <c r="Y556" i="293"/>
  <c r="W556" i="293"/>
  <c r="Q556" i="293"/>
  <c r="Y555" i="293"/>
  <c r="W555" i="293"/>
  <c r="BG605" i="293" s="1"/>
  <c r="Q555" i="293"/>
  <c r="Y554" i="293"/>
  <c r="W554" i="293"/>
  <c r="Q554" i="293"/>
  <c r="Y553" i="293"/>
  <c r="W553" i="293"/>
  <c r="X553" i="293" s="1"/>
  <c r="Q553" i="293"/>
  <c r="Y552" i="293"/>
  <c r="W552" i="293"/>
  <c r="Q552" i="293"/>
  <c r="Y551" i="293"/>
  <c r="W551" i="293"/>
  <c r="BG601" i="293" s="1"/>
  <c r="Q551" i="293"/>
  <c r="Y550" i="293"/>
  <c r="W550" i="293"/>
  <c r="X550" i="293" s="1"/>
  <c r="Q550" i="293"/>
  <c r="Y549" i="293"/>
  <c r="W549" i="293"/>
  <c r="Q549" i="293"/>
  <c r="Y548" i="293"/>
  <c r="W548" i="293"/>
  <c r="Q548" i="293"/>
  <c r="Y547" i="293"/>
  <c r="W547" i="293"/>
  <c r="X547" i="293" s="1"/>
  <c r="Q547" i="293"/>
  <c r="Y546" i="293"/>
  <c r="W546" i="293"/>
  <c r="X546" i="293" s="1"/>
  <c r="Q546" i="293"/>
  <c r="Y545" i="293"/>
  <c r="W545" i="293"/>
  <c r="BG595" i="293" s="1"/>
  <c r="Q545" i="293"/>
  <c r="Y544" i="293"/>
  <c r="W544" i="293"/>
  <c r="Q544" i="293"/>
  <c r="Y543" i="293"/>
  <c r="W543" i="293"/>
  <c r="Q543" i="293"/>
  <c r="Y542" i="293"/>
  <c r="W542" i="293"/>
  <c r="X542" i="293" s="1"/>
  <c r="Q542" i="293"/>
  <c r="Y541" i="293"/>
  <c r="W541" i="293"/>
  <c r="Q541" i="293"/>
  <c r="Y540" i="293"/>
  <c r="W540" i="293"/>
  <c r="Q540" i="293"/>
  <c r="Y539" i="293"/>
  <c r="W539" i="293"/>
  <c r="X539" i="293" s="1"/>
  <c r="Q539" i="293"/>
  <c r="Y538" i="293"/>
  <c r="W538" i="293"/>
  <c r="Q538" i="293"/>
  <c r="Y537" i="293"/>
  <c r="W537" i="293"/>
  <c r="X537" i="293" s="1"/>
  <c r="Q537" i="293"/>
  <c r="Y536" i="293"/>
  <c r="W536" i="293"/>
  <c r="Q536" i="293"/>
  <c r="Y535" i="293"/>
  <c r="W535" i="293"/>
  <c r="BG585" i="293" s="1"/>
  <c r="Q535" i="293"/>
  <c r="Y534" i="293"/>
  <c r="W534" i="293"/>
  <c r="X534" i="293" s="1"/>
  <c r="Q534" i="293"/>
  <c r="Y533" i="293"/>
  <c r="W533" i="293"/>
  <c r="Q533" i="293"/>
  <c r="Y532" i="293"/>
  <c r="W532" i="293"/>
  <c r="Q532" i="293"/>
  <c r="Y531" i="293"/>
  <c r="W531" i="293"/>
  <c r="BG581" i="293" s="1"/>
  <c r="Q531" i="293"/>
  <c r="Y530" i="293"/>
  <c r="W530" i="293"/>
  <c r="BG580" i="293" s="1"/>
  <c r="Q530" i="293"/>
  <c r="Y529" i="293"/>
  <c r="W529" i="293"/>
  <c r="X529" i="293" s="1"/>
  <c r="Q529" i="293"/>
  <c r="Y528" i="293"/>
  <c r="W528" i="293"/>
  <c r="Q528" i="293"/>
  <c r="Y527" i="293"/>
  <c r="W527" i="293"/>
  <c r="BG577" i="293" s="1"/>
  <c r="Q527" i="293"/>
  <c r="Y526" i="293"/>
  <c r="W526" i="293"/>
  <c r="X526" i="293" s="1"/>
  <c r="Q526" i="293"/>
  <c r="Y525" i="293"/>
  <c r="W525" i="293"/>
  <c r="Q525" i="293"/>
  <c r="Y524" i="293"/>
  <c r="W524" i="293"/>
  <c r="Q524" i="293"/>
  <c r="Y523" i="293"/>
  <c r="W523" i="293"/>
  <c r="X523" i="293" s="1"/>
  <c r="Q523" i="293"/>
  <c r="Y522" i="293"/>
  <c r="W522" i="293"/>
  <c r="Q522" i="293"/>
  <c r="Y521" i="293"/>
  <c r="W521" i="293"/>
  <c r="X521" i="293" s="1"/>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c r="Q463" i="293"/>
  <c r="Y462" i="293"/>
  <c r="W462" i="293"/>
  <c r="X462" i="293" s="1"/>
  <c r="Q462" i="293"/>
  <c r="Y461" i="293"/>
  <c r="W461" i="293"/>
  <c r="X461" i="293"/>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c r="Q449" i="293"/>
  <c r="Y448" i="293"/>
  <c r="W448" i="293"/>
  <c r="X448" i="293" s="1"/>
  <c r="Q448" i="293"/>
  <c r="Y447" i="293"/>
  <c r="W447" i="293"/>
  <c r="X447" i="293" s="1"/>
  <c r="Q447" i="293"/>
  <c r="Y446" i="293"/>
  <c r="W446" i="293"/>
  <c r="X446" i="293" s="1"/>
  <c r="Q446" i="293"/>
  <c r="Y445" i="293"/>
  <c r="W445" i="293"/>
  <c r="X445" i="293"/>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c r="Q425" i="293"/>
  <c r="Y424" i="293"/>
  <c r="W424" i="293"/>
  <c r="X424" i="293" s="1"/>
  <c r="Q424" i="293"/>
  <c r="Y423" i="293"/>
  <c r="W423" i="293"/>
  <c r="X423" i="293"/>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X412" i="293" s="1"/>
  <c r="Q412" i="293"/>
  <c r="Y411" i="293"/>
  <c r="W411" i="293"/>
  <c r="Q411" i="293"/>
  <c r="Y410" i="293"/>
  <c r="W410" i="293"/>
  <c r="X410" i="293" s="1"/>
  <c r="Q410" i="293"/>
  <c r="Y409" i="293"/>
  <c r="W409" i="293"/>
  <c r="Q409" i="293"/>
  <c r="Y408" i="293"/>
  <c r="W408" i="293"/>
  <c r="Q408" i="293"/>
  <c r="Y407" i="293"/>
  <c r="W407" i="293"/>
  <c r="X407" i="293" s="1"/>
  <c r="Q407" i="293"/>
  <c r="Y406" i="293"/>
  <c r="W406" i="293"/>
  <c r="Q406" i="293"/>
  <c r="Y405" i="293"/>
  <c r="W405" i="293"/>
  <c r="Q405" i="293"/>
  <c r="Y404" i="293"/>
  <c r="W404" i="293"/>
  <c r="X404" i="293" s="1"/>
  <c r="Q404" i="293"/>
  <c r="Y403" i="293"/>
  <c r="W403" i="293"/>
  <c r="Q403" i="293"/>
  <c r="Y402" i="293"/>
  <c r="W402" i="293"/>
  <c r="X402" i="293" s="1"/>
  <c r="Q402" i="293"/>
  <c r="Y401" i="293"/>
  <c r="W401" i="293"/>
  <c r="BG451" i="293" s="1"/>
  <c r="Q401" i="293"/>
  <c r="Y400" i="293"/>
  <c r="W400" i="293"/>
  <c r="X400" i="293" s="1"/>
  <c r="Q400" i="293"/>
  <c r="Y399" i="293"/>
  <c r="W399" i="293"/>
  <c r="X399" i="293" s="1"/>
  <c r="Q399" i="293"/>
  <c r="Y398" i="293"/>
  <c r="W398" i="293"/>
  <c r="Q398" i="293"/>
  <c r="Y397" i="293"/>
  <c r="W397" i="293"/>
  <c r="Q397" i="293"/>
  <c r="Y396" i="293"/>
  <c r="W396" i="293"/>
  <c r="X396" i="293" s="1"/>
  <c r="Q396" i="293"/>
  <c r="Y395" i="293"/>
  <c r="W395" i="293"/>
  <c r="Q395" i="293"/>
  <c r="Y394" i="293"/>
  <c r="W394" i="293"/>
  <c r="X394" i="293" s="1"/>
  <c r="Q394" i="293"/>
  <c r="Y393" i="293"/>
  <c r="W393" i="293"/>
  <c r="Q393" i="293"/>
  <c r="Y392" i="293"/>
  <c r="W392" i="293"/>
  <c r="X392" i="293" s="1"/>
  <c r="Q392" i="293"/>
  <c r="Y391" i="293"/>
  <c r="W391" i="293"/>
  <c r="X391" i="293" s="1"/>
  <c r="Q391" i="293"/>
  <c r="Y390" i="293"/>
  <c r="W390" i="293"/>
  <c r="Q390" i="293"/>
  <c r="Y389" i="293"/>
  <c r="W389" i="293"/>
  <c r="Q389" i="293"/>
  <c r="Y388" i="293"/>
  <c r="W388" i="293"/>
  <c r="X388" i="293" s="1"/>
  <c r="Q388" i="293"/>
  <c r="Y387" i="293"/>
  <c r="W387" i="293"/>
  <c r="Q387" i="293"/>
  <c r="Y386" i="293"/>
  <c r="W386" i="293"/>
  <c r="X386" i="293" s="1"/>
  <c r="Q386" i="293"/>
  <c r="Y385" i="293"/>
  <c r="W385" i="293"/>
  <c r="BG435" i="293" s="1"/>
  <c r="Q385" i="293"/>
  <c r="Y384" i="293"/>
  <c r="W384" i="293"/>
  <c r="X384" i="293" s="1"/>
  <c r="Q384" i="293"/>
  <c r="Y383" i="293"/>
  <c r="W383" i="293"/>
  <c r="BG433" i="293" s="1"/>
  <c r="Q383" i="293"/>
  <c r="Y382" i="293"/>
  <c r="W382" i="293"/>
  <c r="Q382" i="293"/>
  <c r="Y381" i="293"/>
  <c r="W381" i="293"/>
  <c r="Q381" i="293"/>
  <c r="Y380" i="293"/>
  <c r="W380" i="293"/>
  <c r="X380" i="293" s="1"/>
  <c r="Q380" i="293"/>
  <c r="Y379" i="293"/>
  <c r="W379" i="293"/>
  <c r="Q379" i="293"/>
  <c r="Y378" i="293"/>
  <c r="W378" i="293"/>
  <c r="X378" i="293" s="1"/>
  <c r="Q378" i="293"/>
  <c r="Y377" i="293"/>
  <c r="W377" i="293"/>
  <c r="Q377" i="293"/>
  <c r="Y376" i="293"/>
  <c r="W376" i="293"/>
  <c r="X376" i="293" s="1"/>
  <c r="Q376" i="293"/>
  <c r="Y375" i="293"/>
  <c r="W375" i="293"/>
  <c r="X375" i="293" s="1"/>
  <c r="Q375" i="293"/>
  <c r="Y374" i="293"/>
  <c r="W374" i="293"/>
  <c r="Q374" i="293"/>
  <c r="Y373" i="293"/>
  <c r="W373" i="293"/>
  <c r="Q373" i="293"/>
  <c r="Y372" i="293"/>
  <c r="W372" i="293"/>
  <c r="X372" i="293" s="1"/>
  <c r="Q372" i="293"/>
  <c r="Y371" i="293"/>
  <c r="W371" i="293"/>
  <c r="Q371" i="293"/>
  <c r="Y370" i="293"/>
  <c r="W370" i="293"/>
  <c r="X370" i="293" s="1"/>
  <c r="Q370" i="293"/>
  <c r="Y369" i="293"/>
  <c r="W369" i="293"/>
  <c r="BG419" i="293" s="1"/>
  <c r="Q369" i="293"/>
  <c r="Y368" i="293"/>
  <c r="W368" i="293"/>
  <c r="BG418" i="293" s="1"/>
  <c r="Q368" i="293"/>
  <c r="Y367" i="293"/>
  <c r="W367" i="293"/>
  <c r="X367" i="293" s="1"/>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c r="Q308" i="293"/>
  <c r="W307" i="293"/>
  <c r="R307" i="293" s="1"/>
  <c r="Q307" i="293"/>
  <c r="W306" i="293"/>
  <c r="R306" i="293" s="1"/>
  <c r="X306" i="293"/>
  <c r="Y306" i="293" s="1"/>
  <c r="Q306" i="293"/>
  <c r="W305" i="293"/>
  <c r="R305" i="293" s="1"/>
  <c r="Q305" i="293"/>
  <c r="W304" i="293"/>
  <c r="S304" i="293" s="1"/>
  <c r="Q304" i="293"/>
  <c r="W303" i="293"/>
  <c r="R303" i="293"/>
  <c r="Q303" i="293"/>
  <c r="W302" i="293"/>
  <c r="R302" i="293" s="1"/>
  <c r="Q302" i="293"/>
  <c r="W301" i="293"/>
  <c r="X301" i="293" s="1"/>
  <c r="Y301" i="293" s="1"/>
  <c r="R301" i="293"/>
  <c r="Q301" i="293"/>
  <c r="W300" i="293"/>
  <c r="R300" i="293"/>
  <c r="Q300" i="293"/>
  <c r="W299" i="293"/>
  <c r="R299" i="293" s="1"/>
  <c r="Q299" i="293"/>
  <c r="W298" i="293"/>
  <c r="R298" i="293" s="1"/>
  <c r="Q298" i="293"/>
  <c r="W297" i="293"/>
  <c r="R297" i="293" s="1"/>
  <c r="Q297" i="293"/>
  <c r="W296" i="293"/>
  <c r="R296" i="293" s="1"/>
  <c r="Q296" i="293"/>
  <c r="W295" i="293"/>
  <c r="R295" i="293"/>
  <c r="Q295" i="293"/>
  <c r="W294" i="293"/>
  <c r="R294" i="293" s="1"/>
  <c r="Q294" i="293"/>
  <c r="W293" i="293"/>
  <c r="R293" i="293" s="1"/>
  <c r="Q293" i="293"/>
  <c r="W292" i="293"/>
  <c r="R292" i="293" s="1"/>
  <c r="Q292" i="293"/>
  <c r="W291" i="293"/>
  <c r="X291" i="293" s="1"/>
  <c r="Y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c r="Q284" i="293"/>
  <c r="W283" i="293"/>
  <c r="R283" i="293" s="1"/>
  <c r="Q283" i="293"/>
  <c r="W282" i="293"/>
  <c r="R282" i="293" s="1"/>
  <c r="Q282" i="293"/>
  <c r="W281" i="293"/>
  <c r="S281" i="293" s="1"/>
  <c r="Q281" i="293"/>
  <c r="W280" i="293"/>
  <c r="R280" i="293" s="1"/>
  <c r="Q280" i="293"/>
  <c r="W279" i="293"/>
  <c r="R279" i="293" s="1"/>
  <c r="Q279" i="293"/>
  <c r="W278" i="293"/>
  <c r="R278" i="293" s="1"/>
  <c r="Q278" i="293"/>
  <c r="W277" i="293"/>
  <c r="R277" i="293"/>
  <c r="Q277" i="293"/>
  <c r="W276" i="293"/>
  <c r="R276" i="293" s="1"/>
  <c r="Q276" i="293"/>
  <c r="W275" i="293"/>
  <c r="R275" i="293" s="1"/>
  <c r="Q275" i="293"/>
  <c r="W274" i="293"/>
  <c r="R274" i="293" s="1"/>
  <c r="Q274" i="293"/>
  <c r="W273" i="293"/>
  <c r="R273" i="293" s="1"/>
  <c r="Q273" i="293"/>
  <c r="W272" i="293"/>
  <c r="R272" i="293" s="1"/>
  <c r="Q272" i="293"/>
  <c r="W271" i="293"/>
  <c r="S271" i="293" s="1"/>
  <c r="Q271" i="293"/>
  <c r="W270" i="293"/>
  <c r="R270" i="293" s="1"/>
  <c r="Q270" i="293"/>
  <c r="W269" i="293"/>
  <c r="R269" i="293" s="1"/>
  <c r="Q269" i="293"/>
  <c r="W268" i="293"/>
  <c r="R268" i="293" s="1"/>
  <c r="Q268" i="293"/>
  <c r="W267" i="293"/>
  <c r="R267" i="293"/>
  <c r="Q267" i="293"/>
  <c r="W266" i="293"/>
  <c r="R266" i="293" s="1"/>
  <c r="Q266" i="293"/>
  <c r="W265" i="293"/>
  <c r="X265" i="293" s="1"/>
  <c r="Y265" i="293" s="1"/>
  <c r="Q265" i="293"/>
  <c r="W264" i="293"/>
  <c r="R264" i="293" s="1"/>
  <c r="Q264" i="293"/>
  <c r="W263" i="293"/>
  <c r="R263" i="293"/>
  <c r="Q263" i="293"/>
  <c r="W262" i="293"/>
  <c r="R262" i="293" s="1"/>
  <c r="Q262" i="293"/>
  <c r="W261" i="293"/>
  <c r="BG311" i="293" s="1"/>
  <c r="Q261" i="293"/>
  <c r="W260" i="293"/>
  <c r="R260" i="293" s="1"/>
  <c r="Q260" i="293"/>
  <c r="W259" i="293"/>
  <c r="Q259" i="293"/>
  <c r="W258" i="293"/>
  <c r="S258" i="293" s="1"/>
  <c r="Q258" i="293"/>
  <c r="W257" i="293"/>
  <c r="BG307" i="293" s="1"/>
  <c r="Q257" i="293"/>
  <c r="W256" i="293"/>
  <c r="R256" i="293" s="1"/>
  <c r="Q256" i="293"/>
  <c r="W255" i="293"/>
  <c r="BG305" i="293" s="1"/>
  <c r="Q255" i="293"/>
  <c r="W254" i="293"/>
  <c r="S254" i="293" s="1"/>
  <c r="Q254" i="293"/>
  <c r="W253" i="293"/>
  <c r="Q253" i="293"/>
  <c r="W252" i="293"/>
  <c r="X252" i="293" s="1"/>
  <c r="Y252" i="293" s="1"/>
  <c r="Q252" i="293"/>
  <c r="W251" i="293"/>
  <c r="X251" i="293" s="1"/>
  <c r="Y251" i="293" s="1"/>
  <c r="Q251" i="293"/>
  <c r="W250" i="293"/>
  <c r="R250" i="293" s="1"/>
  <c r="Q250" i="293"/>
  <c r="W249" i="293"/>
  <c r="R249" i="293" s="1"/>
  <c r="Q249" i="293"/>
  <c r="W248" i="293"/>
  <c r="R248" i="293" s="1"/>
  <c r="Q248" i="293"/>
  <c r="W247" i="293"/>
  <c r="R247" i="293" s="1"/>
  <c r="Q247" i="293"/>
  <c r="W246" i="293"/>
  <c r="S246" i="293" s="1"/>
  <c r="Q246" i="293"/>
  <c r="W245" i="293"/>
  <c r="Q245" i="293"/>
  <c r="W244" i="293"/>
  <c r="S244" i="293" s="1"/>
  <c r="Q244" i="293"/>
  <c r="W243" i="293"/>
  <c r="BG293" i="293" s="1"/>
  <c r="Q243" i="293"/>
  <c r="W242" i="293"/>
  <c r="R242" i="293" s="1"/>
  <c r="Q242" i="293"/>
  <c r="W241" i="293"/>
  <c r="BG291" i="293" s="1"/>
  <c r="Q241" i="293"/>
  <c r="W240" i="293"/>
  <c r="R240" i="293" s="1"/>
  <c r="Q240" i="293"/>
  <c r="W239" i="293"/>
  <c r="X239" i="293" s="1"/>
  <c r="Y239" i="293" s="1"/>
  <c r="Q239" i="293"/>
  <c r="W238" i="293"/>
  <c r="R238" i="293" s="1"/>
  <c r="Q238" i="293"/>
  <c r="W237" i="293"/>
  <c r="X237" i="293" s="1"/>
  <c r="Y237" i="293" s="1"/>
  <c r="Q237" i="293"/>
  <c r="W236" i="293"/>
  <c r="S236" i="293" s="1"/>
  <c r="Q236" i="293"/>
  <c r="W235" i="293"/>
  <c r="BG285" i="293" s="1"/>
  <c r="Q235" i="293"/>
  <c r="W234" i="293"/>
  <c r="BG284" i="293" s="1"/>
  <c r="Q234" i="293"/>
  <c r="W233" i="293"/>
  <c r="Q233" i="293"/>
  <c r="W232" i="293"/>
  <c r="BG282" i="293" s="1"/>
  <c r="Q232" i="293"/>
  <c r="W231" i="293"/>
  <c r="BG281" i="293" s="1"/>
  <c r="Q231" i="293"/>
  <c r="W230" i="293"/>
  <c r="X230" i="293" s="1"/>
  <c r="Y230" i="293" s="1"/>
  <c r="Q230" i="293"/>
  <c r="W229" i="293"/>
  <c r="BG279" i="293" s="1"/>
  <c r="Q229" i="293"/>
  <c r="W228" i="293"/>
  <c r="X228" i="293" s="1"/>
  <c r="Y228" i="293" s="1"/>
  <c r="Q228" i="293"/>
  <c r="W227" i="293"/>
  <c r="BG277" i="293" s="1"/>
  <c r="Q227" i="293"/>
  <c r="W226" i="293"/>
  <c r="S226" i="293" s="1"/>
  <c r="Q226" i="293"/>
  <c r="W225" i="293"/>
  <c r="S225" i="293" s="1"/>
  <c r="Q225" i="293"/>
  <c r="W224" i="293"/>
  <c r="X224" i="293" s="1"/>
  <c r="Y224" i="293" s="1"/>
  <c r="Q224" i="293"/>
  <c r="W223" i="293"/>
  <c r="R223" i="293" s="1"/>
  <c r="Q223" i="293"/>
  <c r="W222" i="293"/>
  <c r="S222" i="293" s="1"/>
  <c r="Q222" i="293"/>
  <c r="W221" i="293"/>
  <c r="BG271" i="293" s="1"/>
  <c r="Q221" i="293"/>
  <c r="W220" i="293"/>
  <c r="S220" i="293" s="1"/>
  <c r="Q220" i="293"/>
  <c r="W219" i="293"/>
  <c r="BG269" i="293" s="1"/>
  <c r="Q219" i="293"/>
  <c r="W218" i="293"/>
  <c r="X218" i="293" s="1"/>
  <c r="Y218" i="293" s="1"/>
  <c r="Q218" i="293"/>
  <c r="W217" i="293"/>
  <c r="Q217" i="293"/>
  <c r="W216" i="293"/>
  <c r="S216" i="293" s="1"/>
  <c r="Q216" i="293"/>
  <c r="W215" i="293"/>
  <c r="X215" i="293" s="1"/>
  <c r="Y215" i="293" s="1"/>
  <c r="Q215" i="293"/>
  <c r="W214" i="293"/>
  <c r="X214" i="293" s="1"/>
  <c r="Y214" i="293" s="1"/>
  <c r="Q214" i="293"/>
  <c r="W213" i="293"/>
  <c r="R213" i="293" s="1"/>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S205" i="293" s="1"/>
  <c r="Q205" i="293"/>
  <c r="W204" i="293"/>
  <c r="X204" i="293" s="1"/>
  <c r="Y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X198" i="293" s="1"/>
  <c r="Y198" i="293" s="1"/>
  <c r="Q198" i="293"/>
  <c r="W197" i="293"/>
  <c r="X197" i="293" s="1"/>
  <c r="Y197" i="293" s="1"/>
  <c r="Q197" i="293"/>
  <c r="W196" i="293"/>
  <c r="R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R189" i="293" s="1"/>
  <c r="Q189" i="293"/>
  <c r="W188" i="293"/>
  <c r="S188" i="293"/>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S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X164" i="293" s="1"/>
  <c r="Y164" i="293" s="1"/>
  <c r="Q164" i="293"/>
  <c r="W163" i="293"/>
  <c r="X163" i="293" s="1"/>
  <c r="Y163" i="293" s="1"/>
  <c r="Q163" i="293"/>
  <c r="W162" i="293"/>
  <c r="S162" i="293" s="1"/>
  <c r="Q162" i="293"/>
  <c r="AD159" i="293"/>
  <c r="AC159" i="293"/>
  <c r="AC620" i="293" s="1"/>
  <c r="AB159" i="293"/>
  <c r="P159" i="293"/>
  <c r="O159" i="293"/>
  <c r="N159" i="293"/>
  <c r="X158" i="293"/>
  <c r="Y158" i="293"/>
  <c r="S158" i="293"/>
  <c r="R158" i="293"/>
  <c r="Q158" i="293"/>
  <c r="X157" i="293"/>
  <c r="Y157" i="293" s="1"/>
  <c r="S157" i="293"/>
  <c r="R157" i="293"/>
  <c r="Q157" i="293"/>
  <c r="X156" i="293"/>
  <c r="Y156" i="293"/>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c r="S142" i="293"/>
  <c r="R142" i="293"/>
  <c r="Q142" i="293"/>
  <c r="X141" i="293"/>
  <c r="Y141" i="293" s="1"/>
  <c r="S141" i="293"/>
  <c r="R141" i="293"/>
  <c r="Q141" i="293"/>
  <c r="X140" i="293"/>
  <c r="Y140" i="293"/>
  <c r="S140" i="293"/>
  <c r="R140" i="293"/>
  <c r="Q140" i="293"/>
  <c r="X139" i="293"/>
  <c r="Y139" i="293" s="1"/>
  <c r="S139" i="293"/>
  <c r="R139" i="293"/>
  <c r="Q139" i="293"/>
  <c r="X138" i="293"/>
  <c r="Y138" i="293" s="1"/>
  <c r="S138" i="293"/>
  <c r="R138" i="293"/>
  <c r="Q138" i="293"/>
  <c r="X137" i="293"/>
  <c r="Y137" i="293" s="1"/>
  <c r="S137" i="293"/>
  <c r="R137" i="293"/>
  <c r="Q137" i="293"/>
  <c r="X136" i="293"/>
  <c r="Y136" i="293"/>
  <c r="S136" i="293"/>
  <c r="R136" i="293"/>
  <c r="Q136" i="293"/>
  <c r="X135" i="293"/>
  <c r="Y135" i="293" s="1"/>
  <c r="S135" i="293"/>
  <c r="R135" i="293"/>
  <c r="Q135" i="293"/>
  <c r="X134" i="293"/>
  <c r="Y134" i="293"/>
  <c r="S134" i="293"/>
  <c r="R134" i="293"/>
  <c r="Q134" i="293"/>
  <c r="X133" i="293"/>
  <c r="Y133" i="293" s="1"/>
  <c r="S133" i="293"/>
  <c r="R133" i="293"/>
  <c r="Q133" i="293"/>
  <c r="X132" i="293"/>
  <c r="Y132" i="293"/>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c r="S127" i="293"/>
  <c r="R127" i="293"/>
  <c r="Q127" i="293"/>
  <c r="X126" i="293"/>
  <c r="Y126" i="293"/>
  <c r="S126" i="293"/>
  <c r="R126" i="293"/>
  <c r="Q126" i="293"/>
  <c r="X125" i="293"/>
  <c r="Y125" i="293" s="1"/>
  <c r="S125" i="293"/>
  <c r="R125" i="293"/>
  <c r="Q125" i="293"/>
  <c r="X124" i="293"/>
  <c r="Y124" i="293"/>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c r="S111" i="293"/>
  <c r="R111" i="293"/>
  <c r="Q111" i="293"/>
  <c r="X110" i="293"/>
  <c r="Y110" i="293" s="1"/>
  <c r="S110" i="293"/>
  <c r="R110" i="293"/>
  <c r="Q110" i="293"/>
  <c r="X109" i="293"/>
  <c r="Y109" i="293"/>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c r="S72" i="293"/>
  <c r="R72" i="293"/>
  <c r="Q72" i="293"/>
  <c r="X71" i="293"/>
  <c r="Y71" i="293" s="1"/>
  <c r="S71" i="293"/>
  <c r="R71" i="293"/>
  <c r="Q71" i="293"/>
  <c r="X70" i="293"/>
  <c r="Y70" i="293" s="1"/>
  <c r="S70" i="293"/>
  <c r="R70" i="293"/>
  <c r="Q70" i="293"/>
  <c r="X69" i="293"/>
  <c r="Y69" i="293" s="1"/>
  <c r="S69" i="293"/>
  <c r="R69" i="293"/>
  <c r="Q69" i="293"/>
  <c r="X68" i="293"/>
  <c r="Y68" i="293"/>
  <c r="S68" i="293"/>
  <c r="R68" i="293"/>
  <c r="Q68" i="293"/>
  <c r="X67" i="293"/>
  <c r="Y67" i="293" s="1"/>
  <c r="S67" i="293"/>
  <c r="R67" i="293"/>
  <c r="Q67" i="293"/>
  <c r="X66" i="293"/>
  <c r="Y66" i="293" s="1"/>
  <c r="S66" i="293"/>
  <c r="R66" i="293"/>
  <c r="Q66" i="293"/>
  <c r="X65" i="293"/>
  <c r="Y65" i="293" s="1"/>
  <c r="S65" i="293"/>
  <c r="R65" i="293"/>
  <c r="Q65" i="293"/>
  <c r="X64" i="293"/>
  <c r="Y64" i="293"/>
  <c r="S64" i="293"/>
  <c r="R64" i="293"/>
  <c r="Q64" i="293"/>
  <c r="X63" i="293"/>
  <c r="Y63" i="293" s="1"/>
  <c r="S63" i="293"/>
  <c r="R63" i="293"/>
  <c r="Q63" i="293"/>
  <c r="X62" i="293"/>
  <c r="Y62" i="293" s="1"/>
  <c r="S62" i="293"/>
  <c r="R62" i="293"/>
  <c r="Q62" i="293"/>
  <c r="X61" i="293"/>
  <c r="Y61" i="293" s="1"/>
  <c r="S61" i="293"/>
  <c r="R61" i="293"/>
  <c r="Q61" i="293"/>
  <c r="X60" i="293"/>
  <c r="Y60" i="293"/>
  <c r="S60" i="293"/>
  <c r="R60" i="293"/>
  <c r="Q60" i="293"/>
  <c r="X59" i="293"/>
  <c r="Y59" i="293" s="1"/>
  <c r="S59" i="293"/>
  <c r="R59" i="293"/>
  <c r="Q59" i="293"/>
  <c r="X58" i="293"/>
  <c r="Y58" i="293" s="1"/>
  <c r="S58" i="293"/>
  <c r="R58" i="293"/>
  <c r="Q58" i="293"/>
  <c r="X57" i="293"/>
  <c r="Y57" i="293"/>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Y10" i="293" s="1"/>
  <c r="S10" i="293"/>
  <c r="R10" i="293"/>
  <c r="Q10" i="293"/>
  <c r="X9" i="293"/>
  <c r="Y9" i="293" s="1"/>
  <c r="S9" i="293"/>
  <c r="R9" i="293"/>
  <c r="Q9" i="293"/>
  <c r="X217" i="293"/>
  <c r="Y217" i="293" s="1"/>
  <c r="BG267" i="293"/>
  <c r="X219" i="293"/>
  <c r="Y219" i="293" s="1"/>
  <c r="X221" i="293"/>
  <c r="Y221" i="293" s="1"/>
  <c r="X223" i="293"/>
  <c r="Y223" i="293" s="1"/>
  <c r="X225" i="293"/>
  <c r="Y225" i="293" s="1"/>
  <c r="BG275" i="293"/>
  <c r="X229" i="293"/>
  <c r="Y229" i="293" s="1"/>
  <c r="X233" i="293"/>
  <c r="Y233" i="293" s="1"/>
  <c r="BG283" i="293"/>
  <c r="X235" i="293"/>
  <c r="Y235" i="293" s="1"/>
  <c r="BG287" i="293"/>
  <c r="BG289" i="293"/>
  <c r="X241" i="293"/>
  <c r="Y241" i="293"/>
  <c r="R245" i="293"/>
  <c r="BG295" i="293"/>
  <c r="BG297" i="293"/>
  <c r="BG299" i="293"/>
  <c r="R251" i="293"/>
  <c r="BG301" i="293"/>
  <c r="R253" i="293"/>
  <c r="BG303" i="293"/>
  <c r="R259" i="293"/>
  <c r="BG309" i="293"/>
  <c r="R261" i="293"/>
  <c r="S307" i="293"/>
  <c r="X368" i="293"/>
  <c r="BG426" i="293"/>
  <c r="BG442" i="293"/>
  <c r="X408" i="293"/>
  <c r="BG458" i="293"/>
  <c r="BG571" i="293"/>
  <c r="X525" i="293"/>
  <c r="BG575" i="293"/>
  <c r="X533" i="293"/>
  <c r="BG583" i="293"/>
  <c r="X541" i="293"/>
  <c r="BG591" i="293"/>
  <c r="X545" i="293"/>
  <c r="X549" i="293"/>
  <c r="BG599" i="293"/>
  <c r="BG603" i="293"/>
  <c r="X557" i="293"/>
  <c r="BG607" i="293"/>
  <c r="X565" i="293"/>
  <c r="BG615" i="293"/>
  <c r="BG449" i="293"/>
  <c r="X520" i="293"/>
  <c r="BG570" i="293"/>
  <c r="X524" i="293"/>
  <c r="BG574" i="293"/>
  <c r="X528" i="293"/>
  <c r="BG578" i="293"/>
  <c r="X532" i="293"/>
  <c r="BG582" i="293"/>
  <c r="X536" i="293"/>
  <c r="BG586" i="293"/>
  <c r="X540" i="293"/>
  <c r="BG590" i="293"/>
  <c r="X544" i="293"/>
  <c r="BG594" i="293"/>
  <c r="X548" i="293"/>
  <c r="BG598" i="293"/>
  <c r="X552" i="293"/>
  <c r="BG602" i="293"/>
  <c r="X556" i="293"/>
  <c r="BG606" i="293"/>
  <c r="X560" i="293"/>
  <c r="BG610" i="293"/>
  <c r="X564" i="293"/>
  <c r="BG614" i="293"/>
  <c r="X371" i="293"/>
  <c r="BG421" i="293"/>
  <c r="X379" i="293"/>
  <c r="BG429" i="293"/>
  <c r="X387" i="293"/>
  <c r="BG437" i="293"/>
  <c r="X395" i="293"/>
  <c r="BG445" i="293"/>
  <c r="X403" i="293"/>
  <c r="BG453" i="293"/>
  <c r="X411" i="293"/>
  <c r="BG461" i="293"/>
  <c r="BG266" i="293"/>
  <c r="BG270" i="293"/>
  <c r="S224" i="293"/>
  <c r="S228" i="293"/>
  <c r="S234" i="293"/>
  <c r="BG288" i="293"/>
  <c r="S240" i="293"/>
  <c r="BG294" i="293"/>
  <c r="R254" i="293"/>
  <c r="BG306" i="293"/>
  <c r="X366" i="293"/>
  <c r="BG416" i="293"/>
  <c r="X374" i="293"/>
  <c r="BG424" i="293"/>
  <c r="X382" i="293"/>
  <c r="BG432" i="293"/>
  <c r="X390" i="293"/>
  <c r="BG440" i="293"/>
  <c r="X398" i="293"/>
  <c r="BG448" i="293"/>
  <c r="BG452" i="293"/>
  <c r="X406" i="293"/>
  <c r="BG456" i="293"/>
  <c r="X414" i="293"/>
  <c r="BG464" i="293"/>
  <c r="X519" i="293"/>
  <c r="BG569" i="293"/>
  <c r="X527" i="293"/>
  <c r="X535" i="293"/>
  <c r="X543" i="293"/>
  <c r="BG593" i="293"/>
  <c r="X551" i="293"/>
  <c r="X559" i="293"/>
  <c r="X567" i="293"/>
  <c r="BG617" i="293"/>
  <c r="X369" i="293"/>
  <c r="X373" i="293"/>
  <c r="BG423" i="293"/>
  <c r="X377" i="293"/>
  <c r="BG427" i="293"/>
  <c r="X381" i="293"/>
  <c r="BG431" i="293"/>
  <c r="X385" i="293"/>
  <c r="X389" i="293"/>
  <c r="BG439" i="293"/>
  <c r="X393" i="293"/>
  <c r="BG443" i="293"/>
  <c r="X397" i="293"/>
  <c r="BG447" i="293"/>
  <c r="X401" i="293"/>
  <c r="X405" i="293"/>
  <c r="BG455" i="293"/>
  <c r="X409" i="293"/>
  <c r="BG459" i="293"/>
  <c r="X413" i="293"/>
  <c r="BG463" i="293"/>
  <c r="X522" i="293"/>
  <c r="BG572" i="293"/>
  <c r="BG576" i="293"/>
  <c r="X530" i="293"/>
  <c r="X538" i="293"/>
  <c r="BG588" i="293"/>
  <c r="BG596" i="293"/>
  <c r="X554" i="293"/>
  <c r="BG604" i="293"/>
  <c r="BG608" i="293"/>
  <c r="X562" i="293"/>
  <c r="R197" i="293"/>
  <c r="R164" i="293"/>
  <c r="S179" i="293"/>
  <c r="S183" i="293"/>
  <c r="S211" i="293"/>
  <c r="R234" i="293"/>
  <c r="S237" i="293"/>
  <c r="S219" i="293"/>
  <c r="S217" i="293"/>
  <c r="R220" i="293"/>
  <c r="R201" i="293"/>
  <c r="X308" i="293"/>
  <c r="Y308" i="293" s="1"/>
  <c r="S201" i="293"/>
  <c r="S303" i="293"/>
  <c r="S169" i="293"/>
  <c r="R241" i="293"/>
  <c r="R225" i="293"/>
  <c r="R304" i="293"/>
  <c r="R165" i="293"/>
  <c r="X180" i="293"/>
  <c r="Y180" i="293" s="1"/>
  <c r="X304" i="293"/>
  <c r="Y304" i="293"/>
  <c r="S239" i="293"/>
  <c r="R186" i="293"/>
  <c r="R188" i="293"/>
  <c r="R194" i="293"/>
  <c r="R221" i="293"/>
  <c r="X305" i="293"/>
  <c r="Y305" i="293" s="1"/>
  <c r="X188" i="293"/>
  <c r="Y188" i="293" s="1"/>
  <c r="R308" i="293"/>
  <c r="S306" i="293"/>
  <c r="X310" i="293"/>
  <c r="Y310" i="293" s="1"/>
  <c r="R192" i="293"/>
  <c r="S233" i="293"/>
  <c r="S309" i="293"/>
  <c r="X190" i="293"/>
  <c r="Y190" i="293" s="1"/>
  <c r="X309" i="293"/>
  <c r="Y309" i="293" s="1"/>
  <c r="X194" i="293"/>
  <c r="Y194" i="293" s="1"/>
  <c r="X168" i="293"/>
  <c r="Y168" i="293" s="1"/>
  <c r="S223" i="293"/>
  <c r="R237" i="293"/>
  <c r="X303" i="293"/>
  <c r="Y303" i="293" s="1"/>
  <c r="S305" i="293"/>
  <c r="R310" i="293"/>
  <c r="S165" i="293"/>
  <c r="X176" i="293"/>
  <c r="Y176" i="293" s="1"/>
  <c r="S197" i="293"/>
  <c r="S235" i="293"/>
  <c r="X220" i="293"/>
  <c r="Y220" i="293" s="1"/>
  <c r="S227" i="293"/>
  <c r="R228" i="293"/>
  <c r="R229" i="293"/>
  <c r="S241" i="293"/>
  <c r="S243" i="293"/>
  <c r="X232" i="293"/>
  <c r="Y232" i="293" s="1"/>
  <c r="S213" i="293"/>
  <c r="R217" i="293"/>
  <c r="S229" i="293"/>
  <c r="S231" i="293"/>
  <c r="R232" i="293"/>
  <c r="R233" i="293"/>
  <c r="X245" i="293"/>
  <c r="Y245" i="293"/>
  <c r="S245" i="293"/>
  <c r="X246" i="293"/>
  <c r="Y246" i="293" s="1"/>
  <c r="X247" i="293"/>
  <c r="Y247" i="293"/>
  <c r="S247" i="293"/>
  <c r="X249" i="293"/>
  <c r="Y249" i="293" s="1"/>
  <c r="S249" i="293"/>
  <c r="S250" i="293"/>
  <c r="X250" i="293"/>
  <c r="Y250" i="293" s="1"/>
  <c r="X253" i="293"/>
  <c r="Y253" i="293"/>
  <c r="S253" i="293"/>
  <c r="X254" i="293"/>
  <c r="Y254" i="293" s="1"/>
  <c r="X255" i="293"/>
  <c r="Y255" i="293" s="1"/>
  <c r="S256" i="293"/>
  <c r="X257" i="293"/>
  <c r="Y257" i="293" s="1"/>
  <c r="S257" i="293"/>
  <c r="X259" i="293"/>
  <c r="Y259" i="293" s="1"/>
  <c r="S259" i="293"/>
  <c r="X261" i="293"/>
  <c r="Y261" i="293" s="1"/>
  <c r="S261" i="293"/>
  <c r="X262" i="293"/>
  <c r="Y262" i="293" s="1"/>
  <c r="X263" i="293"/>
  <c r="Y263" i="293"/>
  <c r="S263" i="293"/>
  <c r="S264" i="293"/>
  <c r="X264" i="293"/>
  <c r="Y264" i="293" s="1"/>
  <c r="S266" i="293"/>
  <c r="X267" i="293"/>
  <c r="Y267" i="293"/>
  <c r="S267" i="293"/>
  <c r="X269" i="293"/>
  <c r="Y269" i="293" s="1"/>
  <c r="S269" i="293"/>
  <c r="S270" i="293"/>
  <c r="S272" i="293"/>
  <c r="X272" i="293"/>
  <c r="Y272" i="293"/>
  <c r="X273" i="293"/>
  <c r="Y273" i="293" s="1"/>
  <c r="S273" i="293"/>
  <c r="S274" i="293"/>
  <c r="X274" i="293"/>
  <c r="Y274" i="293" s="1"/>
  <c r="X275" i="293"/>
  <c r="Y275" i="293" s="1"/>
  <c r="S276" i="293"/>
  <c r="X276" i="293"/>
  <c r="Y276" i="293" s="1"/>
  <c r="X277" i="293"/>
  <c r="Y277" i="293" s="1"/>
  <c r="S277" i="293"/>
  <c r="S278" i="293"/>
  <c r="X278" i="293"/>
  <c r="Y278" i="293" s="1"/>
  <c r="X279" i="293"/>
  <c r="Y279" i="293" s="1"/>
  <c r="S279" i="293"/>
  <c r="S280" i="293"/>
  <c r="S282" i="293"/>
  <c r="X282" i="293"/>
  <c r="Y282" i="293"/>
  <c r="S283" i="293"/>
  <c r="S284" i="293"/>
  <c r="X284" i="293"/>
  <c r="Y284" i="293"/>
  <c r="X285" i="293"/>
  <c r="Y285" i="293"/>
  <c r="S285" i="293"/>
  <c r="X287" i="293"/>
  <c r="Y287" i="293" s="1"/>
  <c r="S287" i="293"/>
  <c r="X288" i="293"/>
  <c r="Y288" i="293" s="1"/>
  <c r="X289" i="293"/>
  <c r="Y289" i="293" s="1"/>
  <c r="S289" i="293"/>
  <c r="S292" i="293"/>
  <c r="X292" i="293"/>
  <c r="Y292" i="293" s="1"/>
  <c r="S294" i="293"/>
  <c r="X294" i="293"/>
  <c r="Y294" i="293" s="1"/>
  <c r="X295" i="293"/>
  <c r="Y295" i="293"/>
  <c r="S295" i="293"/>
  <c r="X297" i="293"/>
  <c r="Y297" i="293" s="1"/>
  <c r="S297" i="293"/>
  <c r="S298" i="293"/>
  <c r="X298" i="293"/>
  <c r="Y298" i="293" s="1"/>
  <c r="X299" i="293"/>
  <c r="Y299" i="293"/>
  <c r="S299" i="293"/>
  <c r="S300" i="293"/>
  <c r="X300" i="293"/>
  <c r="Y300" i="293"/>
  <c r="S302" i="293"/>
  <c r="X302" i="293"/>
  <c r="Y302" i="293" s="1"/>
  <c r="R183" i="293"/>
  <c r="R211" i="293"/>
  <c r="R215" i="293"/>
  <c r="R219" i="293"/>
  <c r="R227" i="293"/>
  <c r="R231" i="293"/>
  <c r="R235" i="293"/>
  <c r="R239" i="293"/>
  <c r="R243" i="293"/>
  <c r="L42" i="258"/>
  <c r="L40" i="258"/>
  <c r="L39" i="258"/>
  <c r="L38" i="258"/>
  <c r="H42" i="258"/>
  <c r="H41" i="258"/>
  <c r="H40" i="258"/>
  <c r="H39" i="258"/>
  <c r="H38" i="258"/>
  <c r="Z10" i="279"/>
  <c r="X10" i="279" s="1"/>
  <c r="S209" i="284"/>
  <c r="R209" i="284"/>
  <c r="Q209" i="284"/>
  <c r="P209" i="284"/>
  <c r="O209" i="284"/>
  <c r="N209" i="284"/>
  <c r="M209" i="284"/>
  <c r="K209" i="284"/>
  <c r="J209" i="284"/>
  <c r="I209" i="284"/>
  <c r="H209" i="284"/>
  <c r="G209" i="284"/>
  <c r="F209" i="284"/>
  <c r="E209" i="284"/>
  <c r="G11" i="281"/>
  <c r="F11" i="281"/>
  <c r="F13" i="281" s="1"/>
  <c r="L11" i="281"/>
  <c r="L13" i="281" s="1"/>
  <c r="K11" i="281"/>
  <c r="J11" i="281"/>
  <c r="J13" i="281" s="1"/>
  <c r="I11" i="281"/>
  <c r="N11" i="281"/>
  <c r="N13" i="281" s="1"/>
  <c r="J12" i="280"/>
  <c r="M40" i="233"/>
  <c r="M39" i="233"/>
  <c r="K13" i="281"/>
  <c r="I13" i="281"/>
  <c r="AO40" i="233"/>
  <c r="AN40" i="233"/>
  <c r="AM40" i="233"/>
  <c r="AL40" i="233"/>
  <c r="AK40" i="233"/>
  <c r="AJ40" i="233"/>
  <c r="AI40" i="233"/>
  <c r="AH40" i="233"/>
  <c r="AG40" i="233"/>
  <c r="AO39" i="233"/>
  <c r="AN39" i="233"/>
  <c r="AM39" i="233"/>
  <c r="AL39" i="233"/>
  <c r="AK39" i="233"/>
  <c r="AJ39" i="233"/>
  <c r="AI39" i="233"/>
  <c r="AH39" i="233"/>
  <c r="AG39" i="233"/>
  <c r="Z10" i="289"/>
  <c r="T10" i="289" s="1"/>
  <c r="Z10" i="288"/>
  <c r="V10" i="288" s="1"/>
  <c r="P9" i="287"/>
  <c r="L8" i="242"/>
  <c r="W9" i="281"/>
  <c r="U9" i="281" s="1"/>
  <c r="P9" i="236"/>
  <c r="N9" i="236" s="1"/>
  <c r="AI10" i="235"/>
  <c r="T12" i="231"/>
  <c r="V11" i="227"/>
  <c r="S11" i="226"/>
  <c r="Q11" i="226" s="1"/>
  <c r="W9" i="225"/>
  <c r="U8" i="221"/>
  <c r="U8" i="212"/>
  <c r="N10" i="290"/>
  <c r="N9" i="287"/>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P160" i="291" s="1"/>
  <c r="G159" i="291"/>
  <c r="S158" i="291"/>
  <c r="P158" i="291"/>
  <c r="M158" i="291"/>
  <c r="G157" i="291"/>
  <c r="M157" i="291" s="1"/>
  <c r="S147" i="291"/>
  <c r="P147" i="291"/>
  <c r="M147" i="291"/>
  <c r="G146" i="291"/>
  <c r="J146" i="291" s="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J157" i="291"/>
  <c r="S159" i="291"/>
  <c r="J159" i="291"/>
  <c r="M159" i="291"/>
  <c r="P159" i="291"/>
  <c r="P157" i="291"/>
  <c r="M146" i="291"/>
  <c r="I7" i="218"/>
  <c r="W20" i="280"/>
  <c r="W19" i="280"/>
  <c r="W17" i="280"/>
  <c r="W16" i="280"/>
  <c r="W14" i="280"/>
  <c r="W13" i="280"/>
  <c r="W11" i="280"/>
  <c r="W10" i="280"/>
  <c r="W12" i="280" s="1"/>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Q24" i="280" s="1"/>
  <c r="P22" i="280"/>
  <c r="O22" i="280"/>
  <c r="M22" i="280"/>
  <c r="L22" i="280"/>
  <c r="K22" i="280"/>
  <c r="J22" i="280"/>
  <c r="J24" i="280" s="1"/>
  <c r="I22" i="280"/>
  <c r="H22" i="280"/>
  <c r="H24" i="280" s="1"/>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N24" i="279" s="1"/>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T24" i="280"/>
  <c r="G56" i="240"/>
  <c r="G55" i="240"/>
  <c r="G57" i="240"/>
  <c r="J22" i="237"/>
  <c r="J21" i="237"/>
  <c r="J20" i="237"/>
  <c r="J19" i="237"/>
  <c r="J18" i="237"/>
  <c r="F14" i="236"/>
  <c r="G13" i="236"/>
  <c r="G12" i="236"/>
  <c r="G11" i="236"/>
  <c r="G10" i="236"/>
  <c r="G9" i="236"/>
  <c r="J23" i="237"/>
  <c r="K15" i="209"/>
  <c r="J15" i="209"/>
  <c r="I15" i="209"/>
  <c r="H15" i="209"/>
  <c r="G15" i="209"/>
  <c r="F15" i="209"/>
  <c r="E15" i="209"/>
  <c r="F14" i="209"/>
  <c r="E14" i="209"/>
  <c r="K14" i="209"/>
  <c r="J14" i="209"/>
  <c r="I14" i="209"/>
  <c r="H14" i="209"/>
  <c r="G14" i="209"/>
  <c r="I10" i="202"/>
  <c r="I10" i="204"/>
  <c r="J10" i="204" s="1"/>
  <c r="U10" i="263"/>
  <c r="U10" i="262"/>
  <c r="S10" i="262" s="1"/>
  <c r="F22" i="259"/>
  <c r="E22" i="259"/>
  <c r="F14" i="259"/>
  <c r="E14" i="259"/>
  <c r="O8" i="259"/>
  <c r="AB9" i="258"/>
  <c r="S9" i="258" s="1"/>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s="1"/>
  <c r="CD25" i="251"/>
  <c r="CD27" i="251" s="1"/>
  <c r="CC25" i="251"/>
  <c r="CC27" i="251" s="1"/>
  <c r="CB25" i="251"/>
  <c r="CB27" i="251" s="1"/>
  <c r="CA25" i="251"/>
  <c r="CA27" i="251"/>
  <c r="BZ25" i="251"/>
  <c r="BZ27" i="251" s="1"/>
  <c r="BY25" i="251"/>
  <c r="BY27" i="251" s="1"/>
  <c r="BX25" i="251"/>
  <c r="BX27" i="251"/>
  <c r="BW25" i="251"/>
  <c r="BW27" i="251" s="1"/>
  <c r="BV25" i="251"/>
  <c r="BV27" i="251" s="1"/>
  <c r="BU25" i="251"/>
  <c r="BU27" i="251" s="1"/>
  <c r="BT25" i="251"/>
  <c r="BT27" i="251" s="1"/>
  <c r="BS25" i="251"/>
  <c r="BS27" i="251"/>
  <c r="BR25" i="251"/>
  <c r="BR27" i="251" s="1"/>
  <c r="BQ25" i="251"/>
  <c r="BQ27" i="251" s="1"/>
  <c r="BP25" i="251"/>
  <c r="BP27" i="251"/>
  <c r="BO25" i="251"/>
  <c r="BO27" i="251" s="1"/>
  <c r="BN25" i="251"/>
  <c r="BN27" i="251" s="1"/>
  <c r="BM25" i="251"/>
  <c r="BM27" i="251" s="1"/>
  <c r="BL25" i="251"/>
  <c r="BL27" i="251" s="1"/>
  <c r="BK25" i="251"/>
  <c r="BK27" i="251"/>
  <c r="BJ25" i="251"/>
  <c r="BJ27" i="251" s="1"/>
  <c r="BI25" i="251"/>
  <c r="BI27" i="251" s="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N8" i="246"/>
  <c r="L8" i="246" s="1"/>
  <c r="Q8" i="245"/>
  <c r="M8" i="245" s="1"/>
  <c r="U8" i="243"/>
  <c r="T43" i="240"/>
  <c r="T39" i="240"/>
  <c r="H15" i="240"/>
  <c r="F15" i="240"/>
  <c r="E15" i="240"/>
  <c r="G14" i="240"/>
  <c r="G13" i="240"/>
  <c r="G12" i="240"/>
  <c r="H11" i="240"/>
  <c r="F11" i="240"/>
  <c r="E11" i="240"/>
  <c r="G10" i="240"/>
  <c r="G9" i="240"/>
  <c r="AC8" i="240"/>
  <c r="AA8" i="240" s="1"/>
  <c r="G8" i="240"/>
  <c r="F20" i="239"/>
  <c r="E20" i="239"/>
  <c r="G19" i="239"/>
  <c r="G18" i="239"/>
  <c r="F17" i="239"/>
  <c r="E17" i="239"/>
  <c r="G16" i="239"/>
  <c r="G15" i="239"/>
  <c r="F10" i="239"/>
  <c r="E10" i="239"/>
  <c r="G9" i="239"/>
  <c r="P8" i="239"/>
  <c r="N8" i="239" s="1"/>
  <c r="G8" i="239"/>
  <c r="S10" i="237"/>
  <c r="V85" i="235"/>
  <c r="M85" i="235"/>
  <c r="I82" i="235"/>
  <c r="V79" i="235"/>
  <c r="L76" i="235"/>
  <c r="M67" i="235"/>
  <c r="R64" i="235"/>
  <c r="I64" i="235"/>
  <c r="Q61" i="235"/>
  <c r="K61" i="235"/>
  <c r="I61" i="235"/>
  <c r="H61" i="235"/>
  <c r="U52" i="235"/>
  <c r="L52" i="235"/>
  <c r="Q49" i="235"/>
  <c r="P46" i="235"/>
  <c r="H46" i="235"/>
  <c r="G46" i="235"/>
  <c r="Q24" i="235"/>
  <c r="P24" i="235"/>
  <c r="H24" i="235"/>
  <c r="R21" i="235"/>
  <c r="H18" i="235"/>
  <c r="G18" i="235"/>
  <c r="F18" i="235"/>
  <c r="I12" i="235"/>
  <c r="AC10" i="234"/>
  <c r="AA10" i="234" s="1"/>
  <c r="V10" i="233"/>
  <c r="S9" i="232"/>
  <c r="O11" i="230"/>
  <c r="M11" i="230" s="1"/>
  <c r="M45" i="227"/>
  <c r="M44" i="227"/>
  <c r="M43" i="227"/>
  <c r="M42" i="227"/>
  <c r="K46" i="227"/>
  <c r="J46" i="227"/>
  <c r="G46" i="227"/>
  <c r="J45" i="226"/>
  <c r="J44" i="226"/>
  <c r="J43" i="226"/>
  <c r="J42" i="226"/>
  <c r="I46" i="226"/>
  <c r="P10" i="220"/>
  <c r="M10" i="220" s="1"/>
  <c r="R7" i="218"/>
  <c r="P9" i="217"/>
  <c r="N9" i="217" s="1"/>
  <c r="O8" i="216"/>
  <c r="M8" i="216" s="1"/>
  <c r="S8" i="215"/>
  <c r="U9" i="206"/>
  <c r="R9" i="206"/>
  <c r="S11" i="205"/>
  <c r="S9" i="203"/>
  <c r="S8" i="202"/>
  <c r="L8" i="254"/>
  <c r="M8" i="259"/>
  <c r="L7" i="256"/>
  <c r="L8" i="247"/>
  <c r="P7" i="218"/>
  <c r="S10" i="263"/>
  <c r="P44" i="240"/>
  <c r="L25" i="251"/>
  <c r="L27" i="251"/>
  <c r="T25" i="251"/>
  <c r="T27" i="251" s="1"/>
  <c r="AB25" i="251"/>
  <c r="AB27" i="251"/>
  <c r="AJ25" i="251"/>
  <c r="AJ27" i="251" s="1"/>
  <c r="M25" i="251"/>
  <c r="M27" i="251" s="1"/>
  <c r="U25" i="251"/>
  <c r="U27" i="251" s="1"/>
  <c r="AC25" i="251"/>
  <c r="AC27" i="251" s="1"/>
  <c r="AK25" i="251"/>
  <c r="AK27" i="251" s="1"/>
  <c r="AS25" i="251"/>
  <c r="AS27" i="251"/>
  <c r="I41" i="204"/>
  <c r="BA25" i="251"/>
  <c r="BA27" i="251"/>
  <c r="G27" i="234"/>
  <c r="J39" i="234"/>
  <c r="AR25" i="251"/>
  <c r="AR27" i="251" s="1"/>
  <c r="H15" i="234"/>
  <c r="F52" i="204"/>
  <c r="G35" i="205"/>
  <c r="I33" i="205"/>
  <c r="J33" i="205" s="1"/>
  <c r="J25" i="251"/>
  <c r="J27" i="251" s="1"/>
  <c r="R25" i="251"/>
  <c r="R27" i="251" s="1"/>
  <c r="Z25" i="251"/>
  <c r="Z27" i="251" s="1"/>
  <c r="AH25" i="251"/>
  <c r="AH27" i="251"/>
  <c r="AP25" i="251"/>
  <c r="AP27" i="251" s="1"/>
  <c r="AX25" i="251"/>
  <c r="AX27" i="251" s="1"/>
  <c r="BF25" i="251"/>
  <c r="BF27" i="251" s="1"/>
  <c r="G36" i="234"/>
  <c r="J108" i="234"/>
  <c r="E27" i="251"/>
  <c r="I44" i="204"/>
  <c r="J30" i="228"/>
  <c r="M21" i="235"/>
  <c r="I9" i="203"/>
  <c r="J9" i="203" s="1"/>
  <c r="F21" i="234"/>
  <c r="J45" i="234"/>
  <c r="H81" i="234"/>
  <c r="H15" i="204"/>
  <c r="F33" i="234"/>
  <c r="AZ25" i="251"/>
  <c r="AZ27" i="251" s="1"/>
  <c r="I12" i="204"/>
  <c r="I14" i="204"/>
  <c r="L24" i="235"/>
  <c r="I12" i="202"/>
  <c r="J12" i="202" s="1"/>
  <c r="I10" i="205"/>
  <c r="I15" i="205"/>
  <c r="V46" i="235"/>
  <c r="X25" i="251"/>
  <c r="X27" i="251" s="1"/>
  <c r="K70" i="235"/>
  <c r="L10" i="258"/>
  <c r="P11" i="228"/>
  <c r="J17" i="228"/>
  <c r="I24" i="234"/>
  <c r="F42" i="234"/>
  <c r="I37" i="204"/>
  <c r="J24" i="234"/>
  <c r="H33" i="234"/>
  <c r="M64" i="235"/>
  <c r="I40" i="235"/>
  <c r="J82" i="235"/>
  <c r="Q85" i="235"/>
  <c r="I43" i="204"/>
  <c r="I18" i="205"/>
  <c r="P31" i="228"/>
  <c r="K19" i="234"/>
  <c r="R85" i="235"/>
  <c r="M24" i="235"/>
  <c r="I11" i="204"/>
  <c r="I8" i="202"/>
  <c r="I23" i="205"/>
  <c r="F11" i="202"/>
  <c r="I21" i="204"/>
  <c r="I30" i="204"/>
  <c r="K14" i="234"/>
  <c r="R61" i="235"/>
  <c r="G11" i="202"/>
  <c r="I13" i="202"/>
  <c r="I19" i="205"/>
  <c r="H27" i="234"/>
  <c r="M18" i="235"/>
  <c r="H32" i="232"/>
  <c r="I25" i="205"/>
  <c r="I9" i="202"/>
  <c r="I16" i="205"/>
  <c r="Q9" i="203"/>
  <c r="I13" i="204"/>
  <c r="I25" i="204"/>
  <c r="I27" i="204"/>
  <c r="I36" i="204"/>
  <c r="G76" i="235"/>
  <c r="F46" i="227"/>
  <c r="F15" i="234"/>
  <c r="F24" i="234"/>
  <c r="J36" i="234"/>
  <c r="L18" i="235"/>
  <c r="K43" i="235"/>
  <c r="S61" i="235"/>
  <c r="G61" i="235"/>
  <c r="M70" i="235"/>
  <c r="T21" i="229"/>
  <c r="I43" i="231"/>
  <c r="J12" i="234"/>
  <c r="F114" i="234"/>
  <c r="T49" i="235"/>
  <c r="I52" i="235"/>
  <c r="K55" i="235"/>
  <c r="O61" i="235"/>
  <c r="K16" i="234"/>
  <c r="H42" i="234"/>
  <c r="I48" i="234"/>
  <c r="J111" i="234"/>
  <c r="U37" i="235"/>
  <c r="K52" i="235"/>
  <c r="T52" i="235"/>
  <c r="J52" i="235"/>
  <c r="G67" i="235"/>
  <c r="E14" i="236"/>
  <c r="M13" i="229"/>
  <c r="M37" i="235"/>
  <c r="V37" i="235"/>
  <c r="H67" i="235"/>
  <c r="H82" i="235"/>
  <c r="BB25" i="251"/>
  <c r="BB27" i="251"/>
  <c r="F33" i="233"/>
  <c r="H21" i="234"/>
  <c r="J96" i="234"/>
  <c r="F73" i="235"/>
  <c r="U82" i="235"/>
  <c r="I27" i="232"/>
  <c r="G33" i="234"/>
  <c r="I96" i="234"/>
  <c r="H21" i="235"/>
  <c r="Q21" i="235"/>
  <c r="F21" i="235"/>
  <c r="I46" i="235"/>
  <c r="H73" i="235"/>
  <c r="G46" i="226"/>
  <c r="F33" i="231"/>
  <c r="F39" i="234"/>
  <c r="H12" i="235"/>
  <c r="N63" i="235"/>
  <c r="H85" i="235"/>
  <c r="H25" i="251"/>
  <c r="H27" i="251"/>
  <c r="I25" i="251"/>
  <c r="I27" i="251"/>
  <c r="Q25" i="251"/>
  <c r="Q27" i="251" s="1"/>
  <c r="Y25" i="251"/>
  <c r="Y27" i="251" s="1"/>
  <c r="AG25" i="251"/>
  <c r="AG27" i="251" s="1"/>
  <c r="AO25" i="251"/>
  <c r="AO27" i="251"/>
  <c r="AW25" i="251"/>
  <c r="AW27" i="251" s="1"/>
  <c r="BE25" i="251"/>
  <c r="BE27" i="251" s="1"/>
  <c r="H14" i="258"/>
  <c r="Q8" i="202"/>
  <c r="F15" i="204"/>
  <c r="H35" i="205"/>
  <c r="I26" i="202"/>
  <c r="G15" i="204"/>
  <c r="I20" i="204"/>
  <c r="I38" i="204"/>
  <c r="Q11" i="205"/>
  <c r="I12" i="205"/>
  <c r="I14" i="205"/>
  <c r="L8" i="209"/>
  <c r="I20" i="202"/>
  <c r="I19" i="204"/>
  <c r="J19" i="204" s="1"/>
  <c r="H22" i="204"/>
  <c r="I26" i="204"/>
  <c r="F45" i="204"/>
  <c r="I24" i="205"/>
  <c r="I34" i="205"/>
  <c r="H27" i="202"/>
  <c r="F31" i="204"/>
  <c r="I42" i="204"/>
  <c r="I11" i="205"/>
  <c r="I17" i="202"/>
  <c r="H45" i="204"/>
  <c r="I13" i="205"/>
  <c r="F27" i="205"/>
  <c r="F22" i="204"/>
  <c r="I18" i="204"/>
  <c r="F46" i="226"/>
  <c r="K79" i="235"/>
  <c r="U21" i="235"/>
  <c r="K40" i="235"/>
  <c r="T61" i="235"/>
  <c r="I46" i="227"/>
  <c r="P15" i="228"/>
  <c r="U21" i="229"/>
  <c r="M17" i="229"/>
  <c r="M25" i="229"/>
  <c r="E34" i="229"/>
  <c r="V25" i="229"/>
  <c r="J11" i="232"/>
  <c r="F32" i="232"/>
  <c r="H46" i="226"/>
  <c r="P19" i="228"/>
  <c r="M27" i="229"/>
  <c r="V27" i="229"/>
  <c r="M33" i="229"/>
  <c r="V33" i="229"/>
  <c r="K119" i="234"/>
  <c r="F33" i="228"/>
  <c r="P27" i="228"/>
  <c r="H26" i="231"/>
  <c r="D43" i="231"/>
  <c r="J23" i="232"/>
  <c r="H111" i="234"/>
  <c r="M52" i="235"/>
  <c r="L46" i="227"/>
  <c r="J24" i="228"/>
  <c r="E21" i="229"/>
  <c r="AE11" i="229"/>
  <c r="J21" i="229"/>
  <c r="H33" i="233"/>
  <c r="H93" i="234"/>
  <c r="K95" i="234"/>
  <c r="I20" i="228"/>
  <c r="V13" i="229"/>
  <c r="M19" i="229"/>
  <c r="F27" i="232"/>
  <c r="J15" i="232"/>
  <c r="I55" i="235"/>
  <c r="S67" i="235"/>
  <c r="J34" i="226"/>
  <c r="V24" i="229"/>
  <c r="V26" i="229"/>
  <c r="I26" i="231"/>
  <c r="I33" i="231"/>
  <c r="I45" i="234"/>
  <c r="G93" i="234"/>
  <c r="F111" i="234"/>
  <c r="V21" i="235"/>
  <c r="H52" i="235"/>
  <c r="L70" i="235"/>
  <c r="J79" i="235"/>
  <c r="S79" i="235"/>
  <c r="G33" i="228"/>
  <c r="P26" i="228"/>
  <c r="O21" i="229"/>
  <c r="M13" i="233"/>
  <c r="G48" i="234"/>
  <c r="I93" i="234"/>
  <c r="J40" i="235"/>
  <c r="O52" i="235"/>
  <c r="L64" i="235"/>
  <c r="U64" i="235"/>
  <c r="T67" i="235"/>
  <c r="H76" i="235"/>
  <c r="M17" i="227"/>
  <c r="Q34" i="229"/>
  <c r="D26" i="231"/>
  <c r="J9" i="232"/>
  <c r="J19" i="232"/>
  <c r="J18" i="234"/>
  <c r="M39" i="234"/>
  <c r="K15" i="235"/>
  <c r="W20" i="235"/>
  <c r="R37" i="235"/>
  <c r="L43" i="235"/>
  <c r="V64" i="235"/>
  <c r="L67" i="235"/>
  <c r="U67" i="235"/>
  <c r="I76" i="235"/>
  <c r="J85" i="235"/>
  <c r="G81" i="234"/>
  <c r="J37" i="235"/>
  <c r="S37" i="235"/>
  <c r="M43" i="235"/>
  <c r="Q46" i="235"/>
  <c r="G73" i="235"/>
  <c r="W81" i="235"/>
  <c r="S85" i="235"/>
  <c r="E20" i="228"/>
  <c r="M20" i="229"/>
  <c r="V20" i="229"/>
  <c r="K35" i="234"/>
  <c r="I42" i="234"/>
  <c r="G96" i="234"/>
  <c r="K110" i="234"/>
  <c r="K37" i="235"/>
  <c r="N68" i="235"/>
  <c r="H13" i="258"/>
  <c r="J14" i="232"/>
  <c r="J18" i="232"/>
  <c r="J15" i="234"/>
  <c r="H96" i="234"/>
  <c r="T21" i="235"/>
  <c r="T24" i="235"/>
  <c r="H12" i="258"/>
  <c r="L33" i="233"/>
  <c r="G33" i="233"/>
  <c r="G18" i="234"/>
  <c r="F36" i="234"/>
  <c r="I81" i="234"/>
  <c r="G114" i="234"/>
  <c r="U24" i="235"/>
  <c r="N41" i="235"/>
  <c r="N60" i="235"/>
  <c r="Q79" i="235"/>
  <c r="N87" i="235"/>
  <c r="H18" i="243"/>
  <c r="K20" i="234"/>
  <c r="P39" i="234"/>
  <c r="K43" i="234"/>
  <c r="K44" i="234"/>
  <c r="K121" i="234"/>
  <c r="N17" i="235"/>
  <c r="G21" i="235"/>
  <c r="P21" i="235"/>
  <c r="F46" i="235"/>
  <c r="R52" i="235"/>
  <c r="N65" i="235"/>
  <c r="M73" i="235"/>
  <c r="H36" i="234"/>
  <c r="I39" i="234"/>
  <c r="J48" i="234"/>
  <c r="I15" i="235"/>
  <c r="N45" i="235"/>
  <c r="W45" i="235"/>
  <c r="M46" i="235"/>
  <c r="S52" i="235"/>
  <c r="J55" i="235"/>
  <c r="J76" i="235"/>
  <c r="N84" i="235"/>
  <c r="J18" i="243"/>
  <c r="J42" i="234"/>
  <c r="H114" i="234"/>
  <c r="F43" i="235"/>
  <c r="U46" i="235"/>
  <c r="F64" i="235"/>
  <c r="K18" i="243"/>
  <c r="K12" i="235"/>
  <c r="J15" i="235"/>
  <c r="K18" i="235"/>
  <c r="L49" i="235"/>
  <c r="L55" i="235"/>
  <c r="L14" i="243"/>
  <c r="R79" i="235"/>
  <c r="K25" i="251"/>
  <c r="K27" i="251" s="1"/>
  <c r="S25" i="251"/>
  <c r="S27" i="251"/>
  <c r="AA25" i="251"/>
  <c r="AA27" i="251" s="1"/>
  <c r="AI25" i="251"/>
  <c r="AI27" i="251" s="1"/>
  <c r="AQ25" i="251"/>
  <c r="AQ27" i="251"/>
  <c r="AY25" i="251"/>
  <c r="AY27" i="251"/>
  <c r="BG25" i="251"/>
  <c r="BG27" i="251" s="1"/>
  <c r="L10" i="243"/>
  <c r="O8" i="248"/>
  <c r="F25" i="251"/>
  <c r="F27" i="251" s="1"/>
  <c r="N25" i="251"/>
  <c r="N27" i="251" s="1"/>
  <c r="V25" i="251"/>
  <c r="V27" i="251" s="1"/>
  <c r="AD25" i="251"/>
  <c r="AD27" i="251" s="1"/>
  <c r="AL25" i="251"/>
  <c r="AL27" i="251" s="1"/>
  <c r="H10" i="258"/>
  <c r="P82" i="235"/>
  <c r="U85" i="235"/>
  <c r="T85" i="235"/>
  <c r="E18" i="243"/>
  <c r="G25" i="251"/>
  <c r="G27" i="251" s="1"/>
  <c r="O25" i="251"/>
  <c r="O27" i="251" s="1"/>
  <c r="W25" i="251"/>
  <c r="W27" i="251" s="1"/>
  <c r="AE25" i="251"/>
  <c r="AE27" i="251" s="1"/>
  <c r="AM25" i="251"/>
  <c r="AM27" i="251" s="1"/>
  <c r="AU25" i="251"/>
  <c r="AU27" i="251" s="1"/>
  <c r="BC25" i="251"/>
  <c r="BC27" i="251"/>
  <c r="P25" i="251"/>
  <c r="P27" i="251" s="1"/>
  <c r="AF25" i="251"/>
  <c r="AF27" i="251" s="1"/>
  <c r="I79" i="235"/>
  <c r="Q82" i="235"/>
  <c r="N88" i="235"/>
  <c r="N95" i="235"/>
  <c r="F18" i="243"/>
  <c r="L11" i="258"/>
  <c r="J11" i="237"/>
  <c r="J13" i="204"/>
  <c r="G22" i="204"/>
  <c r="H27" i="205"/>
  <c r="H11" i="202"/>
  <c r="I11" i="202" s="1"/>
  <c r="I14" i="202"/>
  <c r="I22" i="202"/>
  <c r="F27" i="202"/>
  <c r="F19" i="202" s="1"/>
  <c r="I10" i="203"/>
  <c r="I28" i="204"/>
  <c r="I39" i="204"/>
  <c r="I50" i="204"/>
  <c r="G52" i="204"/>
  <c r="S9" i="206"/>
  <c r="I21" i="206"/>
  <c r="U8" i="209"/>
  <c r="S8" i="209" s="1"/>
  <c r="I15" i="202"/>
  <c r="I25" i="202"/>
  <c r="G27" i="202"/>
  <c r="G19" i="202" s="1"/>
  <c r="I9" i="204"/>
  <c r="I29" i="204"/>
  <c r="G31" i="204"/>
  <c r="I40" i="204"/>
  <c r="J40" i="204" s="1"/>
  <c r="I51" i="204"/>
  <c r="H52" i="204"/>
  <c r="F35" i="205"/>
  <c r="T9" i="206"/>
  <c r="I22" i="206"/>
  <c r="H31" i="204"/>
  <c r="I26" i="205"/>
  <c r="S9" i="204"/>
  <c r="G45" i="204"/>
  <c r="N15" i="214"/>
  <c r="L15" i="214" s="1"/>
  <c r="G27" i="205"/>
  <c r="I9" i="206"/>
  <c r="I32" i="205"/>
  <c r="L17" i="209"/>
  <c r="K46" i="234"/>
  <c r="F48" i="234"/>
  <c r="J15" i="228"/>
  <c r="J13" i="226"/>
  <c r="F21" i="229"/>
  <c r="N83" i="235"/>
  <c r="F85" i="235"/>
  <c r="O85" i="235"/>
  <c r="W83" i="235"/>
  <c r="P13" i="228"/>
  <c r="K20" i="228"/>
  <c r="P10" i="228"/>
  <c r="L20" i="228"/>
  <c r="K34" i="229"/>
  <c r="J114" i="234"/>
  <c r="J41" i="226"/>
  <c r="E46" i="226"/>
  <c r="J28" i="226"/>
  <c r="H46" i="227"/>
  <c r="V17" i="229"/>
  <c r="I33" i="234"/>
  <c r="K31" i="234"/>
  <c r="J17" i="226"/>
  <c r="M33" i="227"/>
  <c r="J12" i="228"/>
  <c r="P18" i="228"/>
  <c r="M28" i="227"/>
  <c r="P16" i="228"/>
  <c r="I33" i="228"/>
  <c r="P25" i="228"/>
  <c r="M24" i="229"/>
  <c r="K17" i="234"/>
  <c r="J12" i="235"/>
  <c r="Q67" i="235"/>
  <c r="F82" i="235"/>
  <c r="N80" i="235"/>
  <c r="V82" i="235"/>
  <c r="Y10" i="228"/>
  <c r="J10" i="228"/>
  <c r="N20" i="228"/>
  <c r="J11" i="228"/>
  <c r="P14" i="228"/>
  <c r="P17" i="228"/>
  <c r="G20" i="228"/>
  <c r="K33" i="228"/>
  <c r="P23" i="228"/>
  <c r="J27" i="228"/>
  <c r="P28" i="228"/>
  <c r="J31" i="228"/>
  <c r="E33" i="231"/>
  <c r="G15" i="234"/>
  <c r="G39" i="234"/>
  <c r="F40" i="235"/>
  <c r="N38" i="235"/>
  <c r="M41" i="227"/>
  <c r="F20" i="228"/>
  <c r="J18" i="228"/>
  <c r="J19" i="228"/>
  <c r="M20" i="228"/>
  <c r="P24" i="228"/>
  <c r="L33" i="228"/>
  <c r="P30" i="228"/>
  <c r="M15" i="229"/>
  <c r="J30" i="232"/>
  <c r="E32" i="232"/>
  <c r="K11" i="234"/>
  <c r="G12" i="234"/>
  <c r="O20" i="228"/>
  <c r="M33" i="228"/>
  <c r="J25" i="228"/>
  <c r="J26" i="228"/>
  <c r="O33" i="228"/>
  <c r="M12" i="229"/>
  <c r="V12" i="229"/>
  <c r="L21" i="229"/>
  <c r="H33" i="231"/>
  <c r="M16" i="233"/>
  <c r="K80" i="234"/>
  <c r="K107" i="234"/>
  <c r="L40" i="235"/>
  <c r="H20" i="228"/>
  <c r="P12" i="228"/>
  <c r="E33" i="228"/>
  <c r="N33" i="228"/>
  <c r="J32" i="228"/>
  <c r="V19" i="229"/>
  <c r="J13" i="232"/>
  <c r="J25" i="232"/>
  <c r="E33" i="233"/>
  <c r="M31" i="233"/>
  <c r="J24" i="226"/>
  <c r="E46" i="227"/>
  <c r="J16" i="228"/>
  <c r="J23" i="228"/>
  <c r="P29" i="228"/>
  <c r="M11" i="229"/>
  <c r="N21" i="229"/>
  <c r="V11" i="229"/>
  <c r="V15" i="229"/>
  <c r="H21" i="229"/>
  <c r="M28" i="229"/>
  <c r="J34" i="229"/>
  <c r="M12" i="233"/>
  <c r="H18" i="234"/>
  <c r="O39" i="234"/>
  <c r="K94" i="234"/>
  <c r="J14" i="228"/>
  <c r="J29" i="228"/>
  <c r="G21" i="229"/>
  <c r="P21" i="229"/>
  <c r="K21" i="229"/>
  <c r="F34" i="229"/>
  <c r="O34" i="229"/>
  <c r="M30" i="229"/>
  <c r="V30" i="229"/>
  <c r="E26" i="231"/>
  <c r="M15" i="233"/>
  <c r="H129" i="234"/>
  <c r="M12" i="235"/>
  <c r="J46" i="235"/>
  <c r="S46" i="235"/>
  <c r="G55" i="235"/>
  <c r="J33" i="226"/>
  <c r="M24" i="227"/>
  <c r="M34" i="227"/>
  <c r="J13" i="228"/>
  <c r="J28" i="228"/>
  <c r="Q21" i="229"/>
  <c r="M14" i="229"/>
  <c r="M18" i="229"/>
  <c r="G34" i="229"/>
  <c r="P34" i="229"/>
  <c r="R34" i="229"/>
  <c r="F26" i="231"/>
  <c r="G26" i="231" s="1"/>
  <c r="E43" i="231"/>
  <c r="J10" i="232"/>
  <c r="J20" i="232"/>
  <c r="M11" i="233"/>
  <c r="K79" i="234"/>
  <c r="K24" i="235"/>
  <c r="N35" i="235"/>
  <c r="W35" i="235"/>
  <c r="K46" i="235"/>
  <c r="T46" i="235"/>
  <c r="P32" i="228"/>
  <c r="I21" i="229"/>
  <c r="V14" i="229"/>
  <c r="V18" i="229"/>
  <c r="H34" i="229"/>
  <c r="V31" i="229"/>
  <c r="S34" i="229"/>
  <c r="G27" i="232"/>
  <c r="G32" i="232"/>
  <c r="M14" i="233"/>
  <c r="I18" i="234"/>
  <c r="K22" i="234"/>
  <c r="G24" i="234"/>
  <c r="K34" i="234"/>
  <c r="K109" i="234"/>
  <c r="J24" i="235"/>
  <c r="S24" i="235"/>
  <c r="R21" i="229"/>
  <c r="I34" i="229"/>
  <c r="L34" i="229"/>
  <c r="M32" i="229"/>
  <c r="V32" i="229"/>
  <c r="U34" i="229"/>
  <c r="F43" i="231"/>
  <c r="H27" i="232"/>
  <c r="J12" i="232"/>
  <c r="J24" i="232"/>
  <c r="I32" i="232"/>
  <c r="I33" i="233"/>
  <c r="N39" i="234"/>
  <c r="H37" i="235"/>
  <c r="Q37" i="235"/>
  <c r="N42" i="235"/>
  <c r="H33" i="228"/>
  <c r="S21" i="229"/>
  <c r="M26" i="229"/>
  <c r="J35" i="232"/>
  <c r="J21" i="234"/>
  <c r="J27" i="234"/>
  <c r="K26" i="234"/>
  <c r="K32" i="234"/>
  <c r="K38" i="234"/>
  <c r="I111" i="234"/>
  <c r="K117" i="234"/>
  <c r="N14" i="235"/>
  <c r="H79" i="235"/>
  <c r="V28" i="229"/>
  <c r="M31" i="229"/>
  <c r="T34" i="229"/>
  <c r="H43" i="231"/>
  <c r="E27" i="232"/>
  <c r="J31" i="232"/>
  <c r="I129" i="234"/>
  <c r="K13" i="234"/>
  <c r="J93" i="234"/>
  <c r="K122" i="234"/>
  <c r="K124" i="234"/>
  <c r="L12" i="235"/>
  <c r="W23" i="235"/>
  <c r="N36" i="235"/>
  <c r="J43" i="235"/>
  <c r="L46" i="235"/>
  <c r="F55" i="235"/>
  <c r="N53" i="235"/>
  <c r="F61" i="235"/>
  <c r="N59" i="235"/>
  <c r="V61" i="235"/>
  <c r="W60" i="235"/>
  <c r="W63" i="235"/>
  <c r="M16" i="229"/>
  <c r="M29" i="229"/>
  <c r="N34" i="229"/>
  <c r="D33" i="231"/>
  <c r="K92" i="234"/>
  <c r="K116" i="234"/>
  <c r="F12" i="235"/>
  <c r="N10" i="235"/>
  <c r="M15" i="235"/>
  <c r="I21" i="235"/>
  <c r="N44" i="235"/>
  <c r="W44" i="235"/>
  <c r="N48" i="235"/>
  <c r="W48" i="235"/>
  <c r="V16" i="229"/>
  <c r="V29" i="229"/>
  <c r="J33" i="233"/>
  <c r="J20" i="227" s="1"/>
  <c r="M32" i="233"/>
  <c r="I15" i="234"/>
  <c r="K15" i="234" s="1"/>
  <c r="I21" i="234"/>
  <c r="F27" i="234"/>
  <c r="H45" i="234"/>
  <c r="G45" i="234"/>
  <c r="K118" i="234"/>
  <c r="L15" i="235"/>
  <c r="N39" i="235"/>
  <c r="K33" i="233"/>
  <c r="K23" i="234"/>
  <c r="K91" i="234"/>
  <c r="K21" i="235"/>
  <c r="I49" i="235"/>
  <c r="R49" i="235"/>
  <c r="L73" i="235"/>
  <c r="M36" i="233"/>
  <c r="K41" i="234"/>
  <c r="H108" i="234"/>
  <c r="F93" i="234"/>
  <c r="K113" i="234"/>
  <c r="K123" i="234"/>
  <c r="N16" i="235"/>
  <c r="I24" i="235"/>
  <c r="R24" i="235"/>
  <c r="L37" i="235"/>
  <c r="J49" i="235"/>
  <c r="S49" i="235"/>
  <c r="P67" i="235"/>
  <c r="N69" i="235"/>
  <c r="O82" i="235"/>
  <c r="W80" i="235"/>
  <c r="G85" i="235"/>
  <c r="P85" i="235"/>
  <c r="K47" i="234"/>
  <c r="K112" i="234"/>
  <c r="J21" i="235"/>
  <c r="S21" i="235"/>
  <c r="N23" i="235"/>
  <c r="G37" i="235"/>
  <c r="P37" i="235"/>
  <c r="M40" i="235"/>
  <c r="K49" i="235"/>
  <c r="P79" i="235"/>
  <c r="G82" i="235"/>
  <c r="H128" i="234"/>
  <c r="G21" i="226" s="1"/>
  <c r="H12" i="234"/>
  <c r="K120" i="234"/>
  <c r="F15" i="235"/>
  <c r="N13" i="235"/>
  <c r="I18" i="235"/>
  <c r="N20" i="235"/>
  <c r="N22" i="235"/>
  <c r="W22" i="235"/>
  <c r="I37" i="235"/>
  <c r="G40" i="235"/>
  <c r="G43" i="235"/>
  <c r="N93" i="235"/>
  <c r="G15" i="235"/>
  <c r="J18" i="235"/>
  <c r="L21" i="235"/>
  <c r="G24" i="235"/>
  <c r="H40" i="235"/>
  <c r="H43" i="235"/>
  <c r="N66" i="235"/>
  <c r="F76" i="235"/>
  <c r="N74" i="235"/>
  <c r="W84" i="235"/>
  <c r="H15" i="235"/>
  <c r="T37" i="235"/>
  <c r="I43" i="235"/>
  <c r="M55" i="235"/>
  <c r="W65" i="235"/>
  <c r="O67" i="235"/>
  <c r="W66" i="235"/>
  <c r="O21" i="235"/>
  <c r="F24" i="235"/>
  <c r="V24" i="235"/>
  <c r="W36" i="235"/>
  <c r="O46" i="235"/>
  <c r="H55" i="235"/>
  <c r="M61" i="235"/>
  <c r="G64" i="235"/>
  <c r="P64" i="235"/>
  <c r="I67" i="235"/>
  <c r="R67" i="235"/>
  <c r="K67" i="235"/>
  <c r="G70" i="235"/>
  <c r="N91" i="235"/>
  <c r="N11" i="235"/>
  <c r="N19" i="235"/>
  <c r="O24" i="235"/>
  <c r="M49" i="235"/>
  <c r="U49" i="235"/>
  <c r="F52" i="235"/>
  <c r="N50" i="235"/>
  <c r="V52" i="235"/>
  <c r="P52" i="235"/>
  <c r="J61" i="235"/>
  <c r="H64" i="235"/>
  <c r="Q64" i="235"/>
  <c r="T64" i="235"/>
  <c r="J67" i="235"/>
  <c r="H70" i="235"/>
  <c r="F70" i="235"/>
  <c r="R82" i="235"/>
  <c r="W19" i="235"/>
  <c r="F37" i="235"/>
  <c r="F49" i="235"/>
  <c r="N47" i="235"/>
  <c r="V49" i="235"/>
  <c r="G52" i="235"/>
  <c r="W50" i="235"/>
  <c r="Q52" i="235"/>
  <c r="I70" i="235"/>
  <c r="I73" i="235"/>
  <c r="K76" i="235"/>
  <c r="M79" i="235"/>
  <c r="U79" i="235"/>
  <c r="G49" i="235"/>
  <c r="O49" i="235"/>
  <c r="W47" i="235"/>
  <c r="L61" i="235"/>
  <c r="U61" i="235"/>
  <c r="J64" i="235"/>
  <c r="S64" i="235"/>
  <c r="J70" i="235"/>
  <c r="J73" i="235"/>
  <c r="N72" i="235"/>
  <c r="F79" i="235"/>
  <c r="N77" i="235"/>
  <c r="T79" i="235"/>
  <c r="L82" i="235"/>
  <c r="T82" i="235"/>
  <c r="S82" i="235"/>
  <c r="G12" i="235"/>
  <c r="H49" i="235"/>
  <c r="P49" i="235"/>
  <c r="N51" i="235"/>
  <c r="N54" i="235"/>
  <c r="K64" i="235"/>
  <c r="V67" i="235"/>
  <c r="K73" i="235"/>
  <c r="M76" i="235"/>
  <c r="G79" i="235"/>
  <c r="O79" i="235"/>
  <c r="W77" i="235"/>
  <c r="L79" i="235"/>
  <c r="M82" i="235"/>
  <c r="K82" i="235"/>
  <c r="L16" i="243"/>
  <c r="P61" i="235"/>
  <c r="O64" i="235"/>
  <c r="F67" i="235"/>
  <c r="N78" i="235"/>
  <c r="I85" i="235"/>
  <c r="L15" i="243"/>
  <c r="W51" i="235"/>
  <c r="W59" i="235"/>
  <c r="N62" i="235"/>
  <c r="N71" i="235"/>
  <c r="N75" i="235"/>
  <c r="W78" i="235"/>
  <c r="N86" i="235"/>
  <c r="N90" i="235"/>
  <c r="N92" i="235"/>
  <c r="L17" i="243"/>
  <c r="W62" i="235"/>
  <c r="K85" i="235"/>
  <c r="J14" i="237"/>
  <c r="L11" i="243"/>
  <c r="L85" i="235"/>
  <c r="N89" i="235"/>
  <c r="N94" i="235"/>
  <c r="G18" i="243"/>
  <c r="J12" i="237"/>
  <c r="I18" i="243"/>
  <c r="L9" i="243"/>
  <c r="J10" i="237"/>
  <c r="J13" i="237"/>
  <c r="AN25" i="251"/>
  <c r="AN27" i="251" s="1"/>
  <c r="AV25" i="251"/>
  <c r="AV27" i="251" s="1"/>
  <c r="BD25" i="251"/>
  <c r="BD27" i="251" s="1"/>
  <c r="L14" i="258"/>
  <c r="CG24" i="251"/>
  <c r="E19" i="250" s="1"/>
  <c r="L8" i="243"/>
  <c r="CG23" i="251"/>
  <c r="E18" i="250" s="1"/>
  <c r="E14" i="250"/>
  <c r="AT25" i="251"/>
  <c r="AT27" i="251" s="1"/>
  <c r="N8" i="250"/>
  <c r="L8" i="250" s="1"/>
  <c r="CG22" i="251"/>
  <c r="E17" i="250" s="1"/>
  <c r="E22" i="258"/>
  <c r="CG26" i="251"/>
  <c r="E21" i="250"/>
  <c r="L12" i="258"/>
  <c r="H10" i="227"/>
  <c r="K10" i="227"/>
  <c r="J10" i="227"/>
  <c r="G20" i="227"/>
  <c r="H20" i="227"/>
  <c r="G10" i="227"/>
  <c r="L20" i="227"/>
  <c r="L10" i="227"/>
  <c r="I10" i="227"/>
  <c r="I12" i="227" s="1"/>
  <c r="J12" i="204"/>
  <c r="E21" i="227"/>
  <c r="J19" i="205"/>
  <c r="J44" i="204"/>
  <c r="J28" i="204"/>
  <c r="J20" i="204"/>
  <c r="J51" i="204"/>
  <c r="F20" i="226"/>
  <c r="J11" i="205"/>
  <c r="I15" i="204"/>
  <c r="J42" i="204"/>
  <c r="J14" i="205"/>
  <c r="J26" i="202"/>
  <c r="G16" i="202"/>
  <c r="G9" i="205"/>
  <c r="G17" i="205" s="1"/>
  <c r="J50" i="204"/>
  <c r="J27" i="204"/>
  <c r="J21" i="204"/>
  <c r="J11" i="204"/>
  <c r="E10" i="227"/>
  <c r="J25" i="202"/>
  <c r="H7" i="209"/>
  <c r="F7" i="209"/>
  <c r="J15" i="202"/>
  <c r="J18" i="204"/>
  <c r="J26" i="204"/>
  <c r="J38" i="204"/>
  <c r="J14" i="204"/>
  <c r="J43" i="204"/>
  <c r="E10" i="206" s="1"/>
  <c r="J10" i="205"/>
  <c r="E26" i="237"/>
  <c r="H26" i="237"/>
  <c r="F26" i="237"/>
  <c r="Q9" i="232"/>
  <c r="F49" i="234"/>
  <c r="I48" i="231"/>
  <c r="F16" i="202"/>
  <c r="T10" i="233"/>
  <c r="S8" i="243"/>
  <c r="I52" i="204"/>
  <c r="K33" i="234"/>
  <c r="M11" i="227"/>
  <c r="G7" i="209"/>
  <c r="Q9" i="204"/>
  <c r="J7" i="209"/>
  <c r="E7" i="209"/>
  <c r="S8" i="221"/>
  <c r="I7" i="209"/>
  <c r="Q8" i="210"/>
  <c r="J22" i="226"/>
  <c r="J11" i="226"/>
  <c r="M22" i="227"/>
  <c r="K12" i="209"/>
  <c r="K11" i="209" s="1"/>
  <c r="P8" i="211"/>
  <c r="N8" i="211" s="1"/>
  <c r="F11" i="209"/>
  <c r="E10" i="209"/>
  <c r="F10" i="209"/>
  <c r="D67" i="223"/>
  <c r="C67" i="223"/>
  <c r="N10" i="223"/>
  <c r="L10" i="223"/>
  <c r="M20" i="233"/>
  <c r="G17" i="257"/>
  <c r="G19" i="257" s="1"/>
  <c r="H14" i="257"/>
  <c r="F17" i="257"/>
  <c r="F19" i="257" s="1"/>
  <c r="H15" i="257"/>
  <c r="K42" i="257"/>
  <c r="G49" i="257"/>
  <c r="F49" i="257"/>
  <c r="K47" i="257"/>
  <c r="M21" i="233"/>
  <c r="K40" i="257"/>
  <c r="E49" i="257"/>
  <c r="K43" i="257"/>
  <c r="K50" i="257"/>
  <c r="K48" i="257"/>
  <c r="M13" i="227"/>
  <c r="M24" i="233"/>
  <c r="V8" i="257"/>
  <c r="T8" i="257" s="1"/>
  <c r="E17" i="257"/>
  <c r="H8" i="257"/>
  <c r="H11" i="257"/>
  <c r="H16" i="257"/>
  <c r="K41" i="257"/>
  <c r="M26" i="233"/>
  <c r="M19" i="233"/>
  <c r="H10" i="257"/>
  <c r="H18" i="257"/>
  <c r="L27" i="257"/>
  <c r="L26" i="257"/>
  <c r="L25" i="257"/>
  <c r="L24" i="257"/>
  <c r="L32" i="257"/>
  <c r="L31" i="257"/>
  <c r="L30" i="257"/>
  <c r="L34" i="257"/>
  <c r="J49" i="257"/>
  <c r="K46" i="257"/>
  <c r="M25" i="233"/>
  <c r="H9" i="257"/>
  <c r="H49" i="257"/>
  <c r="F51" i="257"/>
  <c r="K86" i="234"/>
  <c r="K88" i="234"/>
  <c r="AC88" i="234"/>
  <c r="K87" i="234"/>
  <c r="AC89" i="234"/>
  <c r="F128" i="234"/>
  <c r="G20" i="205" l="1"/>
  <c r="E28" i="214"/>
  <c r="C25" i="214"/>
  <c r="E48" i="231"/>
  <c r="K36" i="234"/>
  <c r="J25" i="205"/>
  <c r="J9" i="202"/>
  <c r="J22" i="202"/>
  <c r="Q18" i="279"/>
  <c r="P146" i="291"/>
  <c r="X290" i="293"/>
  <c r="Y290" i="293" s="1"/>
  <c r="X281" i="293"/>
  <c r="Y281" i="293" s="1"/>
  <c r="X271" i="293"/>
  <c r="Y271" i="293" s="1"/>
  <c r="S252" i="293"/>
  <c r="R226" i="293"/>
  <c r="S189" i="293"/>
  <c r="R170" i="293"/>
  <c r="R204" i="293"/>
  <c r="X555" i="293"/>
  <c r="X531" i="293"/>
  <c r="X618" i="293" s="1"/>
  <c r="BG308" i="293"/>
  <c r="BG296" i="293"/>
  <c r="S232" i="293"/>
  <c r="S214" i="293"/>
  <c r="BG434" i="293"/>
  <c r="R257" i="293"/>
  <c r="X243" i="293"/>
  <c r="Y243" i="293" s="1"/>
  <c r="X231" i="293"/>
  <c r="Y231" i="293" s="1"/>
  <c r="BG263" i="293"/>
  <c r="R46" i="231"/>
  <c r="Q10" i="232"/>
  <c r="Q24" i="232"/>
  <c r="Q30" i="232"/>
  <c r="T13" i="233"/>
  <c r="T21" i="233"/>
  <c r="T36" i="233"/>
  <c r="AA24" i="234"/>
  <c r="AA93" i="234"/>
  <c r="AA42" i="240"/>
  <c r="S17" i="243"/>
  <c r="M40" i="245"/>
  <c r="S10" i="258"/>
  <c r="M11" i="259"/>
  <c r="W33" i="305"/>
  <c r="J15" i="210"/>
  <c r="AI195" i="284"/>
  <c r="AI203" i="284"/>
  <c r="AI207" i="284"/>
  <c r="AF88" i="234"/>
  <c r="AA86" i="234"/>
  <c r="AA82" i="234"/>
  <c r="R62" i="231"/>
  <c r="K39" i="234"/>
  <c r="K96" i="234"/>
  <c r="E20" i="226"/>
  <c r="E29" i="210" s="1"/>
  <c r="W21" i="235"/>
  <c r="G43" i="231"/>
  <c r="N23" i="280"/>
  <c r="R187" i="293"/>
  <c r="S290" i="293"/>
  <c r="X280" i="293"/>
  <c r="Y280" i="293" s="1"/>
  <c r="S275" i="293"/>
  <c r="X270" i="293"/>
  <c r="Y270" i="293" s="1"/>
  <c r="X266" i="293"/>
  <c r="Y266" i="293" s="1"/>
  <c r="X256" i="293"/>
  <c r="Y256" i="293" s="1"/>
  <c r="S251" i="293"/>
  <c r="X222" i="293"/>
  <c r="Y222" i="293" s="1"/>
  <c r="X311" i="293"/>
  <c r="Y311" i="293" s="1"/>
  <c r="R176" i="293"/>
  <c r="S207" i="293"/>
  <c r="R224" i="293"/>
  <c r="R168" i="293"/>
  <c r="R205" i="293"/>
  <c r="R236" i="293"/>
  <c r="R258" i="293"/>
  <c r="R246" i="293"/>
  <c r="BG278" i="293"/>
  <c r="R255" i="293"/>
  <c r="X213" i="293"/>
  <c r="Y213" i="293" s="1"/>
  <c r="X189" i="293"/>
  <c r="Y189" i="293" s="1"/>
  <c r="R265" i="293"/>
  <c r="Q38" i="204"/>
  <c r="N41" i="211"/>
  <c r="S10" i="221"/>
  <c r="L29" i="223"/>
  <c r="L51" i="223"/>
  <c r="L63" i="223"/>
  <c r="Q34" i="226"/>
  <c r="Q45" i="226"/>
  <c r="W19" i="228"/>
  <c r="W27" i="228"/>
  <c r="R31" i="231"/>
  <c r="Q9" i="202"/>
  <c r="N26" i="211"/>
  <c r="Q42" i="226"/>
  <c r="T24" i="227"/>
  <c r="AA37" i="234"/>
  <c r="AA110" i="234"/>
  <c r="AG75" i="235"/>
  <c r="AG91" i="235"/>
  <c r="AA14" i="240"/>
  <c r="AD11" i="280"/>
  <c r="W20" i="305"/>
  <c r="W29" i="305"/>
  <c r="W46" i="305"/>
  <c r="G199" i="231"/>
  <c r="R68" i="231"/>
  <c r="R105" i="231"/>
  <c r="R226" i="231"/>
  <c r="R217" i="231"/>
  <c r="D228" i="231"/>
  <c r="I31" i="204"/>
  <c r="K21" i="234"/>
  <c r="J20" i="202"/>
  <c r="P33" i="228"/>
  <c r="W18" i="280"/>
  <c r="S157" i="291"/>
  <c r="R179" i="293"/>
  <c r="S265" i="293"/>
  <c r="X260" i="293"/>
  <c r="Y260" i="293" s="1"/>
  <c r="S255" i="293"/>
  <c r="R216" i="293"/>
  <c r="X240" i="293"/>
  <c r="Y240" i="293" s="1"/>
  <c r="R190" i="293"/>
  <c r="S311" i="293"/>
  <c r="X307" i="293"/>
  <c r="Y307" i="293" s="1"/>
  <c r="BG597" i="293"/>
  <c r="BG573" i="293"/>
  <c r="R244" i="293"/>
  <c r="BG276" i="293"/>
  <c r="X227" i="293"/>
  <c r="Y227" i="293" s="1"/>
  <c r="Q10" i="202"/>
  <c r="Q25" i="202"/>
  <c r="S17" i="212"/>
  <c r="L58" i="223"/>
  <c r="T16" i="233"/>
  <c r="AA14" i="234"/>
  <c r="AA80" i="234"/>
  <c r="AA113" i="234"/>
  <c r="AA124" i="234"/>
  <c r="AA96" i="234"/>
  <c r="AG54" i="235"/>
  <c r="AA50" i="240"/>
  <c r="W30" i="305"/>
  <c r="F22" i="212"/>
  <c r="K22" i="221"/>
  <c r="H11" i="238"/>
  <c r="R74" i="231"/>
  <c r="R82" i="231"/>
  <c r="R106" i="231"/>
  <c r="R115" i="231"/>
  <c r="R120" i="231"/>
  <c r="R128" i="231"/>
  <c r="E228" i="231"/>
  <c r="R167" i="231"/>
  <c r="R158" i="231"/>
  <c r="H33" i="204"/>
  <c r="J30" i="204"/>
  <c r="P20" i="228"/>
  <c r="R24" i="280"/>
  <c r="S146" i="291"/>
  <c r="S293" i="293"/>
  <c r="S260" i="293"/>
  <c r="X216" i="293"/>
  <c r="Y216" i="293" s="1"/>
  <c r="X238" i="293"/>
  <c r="Y238" i="293" s="1"/>
  <c r="BG304" i="293"/>
  <c r="BG290" i="293"/>
  <c r="BG274" i="293"/>
  <c r="S196" i="293"/>
  <c r="R271" i="293"/>
  <c r="R281" i="293"/>
  <c r="R291" i="293"/>
  <c r="T40" i="233"/>
  <c r="AA22" i="234"/>
  <c r="AA34" i="234"/>
  <c r="AA45" i="234"/>
  <c r="G109" i="231"/>
  <c r="R69" i="231"/>
  <c r="N26" i="287"/>
  <c r="G11" i="240"/>
  <c r="Q36" i="204"/>
  <c r="Q44" i="204"/>
  <c r="L18" i="223"/>
  <c r="L26" i="223"/>
  <c r="L34" i="223"/>
  <c r="W16" i="228"/>
  <c r="W24" i="228"/>
  <c r="AA10" i="240"/>
  <c r="T43" i="257"/>
  <c r="F16" i="210"/>
  <c r="O16" i="238"/>
  <c r="L14" i="314"/>
  <c r="X293" i="293"/>
  <c r="Y293" i="293" s="1"/>
  <c r="S288" i="293"/>
  <c r="S193" i="293"/>
  <c r="R212" i="293"/>
  <c r="BG302" i="293"/>
  <c r="Q12" i="205"/>
  <c r="R13" i="231"/>
  <c r="R24" i="231"/>
  <c r="AA43" i="234"/>
  <c r="AA95" i="234"/>
  <c r="AA120" i="234"/>
  <c r="AG69" i="235"/>
  <c r="AG87" i="235"/>
  <c r="AG93" i="235"/>
  <c r="Q18" i="237"/>
  <c r="X11" i="279"/>
  <c r="X19" i="279"/>
  <c r="H22" i="221"/>
  <c r="G19" i="231"/>
  <c r="R205" i="231"/>
  <c r="I20" i="227"/>
  <c r="H20" i="226"/>
  <c r="J36" i="204"/>
  <c r="J8" i="202"/>
  <c r="G10" i="226"/>
  <c r="V21" i="229"/>
  <c r="E16" i="240"/>
  <c r="V24" i="280"/>
  <c r="S301" i="293"/>
  <c r="X283" i="293"/>
  <c r="Y283" i="293" s="1"/>
  <c r="X268" i="293"/>
  <c r="Y268" i="293" s="1"/>
  <c r="X244" i="293"/>
  <c r="Y244" i="293" s="1"/>
  <c r="S221" i="293"/>
  <c r="R218" i="293"/>
  <c r="X162" i="293"/>
  <c r="Y162" i="293" s="1"/>
  <c r="X212" i="293"/>
  <c r="Y212" i="293" s="1"/>
  <c r="X172" i="293"/>
  <c r="Y172" i="293" s="1"/>
  <c r="S187" i="293"/>
  <c r="R200" i="293"/>
  <c r="BG613" i="293"/>
  <c r="BG589" i="293"/>
  <c r="R252" i="293"/>
  <c r="S238" i="293"/>
  <c r="BG450" i="293"/>
  <c r="Q17" i="202"/>
  <c r="Q12" i="232"/>
  <c r="AA11" i="234"/>
  <c r="AA92" i="234"/>
  <c r="AG24" i="235"/>
  <c r="AG88" i="235"/>
  <c r="S9" i="243"/>
  <c r="T10" i="257"/>
  <c r="S14" i="258"/>
  <c r="S11" i="314"/>
  <c r="S13" i="314"/>
  <c r="H10" i="226"/>
  <c r="D48" i="231"/>
  <c r="S268" i="293"/>
  <c r="X258" i="293"/>
  <c r="Y258" i="293" s="1"/>
  <c r="X236" i="293"/>
  <c r="Y236" i="293" s="1"/>
  <c r="X208" i="293"/>
  <c r="Y208" i="293" s="1"/>
  <c r="R208" i="293"/>
  <c r="R180" i="293"/>
  <c r="BG300" i="293"/>
  <c r="BG286" i="293"/>
  <c r="BG268" i="293"/>
  <c r="L19" i="223"/>
  <c r="L42" i="223"/>
  <c r="Q19" i="232"/>
  <c r="T11" i="233"/>
  <c r="AA13" i="234"/>
  <c r="AA39" i="234"/>
  <c r="Q11" i="237"/>
  <c r="J11" i="210"/>
  <c r="E22" i="221"/>
  <c r="R22" i="238"/>
  <c r="E51" i="257"/>
  <c r="G19" i="210"/>
  <c r="F16" i="240"/>
  <c r="X296" i="293"/>
  <c r="Y296" i="293" s="1"/>
  <c r="S291" i="293"/>
  <c r="X286" i="293"/>
  <c r="Y286" i="293" s="1"/>
  <c r="X248" i="293"/>
  <c r="Y248" i="293" s="1"/>
  <c r="R206" i="293"/>
  <c r="S218" i="293"/>
  <c r="BG446" i="293"/>
  <c r="S164" i="293"/>
  <c r="N21" i="211"/>
  <c r="S15" i="262"/>
  <c r="S11" i="221"/>
  <c r="L43" i="223"/>
  <c r="L61" i="223"/>
  <c r="Q13" i="226"/>
  <c r="Q44" i="226"/>
  <c r="T28" i="227"/>
  <c r="T44" i="227"/>
  <c r="Q19" i="237"/>
  <c r="T41" i="257"/>
  <c r="H22" i="238"/>
  <c r="S296" i="293"/>
  <c r="S286" i="293"/>
  <c r="S248" i="293"/>
  <c r="X200" i="293"/>
  <c r="Y200" i="293" s="1"/>
  <c r="BG310" i="293"/>
  <c r="BG298" i="293"/>
  <c r="R14" i="231"/>
  <c r="R22" i="231"/>
  <c r="AG72" i="235"/>
  <c r="AG89" i="235"/>
  <c r="AG95" i="235"/>
  <c r="X13" i="279"/>
  <c r="AD14" i="280"/>
  <c r="S21" i="238"/>
  <c r="AA87" i="234"/>
  <c r="J128" i="234"/>
  <c r="G116" i="231"/>
  <c r="G223" i="231"/>
  <c r="R203" i="231"/>
  <c r="N24" i="235"/>
  <c r="I49" i="234"/>
  <c r="F9" i="205"/>
  <c r="F17" i="205" s="1"/>
  <c r="F20" i="205" s="1"/>
  <c r="J13" i="202"/>
  <c r="K12" i="279"/>
  <c r="S262" i="293"/>
  <c r="R193" i="293"/>
  <c r="X186" i="293"/>
  <c r="Y186" i="293" s="1"/>
  <c r="R172" i="293"/>
  <c r="R169" i="293"/>
  <c r="Q42" i="204"/>
  <c r="Q19" i="205"/>
  <c r="S17" i="209"/>
  <c r="N38" i="211"/>
  <c r="Q9" i="219"/>
  <c r="L12" i="223"/>
  <c r="U17" i="225"/>
  <c r="U26" i="225"/>
  <c r="U46" i="225"/>
  <c r="T26" i="233"/>
  <c r="AA35" i="234"/>
  <c r="AA109" i="234"/>
  <c r="AA114" i="234"/>
  <c r="AG73" i="235"/>
  <c r="AA57" i="240"/>
  <c r="R108" i="231"/>
  <c r="AI192" i="284"/>
  <c r="U34" i="225"/>
  <c r="U12" i="225"/>
  <c r="U18" i="225"/>
  <c r="U9" i="225"/>
  <c r="W32" i="305"/>
  <c r="W53" i="305"/>
  <c r="W38" i="305"/>
  <c r="W17" i="305"/>
  <c r="W28" i="305"/>
  <c r="W18" i="305"/>
  <c r="AG67" i="235"/>
  <c r="AG49" i="235"/>
  <c r="AG46" i="235"/>
  <c r="X101" i="235"/>
  <c r="Y101" i="235"/>
  <c r="Z101" i="235"/>
  <c r="AG15" i="235"/>
  <c r="AA90" i="234"/>
  <c r="AA76" i="234"/>
  <c r="W52" i="305"/>
  <c r="W45" i="305"/>
  <c r="W31" i="305"/>
  <c r="W19" i="305"/>
  <c r="W21" i="305"/>
  <c r="W22" i="305"/>
  <c r="W13" i="305"/>
  <c r="W10" i="305"/>
  <c r="U42" i="225"/>
  <c r="U15" i="225"/>
  <c r="U10" i="225"/>
  <c r="U29" i="225"/>
  <c r="Q14" i="219"/>
  <c r="AA12" i="240"/>
  <c r="AA25" i="240"/>
  <c r="AG94" i="235"/>
  <c r="AG92" i="235"/>
  <c r="U25" i="225"/>
  <c r="AA37" i="240"/>
  <c r="AA35" i="240"/>
  <c r="U44" i="225"/>
  <c r="U35" i="225"/>
  <c r="U28" i="225"/>
  <c r="U11" i="225"/>
  <c r="S42" i="258"/>
  <c r="AG53" i="235"/>
  <c r="AG38" i="235"/>
  <c r="F21" i="227"/>
  <c r="L15" i="223"/>
  <c r="L14" i="223"/>
  <c r="CG27" i="251"/>
  <c r="E22" i="250" s="1"/>
  <c r="G29" i="205"/>
  <c r="G37" i="205" s="1"/>
  <c r="G18" i="202"/>
  <c r="N18" i="235"/>
  <c r="G20" i="226"/>
  <c r="G23" i="226" s="1"/>
  <c r="X26" i="253"/>
  <c r="O24" i="279"/>
  <c r="G17" i="281"/>
  <c r="G16" i="281"/>
  <c r="K48" i="234"/>
  <c r="J41" i="204"/>
  <c r="K21" i="279"/>
  <c r="E18" i="263"/>
  <c r="BG265" i="293"/>
  <c r="K18" i="279"/>
  <c r="F17" i="281"/>
  <c r="F16" i="281"/>
  <c r="H49" i="234"/>
  <c r="H19" i="210"/>
  <c r="G15" i="240"/>
  <c r="F24" i="280"/>
  <c r="G24" i="280"/>
  <c r="E25" i="250"/>
  <c r="N37" i="235"/>
  <c r="W67" i="235"/>
  <c r="I24" i="280"/>
  <c r="M34" i="229"/>
  <c r="J33" i="228"/>
  <c r="M160" i="291"/>
  <c r="E16" i="281"/>
  <c r="E17" i="281"/>
  <c r="E13" i="281"/>
  <c r="J14" i="202"/>
  <c r="K20" i="227"/>
  <c r="H29" i="210" s="1"/>
  <c r="R26" i="253"/>
  <c r="G24" i="279"/>
  <c r="J160" i="291"/>
  <c r="G13" i="281"/>
  <c r="E17" i="262"/>
  <c r="V34" i="229"/>
  <c r="J52" i="204"/>
  <c r="G16" i="240"/>
  <c r="L24" i="279"/>
  <c r="S160" i="291"/>
  <c r="I27" i="202"/>
  <c r="H19" i="202"/>
  <c r="N79" i="235"/>
  <c r="J29" i="204"/>
  <c r="J37" i="204"/>
  <c r="G14" i="236"/>
  <c r="W64" i="235"/>
  <c r="N70" i="235"/>
  <c r="AD16" i="253"/>
  <c r="AD26" i="253"/>
  <c r="Q12" i="279"/>
  <c r="W23" i="280"/>
  <c r="I24" i="279"/>
  <c r="L24" i="280"/>
  <c r="CG25" i="251"/>
  <c r="E20" i="250" s="1"/>
  <c r="G33" i="204"/>
  <c r="J24" i="205"/>
  <c r="I45" i="204"/>
  <c r="L26" i="253"/>
  <c r="K23" i="279"/>
  <c r="W21" i="280"/>
  <c r="J24" i="279"/>
  <c r="M24" i="280"/>
  <c r="R162" i="293"/>
  <c r="Q39" i="234"/>
  <c r="I22" i="204"/>
  <c r="M24" i="279"/>
  <c r="N15" i="280"/>
  <c r="N17" i="281"/>
  <c r="N16" i="281"/>
  <c r="F18" i="202"/>
  <c r="N61" i="235"/>
  <c r="J23" i="205"/>
  <c r="H47" i="204"/>
  <c r="G10" i="239"/>
  <c r="Q21" i="279"/>
  <c r="K24" i="280"/>
  <c r="I17" i="281"/>
  <c r="I16" i="281"/>
  <c r="BG273" i="293"/>
  <c r="Q23" i="279"/>
  <c r="J17" i="281"/>
  <c r="J16" i="281"/>
  <c r="J17" i="262"/>
  <c r="F28" i="234"/>
  <c r="I20" i="226"/>
  <c r="K17" i="281"/>
  <c r="K16" i="281"/>
  <c r="J51" i="257"/>
  <c r="J15" i="204"/>
  <c r="J10" i="203"/>
  <c r="J32" i="205"/>
  <c r="K15" i="279"/>
  <c r="L16" i="281"/>
  <c r="L17" i="281"/>
  <c r="S215" i="293"/>
  <c r="S9" i="221"/>
  <c r="S28" i="221"/>
  <c r="T41" i="227"/>
  <c r="AC26" i="229"/>
  <c r="R15" i="231"/>
  <c r="R23" i="231"/>
  <c r="AG59" i="235"/>
  <c r="C48" i="231"/>
  <c r="N20" i="211"/>
  <c r="Q33" i="215"/>
  <c r="Q16" i="219"/>
  <c r="Q13" i="232"/>
  <c r="Q31" i="232"/>
  <c r="T25" i="233"/>
  <c r="AA17" i="234"/>
  <c r="AA26" i="234"/>
  <c r="AA38" i="234"/>
  <c r="AA44" i="234"/>
  <c r="AG86" i="235"/>
  <c r="AG90" i="235"/>
  <c r="AD16" i="280"/>
  <c r="T47" i="257"/>
  <c r="M9" i="259"/>
  <c r="D17" i="262"/>
  <c r="Q10" i="203"/>
  <c r="Q14" i="204"/>
  <c r="Q25" i="204"/>
  <c r="Q51" i="204"/>
  <c r="Q25" i="205"/>
  <c r="L50" i="223"/>
  <c r="W26" i="228"/>
  <c r="Q33" i="234"/>
  <c r="AE89" i="234"/>
  <c r="H14" i="314"/>
  <c r="S130" i="234"/>
  <c r="Q17" i="215"/>
  <c r="R12" i="231"/>
  <c r="AG47" i="235"/>
  <c r="M25" i="245"/>
  <c r="M29" i="245"/>
  <c r="O17" i="248"/>
  <c r="R30" i="231"/>
  <c r="K57" i="234"/>
  <c r="Q13" i="202"/>
  <c r="S8" i="212"/>
  <c r="AG81" i="235"/>
  <c r="M39" i="245"/>
  <c r="J12" i="210"/>
  <c r="J44" i="240"/>
  <c r="Q41" i="226"/>
  <c r="R39" i="231"/>
  <c r="AA31" i="234"/>
  <c r="S12" i="221"/>
  <c r="L31" i="223"/>
  <c r="Q28" i="226"/>
  <c r="R42" i="231"/>
  <c r="AG19" i="235"/>
  <c r="T25" i="257"/>
  <c r="T30" i="257"/>
  <c r="T42" i="227"/>
  <c r="AC29" i="229"/>
  <c r="R25" i="231"/>
  <c r="J11" i="215"/>
  <c r="Q27" i="234"/>
  <c r="AA23" i="234"/>
  <c r="AA47" i="234"/>
  <c r="T48" i="257"/>
  <c r="S11" i="258"/>
  <c r="M12" i="259"/>
  <c r="G36" i="215"/>
  <c r="G11" i="215"/>
  <c r="S9" i="314"/>
  <c r="S12" i="314"/>
  <c r="L12" i="227"/>
  <c r="W25" i="228"/>
  <c r="AD13" i="280"/>
  <c r="Q13" i="205"/>
  <c r="Q8" i="215"/>
  <c r="L54" i="223"/>
  <c r="W30" i="228"/>
  <c r="AG65" i="235"/>
  <c r="AG68" i="235"/>
  <c r="T24" i="257"/>
  <c r="G18" i="263"/>
  <c r="E30" i="215"/>
  <c r="P29" i="206"/>
  <c r="Q21" i="215"/>
  <c r="S27" i="221"/>
  <c r="M31" i="245"/>
  <c r="T46" i="257"/>
  <c r="R32" i="231"/>
  <c r="F22" i="262"/>
  <c r="G25" i="263"/>
  <c r="S10" i="314"/>
  <c r="S28" i="212"/>
  <c r="L55" i="223"/>
  <c r="AA25" i="234"/>
  <c r="AG11" i="235"/>
  <c r="AG14" i="235"/>
  <c r="AG17" i="235"/>
  <c r="AG39" i="235"/>
  <c r="AG42" i="235"/>
  <c r="Q20" i="237"/>
  <c r="AA41" i="240"/>
  <c r="T50" i="257"/>
  <c r="R41" i="231"/>
  <c r="AA40" i="234"/>
  <c r="S16" i="243"/>
  <c r="M36" i="245"/>
  <c r="J33" i="210"/>
  <c r="J23" i="215"/>
  <c r="K102" i="234"/>
  <c r="E138" i="231"/>
  <c r="H138" i="231"/>
  <c r="H228" i="231"/>
  <c r="E183" i="231"/>
  <c r="H183" i="231"/>
  <c r="Q15" i="219"/>
  <c r="R38" i="231"/>
  <c r="R37" i="231"/>
  <c r="AG83" i="235"/>
  <c r="AA36" i="240"/>
  <c r="AD19" i="280"/>
  <c r="O25" i="248"/>
  <c r="T27" i="257"/>
  <c r="T31" i="257"/>
  <c r="T34" i="257"/>
  <c r="S39" i="258"/>
  <c r="G23" i="215"/>
  <c r="Q87" i="234"/>
  <c r="H90" i="234"/>
  <c r="AE88" i="234"/>
  <c r="Q90" i="234"/>
  <c r="Q23" i="238"/>
  <c r="H23" i="238"/>
  <c r="R63" i="231"/>
  <c r="R61" i="231"/>
  <c r="R70" i="231"/>
  <c r="R77" i="231"/>
  <c r="R75" i="231"/>
  <c r="R87" i="231"/>
  <c r="R85" i="231"/>
  <c r="R83" i="231"/>
  <c r="R91" i="231"/>
  <c r="R103" i="231"/>
  <c r="D138" i="231"/>
  <c r="F138" i="231"/>
  <c r="R121" i="231"/>
  <c r="R131" i="231"/>
  <c r="R129" i="231"/>
  <c r="R221" i="231"/>
  <c r="R212" i="231"/>
  <c r="R165" i="231"/>
  <c r="R159" i="231"/>
  <c r="R149" i="231"/>
  <c r="R147" i="231"/>
  <c r="R195" i="231"/>
  <c r="AI191" i="284"/>
  <c r="AI193" i="284"/>
  <c r="AI196" i="284"/>
  <c r="AI198" i="284"/>
  <c r="AI200" i="284"/>
  <c r="AI202" i="284"/>
  <c r="AI205" i="284"/>
  <c r="AF89" i="234"/>
  <c r="AA89" i="234" s="1"/>
  <c r="Q84" i="234"/>
  <c r="R220" i="231"/>
  <c r="R218" i="231"/>
  <c r="R216" i="231"/>
  <c r="R211" i="231"/>
  <c r="R209" i="231"/>
  <c r="R198" i="231"/>
  <c r="R196" i="231"/>
  <c r="R193" i="231"/>
  <c r="R181" i="231"/>
  <c r="R176" i="231"/>
  <c r="R174" i="231"/>
  <c r="R172" i="231"/>
  <c r="O17" i="238"/>
  <c r="AG28" i="235"/>
  <c r="R76" i="231"/>
  <c r="R84" i="231"/>
  <c r="R104" i="231"/>
  <c r="R102" i="231"/>
  <c r="R122" i="231"/>
  <c r="R132" i="231"/>
  <c r="R130" i="231"/>
  <c r="R160" i="231"/>
  <c r="R150" i="231"/>
  <c r="R148" i="231"/>
  <c r="R136" i="231"/>
  <c r="R204" i="231"/>
  <c r="I228" i="231"/>
  <c r="R194" i="231"/>
  <c r="R171" i="231"/>
  <c r="AI190" i="284"/>
  <c r="AI194" i="284"/>
  <c r="AI197" i="284"/>
  <c r="AI199" i="284"/>
  <c r="AI201" i="284"/>
  <c r="AI204" i="284"/>
  <c r="AI206" i="284"/>
  <c r="AI208" i="284"/>
  <c r="R219" i="231"/>
  <c r="R210" i="231"/>
  <c r="R197" i="231"/>
  <c r="R192" i="231"/>
  <c r="R177" i="231"/>
  <c r="R175" i="231"/>
  <c r="R173" i="231"/>
  <c r="R60" i="231"/>
  <c r="G78" i="231"/>
  <c r="R107" i="231"/>
  <c r="R114" i="231"/>
  <c r="R112" i="231"/>
  <c r="R119" i="231"/>
  <c r="R164" i="231"/>
  <c r="R157" i="231"/>
  <c r="R153" i="231"/>
  <c r="R151" i="231"/>
  <c r="AA83" i="234"/>
  <c r="AA104" i="234"/>
  <c r="L14" i="315"/>
  <c r="O26" i="248"/>
  <c r="K49" i="257"/>
  <c r="G51" i="257"/>
  <c r="H51" i="257"/>
  <c r="G35" i="257"/>
  <c r="Z33" i="257"/>
  <c r="H35" i="257"/>
  <c r="J35" i="257"/>
  <c r="L33" i="257"/>
  <c r="W33" i="257"/>
  <c r="AA33" i="257"/>
  <c r="T15" i="257"/>
  <c r="T16" i="257"/>
  <c r="T18" i="257"/>
  <c r="E19" i="257"/>
  <c r="T9" i="257"/>
  <c r="T11" i="257"/>
  <c r="H17" i="257"/>
  <c r="S10" i="243"/>
  <c r="S11" i="243"/>
  <c r="L18" i="243"/>
  <c r="Q18" i="232"/>
  <c r="Q20" i="232"/>
  <c r="C228" i="231"/>
  <c r="G213" i="231"/>
  <c r="G206" i="231"/>
  <c r="G178" i="231"/>
  <c r="F228" i="231"/>
  <c r="I93" i="231"/>
  <c r="G71" i="231"/>
  <c r="G161" i="231"/>
  <c r="F183" i="231"/>
  <c r="C138" i="231"/>
  <c r="G64" i="231"/>
  <c r="D93" i="231"/>
  <c r="G154" i="231"/>
  <c r="H93" i="231"/>
  <c r="E93" i="231"/>
  <c r="D183" i="231"/>
  <c r="I183" i="231"/>
  <c r="G123" i="231"/>
  <c r="G88" i="231"/>
  <c r="G168" i="231"/>
  <c r="H48" i="231"/>
  <c r="G33" i="231"/>
  <c r="F48" i="231"/>
  <c r="R17" i="231"/>
  <c r="W52" i="235"/>
  <c r="W85" i="235"/>
  <c r="W46" i="235"/>
  <c r="W79" i="235"/>
  <c r="AA79" i="234"/>
  <c r="AA81" i="234"/>
  <c r="AG77" i="235"/>
  <c r="Q13" i="237"/>
  <c r="W27" i="235"/>
  <c r="AA84" i="234"/>
  <c r="V34" i="235"/>
  <c r="W30" i="235"/>
  <c r="U34" i="235"/>
  <c r="W33" i="235"/>
  <c r="P34" i="235"/>
  <c r="I22" i="212"/>
  <c r="S19" i="212"/>
  <c r="E22" i="212"/>
  <c r="C636" i="293"/>
  <c r="Y159" i="293"/>
  <c r="N620" i="293"/>
  <c r="Q159" i="293"/>
  <c r="C635" i="293"/>
  <c r="X159" i="293"/>
  <c r="AD620" i="293"/>
  <c r="S203" i="293"/>
  <c r="R214" i="293"/>
  <c r="R210" i="293"/>
  <c r="R173" i="293"/>
  <c r="R181" i="293"/>
  <c r="BG280" i="293"/>
  <c r="S204" i="293"/>
  <c r="R171" i="293"/>
  <c r="X174" i="293"/>
  <c r="Y174" i="293" s="1"/>
  <c r="X196" i="293"/>
  <c r="Y196" i="293" s="1"/>
  <c r="X184" i="293"/>
  <c r="Y184" i="293" s="1"/>
  <c r="R222" i="293"/>
  <c r="S171" i="293"/>
  <c r="X202" i="293"/>
  <c r="Y202" i="293" s="1"/>
  <c r="BG292" i="293"/>
  <c r="S230" i="293"/>
  <c r="BG272" i="293"/>
  <c r="R167" i="293"/>
  <c r="R230" i="293"/>
  <c r="X234" i="293"/>
  <c r="Y234" i="293" s="1"/>
  <c r="S167" i="293"/>
  <c r="X242" i="293"/>
  <c r="Y242" i="293" s="1"/>
  <c r="X226" i="293"/>
  <c r="Y226" i="293" s="1"/>
  <c r="R177" i="293"/>
  <c r="S209" i="293"/>
  <c r="S163" i="293"/>
  <c r="S242" i="293"/>
  <c r="R184" i="293"/>
  <c r="X170" i="293"/>
  <c r="Y170" i="293" s="1"/>
  <c r="X210" i="293"/>
  <c r="Y210" i="293" s="1"/>
  <c r="R203" i="293"/>
  <c r="R163" i="293"/>
  <c r="R174" i="293"/>
  <c r="X192" i="293"/>
  <c r="Y192" i="293" s="1"/>
  <c r="R209" i="293"/>
  <c r="S173" i="293"/>
  <c r="S195" i="293"/>
  <c r="S177" i="293"/>
  <c r="R202" i="293"/>
  <c r="BG264" i="293"/>
  <c r="X205" i="293"/>
  <c r="Y205" i="293" s="1"/>
  <c r="R199" i="293"/>
  <c r="X206" i="293"/>
  <c r="Y206" i="293" s="1"/>
  <c r="R185" i="293"/>
  <c r="X178" i="293"/>
  <c r="Y178" i="293" s="1"/>
  <c r="R195" i="293"/>
  <c r="S199" i="293"/>
  <c r="S185" i="293"/>
  <c r="R178" i="293"/>
  <c r="S181" i="293"/>
  <c r="C634" i="293"/>
  <c r="Q312" i="293"/>
  <c r="R207" i="293"/>
  <c r="R175" i="293"/>
  <c r="X166" i="293"/>
  <c r="Y166" i="293" s="1"/>
  <c r="R198" i="293"/>
  <c r="S191" i="293"/>
  <c r="R166" i="293"/>
  <c r="R182" i="293"/>
  <c r="R191" i="293"/>
  <c r="X182" i="293"/>
  <c r="Y182" i="293" s="1"/>
  <c r="X175" i="293"/>
  <c r="Y175" i="293" s="1"/>
  <c r="S198" i="293"/>
  <c r="C638" i="293"/>
  <c r="AB620" i="293"/>
  <c r="BG436" i="293"/>
  <c r="BG420" i="293"/>
  <c r="BG460" i="293"/>
  <c r="BG444" i="293"/>
  <c r="BG428" i="293"/>
  <c r="X383" i="293"/>
  <c r="X465" i="293" s="1"/>
  <c r="Y465" i="293"/>
  <c r="Q465" i="293"/>
  <c r="P620" i="293"/>
  <c r="Y618" i="293"/>
  <c r="Q618" i="293"/>
  <c r="BG616" i="293"/>
  <c r="BG584" i="293"/>
  <c r="BG425" i="293"/>
  <c r="BG454" i="293"/>
  <c r="BG422" i="293"/>
  <c r="BG611" i="293"/>
  <c r="BG579" i="293"/>
  <c r="BG592" i="293"/>
  <c r="BG441" i="293"/>
  <c r="BG462" i="293"/>
  <c r="BG430" i="293"/>
  <c r="BG417" i="293"/>
  <c r="BG587" i="293"/>
  <c r="BG600" i="293"/>
  <c r="BG457" i="293"/>
  <c r="BG438" i="293"/>
  <c r="P9" i="206"/>
  <c r="G26" i="206"/>
  <c r="T26" i="206" s="1"/>
  <c r="J34" i="205"/>
  <c r="J13" i="205"/>
  <c r="Q16" i="205"/>
  <c r="Q23" i="205"/>
  <c r="Q33" i="205"/>
  <c r="I35" i="205"/>
  <c r="J12" i="205"/>
  <c r="I27" i="205"/>
  <c r="J26" i="205"/>
  <c r="J17" i="219"/>
  <c r="Q13" i="219"/>
  <c r="J20" i="219"/>
  <c r="AG84" i="235"/>
  <c r="W82" i="235"/>
  <c r="AG78" i="235"/>
  <c r="AG66" i="235"/>
  <c r="AG63" i="235"/>
  <c r="AG36" i="235"/>
  <c r="W37" i="235"/>
  <c r="AG20" i="235"/>
  <c r="AG23" i="235"/>
  <c r="W24" i="235"/>
  <c r="AG26" i="235"/>
  <c r="R34" i="235"/>
  <c r="Q34" i="235"/>
  <c r="S34" i="235"/>
  <c r="O34" i="235"/>
  <c r="T34" i="235"/>
  <c r="W61" i="235"/>
  <c r="AG60" i="235"/>
  <c r="AG51" i="235"/>
  <c r="W49" i="235"/>
  <c r="AG48" i="235"/>
  <c r="AG45" i="235"/>
  <c r="N100" i="235"/>
  <c r="N85" i="235"/>
  <c r="K45" i="234"/>
  <c r="K18" i="234"/>
  <c r="AC107" i="234"/>
  <c r="AA107" i="234" s="1"/>
  <c r="G90" i="234"/>
  <c r="J129" i="234"/>
  <c r="M10" i="227"/>
  <c r="J49" i="234"/>
  <c r="L13" i="223"/>
  <c r="F108" i="234"/>
  <c r="G49" i="234"/>
  <c r="K84" i="234"/>
  <c r="F129" i="234"/>
  <c r="F130" i="234" s="1"/>
  <c r="N15" i="235"/>
  <c r="N67" i="235"/>
  <c r="G129" i="234"/>
  <c r="N49" i="235"/>
  <c r="K114" i="234"/>
  <c r="K75" i="234"/>
  <c r="N55" i="235"/>
  <c r="K24" i="234"/>
  <c r="N52" i="235"/>
  <c r="K89" i="234"/>
  <c r="K93" i="234"/>
  <c r="N21" i="235"/>
  <c r="C10" i="214"/>
  <c r="C12" i="214" s="1"/>
  <c r="G28" i="215"/>
  <c r="H22" i="219"/>
  <c r="Q16" i="215"/>
  <c r="Q20" i="215"/>
  <c r="E10" i="219"/>
  <c r="F30" i="215"/>
  <c r="L15" i="209"/>
  <c r="S16" i="221"/>
  <c r="S17" i="221"/>
  <c r="I22" i="221"/>
  <c r="J22" i="221"/>
  <c r="S16" i="212"/>
  <c r="L14" i="209"/>
  <c r="J22" i="212"/>
  <c r="K22" i="212"/>
  <c r="S9" i="212"/>
  <c r="S12" i="212"/>
  <c r="S11" i="212"/>
  <c r="Q17" i="226"/>
  <c r="J26" i="210"/>
  <c r="T17" i="227"/>
  <c r="J22" i="210"/>
  <c r="T13" i="227"/>
  <c r="J20" i="210"/>
  <c r="T11" i="227"/>
  <c r="J43" i="210"/>
  <c r="T34" i="227"/>
  <c r="G16" i="210"/>
  <c r="J9" i="227"/>
  <c r="J12" i="227" s="1"/>
  <c r="I14" i="227"/>
  <c r="E9" i="227"/>
  <c r="E12" i="227" s="1"/>
  <c r="G9" i="227"/>
  <c r="G12" i="227" s="1"/>
  <c r="G14" i="227" s="1"/>
  <c r="F9" i="227"/>
  <c r="F12" i="227" s="1"/>
  <c r="T15" i="233"/>
  <c r="M28" i="233"/>
  <c r="K9" i="227"/>
  <c r="K12" i="227" s="1"/>
  <c r="Q14" i="232"/>
  <c r="I9" i="226"/>
  <c r="G9" i="226"/>
  <c r="G12" i="226" s="1"/>
  <c r="J14" i="210"/>
  <c r="G28" i="211"/>
  <c r="E12" i="209"/>
  <c r="S27" i="212"/>
  <c r="L20" i="212"/>
  <c r="L29" i="212"/>
  <c r="L29" i="221"/>
  <c r="S10" i="212"/>
  <c r="S18" i="221"/>
  <c r="S19" i="221"/>
  <c r="F33" i="204"/>
  <c r="Q28" i="204"/>
  <c r="T20" i="233"/>
  <c r="T19" i="233"/>
  <c r="H16" i="210"/>
  <c r="H21" i="210" s="1"/>
  <c r="L14" i="227"/>
  <c r="H12" i="227"/>
  <c r="J10" i="210"/>
  <c r="Q41" i="204"/>
  <c r="J27" i="232"/>
  <c r="F9" i="226"/>
  <c r="E9" i="226"/>
  <c r="H9" i="226"/>
  <c r="E16" i="210"/>
  <c r="S23" i="238"/>
  <c r="R23" i="238"/>
  <c r="G24" i="238"/>
  <c r="H18" i="238"/>
  <c r="T130" i="234"/>
  <c r="E11" i="206"/>
  <c r="I10" i="206"/>
  <c r="J11" i="202"/>
  <c r="U26" i="206"/>
  <c r="I19" i="202"/>
  <c r="G21" i="202"/>
  <c r="T25" i="206"/>
  <c r="S25" i="206"/>
  <c r="F21" i="202"/>
  <c r="F29" i="205"/>
  <c r="J27" i="202"/>
  <c r="J15" i="205"/>
  <c r="J25" i="204"/>
  <c r="H25" i="206"/>
  <c r="J31" i="204"/>
  <c r="J17" i="202"/>
  <c r="J9" i="204"/>
  <c r="J39" i="204"/>
  <c r="H9" i="205"/>
  <c r="J16" i="205"/>
  <c r="G47" i="204"/>
  <c r="J45" i="204"/>
  <c r="F26" i="206"/>
  <c r="I33" i="204"/>
  <c r="H16" i="202"/>
  <c r="J18" i="205"/>
  <c r="J10" i="202"/>
  <c r="E30" i="211"/>
  <c r="G30" i="211" s="1"/>
  <c r="J40" i="261"/>
  <c r="G40" i="261"/>
  <c r="X16" i="279"/>
  <c r="Q15" i="279"/>
  <c r="P24" i="279"/>
  <c r="Q22" i="279"/>
  <c r="F24" i="279"/>
  <c r="K22" i="279"/>
  <c r="H24" i="279"/>
  <c r="W15" i="280"/>
  <c r="N21" i="280"/>
  <c r="N18" i="280"/>
  <c r="U24" i="280"/>
  <c r="S24" i="280"/>
  <c r="W22" i="280"/>
  <c r="W24" i="280" s="1"/>
  <c r="P24" i="280"/>
  <c r="O24" i="280"/>
  <c r="AD10" i="280"/>
  <c r="N12" i="280"/>
  <c r="N22" i="280"/>
  <c r="O22" i="238"/>
  <c r="F24" i="238"/>
  <c r="R21" i="238"/>
  <c r="O21" i="238" s="1"/>
  <c r="H21" i="238"/>
  <c r="O10" i="238"/>
  <c r="G26" i="237"/>
  <c r="J15" i="237"/>
  <c r="I26" i="237"/>
  <c r="Q10" i="237"/>
  <c r="Q12" i="237"/>
  <c r="AG80" i="235"/>
  <c r="N82" i="235"/>
  <c r="AG74" i="235"/>
  <c r="N76" i="235"/>
  <c r="AG71" i="235"/>
  <c r="G96" i="235"/>
  <c r="N73" i="235"/>
  <c r="AG62" i="235"/>
  <c r="I96" i="235"/>
  <c r="I101" i="235"/>
  <c r="H21" i="227"/>
  <c r="H23" i="227" s="1"/>
  <c r="N46" i="235"/>
  <c r="AG44" i="235"/>
  <c r="N43" i="235"/>
  <c r="I34" i="235"/>
  <c r="AG31" i="235"/>
  <c r="G34" i="235"/>
  <c r="N33" i="235"/>
  <c r="M34" i="235"/>
  <c r="L34" i="235"/>
  <c r="AG25" i="235"/>
  <c r="N27" i="235"/>
  <c r="AG10" i="235"/>
  <c r="AA121" i="234"/>
  <c r="K105" i="234"/>
  <c r="I108" i="234"/>
  <c r="AF106" i="234"/>
  <c r="I128" i="234"/>
  <c r="AA103" i="234"/>
  <c r="G108" i="234"/>
  <c r="K106" i="234"/>
  <c r="G128" i="234"/>
  <c r="AD106" i="234"/>
  <c r="K99" i="234"/>
  <c r="AA91" i="234"/>
  <c r="AA85" i="234"/>
  <c r="AA88" i="234"/>
  <c r="F90" i="234"/>
  <c r="I28" i="234"/>
  <c r="K12" i="234"/>
  <c r="H28" i="234"/>
  <c r="E20" i="227"/>
  <c r="M33" i="233"/>
  <c r="F20" i="227"/>
  <c r="F23" i="227" s="1"/>
  <c r="T31" i="233"/>
  <c r="T32" i="233"/>
  <c r="AC28" i="229"/>
  <c r="AC33" i="229"/>
  <c r="AC30" i="229"/>
  <c r="AC31" i="229"/>
  <c r="AC32" i="229"/>
  <c r="AC27" i="229"/>
  <c r="AC24" i="229"/>
  <c r="AC25" i="229"/>
  <c r="AC14" i="229"/>
  <c r="AC18" i="229"/>
  <c r="AC20" i="229"/>
  <c r="AC19" i="229"/>
  <c r="AC17" i="229"/>
  <c r="AC16" i="229"/>
  <c r="AC15" i="229"/>
  <c r="AC13" i="229"/>
  <c r="AC12" i="229"/>
  <c r="AC11" i="229"/>
  <c r="M21" i="229"/>
  <c r="W29" i="228"/>
  <c r="W32" i="228"/>
  <c r="W10" i="228"/>
  <c r="W17" i="228"/>
  <c r="W13" i="228"/>
  <c r="W11" i="228"/>
  <c r="W12" i="228"/>
  <c r="W14" i="228"/>
  <c r="W15" i="228"/>
  <c r="J20" i="228"/>
  <c r="M46" i="227"/>
  <c r="J37" i="210"/>
  <c r="T22" i="227"/>
  <c r="Q24" i="226"/>
  <c r="I39" i="210"/>
  <c r="I44" i="210" s="1"/>
  <c r="L13" i="315"/>
  <c r="AK22" i="253"/>
  <c r="AK24" i="253"/>
  <c r="AK23" i="253"/>
  <c r="X16" i="253"/>
  <c r="AK20" i="253"/>
  <c r="AK21" i="253"/>
  <c r="AK25" i="253"/>
  <c r="R16" i="253"/>
  <c r="AK10" i="253"/>
  <c r="AK11" i="253"/>
  <c r="AK12" i="253"/>
  <c r="AK13" i="253"/>
  <c r="AK14" i="253"/>
  <c r="AK15" i="253"/>
  <c r="L16" i="253"/>
  <c r="CN22" i="251"/>
  <c r="CN19" i="251"/>
  <c r="CN23" i="251"/>
  <c r="CN24" i="251"/>
  <c r="CN26" i="251"/>
  <c r="O28" i="248"/>
  <c r="O24" i="248"/>
  <c r="T36" i="240"/>
  <c r="T37" i="240"/>
  <c r="T35" i="240"/>
  <c r="P40" i="240"/>
  <c r="T41" i="240"/>
  <c r="J40" i="240"/>
  <c r="J27" i="240"/>
  <c r="G28" i="240"/>
  <c r="AA13" i="240"/>
  <c r="H16" i="240"/>
  <c r="AA9" i="240"/>
  <c r="G20" i="239"/>
  <c r="E21" i="239"/>
  <c r="G17" i="239"/>
  <c r="F21" i="239"/>
  <c r="G101" i="235"/>
  <c r="F101" i="235"/>
  <c r="K101" i="235"/>
  <c r="M96" i="235"/>
  <c r="H96" i="235"/>
  <c r="J96" i="235"/>
  <c r="N64" i="235"/>
  <c r="K96" i="235"/>
  <c r="L96" i="235"/>
  <c r="F96" i="235"/>
  <c r="L21" i="227"/>
  <c r="L23" i="227" s="1"/>
  <c r="M101" i="235"/>
  <c r="K21" i="227"/>
  <c r="K23" i="227" s="1"/>
  <c r="K25" i="227" s="1"/>
  <c r="L101" i="235"/>
  <c r="N40" i="235"/>
  <c r="J21" i="227"/>
  <c r="J23" i="227" s="1"/>
  <c r="H101" i="235"/>
  <c r="G21" i="227"/>
  <c r="G23" i="227" s="1"/>
  <c r="K34" i="235"/>
  <c r="J34" i="235"/>
  <c r="F34" i="235"/>
  <c r="F56" i="235" s="1"/>
  <c r="H34" i="235"/>
  <c r="N30" i="235"/>
  <c r="N99" i="235"/>
  <c r="I21" i="227"/>
  <c r="J101" i="235"/>
  <c r="N12" i="235"/>
  <c r="I56" i="235"/>
  <c r="K111" i="234"/>
  <c r="J125" i="234"/>
  <c r="H125" i="234"/>
  <c r="I90" i="234"/>
  <c r="K81" i="234"/>
  <c r="K69" i="234"/>
  <c r="J76" i="234"/>
  <c r="K76" i="234" s="1"/>
  <c r="K54" i="234"/>
  <c r="K42" i="234"/>
  <c r="K27" i="234"/>
  <c r="G28" i="234"/>
  <c r="J28" i="234"/>
  <c r="H130" i="234"/>
  <c r="E21" i="226"/>
  <c r="J32" i="232"/>
  <c r="J31" i="210"/>
  <c r="J46" i="226"/>
  <c r="L20" i="221"/>
  <c r="G22" i="221"/>
  <c r="F22" i="221"/>
  <c r="L24" i="221"/>
  <c r="L13" i="221"/>
  <c r="G15" i="217"/>
  <c r="F10" i="217"/>
  <c r="F14" i="217"/>
  <c r="F16" i="217" s="1"/>
  <c r="G8" i="217"/>
  <c r="E10" i="217"/>
  <c r="E14" i="217"/>
  <c r="G22" i="212"/>
  <c r="H22" i="212"/>
  <c r="L24" i="212"/>
  <c r="L13" i="212"/>
  <c r="F12" i="209"/>
  <c r="C56" i="315"/>
  <c r="L28" i="315"/>
  <c r="L33" i="315"/>
  <c r="L51" i="315"/>
  <c r="L26" i="315"/>
  <c r="L39" i="315"/>
  <c r="E17" i="315"/>
  <c r="P84" i="315"/>
  <c r="L84" i="315" s="1"/>
  <c r="L25" i="315"/>
  <c r="E48" i="315"/>
  <c r="L29" i="315"/>
  <c r="L52" i="315"/>
  <c r="L27" i="315"/>
  <c r="L50" i="315"/>
  <c r="C57" i="315"/>
  <c r="E30" i="315"/>
  <c r="E47" i="315"/>
  <c r="E64" i="315"/>
  <c r="E31" i="315"/>
  <c r="D56" i="315"/>
  <c r="D68" i="315" s="1"/>
  <c r="E16" i="315"/>
  <c r="L11" i="315"/>
  <c r="P63" i="315"/>
  <c r="L63" i="315" s="1"/>
  <c r="L19" i="315"/>
  <c r="L34" i="315"/>
  <c r="L40" i="315"/>
  <c r="L20" i="315"/>
  <c r="P60" i="315"/>
  <c r="L60" i="315" s="1"/>
  <c r="L21" i="315"/>
  <c r="D57" i="315"/>
  <c r="P61" i="315"/>
  <c r="L61" i="315" s="1"/>
  <c r="G16" i="226" l="1"/>
  <c r="I21" i="226"/>
  <c r="F29" i="210"/>
  <c r="G30" i="215"/>
  <c r="J20" i="226"/>
  <c r="H12" i="226"/>
  <c r="H16" i="226" s="1"/>
  <c r="L16" i="227"/>
  <c r="C639" i="293"/>
  <c r="J27" i="205"/>
  <c r="G16" i="227"/>
  <c r="I23" i="226"/>
  <c r="I23" i="227"/>
  <c r="K49" i="234"/>
  <c r="I16" i="227"/>
  <c r="N56" i="315"/>
  <c r="K19" i="281"/>
  <c r="J22" i="204"/>
  <c r="F18" i="281"/>
  <c r="F21" i="281"/>
  <c r="F19" i="281"/>
  <c r="L19" i="281"/>
  <c r="G18" i="281"/>
  <c r="G21" i="281"/>
  <c r="L18" i="281"/>
  <c r="L21" i="281"/>
  <c r="J18" i="281"/>
  <c r="J21" i="281"/>
  <c r="G19" i="281"/>
  <c r="J19" i="281"/>
  <c r="N18" i="281"/>
  <c r="N21" i="281"/>
  <c r="H19" i="257"/>
  <c r="I18" i="281"/>
  <c r="I21" i="281"/>
  <c r="N19" i="281"/>
  <c r="D22" i="262"/>
  <c r="I19" i="281"/>
  <c r="J19" i="202"/>
  <c r="E22" i="262"/>
  <c r="G17" i="262"/>
  <c r="E19" i="281"/>
  <c r="E18" i="281"/>
  <c r="E21" i="281"/>
  <c r="K90" i="234"/>
  <c r="K18" i="281"/>
  <c r="K21" i="281"/>
  <c r="E21" i="219"/>
  <c r="E22" i="219" s="1"/>
  <c r="K51" i="257"/>
  <c r="T33" i="257"/>
  <c r="L35" i="257"/>
  <c r="G228" i="231"/>
  <c r="G183" i="231"/>
  <c r="G93" i="231"/>
  <c r="G138" i="231"/>
  <c r="G48" i="231"/>
  <c r="G29" i="210"/>
  <c r="X312" i="293"/>
  <c r="X620" i="293" s="1"/>
  <c r="C630" i="293" s="1"/>
  <c r="Y312" i="293"/>
  <c r="Y620" i="293" s="1"/>
  <c r="C631" i="293" s="1"/>
  <c r="Q620" i="293"/>
  <c r="C640" i="293" s="1"/>
  <c r="J35" i="205"/>
  <c r="W34" i="235"/>
  <c r="F125" i="234"/>
  <c r="J130" i="234"/>
  <c r="I10" i="226"/>
  <c r="F10" i="226"/>
  <c r="K56" i="235"/>
  <c r="K129" i="234"/>
  <c r="E10" i="226"/>
  <c r="E12" i="226" s="1"/>
  <c r="I8" i="219"/>
  <c r="K7" i="209"/>
  <c r="G46" i="215"/>
  <c r="G21" i="210"/>
  <c r="L22" i="221"/>
  <c r="J14" i="227"/>
  <c r="M12" i="227"/>
  <c r="M9" i="227"/>
  <c r="E14" i="227"/>
  <c r="F14" i="227"/>
  <c r="K14" i="227"/>
  <c r="G14" i="226"/>
  <c r="E19" i="209"/>
  <c r="E35" i="211"/>
  <c r="L22" i="212"/>
  <c r="F47" i="204"/>
  <c r="H14" i="227"/>
  <c r="H16" i="227" s="1"/>
  <c r="H23" i="210"/>
  <c r="J16" i="210"/>
  <c r="H14" i="226"/>
  <c r="J9" i="226"/>
  <c r="O23" i="238"/>
  <c r="I47" i="204"/>
  <c r="E26" i="206"/>
  <c r="E25" i="206"/>
  <c r="I11" i="206"/>
  <c r="U25" i="206"/>
  <c r="G8" i="203"/>
  <c r="S26" i="206"/>
  <c r="I9" i="205"/>
  <c r="J9" i="205" s="1"/>
  <c r="H17" i="205"/>
  <c r="F8" i="203"/>
  <c r="I16" i="202"/>
  <c r="H18" i="202"/>
  <c r="F37" i="205"/>
  <c r="J33" i="204"/>
  <c r="Q24" i="279"/>
  <c r="K24" i="279"/>
  <c r="N24" i="280"/>
  <c r="H24" i="238"/>
  <c r="J26" i="237"/>
  <c r="G56" i="235"/>
  <c r="L56" i="235"/>
  <c r="M56" i="235"/>
  <c r="H25" i="227"/>
  <c r="G125" i="234"/>
  <c r="AA106" i="234"/>
  <c r="I130" i="234"/>
  <c r="H21" i="226"/>
  <c r="H23" i="226" s="1"/>
  <c r="H25" i="226" s="1"/>
  <c r="F21" i="226"/>
  <c r="F23" i="226" s="1"/>
  <c r="K128" i="234"/>
  <c r="K108" i="234"/>
  <c r="G130" i="234"/>
  <c r="F25" i="227"/>
  <c r="E23" i="227"/>
  <c r="M20" i="227"/>
  <c r="G25" i="226"/>
  <c r="C68" i="315"/>
  <c r="N68" i="315" s="1"/>
  <c r="E56" i="315"/>
  <c r="P45" i="240"/>
  <c r="T40" i="240"/>
  <c r="T44" i="240"/>
  <c r="J45" i="240"/>
  <c r="J28" i="240"/>
  <c r="G21" i="239"/>
  <c r="N96" i="235"/>
  <c r="L25" i="227"/>
  <c r="L30" i="227" s="1"/>
  <c r="H30" i="210"/>
  <c r="G25" i="227"/>
  <c r="H56" i="235"/>
  <c r="N34" i="235"/>
  <c r="J56" i="235"/>
  <c r="I25" i="227"/>
  <c r="M21" i="227"/>
  <c r="G30" i="210"/>
  <c r="N101" i="235"/>
  <c r="I125" i="234"/>
  <c r="K28" i="234"/>
  <c r="E23" i="226"/>
  <c r="E30" i="210"/>
  <c r="E32" i="210" s="1"/>
  <c r="I25" i="226"/>
  <c r="J29" i="210"/>
  <c r="J25" i="227"/>
  <c r="G10" i="219"/>
  <c r="G10" i="217"/>
  <c r="G14" i="217"/>
  <c r="E16" i="217"/>
  <c r="F19" i="209"/>
  <c r="E57" i="315"/>
  <c r="P64" i="315"/>
  <c r="N57" i="315"/>
  <c r="C69" i="315"/>
  <c r="O56" i="315"/>
  <c r="O68" i="315"/>
  <c r="D69" i="315"/>
  <c r="O57" i="315"/>
  <c r="F12" i="226" l="1"/>
  <c r="F16" i="226" s="1"/>
  <c r="F19" i="210"/>
  <c r="K16" i="227"/>
  <c r="F16" i="227"/>
  <c r="E16" i="227"/>
  <c r="J16" i="227"/>
  <c r="L56" i="315"/>
  <c r="G30" i="226"/>
  <c r="G35" i="226" s="1"/>
  <c r="L57" i="315"/>
  <c r="E68" i="315"/>
  <c r="L68" i="315"/>
  <c r="F14" i="226"/>
  <c r="J23" i="281"/>
  <c r="E23" i="281"/>
  <c r="L23" i="281"/>
  <c r="D29" i="262"/>
  <c r="G22" i="262"/>
  <c r="F23" i="281"/>
  <c r="G23" i="281"/>
  <c r="I23" i="281"/>
  <c r="K23" i="281"/>
  <c r="N23" i="281"/>
  <c r="E14" i="226"/>
  <c r="G23" i="210"/>
  <c r="E19" i="210"/>
  <c r="E21" i="210" s="1"/>
  <c r="J10" i="226"/>
  <c r="I12" i="226"/>
  <c r="I10" i="219"/>
  <c r="I21" i="219" s="1"/>
  <c r="I22" i="219" s="1"/>
  <c r="J8" i="219"/>
  <c r="L7" i="209"/>
  <c r="K19" i="209"/>
  <c r="F30" i="227"/>
  <c r="K30" i="227"/>
  <c r="K35" i="227" s="1"/>
  <c r="G35" i="211"/>
  <c r="J12" i="209"/>
  <c r="J10" i="209" s="1"/>
  <c r="M14" i="227"/>
  <c r="E23" i="210"/>
  <c r="J16" i="202"/>
  <c r="G11" i="203"/>
  <c r="I17" i="205"/>
  <c r="H20" i="205"/>
  <c r="R26" i="206"/>
  <c r="P26" i="206" s="1"/>
  <c r="I26" i="206"/>
  <c r="I25" i="206"/>
  <c r="I14" i="206"/>
  <c r="J47" i="204"/>
  <c r="I18" i="202"/>
  <c r="H21" i="202"/>
  <c r="R25" i="206"/>
  <c r="P25" i="206" s="1"/>
  <c r="F11" i="203"/>
  <c r="M23" i="227"/>
  <c r="H30" i="227"/>
  <c r="J21" i="226"/>
  <c r="F30" i="210"/>
  <c r="K130" i="234"/>
  <c r="H30" i="226"/>
  <c r="K125" i="234"/>
  <c r="F25" i="226"/>
  <c r="E25" i="227"/>
  <c r="E30" i="227" s="1"/>
  <c r="E35" i="227" s="1"/>
  <c r="T45" i="240"/>
  <c r="I30" i="227"/>
  <c r="I35" i="227" s="1"/>
  <c r="G30" i="227"/>
  <c r="G35" i="227" s="1"/>
  <c r="H32" i="210"/>
  <c r="H34" i="210" s="1"/>
  <c r="N56" i="235"/>
  <c r="G32" i="210"/>
  <c r="E25" i="226"/>
  <c r="E34" i="210"/>
  <c r="J23" i="226"/>
  <c r="J30" i="227"/>
  <c r="L35" i="227"/>
  <c r="G21" i="219"/>
  <c r="G22" i="219" s="1"/>
  <c r="G16" i="217"/>
  <c r="F10" i="219"/>
  <c r="N69" i="315"/>
  <c r="O69" i="315"/>
  <c r="E69" i="315"/>
  <c r="E16" i="226" l="1"/>
  <c r="J12" i="226"/>
  <c r="I16" i="226"/>
  <c r="I12" i="209"/>
  <c r="I10" i="209" s="1"/>
  <c r="I14" i="226"/>
  <c r="J19" i="210"/>
  <c r="F21" i="210"/>
  <c r="F35" i="227"/>
  <c r="Z10" i="209"/>
  <c r="J11" i="209"/>
  <c r="J19" i="209"/>
  <c r="G12" i="209"/>
  <c r="G10" i="209" s="1"/>
  <c r="I17" i="206"/>
  <c r="H29" i="205"/>
  <c r="I20" i="205"/>
  <c r="H8" i="203"/>
  <c r="I21" i="202"/>
  <c r="J17" i="205"/>
  <c r="J18" i="202"/>
  <c r="H35" i="227"/>
  <c r="M25" i="227"/>
  <c r="H35" i="226"/>
  <c r="J30" i="210"/>
  <c r="F32" i="210"/>
  <c r="J32" i="210" s="1"/>
  <c r="F30" i="226"/>
  <c r="F35" i="226" s="1"/>
  <c r="M30" i="227"/>
  <c r="G34" i="210"/>
  <c r="E30" i="226"/>
  <c r="J25" i="226"/>
  <c r="E39" i="210"/>
  <c r="H39" i="210"/>
  <c r="J35" i="227"/>
  <c r="F21" i="219"/>
  <c r="J10" i="219"/>
  <c r="L69" i="315"/>
  <c r="I19" i="209" l="1"/>
  <c r="F23" i="210"/>
  <c r="J21" i="210"/>
  <c r="I30" i="226"/>
  <c r="J30" i="226" s="1"/>
  <c r="J14" i="226"/>
  <c r="Y10" i="209"/>
  <c r="I11" i="209"/>
  <c r="G11" i="209"/>
  <c r="G19" i="209"/>
  <c r="J20" i="205"/>
  <c r="H37" i="205"/>
  <c r="I29" i="205"/>
  <c r="J21" i="202"/>
  <c r="H11" i="203"/>
  <c r="I8" i="203"/>
  <c r="J8" i="203" s="1"/>
  <c r="F34" i="210"/>
  <c r="J34" i="210" s="1"/>
  <c r="G39" i="210"/>
  <c r="M35" i="227"/>
  <c r="E44" i="210"/>
  <c r="E35" i="226"/>
  <c r="H44" i="210"/>
  <c r="F22" i="219"/>
  <c r="J21" i="219"/>
  <c r="I35" i="226" l="1"/>
  <c r="H12" i="209"/>
  <c r="J23" i="210"/>
  <c r="W10" i="209"/>
  <c r="I11" i="203"/>
  <c r="J29" i="205"/>
  <c r="I37" i="205"/>
  <c r="F39" i="210"/>
  <c r="F44" i="210" s="1"/>
  <c r="G44" i="210"/>
  <c r="J22" i="219"/>
  <c r="J35" i="226" l="1"/>
  <c r="H10" i="209"/>
  <c r="H19" i="209"/>
  <c r="L12" i="209"/>
  <c r="J37" i="205"/>
  <c r="J11" i="203"/>
  <c r="J39" i="210"/>
  <c r="J44" i="210"/>
  <c r="H11" i="209" l="1"/>
  <c r="L11" i="209"/>
  <c r="L19" i="209"/>
  <c r="X10" i="209"/>
  <c r="S10" i="209" s="1"/>
  <c r="L10" i="209"/>
</calcChain>
</file>

<file path=xl/sharedStrings.xml><?xml version="1.0" encoding="utf-8"?>
<sst xmlns="http://schemas.openxmlformats.org/spreadsheetml/2006/main" count="23048" uniqueCount="13481">
  <si>
    <t>Name</t>
  </si>
  <si>
    <t>South West Water</t>
  </si>
  <si>
    <t>Thames Water</t>
  </si>
  <si>
    <t>Yorkshire Water</t>
  </si>
  <si>
    <t>Classification of treatment works</t>
  </si>
  <si>
    <t>Select company</t>
  </si>
  <si>
    <t>Large STW1</t>
  </si>
  <si>
    <t>ALDWARKE/STW</t>
  </si>
  <si>
    <t>Supply-side improvements delivering benefits in 2020-2025</t>
  </si>
  <si>
    <t>Large STW2</t>
  </si>
  <si>
    <t>BEVERLEY/STW</t>
  </si>
  <si>
    <t>Secondary Activated Sludge</t>
  </si>
  <si>
    <t>Demand-side improvements delivering benefits in 2020-2025 (excl leakage and metering)</t>
  </si>
  <si>
    <t>Large STW3</t>
  </si>
  <si>
    <t>BLACKBURN MEADOWS/STW</t>
  </si>
  <si>
    <t>Secondary Biological</t>
  </si>
  <si>
    <t>Internal interconnectors delivering benefits in 2020-2025</t>
  </si>
  <si>
    <t>Large STW4</t>
  </si>
  <si>
    <t>Tertiary A1</t>
  </si>
  <si>
    <t>Supply-demand balance improvements delivering benefits starting from 2026</t>
  </si>
  <si>
    <t>Large STW5</t>
  </si>
  <si>
    <t>Tertiary A2</t>
  </si>
  <si>
    <t>Large STW6</t>
  </si>
  <si>
    <t>BRADFORD ESHOLT/NO 2 STW</t>
  </si>
  <si>
    <t>Large STW7</t>
  </si>
  <si>
    <t>BRIDLINGTON STW</t>
  </si>
  <si>
    <t>Tertiary B2</t>
  </si>
  <si>
    <t>Large STW8</t>
  </si>
  <si>
    <t>BRIGHOUSE/UPPER STW</t>
  </si>
  <si>
    <t>Severn Trent Water</t>
  </si>
  <si>
    <t>Large STW9</t>
  </si>
  <si>
    <t>CALDER VALE/STW</t>
  </si>
  <si>
    <t>Large STW10</t>
  </si>
  <si>
    <t>CASTLEFORD/STW</t>
  </si>
  <si>
    <t>Large STW11</t>
  </si>
  <si>
    <t>DEIGHTON/STW</t>
  </si>
  <si>
    <t>Large STW12</t>
  </si>
  <si>
    <t>DENABY/NO 2 STW</t>
  </si>
  <si>
    <t>Large STW13</t>
  </si>
  <si>
    <t>DEWSBURY/STW</t>
  </si>
  <si>
    <t>Large STW14</t>
  </si>
  <si>
    <t>DOWLEY GAP/STW</t>
  </si>
  <si>
    <t>Large STW15</t>
  </si>
  <si>
    <t>GARFORTH/STW</t>
  </si>
  <si>
    <t>Large STW16</t>
  </si>
  <si>
    <t>Large STW17</t>
  </si>
  <si>
    <t>HARROGATE NORTH/STW</t>
  </si>
  <si>
    <t>Large STW18</t>
  </si>
  <si>
    <t>HARROGATE SOUTH/STW</t>
  </si>
  <si>
    <t>Large STW19</t>
  </si>
  <si>
    <t>Yorkshire Water Services Ltd</t>
  </si>
  <si>
    <t>Large STW20</t>
  </si>
  <si>
    <t>HULL/STW</t>
  </si>
  <si>
    <t>Large STW21</t>
  </si>
  <si>
    <t>KEIGHLEY MARLEY/STW</t>
  </si>
  <si>
    <t>Large STW22</t>
  </si>
  <si>
    <t>Large STW23</t>
  </si>
  <si>
    <t>Large STW24</t>
  </si>
  <si>
    <t>KNOSTROP/STW</t>
  </si>
  <si>
    <t>Large STW25</t>
  </si>
  <si>
    <t>LEMONROYD/STW</t>
  </si>
  <si>
    <t>Large STW26</t>
  </si>
  <si>
    <t>LUNDWOOD/STW</t>
  </si>
  <si>
    <t>Large STW27</t>
  </si>
  <si>
    <t>MALTON/STW</t>
  </si>
  <si>
    <t>Large STW28</t>
  </si>
  <si>
    <t>Large STW29</t>
  </si>
  <si>
    <t>NEILEY/NO 2 STW</t>
  </si>
  <si>
    <t>Large STW30</t>
  </si>
  <si>
    <t>NORMANTON/STW</t>
  </si>
  <si>
    <t>Large STW31</t>
  </si>
  <si>
    <t>Large STW32</t>
  </si>
  <si>
    <t>Large STW33</t>
  </si>
  <si>
    <t>OLD WHITTINGTON/STW</t>
  </si>
  <si>
    <t>Large STW34</t>
  </si>
  <si>
    <t>RAWCLIFFE YORK/STW</t>
  </si>
  <si>
    <t>Large STW35</t>
  </si>
  <si>
    <t>SALTERHEBBLE</t>
  </si>
  <si>
    <t>Large STW36</t>
  </si>
  <si>
    <t>SANDALL/STW</t>
  </si>
  <si>
    <t>Large STW37</t>
  </si>
  <si>
    <t>SCARBOROUGH/STW</t>
  </si>
  <si>
    <t>Large STW38</t>
  </si>
  <si>
    <t>Large STW39</t>
  </si>
  <si>
    <t>SOUTH ELMSALL/STW</t>
  </si>
  <si>
    <t>Large STW40</t>
  </si>
  <si>
    <t>Large STW41</t>
  </si>
  <si>
    <t>STAVELEY/STW</t>
  </si>
  <si>
    <t>Large STW42</t>
  </si>
  <si>
    <t>SUTTON/STW</t>
  </si>
  <si>
    <t>Large STW43</t>
  </si>
  <si>
    <t>Large STW44</t>
  </si>
  <si>
    <t>THORNE/STW</t>
  </si>
  <si>
    <t>Large STW45</t>
  </si>
  <si>
    <t>Large STW46</t>
  </si>
  <si>
    <t>WOMBWELL/STW</t>
  </si>
  <si>
    <t>Large STW47</t>
  </si>
  <si>
    <t>WOODHOUSE MILL/STW</t>
  </si>
  <si>
    <t>Large STW48</t>
  </si>
  <si>
    <t>YORK NABURN/STW</t>
  </si>
  <si>
    <t>Large STW49</t>
  </si>
  <si>
    <t>Large STW50</t>
  </si>
  <si>
    <t>Large STW51</t>
  </si>
  <si>
    <t>Large STW52</t>
  </si>
  <si>
    <t>Large STW53</t>
  </si>
  <si>
    <t>Large STW54</t>
  </si>
  <si>
    <t>Large STW55</t>
  </si>
  <si>
    <t>Large STW56</t>
  </si>
  <si>
    <t>Large STW57</t>
  </si>
  <si>
    <t>Large STW58</t>
  </si>
  <si>
    <t>Large STW59</t>
  </si>
  <si>
    <t>Large STW60</t>
  </si>
  <si>
    <t>Large STW61</t>
  </si>
  <si>
    <t>Large STW62</t>
  </si>
  <si>
    <t>Large STW63</t>
  </si>
  <si>
    <t>Large STW64</t>
  </si>
  <si>
    <t>Large STW65</t>
  </si>
  <si>
    <t>Large STW66</t>
  </si>
  <si>
    <t>Large STW67</t>
  </si>
  <si>
    <t>Large STW68</t>
  </si>
  <si>
    <t>Large STW69</t>
  </si>
  <si>
    <t>Large STW70</t>
  </si>
  <si>
    <t>Large STW71</t>
  </si>
  <si>
    <t>Large STW72</t>
  </si>
  <si>
    <t>Large STW73</t>
  </si>
  <si>
    <t>Large STW74</t>
  </si>
  <si>
    <t>Large STW75</t>
  </si>
  <si>
    <t>Large STW76</t>
  </si>
  <si>
    <t>Large STW77</t>
  </si>
  <si>
    <t>Large STW78</t>
  </si>
  <si>
    <t>Large STW79</t>
  </si>
  <si>
    <t>Large STW80</t>
  </si>
  <si>
    <t>Table</t>
  </si>
  <si>
    <t>4L</t>
  </si>
  <si>
    <t>6C</t>
  </si>
  <si>
    <t>Unit</t>
  </si>
  <si>
    <t>DPs</t>
  </si>
  <si>
    <t>£m</t>
  </si>
  <si>
    <t>nr</t>
  </si>
  <si>
    <t>CR2021N0_FD_A</t>
  </si>
  <si>
    <t>CR2022N0_FD_A</t>
  </si>
  <si>
    <t>CR2023N0_FD_A</t>
  </si>
  <si>
    <t>CR2024N0_FD_A</t>
  </si>
  <si>
    <t>CR2025N0_FD_A</t>
  </si>
  <si>
    <t>CR2026N0_FD_A</t>
  </si>
  <si>
    <t>CR4029N0_FD_A</t>
  </si>
  <si>
    <t>CR2027N0_FD_A</t>
  </si>
  <si>
    <t>CR2005N0_FD_A</t>
  </si>
  <si>
    <t>CR2006N0_FD_A</t>
  </si>
  <si>
    <t>CR2007N0_FD_A</t>
  </si>
  <si>
    <t>CR2008N0_FD_A</t>
  </si>
  <si>
    <t>CR2009N0_FD_A</t>
  </si>
  <si>
    <t>CR20010N0_FD_A</t>
  </si>
  <si>
    <t>CR20011N0_FD_A</t>
  </si>
  <si>
    <t>CR20012N0_FD_A</t>
  </si>
  <si>
    <t>CR20013N0_FD_A</t>
  </si>
  <si>
    <t>CR20014N0_FD_A</t>
  </si>
  <si>
    <t>CR20015N0_FD_A</t>
  </si>
  <si>
    <t>CR20016N0_FD_A</t>
  </si>
  <si>
    <t>CR20017N0_FD_A</t>
  </si>
  <si>
    <t>CR2029N0_FD_A</t>
  </si>
  <si>
    <t>CR2030N0_FD_A</t>
  </si>
  <si>
    <t>CR2031N0_FD_A</t>
  </si>
  <si>
    <t>CR20018N0_FD_A</t>
  </si>
  <si>
    <t>CR20019N0_FD_A</t>
  </si>
  <si>
    <t>CR2028N0_FD_A</t>
  </si>
  <si>
    <t>CR20020N0_FD_A</t>
  </si>
  <si>
    <t>CR2021N1_FD_A</t>
  </si>
  <si>
    <t>CR2022N1_FD_A</t>
  </si>
  <si>
    <t>CR2023N1_FD_A</t>
  </si>
  <si>
    <t>CR2024N1_FD_A</t>
  </si>
  <si>
    <t>CR2025N1_FD_A</t>
  </si>
  <si>
    <t>CR2026N1_FD_A</t>
  </si>
  <si>
    <t>CR4029N1_FD_A</t>
  </si>
  <si>
    <t>CR2027N1_FD_A</t>
  </si>
  <si>
    <t>CR2005N1_FD_A</t>
  </si>
  <si>
    <t>CR2006N1_FD_A</t>
  </si>
  <si>
    <t>CR2007N1_FD_A</t>
  </si>
  <si>
    <t>CR2008N1_FD_A</t>
  </si>
  <si>
    <t>CR2009N1_FD_A</t>
  </si>
  <si>
    <t>CR20010N1_FD_A</t>
  </si>
  <si>
    <t>CR20011N1_FD_A</t>
  </si>
  <si>
    <t>CR20012N1_FD_A</t>
  </si>
  <si>
    <t>CR20013N1_FD_A</t>
  </si>
  <si>
    <t>CR20014N1_FD_A</t>
  </si>
  <si>
    <t>CR20015N1_FD_A</t>
  </si>
  <si>
    <t>CR20016N1_FD_A</t>
  </si>
  <si>
    <t>CR20017N1_FD_A</t>
  </si>
  <si>
    <t>CR2029N1_FD_A</t>
  </si>
  <si>
    <t>CR2030N1_FD_A</t>
  </si>
  <si>
    <t>CR2031N1_FD_A</t>
  </si>
  <si>
    <t>CR20018N1_FD_A</t>
  </si>
  <si>
    <t>CR20019N1_FD_A</t>
  </si>
  <si>
    <t>CR2028N1_FD_A</t>
  </si>
  <si>
    <t>CR20020N1_FD_A</t>
  </si>
  <si>
    <t>CR2021N2_FD_A</t>
  </si>
  <si>
    <t>CR2022N2_FD_A</t>
  </si>
  <si>
    <t>CR2023N2_FD_A</t>
  </si>
  <si>
    <t>CR2024N2_FD_A</t>
  </si>
  <si>
    <t>CR2025N2_FD_A</t>
  </si>
  <si>
    <t>CR2026N2_FD_A</t>
  </si>
  <si>
    <t>CR4029N2_FD_A</t>
  </si>
  <si>
    <t>CR2027N2_FD_A</t>
  </si>
  <si>
    <t>CR2005N2_FD_A</t>
  </si>
  <si>
    <t>CR2006N2_FD_A</t>
  </si>
  <si>
    <t>CR2007N2_FD_A</t>
  </si>
  <si>
    <t>CR2008N2_FD_A</t>
  </si>
  <si>
    <t>CR2009N2_FD_A</t>
  </si>
  <si>
    <t>CR20010N2_FD_A</t>
  </si>
  <si>
    <t>CR20011N2_FD_A</t>
  </si>
  <si>
    <t>CR20012N2_FD_A</t>
  </si>
  <si>
    <t>CR20013N2_FD_A</t>
  </si>
  <si>
    <t>CR20014N2_FD_A</t>
  </si>
  <si>
    <t>CR20015N2_FD_A</t>
  </si>
  <si>
    <t>CR20016N2_FD_A</t>
  </si>
  <si>
    <t>CR20017N2_FD_A</t>
  </si>
  <si>
    <t>CR2029N2_FD_A</t>
  </si>
  <si>
    <t>CR2030N2_FD_A</t>
  </si>
  <si>
    <t>CR2031N2_FD_A</t>
  </si>
  <si>
    <t>CR20018N2_FD_A</t>
  </si>
  <si>
    <t>CR20019N2_FD_A</t>
  </si>
  <si>
    <t>CR2028N2_FD_A</t>
  </si>
  <si>
    <t>CR20020N2_FD_A</t>
  </si>
  <si>
    <t>CR2021N5_FD_A</t>
  </si>
  <si>
    <t>CR2022N5_FD_A</t>
  </si>
  <si>
    <t>CR2023N5_FD_A</t>
  </si>
  <si>
    <t>CR2024N5_FD_A</t>
  </si>
  <si>
    <t>CR2025N5_FD_A</t>
  </si>
  <si>
    <t>CR2026N5_FD_A</t>
  </si>
  <si>
    <t>CR4029N5_FD_A</t>
  </si>
  <si>
    <t>CR2027N5_FD_A</t>
  </si>
  <si>
    <t>CR2005N5_FD_A</t>
  </si>
  <si>
    <t>CR2006N5_FD_A</t>
  </si>
  <si>
    <t>CR2007N5_FD_A</t>
  </si>
  <si>
    <t>CR2008N5_FD_A</t>
  </si>
  <si>
    <t>CR2009N5_FD_A</t>
  </si>
  <si>
    <t>CR20010N5_FD_A</t>
  </si>
  <si>
    <t>CR20011N5_FD_A</t>
  </si>
  <si>
    <t>CR20012N5_FD_A</t>
  </si>
  <si>
    <t>CR20013N5_FD_A</t>
  </si>
  <si>
    <t>CR20014N5_FD_A</t>
  </si>
  <si>
    <t>CR20015N5_FD_A</t>
  </si>
  <si>
    <t>CR20016N5_FD_A</t>
  </si>
  <si>
    <t>CR20017N5_FD_A</t>
  </si>
  <si>
    <t>CR2029N5_FD_A</t>
  </si>
  <si>
    <t>CR2030N5_FD_A</t>
  </si>
  <si>
    <t>CR2031N5_FD_A</t>
  </si>
  <si>
    <t>CR20018N5_FD_A</t>
  </si>
  <si>
    <t>CR20019N5_FD_A</t>
  </si>
  <si>
    <t>CR2028N5_FD_A</t>
  </si>
  <si>
    <t>CR20020N5_FD_A</t>
  </si>
  <si>
    <t>CR2021N6_FD_A</t>
  </si>
  <si>
    <t>CR2022N6_FD_A</t>
  </si>
  <si>
    <t>CR2023N6_FD_A</t>
  </si>
  <si>
    <t>CR2024N6_FD_A</t>
  </si>
  <si>
    <t>CR2025N6_FD_A</t>
  </si>
  <si>
    <t>CR2026N6_FD_A</t>
  </si>
  <si>
    <t>CR4029N6_FD_A</t>
  </si>
  <si>
    <t>CR2027N6_FD_A</t>
  </si>
  <si>
    <t>CR2005N6_FD_A</t>
  </si>
  <si>
    <t>CR2006N6_FD_A</t>
  </si>
  <si>
    <t>CR2007N6_FD_A</t>
  </si>
  <si>
    <t>CR2008N6_FD_A</t>
  </si>
  <si>
    <t>CR2009N6_FD_A</t>
  </si>
  <si>
    <t>CR20010N6_FD_A</t>
  </si>
  <si>
    <t>CR20011N6_FD_A</t>
  </si>
  <si>
    <t>CR20012N6_FD_A</t>
  </si>
  <si>
    <t>CR20013N6_FD_A</t>
  </si>
  <si>
    <t>CR20014N6_FD_A</t>
  </si>
  <si>
    <t>CR20015N6_FD_A</t>
  </si>
  <si>
    <t>CR20016N6_FD_A</t>
  </si>
  <si>
    <t>CR20017N6_FD_A</t>
  </si>
  <si>
    <t>CR2029N6_FD_A</t>
  </si>
  <si>
    <t>CR2030N6_FD_A</t>
  </si>
  <si>
    <t>CR2031N6_FD_A</t>
  </si>
  <si>
    <t>CR20018N6_FD_A</t>
  </si>
  <si>
    <t>CR20019N6_FD_A</t>
  </si>
  <si>
    <t>CR2028N6_FD_A</t>
  </si>
  <si>
    <t>CR20020N6_FD_A</t>
  </si>
  <si>
    <t>CR2021MM_FD_A</t>
  </si>
  <si>
    <t>CR2022MM_FD_A</t>
  </si>
  <si>
    <t>CR2023MM_FD_A</t>
  </si>
  <si>
    <t>CR2024MM_FD_A</t>
  </si>
  <si>
    <t>CR2025MM_FD_A</t>
  </si>
  <si>
    <t>CR2026MM_FD_A</t>
  </si>
  <si>
    <t>CR4029MM_FD_A</t>
  </si>
  <si>
    <t>CR2027MM_FD_A</t>
  </si>
  <si>
    <t>CR2005MM_FD_A</t>
  </si>
  <si>
    <t>CR2006MM_FD_A</t>
  </si>
  <si>
    <t>CR2007MM_FD_A</t>
  </si>
  <si>
    <t>CR2008MM_FD_A</t>
  </si>
  <si>
    <t>CR2009MM_FD_A</t>
  </si>
  <si>
    <t>CR20010MM_FD_A</t>
  </si>
  <si>
    <t>CR20011MM_FD_A</t>
  </si>
  <si>
    <t>CR20012MM_FD_A</t>
  </si>
  <si>
    <t>CR20013MM_FD_A</t>
  </si>
  <si>
    <t>CR20014MM_FD_A</t>
  </si>
  <si>
    <t>CR20015MM_FD_A</t>
  </si>
  <si>
    <t>CR20016MM_FD_A</t>
  </si>
  <si>
    <t>CR20017MM_FD_A</t>
  </si>
  <si>
    <t>CR2029MM_FD_A</t>
  </si>
  <si>
    <t>CR2030MM_FD_A</t>
  </si>
  <si>
    <t>CR2031MM_FD_A</t>
  </si>
  <si>
    <t>CR20018MM_FD_A</t>
  </si>
  <si>
    <t>CR20019MM_FD_A</t>
  </si>
  <si>
    <t>CR2028MM_FD_A</t>
  </si>
  <si>
    <t>CR20020MM_FD_A</t>
  </si>
  <si>
    <t>CR2021TA_FD_A</t>
  </si>
  <si>
    <t>CR2022TA_FD_A</t>
  </si>
  <si>
    <t>CR2023TA_FD_A</t>
  </si>
  <si>
    <t>CR2024TA_FD_A</t>
  </si>
  <si>
    <t>CR2025TA_FD_A</t>
  </si>
  <si>
    <t>CR2026TA_FD_A</t>
  </si>
  <si>
    <t>CR4029TA_FD_A</t>
  </si>
  <si>
    <t>CR2027TA_FD_A</t>
  </si>
  <si>
    <t>CR2005TA_FD_A</t>
  </si>
  <si>
    <t>CR2006TA_FD_A</t>
  </si>
  <si>
    <t>CR2007TA_FD_A</t>
  </si>
  <si>
    <t>CR2008TA_FD_A</t>
  </si>
  <si>
    <t>CR2009TA_FD_A</t>
  </si>
  <si>
    <t>CR20010TA_FD_A</t>
  </si>
  <si>
    <t>CR20011TA_FD_A</t>
  </si>
  <si>
    <t>CR20012TA_FD_A</t>
  </si>
  <si>
    <t>CR20013TA_FD_A</t>
  </si>
  <si>
    <t>CR20014TA_FD_A</t>
  </si>
  <si>
    <t>CR20015TA_FD_A</t>
  </si>
  <si>
    <t>CR20016TA_FD_A</t>
  </si>
  <si>
    <t>CR20017TA_FD_A</t>
  </si>
  <si>
    <t>CR2029TA_FD_A</t>
  </si>
  <si>
    <t>CR2030TA_FD_A</t>
  </si>
  <si>
    <t>CR2031TA_FD_A</t>
  </si>
  <si>
    <t>CR20018TA_FD_A</t>
  </si>
  <si>
    <t>CR20019TA_FD_A</t>
  </si>
  <si>
    <t>CR2028TA_FD_A</t>
  </si>
  <si>
    <t>CR20020TA_FD_A</t>
  </si>
  <si>
    <t>CR2021IRP_FD_A</t>
  </si>
  <si>
    <t>CR2022IRP_FD_A</t>
  </si>
  <si>
    <t>CR2023IRP_FD_A</t>
  </si>
  <si>
    <t>CR2024IRP_FD_A</t>
  </si>
  <si>
    <t>CR2025IRP_FD_A</t>
  </si>
  <si>
    <t>CR2026IRP_FD_A</t>
  </si>
  <si>
    <t>CR4029IRP_FD_A</t>
  </si>
  <si>
    <t>CR2021IRR_FD_A</t>
  </si>
  <si>
    <t>CR2022IRR_FD_A</t>
  </si>
  <si>
    <t>CR2023IRR_FD_A</t>
  </si>
  <si>
    <t>CR2024IRR_FD_A</t>
  </si>
  <si>
    <t>CR2025IRR_FD_A</t>
  </si>
  <si>
    <t>CR2026IRR_FD_A</t>
  </si>
  <si>
    <t>CR4029IRR_FD_A</t>
  </si>
  <si>
    <t>CR2021N0_FD_B</t>
  </si>
  <si>
    <t>CR2022N0_FD_B</t>
  </si>
  <si>
    <t>CR2023N0_FD_B</t>
  </si>
  <si>
    <t>CR2024N0_FD_B</t>
  </si>
  <si>
    <t>CR2025N0_FD_B</t>
  </si>
  <si>
    <t>CR2026N0_FD_B</t>
  </si>
  <si>
    <t>CR4029N0_FD_B</t>
  </si>
  <si>
    <t>CR2027N0_FD_B</t>
  </si>
  <si>
    <t>CR2005N0_FD_B</t>
  </si>
  <si>
    <t>CR2006N0_FD_B</t>
  </si>
  <si>
    <t>CR2007N0_FD_B</t>
  </si>
  <si>
    <t>CR2008N0_FD_B</t>
  </si>
  <si>
    <t>CR2009N0_FD_B</t>
  </si>
  <si>
    <t>CR20010N0_FD_B</t>
  </si>
  <si>
    <t>CR20011N0_FD_B</t>
  </si>
  <si>
    <t>CR20012N0_FD_B</t>
  </si>
  <si>
    <t>CR20013N0_FD_B</t>
  </si>
  <si>
    <t>CR20014N0_FD_B</t>
  </si>
  <si>
    <t>CR20015N0_FD_B</t>
  </si>
  <si>
    <t>CR20016N0_FD_B</t>
  </si>
  <si>
    <t>CR20017N0_FD_B</t>
  </si>
  <si>
    <t>CR2029N0_FD_B</t>
  </si>
  <si>
    <t>CR2030N0_FD_B</t>
  </si>
  <si>
    <t>CR2031N0_FD_B</t>
  </si>
  <si>
    <t>CR20018N0_FD_B</t>
  </si>
  <si>
    <t>CR20019N0_FD_B</t>
  </si>
  <si>
    <t>CR2028N0_FD_B</t>
  </si>
  <si>
    <t>CR20020N0_FD_B</t>
  </si>
  <si>
    <t>CR2021N1_FD_B</t>
  </si>
  <si>
    <t>CR2022N1_FD_B</t>
  </si>
  <si>
    <t>CR2023N1_FD_B</t>
  </si>
  <si>
    <t>CR2024N1_FD_B</t>
  </si>
  <si>
    <t>CR2025N1_FD_B</t>
  </si>
  <si>
    <t>CR2026N1_FD_B</t>
  </si>
  <si>
    <t>CR4029N1_FD_B</t>
  </si>
  <si>
    <t>CR2027N1_FD_B</t>
  </si>
  <si>
    <t>CR2005N1_FD_B</t>
  </si>
  <si>
    <t>CR2006N1_FD_B</t>
  </si>
  <si>
    <t>CR2007N1_FD_B</t>
  </si>
  <si>
    <t>CR2008N1_FD_B</t>
  </si>
  <si>
    <t>CR2009N1_FD_B</t>
  </si>
  <si>
    <t>CR20010N1_FD_B</t>
  </si>
  <si>
    <t>CR20011N1_FD_B</t>
  </si>
  <si>
    <t>CR20012N1_FD_B</t>
  </si>
  <si>
    <t>CR20013N1_FD_B</t>
  </si>
  <si>
    <t>CR20014N1_FD_B</t>
  </si>
  <si>
    <t>CR20015N1_FD_B</t>
  </si>
  <si>
    <t>CR20016N1_FD_B</t>
  </si>
  <si>
    <t>CR20017N1_FD_B</t>
  </si>
  <si>
    <t>CR2029N1_FD_B</t>
  </si>
  <si>
    <t>CR2030N1_FD_B</t>
  </si>
  <si>
    <t>CR2031N1_FD_B</t>
  </si>
  <si>
    <t>CR20018N1_FD_B</t>
  </si>
  <si>
    <t>CR20019N1_FD_B</t>
  </si>
  <si>
    <t>CR2028N1_FD_B</t>
  </si>
  <si>
    <t>CR20020N1_FD_B</t>
  </si>
  <si>
    <t>CR2021N2_FD_B</t>
  </si>
  <si>
    <t>CR2022N2_FD_B</t>
  </si>
  <si>
    <t>CR2023N2_FD_B</t>
  </si>
  <si>
    <t>CR2024N2_FD_B</t>
  </si>
  <si>
    <t>CR2025N2_FD_B</t>
  </si>
  <si>
    <t>CR2026N2_FD_B</t>
  </si>
  <si>
    <t>CR4029N2_FD_B</t>
  </si>
  <si>
    <t>CR2027N2_FD_B</t>
  </si>
  <si>
    <t>CR2005N2_FD_B</t>
  </si>
  <si>
    <t>CR2006N2_FD_B</t>
  </si>
  <si>
    <t>CR2007N2_FD_B</t>
  </si>
  <si>
    <t>CR2008N2_FD_B</t>
  </si>
  <si>
    <t>CR2009N2_FD_B</t>
  </si>
  <si>
    <t>CR20010N2_FD_B</t>
  </si>
  <si>
    <t>CR20011N2_FD_B</t>
  </si>
  <si>
    <t>CR20012N2_FD_B</t>
  </si>
  <si>
    <t>CR20013N2_FD_B</t>
  </si>
  <si>
    <t>CR20014N2_FD_B</t>
  </si>
  <si>
    <t>CR20015N2_FD_B</t>
  </si>
  <si>
    <t>CR20016N2_FD_B</t>
  </si>
  <si>
    <t>CR20017N2_FD_B</t>
  </si>
  <si>
    <t>CR2029N2_FD_B</t>
  </si>
  <si>
    <t>CR2030N2_FD_B</t>
  </si>
  <si>
    <t>CR2031N2_FD_B</t>
  </si>
  <si>
    <t>CR20018N2_FD_B</t>
  </si>
  <si>
    <t>CR20019N2_FD_B</t>
  </si>
  <si>
    <t>CR2028N2_FD_B</t>
  </si>
  <si>
    <t>CR20020N2_FD_B</t>
  </si>
  <si>
    <t>CR2021N5_FD_B</t>
  </si>
  <si>
    <t>CR2022N5_FD_B</t>
  </si>
  <si>
    <t>CR2023N5_FD_B</t>
  </si>
  <si>
    <t>CR2024N5_FD_B</t>
  </si>
  <si>
    <t>CR2025N5_FD_B</t>
  </si>
  <si>
    <t>CR2026N5_FD_B</t>
  </si>
  <si>
    <t>CR4029N5_FD_B</t>
  </si>
  <si>
    <t>CR2027N5_FD_B</t>
  </si>
  <si>
    <t>CR2005N5_FD_B</t>
  </si>
  <si>
    <t>CR2006N5_FD_B</t>
  </si>
  <si>
    <t>CR2007N5_FD_B</t>
  </si>
  <si>
    <t>CR2008N5_FD_B</t>
  </si>
  <si>
    <t>CR2009N5_FD_B</t>
  </si>
  <si>
    <t>CR20010N5_FD_B</t>
  </si>
  <si>
    <t>CR20011N5_FD_B</t>
  </si>
  <si>
    <t>CR20012N5_FD_B</t>
  </si>
  <si>
    <t>CR20013N5_FD_B</t>
  </si>
  <si>
    <t>CR20014N5_FD_B</t>
  </si>
  <si>
    <t>CR20015N5_FD_B</t>
  </si>
  <si>
    <t>CR20016N5_FD_B</t>
  </si>
  <si>
    <t>CR20017N5_FD_B</t>
  </si>
  <si>
    <t>CR2029N5_FD_B</t>
  </si>
  <si>
    <t>CR2030N5_FD_B</t>
  </si>
  <si>
    <t>CR2031N5_FD_B</t>
  </si>
  <si>
    <t>CR20018N5_FD_B</t>
  </si>
  <si>
    <t>CR20019N5_FD_B</t>
  </si>
  <si>
    <t>CR2028N5_FD_B</t>
  </si>
  <si>
    <t>CR20020N5_FD_B</t>
  </si>
  <si>
    <t>CR2021N6_FD_B</t>
  </si>
  <si>
    <t>CR2022N6_FD_B</t>
  </si>
  <si>
    <t>CR2023N6_FD_B</t>
  </si>
  <si>
    <t>CR2024N6_FD_B</t>
  </si>
  <si>
    <t>CR2025N6_FD_B</t>
  </si>
  <si>
    <t>CR2026N6_FD_B</t>
  </si>
  <si>
    <t>CR4029N6_FD_B</t>
  </si>
  <si>
    <t>CR2027N6_FD_B</t>
  </si>
  <si>
    <t>CR2005N6_FD_B</t>
  </si>
  <si>
    <t>CR2006N6_FD_B</t>
  </si>
  <si>
    <t>CR2007N6_FD_B</t>
  </si>
  <si>
    <t>CR2008N6_FD_B</t>
  </si>
  <si>
    <t>CR2009N6_FD_B</t>
  </si>
  <si>
    <t>CR20010N6_FD_B</t>
  </si>
  <si>
    <t>CR20011N6_FD_B</t>
  </si>
  <si>
    <t>CR20012N6_FD_B</t>
  </si>
  <si>
    <t>CR20013N6_FD_B</t>
  </si>
  <si>
    <t>CR20014N6_FD_B</t>
  </si>
  <si>
    <t>CR20015N6_FD_B</t>
  </si>
  <si>
    <t>CR20016N6_FD_B</t>
  </si>
  <si>
    <t>CR20017N6_FD_B</t>
  </si>
  <si>
    <t>CR2029N6_FD_B</t>
  </si>
  <si>
    <t>CR2030N6_FD_B</t>
  </si>
  <si>
    <t>CR2031N6_FD_B</t>
  </si>
  <si>
    <t>CR20018N6_FD_B</t>
  </si>
  <si>
    <t>CR20019N6_FD_B</t>
  </si>
  <si>
    <t>CR2028N6_FD_B</t>
  </si>
  <si>
    <t>CR20020N6_FD_B</t>
  </si>
  <si>
    <t>CR2021MM_FD_B</t>
  </si>
  <si>
    <t>CR2022MM_FD_B</t>
  </si>
  <si>
    <t>CR2023MM_FD_B</t>
  </si>
  <si>
    <t>CR2024MM_FD_B</t>
  </si>
  <si>
    <t>CR2025MM_FD_B</t>
  </si>
  <si>
    <t>CR2026MM_FD_B</t>
  </si>
  <si>
    <t>CR4029MM_FD_B</t>
  </si>
  <si>
    <t>CR2027MM_FD_B</t>
  </si>
  <si>
    <t>CR2005MM_FD_B</t>
  </si>
  <si>
    <t>CR2006MM_FD_B</t>
  </si>
  <si>
    <t>CR2007MM_FD_B</t>
  </si>
  <si>
    <t>CR2008MM_FD_B</t>
  </si>
  <si>
    <t>CR2009MM_FD_B</t>
  </si>
  <si>
    <t>CR20010MM_FD_B</t>
  </si>
  <si>
    <t>CR20011MM_FD_B</t>
  </si>
  <si>
    <t>CR20012MM_FD_B</t>
  </si>
  <si>
    <t>CR20013MM_FD_B</t>
  </si>
  <si>
    <t>CR20014MM_FD_B</t>
  </si>
  <si>
    <t>CR20015MM_FD_B</t>
  </si>
  <si>
    <t>CR20016MM_FD_B</t>
  </si>
  <si>
    <t>CR20017MM_FD_B</t>
  </si>
  <si>
    <t>CR2029MM_FD_B</t>
  </si>
  <si>
    <t>CR2030MM_FD_B</t>
  </si>
  <si>
    <t>CR2031MM_FD_B</t>
  </si>
  <si>
    <t>CR20018MM_FD_B</t>
  </si>
  <si>
    <t>CR20019MM_FD_B</t>
  </si>
  <si>
    <t>CR2028MM_FD_B</t>
  </si>
  <si>
    <t>CR20020MM_FD_B</t>
  </si>
  <si>
    <t>CR2021TA_FD_B</t>
  </si>
  <si>
    <t>CR2022TA_FD_B</t>
  </si>
  <si>
    <t>CR2023TA_FD_B</t>
  </si>
  <si>
    <t>CR2024TA_FD_B</t>
  </si>
  <si>
    <t>CR2025TA_FD_B</t>
  </si>
  <si>
    <t>CR2026TA_FD_B</t>
  </si>
  <si>
    <t>CR4029TA_FD_B</t>
  </si>
  <si>
    <t>CR2027TA_FD_B</t>
  </si>
  <si>
    <t>CR2005TA_FD_B</t>
  </si>
  <si>
    <t>CR2006TA_FD_B</t>
  </si>
  <si>
    <t>CR2007TA_FD_B</t>
  </si>
  <si>
    <t>CR2008TA_FD_B</t>
  </si>
  <si>
    <t>CR2009TA_FD_B</t>
  </si>
  <si>
    <t>CR20010TA_FD_B</t>
  </si>
  <si>
    <t>CR20011TA_FD_B</t>
  </si>
  <si>
    <t>CR20012TA_FD_B</t>
  </si>
  <si>
    <t>CR20013TA_FD_B</t>
  </si>
  <si>
    <t>CR20014TA_FD_B</t>
  </si>
  <si>
    <t>CR20015TA_FD_B</t>
  </si>
  <si>
    <t>CR20016TA_FD_B</t>
  </si>
  <si>
    <t>CR20017TA_FD_B</t>
  </si>
  <si>
    <t>CR2029TA_FD_B</t>
  </si>
  <si>
    <t>CR2030TA_FD_B</t>
  </si>
  <si>
    <t>CR2031TA_FD_B</t>
  </si>
  <si>
    <t>CR20018TA_FD_B</t>
  </si>
  <si>
    <t>CR20019TA_FD_B</t>
  </si>
  <si>
    <t>CR2028TA_FD_B</t>
  </si>
  <si>
    <t>CR20020TA_FD_B</t>
  </si>
  <si>
    <t>CR2021IRP_FD_B</t>
  </si>
  <si>
    <t>CR2022IRP_FD_B</t>
  </si>
  <si>
    <t>CR2023IRP_FD_B</t>
  </si>
  <si>
    <t>CR2024IRP_FD_B</t>
  </si>
  <si>
    <t>CR2025IRP_FD_B</t>
  </si>
  <si>
    <t>CR2026IRP_FD_B</t>
  </si>
  <si>
    <t>CR4029IRP_FD_B</t>
  </si>
  <si>
    <t>CR2021IRR_FD_B</t>
  </si>
  <si>
    <t>CR2022IRR_FD_B</t>
  </si>
  <si>
    <t>CR2023IRR_FD_B</t>
  </si>
  <si>
    <t>CR2024IRR_FD_B</t>
  </si>
  <si>
    <t>CR2025IRR_FD_B</t>
  </si>
  <si>
    <t>CR2026IRR_FD_B</t>
  </si>
  <si>
    <t>CR4029IRR_FD_B</t>
  </si>
  <si>
    <t>CR2021N0_FD_C</t>
  </si>
  <si>
    <t>CR2022N0_FD_C</t>
  </si>
  <si>
    <t>CR2023N0_FD_C</t>
  </si>
  <si>
    <t>CR2024N0_FD_C</t>
  </si>
  <si>
    <t>CR2025N0_FD_C</t>
  </si>
  <si>
    <t>CR2026N0_FD_C</t>
  </si>
  <si>
    <t>CR4029N0_FD_C</t>
  </si>
  <si>
    <t>CR2027N0_FD_C</t>
  </si>
  <si>
    <t>CR2005N0_FD_C</t>
  </si>
  <si>
    <t>CR2006N0_FD_C</t>
  </si>
  <si>
    <t>CR2007N0_FD_C</t>
  </si>
  <si>
    <t>CR2008N0_FD_C</t>
  </si>
  <si>
    <t>CR2009N0_FD_C</t>
  </si>
  <si>
    <t>CR20010N0_FD_C</t>
  </si>
  <si>
    <t>CR20011N0_FD_C</t>
  </si>
  <si>
    <t>CR20012N0_FD_C</t>
  </si>
  <si>
    <t>CR20013N0_FD_C</t>
  </si>
  <si>
    <t>CR20014N0_FD_C</t>
  </si>
  <si>
    <t>CR20015N0_FD_C</t>
  </si>
  <si>
    <t>CR20016N0_FD_C</t>
  </si>
  <si>
    <t>CR20017N0_FD_C</t>
  </si>
  <si>
    <t>CR2029N0_FD_C</t>
  </si>
  <si>
    <t>CR2030N0_FD_C</t>
  </si>
  <si>
    <t>CR2031N0_FD_C</t>
  </si>
  <si>
    <t>CR20018N0_FD_C</t>
  </si>
  <si>
    <t>CR20019N0_FD_C</t>
  </si>
  <si>
    <t>CR2028N0_FD_C</t>
  </si>
  <si>
    <t>CR20020N0_FD_C</t>
  </si>
  <si>
    <t>CR2021N1_FD_C</t>
  </si>
  <si>
    <t>CR2022N1_FD_C</t>
  </si>
  <si>
    <t>CR2023N1_FD_C</t>
  </si>
  <si>
    <t>CR2024N1_FD_C</t>
  </si>
  <si>
    <t>CR2025N1_FD_C</t>
  </si>
  <si>
    <t>CR2026N1_FD_C</t>
  </si>
  <si>
    <t>CR4029N1_FD_C</t>
  </si>
  <si>
    <t>CR2027N1_FD_C</t>
  </si>
  <si>
    <t>CR2005N1_FD_C</t>
  </si>
  <si>
    <t>CR2006N1_FD_C</t>
  </si>
  <si>
    <t>CR2007N1_FD_C</t>
  </si>
  <si>
    <t>CR2008N1_FD_C</t>
  </si>
  <si>
    <t>CR2009N1_FD_C</t>
  </si>
  <si>
    <t>CR20010N1_FD_C</t>
  </si>
  <si>
    <t>CR20011N1_FD_C</t>
  </si>
  <si>
    <t>CR20012N1_FD_C</t>
  </si>
  <si>
    <t>CR20013N1_FD_C</t>
  </si>
  <si>
    <t>CR20014N1_FD_C</t>
  </si>
  <si>
    <t>CR20015N1_FD_C</t>
  </si>
  <si>
    <t>CR20016N1_FD_C</t>
  </si>
  <si>
    <t>CR20017N1_FD_C</t>
  </si>
  <si>
    <t>CR2029N1_FD_C</t>
  </si>
  <si>
    <t>CR2030N1_FD_C</t>
  </si>
  <si>
    <t>CR2031N1_FD_C</t>
  </si>
  <si>
    <t>CR20018N1_FD_C</t>
  </si>
  <si>
    <t>CR20019N1_FD_C</t>
  </si>
  <si>
    <t>CR2028N1_FD_C</t>
  </si>
  <si>
    <t>CR20020N1_FD_C</t>
  </si>
  <si>
    <t>CR2021N2_FD_C</t>
  </si>
  <si>
    <t>CR2022N2_FD_C</t>
  </si>
  <si>
    <t>CR2023N2_FD_C</t>
  </si>
  <si>
    <t>CR2024N2_FD_C</t>
  </si>
  <si>
    <t>CR2025N2_FD_C</t>
  </si>
  <si>
    <t>CR2026N2_FD_C</t>
  </si>
  <si>
    <t>CR4029N2_FD_C</t>
  </si>
  <si>
    <t>CR2027N2_FD_C</t>
  </si>
  <si>
    <t>CR2005N2_FD_C</t>
  </si>
  <si>
    <t>CR2006N2_FD_C</t>
  </si>
  <si>
    <t>CR2007N2_FD_C</t>
  </si>
  <si>
    <t>CR2008N2_FD_C</t>
  </si>
  <si>
    <t>CR2009N2_FD_C</t>
  </si>
  <si>
    <t>CR20010N2_FD_C</t>
  </si>
  <si>
    <t>CR20011N2_FD_C</t>
  </si>
  <si>
    <t>CR20012N2_FD_C</t>
  </si>
  <si>
    <t>CR20013N2_FD_C</t>
  </si>
  <si>
    <t>CR20014N2_FD_C</t>
  </si>
  <si>
    <t>CR20015N2_FD_C</t>
  </si>
  <si>
    <t>CR20016N2_FD_C</t>
  </si>
  <si>
    <t>CR20017N2_FD_C</t>
  </si>
  <si>
    <t>CR2029N2_FD_C</t>
  </si>
  <si>
    <t>CR2030N2_FD_C</t>
  </si>
  <si>
    <t>CR2031N2_FD_C</t>
  </si>
  <si>
    <t>CR20018N2_FD_C</t>
  </si>
  <si>
    <t>CR20019N2_FD_C</t>
  </si>
  <si>
    <t>CR2028N2_FD_C</t>
  </si>
  <si>
    <t>CR20020N2_FD_C</t>
  </si>
  <si>
    <t>CR2021N5_FD_C</t>
  </si>
  <si>
    <t>CR2022N5_FD_C</t>
  </si>
  <si>
    <t>CR2023N5_FD_C</t>
  </si>
  <si>
    <t>CR2024N5_FD_C</t>
  </si>
  <si>
    <t>CR2025N5_FD_C</t>
  </si>
  <si>
    <t>CR2026N5_FD_C</t>
  </si>
  <si>
    <t>CR4029N5_FD_C</t>
  </si>
  <si>
    <t>CR2027N5_FD_C</t>
  </si>
  <si>
    <t>CR2005N5_FD_C</t>
  </si>
  <si>
    <t>CR2006N5_FD_C</t>
  </si>
  <si>
    <t>CR2007N5_FD_C</t>
  </si>
  <si>
    <t>CR2008N5_FD_C</t>
  </si>
  <si>
    <t>CR2009N5_FD_C</t>
  </si>
  <si>
    <t>CR20010N5_FD_C</t>
  </si>
  <si>
    <t>CR20011N5_FD_C</t>
  </si>
  <si>
    <t>CR20012N5_FD_C</t>
  </si>
  <si>
    <t>CR20013N5_FD_C</t>
  </si>
  <si>
    <t>CR20014N5_FD_C</t>
  </si>
  <si>
    <t>CR20015N5_FD_C</t>
  </si>
  <si>
    <t>CR20016N5_FD_C</t>
  </si>
  <si>
    <t>CR20017N5_FD_C</t>
  </si>
  <si>
    <t>CR2029N5_FD_C</t>
  </si>
  <si>
    <t>CR2030N5_FD_C</t>
  </si>
  <si>
    <t>CR2031N5_FD_C</t>
  </si>
  <si>
    <t>CR20018N5_FD_C</t>
  </si>
  <si>
    <t>CR20019N5_FD_C</t>
  </si>
  <si>
    <t>CR2028N5_FD_C</t>
  </si>
  <si>
    <t>CR20020N5_FD_C</t>
  </si>
  <si>
    <t>CR2021N6_FD_C</t>
  </si>
  <si>
    <t>CR2022N6_FD_C</t>
  </si>
  <si>
    <t>CR2023N6_FD_C</t>
  </si>
  <si>
    <t>CR2024N6_FD_C</t>
  </si>
  <si>
    <t>CR2025N6_FD_C</t>
  </si>
  <si>
    <t>CR2026N6_FD_C</t>
  </si>
  <si>
    <t>CR4029N6_FD_C</t>
  </si>
  <si>
    <t>CR2027N6_FD_C</t>
  </si>
  <si>
    <t>CR2005N6_FD_C</t>
  </si>
  <si>
    <t>CR2006N6_FD_C</t>
  </si>
  <si>
    <t>CR2007N6_FD_C</t>
  </si>
  <si>
    <t>CR2008N6_FD_C</t>
  </si>
  <si>
    <t>CR2009N6_FD_C</t>
  </si>
  <si>
    <t>CR20010N6_FD_C</t>
  </si>
  <si>
    <t>CR20011N6_FD_C</t>
  </si>
  <si>
    <t>CR20012N6_FD_C</t>
  </si>
  <si>
    <t>CR20013N6_FD_C</t>
  </si>
  <si>
    <t>CR20014N6_FD_C</t>
  </si>
  <si>
    <t>CR20015N6_FD_C</t>
  </si>
  <si>
    <t>CR20016N6_FD_C</t>
  </si>
  <si>
    <t>CR20017N6_FD_C</t>
  </si>
  <si>
    <t>CR2029N6_FD_C</t>
  </si>
  <si>
    <t>CR2030N6_FD_C</t>
  </si>
  <si>
    <t>CR2031N6_FD_C</t>
  </si>
  <si>
    <t>CR20018N6_FD_C</t>
  </si>
  <si>
    <t>CR20019N6_FD_C</t>
  </si>
  <si>
    <t>CR2028N6_FD_C</t>
  </si>
  <si>
    <t>CR20020N6_FD_C</t>
  </si>
  <si>
    <t>CR2021MM_FD_C</t>
  </si>
  <si>
    <t>CR2022MM_FD_C</t>
  </si>
  <si>
    <t>CR2023MM_FD_C</t>
  </si>
  <si>
    <t>CR2024MM_FD_C</t>
  </si>
  <si>
    <t>CR2025MM_FD_C</t>
  </si>
  <si>
    <t>CR2026MM_FD_C</t>
  </si>
  <si>
    <t>CR4029MM_FD_C</t>
  </si>
  <si>
    <t>CR2027MM_FD_C</t>
  </si>
  <si>
    <t>CR2005MM_FD_C</t>
  </si>
  <si>
    <t>CR2006MM_FD_C</t>
  </si>
  <si>
    <t>CR2007MM_FD_C</t>
  </si>
  <si>
    <t>CR2008MM_FD_C</t>
  </si>
  <si>
    <t>CR2009MM_FD_C</t>
  </si>
  <si>
    <t>CR20010MM_FD_C</t>
  </si>
  <si>
    <t>CR20011MM_FD_C</t>
  </si>
  <si>
    <t>CR20012MM_FD_C</t>
  </si>
  <si>
    <t>CR20013MM_FD_C</t>
  </si>
  <si>
    <t>CR20014MM_FD_C</t>
  </si>
  <si>
    <t>CR20015MM_FD_C</t>
  </si>
  <si>
    <t>CR20016MM_FD_C</t>
  </si>
  <si>
    <t>CR20017MM_FD_C</t>
  </si>
  <si>
    <t>CR2029MM_FD_C</t>
  </si>
  <si>
    <t>CR2030MM_FD_C</t>
  </si>
  <si>
    <t>CR2031MM_FD_C</t>
  </si>
  <si>
    <t>CR20018MM_FD_C</t>
  </si>
  <si>
    <t>CR20019MM_FD_C</t>
  </si>
  <si>
    <t>CR2028MM_FD_C</t>
  </si>
  <si>
    <t>CR20020MM_FD_C</t>
  </si>
  <si>
    <t>CR2021TA_FD_C</t>
  </si>
  <si>
    <t>CR2022TA_FD_C</t>
  </si>
  <si>
    <t>CR2023TA_FD_C</t>
  </si>
  <si>
    <t>CR2024TA_FD_C</t>
  </si>
  <si>
    <t>CR2025TA_FD_C</t>
  </si>
  <si>
    <t>CR2026TA_FD_C</t>
  </si>
  <si>
    <t>CR4029TA_FD_C</t>
  </si>
  <si>
    <t>CR2027TA_FD_C</t>
  </si>
  <si>
    <t>CR2005TA_FD_C</t>
  </si>
  <si>
    <t>CR2006TA_FD_C</t>
  </si>
  <si>
    <t>CR2007TA_FD_C</t>
  </si>
  <si>
    <t>CR2008TA_FD_C</t>
  </si>
  <si>
    <t>CR2009TA_FD_C</t>
  </si>
  <si>
    <t>CR20010TA_FD_C</t>
  </si>
  <si>
    <t>CR20011TA_FD_C</t>
  </si>
  <si>
    <t>CR20012TA_FD_C</t>
  </si>
  <si>
    <t>CR20013TA_FD_C</t>
  </si>
  <si>
    <t>CR20014TA_FD_C</t>
  </si>
  <si>
    <t>CR20015TA_FD_C</t>
  </si>
  <si>
    <t>CR20016TA_FD_C</t>
  </si>
  <si>
    <t>CR20017TA_FD_C</t>
  </si>
  <si>
    <t>CR2029TA_FD_C</t>
  </si>
  <si>
    <t>CR2030TA_FD_C</t>
  </si>
  <si>
    <t>CR2031TA_FD_C</t>
  </si>
  <si>
    <t>CR20018TA_FD_C</t>
  </si>
  <si>
    <t>CR20019TA_FD_C</t>
  </si>
  <si>
    <t>CR2028TA_FD_C</t>
  </si>
  <si>
    <t>CR20020TA_FD_C</t>
  </si>
  <si>
    <t>CR2021IRP_FD_C</t>
  </si>
  <si>
    <t>CR2022IRP_FD_C</t>
  </si>
  <si>
    <t>CR2023IRP_FD_C</t>
  </si>
  <si>
    <t>CR2024IRP_FD_C</t>
  </si>
  <si>
    <t>CR2025IRP_FD_C</t>
  </si>
  <si>
    <t>CR2026IRP_FD_C</t>
  </si>
  <si>
    <t>CR4029IRP_FD_C</t>
  </si>
  <si>
    <t>CR2021IRR_FD_C</t>
  </si>
  <si>
    <t>CR2022IRR_FD_C</t>
  </si>
  <si>
    <t>CR2023IRR_FD_C</t>
  </si>
  <si>
    <t>CR2024IRR_FD_C</t>
  </si>
  <si>
    <t>CR2025IRR_FD_C</t>
  </si>
  <si>
    <t>CR2026IRR_FD_C</t>
  </si>
  <si>
    <t>CR4029IRR_FD_C</t>
  </si>
  <si>
    <t>CR2021N0_FD_D</t>
  </si>
  <si>
    <t>CR2022N0_FD_D</t>
  </si>
  <si>
    <t>CR2023N0_FD_D</t>
  </si>
  <si>
    <t>CR2024N0_FD_D</t>
  </si>
  <si>
    <t>CR2025N0_FD_D</t>
  </si>
  <si>
    <t>CR2026N0_FD_D</t>
  </si>
  <si>
    <t>CR4029N0_FD_D</t>
  </si>
  <si>
    <t>CR2027N0_FD_D</t>
  </si>
  <si>
    <t>CR2005N0_FD_D</t>
  </si>
  <si>
    <t>CR2006N0_FD_D</t>
  </si>
  <si>
    <t>CR2007N0_FD_D</t>
  </si>
  <si>
    <t>CR2008N0_FD_D</t>
  </si>
  <si>
    <t>CR2009N0_FD_D</t>
  </si>
  <si>
    <t>CR20010N0_FD_D</t>
  </si>
  <si>
    <t>CR20011N0_FD_D</t>
  </si>
  <si>
    <t>CR20012N0_FD_D</t>
  </si>
  <si>
    <t>CR20013N0_FD_D</t>
  </si>
  <si>
    <t>CR20014N0_FD_D</t>
  </si>
  <si>
    <t>CR20015N0_FD_D</t>
  </si>
  <si>
    <t>CR20016N0_FD_D</t>
  </si>
  <si>
    <t>CR20017N0_FD_D</t>
  </si>
  <si>
    <t>CR2029N0_FD_D</t>
  </si>
  <si>
    <t>CR2030N0_FD_D</t>
  </si>
  <si>
    <t>CR2031N0_FD_D</t>
  </si>
  <si>
    <t>CR20018N0_FD_D</t>
  </si>
  <si>
    <t>CR20019N0_FD_D</t>
  </si>
  <si>
    <t>CR2028N0_FD_D</t>
  </si>
  <si>
    <t>CR20020N0_FD_D</t>
  </si>
  <si>
    <t>CR2021N1_FD_D</t>
  </si>
  <si>
    <t>CR2022N1_FD_D</t>
  </si>
  <si>
    <t>CR2023N1_FD_D</t>
  </si>
  <si>
    <t>CR2024N1_FD_D</t>
  </si>
  <si>
    <t>CR2025N1_FD_D</t>
  </si>
  <si>
    <t>CR2026N1_FD_D</t>
  </si>
  <si>
    <t>CR4029N1_FD_D</t>
  </si>
  <si>
    <t>CR2027N1_FD_D</t>
  </si>
  <si>
    <t>CR2005N1_FD_D</t>
  </si>
  <si>
    <t>CR2006N1_FD_D</t>
  </si>
  <si>
    <t>CR2007N1_FD_D</t>
  </si>
  <si>
    <t>CR2008N1_FD_D</t>
  </si>
  <si>
    <t>CR2009N1_FD_D</t>
  </si>
  <si>
    <t>CR20010N1_FD_D</t>
  </si>
  <si>
    <t>CR20011N1_FD_D</t>
  </si>
  <si>
    <t>CR20012N1_FD_D</t>
  </si>
  <si>
    <t>CR20013N1_FD_D</t>
  </si>
  <si>
    <t>CR20014N1_FD_D</t>
  </si>
  <si>
    <t>CR20015N1_FD_D</t>
  </si>
  <si>
    <t>CR20016N1_FD_D</t>
  </si>
  <si>
    <t>CR20017N1_FD_D</t>
  </si>
  <si>
    <t>CR2029N1_FD_D</t>
  </si>
  <si>
    <t>CR2030N1_FD_D</t>
  </si>
  <si>
    <t>CR2031N1_FD_D</t>
  </si>
  <si>
    <t>CR20018N1_FD_D</t>
  </si>
  <si>
    <t>CR20019N1_FD_D</t>
  </si>
  <si>
    <t>CR2028N1_FD_D</t>
  </si>
  <si>
    <t>CR20020N1_FD_D</t>
  </si>
  <si>
    <t>CR2021N2_FD_D</t>
  </si>
  <si>
    <t>CR2022N2_FD_D</t>
  </si>
  <si>
    <t>CR2023N2_FD_D</t>
  </si>
  <si>
    <t>CR2024N2_FD_D</t>
  </si>
  <si>
    <t>CR2025N2_FD_D</t>
  </si>
  <si>
    <t>CR2026N2_FD_D</t>
  </si>
  <si>
    <t>CR4029N2_FD_D</t>
  </si>
  <si>
    <t>CR2027N2_FD_D</t>
  </si>
  <si>
    <t>CR2005N2_FD_D</t>
  </si>
  <si>
    <t>CR2006N2_FD_D</t>
  </si>
  <si>
    <t>CR2007N2_FD_D</t>
  </si>
  <si>
    <t>CR2008N2_FD_D</t>
  </si>
  <si>
    <t>CR2009N2_FD_D</t>
  </si>
  <si>
    <t>CR20010N2_FD_D</t>
  </si>
  <si>
    <t>CR20011N2_FD_D</t>
  </si>
  <si>
    <t>CR20012N2_FD_D</t>
  </si>
  <si>
    <t>CR20013N2_FD_D</t>
  </si>
  <si>
    <t>CR20014N2_FD_D</t>
  </si>
  <si>
    <t>CR20015N2_FD_D</t>
  </si>
  <si>
    <t>CR20016N2_FD_D</t>
  </si>
  <si>
    <t>CR20017N2_FD_D</t>
  </si>
  <si>
    <t>CR2029N2_FD_D</t>
  </si>
  <si>
    <t>CR2030N2_FD_D</t>
  </si>
  <si>
    <t>CR2031N2_FD_D</t>
  </si>
  <si>
    <t>CR20018N2_FD_D</t>
  </si>
  <si>
    <t>CR20019N2_FD_D</t>
  </si>
  <si>
    <t>CR2028N2_FD_D</t>
  </si>
  <si>
    <t>CR20020N2_FD_D</t>
  </si>
  <si>
    <t>CR2021N5_FD_D</t>
  </si>
  <si>
    <t>CR2022N5_FD_D</t>
  </si>
  <si>
    <t>CR2023N5_FD_D</t>
  </si>
  <si>
    <t>CR2024N5_FD_D</t>
  </si>
  <si>
    <t>CR2025N5_FD_D</t>
  </si>
  <si>
    <t>CR2026N5_FD_D</t>
  </si>
  <si>
    <t>CR4029N5_FD_D</t>
  </si>
  <si>
    <t>CR2027N5_FD_D</t>
  </si>
  <si>
    <t>CR2005N5_FD_D</t>
  </si>
  <si>
    <t>CR2006N5_FD_D</t>
  </si>
  <si>
    <t>CR2007N5_FD_D</t>
  </si>
  <si>
    <t>CR2008N5_FD_D</t>
  </si>
  <si>
    <t>CR2009N5_FD_D</t>
  </si>
  <si>
    <t>CR20010N5_FD_D</t>
  </si>
  <si>
    <t>CR20011N5_FD_D</t>
  </si>
  <si>
    <t>CR20012N5_FD_D</t>
  </si>
  <si>
    <t>CR20013N5_FD_D</t>
  </si>
  <si>
    <t>CR20014N5_FD_D</t>
  </si>
  <si>
    <t>CR20015N5_FD_D</t>
  </si>
  <si>
    <t>CR20016N5_FD_D</t>
  </si>
  <si>
    <t>CR20017N5_FD_D</t>
  </si>
  <si>
    <t>CR2029N5_FD_D</t>
  </si>
  <si>
    <t>CR2030N5_FD_D</t>
  </si>
  <si>
    <t>CR2031N5_FD_D</t>
  </si>
  <si>
    <t>CR20018N5_FD_D</t>
  </si>
  <si>
    <t>CR20019N5_FD_D</t>
  </si>
  <si>
    <t>CR2028N5_FD_D</t>
  </si>
  <si>
    <t>CR20020N5_FD_D</t>
  </si>
  <si>
    <t>CR2021N6_FD_D</t>
  </si>
  <si>
    <t>CR2022N6_FD_D</t>
  </si>
  <si>
    <t>CR2023N6_FD_D</t>
  </si>
  <si>
    <t>CR2024N6_FD_D</t>
  </si>
  <si>
    <t>CR2025N6_FD_D</t>
  </si>
  <si>
    <t>CR2026N6_FD_D</t>
  </si>
  <si>
    <t>CR4029N6_FD_D</t>
  </si>
  <si>
    <t>CR2027N6_FD_D</t>
  </si>
  <si>
    <t>CR2005N6_FD_D</t>
  </si>
  <si>
    <t>CR2006N6_FD_D</t>
  </si>
  <si>
    <t>CR2007N6_FD_D</t>
  </si>
  <si>
    <t>CR2008N6_FD_D</t>
  </si>
  <si>
    <t>CR2009N6_FD_D</t>
  </si>
  <si>
    <t>CR20010N6_FD_D</t>
  </si>
  <si>
    <t>CR20011N6_FD_D</t>
  </si>
  <si>
    <t>CR20012N6_FD_D</t>
  </si>
  <si>
    <t>CR20013N6_FD_D</t>
  </si>
  <si>
    <t>CR20014N6_FD_D</t>
  </si>
  <si>
    <t>CR20015N6_FD_D</t>
  </si>
  <si>
    <t>CR20016N6_FD_D</t>
  </si>
  <si>
    <t>CR20017N6_FD_D</t>
  </si>
  <si>
    <t>CR2029N6_FD_D</t>
  </si>
  <si>
    <t>CR2030N6_FD_D</t>
  </si>
  <si>
    <t>CR2031N6_FD_D</t>
  </si>
  <si>
    <t>CR20018N6_FD_D</t>
  </si>
  <si>
    <t>CR20019N6_FD_D</t>
  </si>
  <si>
    <t>CR2028N6_FD_D</t>
  </si>
  <si>
    <t>CR20020N6_FD_D</t>
  </si>
  <si>
    <t>CR2021MM_FD_D</t>
  </si>
  <si>
    <t>CR2022MM_FD_D</t>
  </si>
  <si>
    <t>CR2023MM_FD_D</t>
  </si>
  <si>
    <t>CR2024MM_FD_D</t>
  </si>
  <si>
    <t>CR2025MM_FD_D</t>
  </si>
  <si>
    <t>CR2026MM_FD_D</t>
  </si>
  <si>
    <t>CR4029MM_FD_D</t>
  </si>
  <si>
    <t>CR2027MM_FD_D</t>
  </si>
  <si>
    <t>CR2005MM_FD_D</t>
  </si>
  <si>
    <t>CR2006MM_FD_D</t>
  </si>
  <si>
    <t>CR2007MM_FD_D</t>
  </si>
  <si>
    <t>CR2008MM_FD_D</t>
  </si>
  <si>
    <t>CR2009MM_FD_D</t>
  </si>
  <si>
    <t>CR20010MM_FD_D</t>
  </si>
  <si>
    <t>CR20011MM_FD_D</t>
  </si>
  <si>
    <t>CR20012MM_FD_D</t>
  </si>
  <si>
    <t>CR20013MM_FD_D</t>
  </si>
  <si>
    <t>CR20014MM_FD_D</t>
  </si>
  <si>
    <t>CR20015MM_FD_D</t>
  </si>
  <si>
    <t>CR20016MM_FD_D</t>
  </si>
  <si>
    <t>CR20017MM_FD_D</t>
  </si>
  <si>
    <t>CR2029MM_FD_D</t>
  </si>
  <si>
    <t>CR2030MM_FD_D</t>
  </si>
  <si>
    <t>CR2031MM_FD_D</t>
  </si>
  <si>
    <t>CR20018MM_FD_D</t>
  </si>
  <si>
    <t>CR20019MM_FD_D</t>
  </si>
  <si>
    <t>CR2028MM_FD_D</t>
  </si>
  <si>
    <t>CR20020MM_FD_D</t>
  </si>
  <si>
    <t>CR2021TA_FD_D</t>
  </si>
  <si>
    <t>CR2022TA_FD_D</t>
  </si>
  <si>
    <t>CR2023TA_FD_D</t>
  </si>
  <si>
    <t>CR2024TA_FD_D</t>
  </si>
  <si>
    <t>CR2025TA_FD_D</t>
  </si>
  <si>
    <t>CR2026TA_FD_D</t>
  </si>
  <si>
    <t>CR4029TA_FD_D</t>
  </si>
  <si>
    <t>CR2027TA_FD_D</t>
  </si>
  <si>
    <t>CR2005TA_FD_D</t>
  </si>
  <si>
    <t>CR2006TA_FD_D</t>
  </si>
  <si>
    <t>CR2007TA_FD_D</t>
  </si>
  <si>
    <t>CR2008TA_FD_D</t>
  </si>
  <si>
    <t>CR2009TA_FD_D</t>
  </si>
  <si>
    <t>CR20010TA_FD_D</t>
  </si>
  <si>
    <t>CR20011TA_FD_D</t>
  </si>
  <si>
    <t>CR20012TA_FD_D</t>
  </si>
  <si>
    <t>CR20013TA_FD_D</t>
  </si>
  <si>
    <t>CR20014TA_FD_D</t>
  </si>
  <si>
    <t>CR20015TA_FD_D</t>
  </si>
  <si>
    <t>CR20016TA_FD_D</t>
  </si>
  <si>
    <t>CR20017TA_FD_D</t>
  </si>
  <si>
    <t>CR2029TA_FD_D</t>
  </si>
  <si>
    <t>CR2030TA_FD_D</t>
  </si>
  <si>
    <t>CR2031TA_FD_D</t>
  </si>
  <si>
    <t>CR20018TA_FD_D</t>
  </si>
  <si>
    <t>CR20019TA_FD_D</t>
  </si>
  <si>
    <t>CR2028TA_FD_D</t>
  </si>
  <si>
    <t>CR20020TA_FD_D</t>
  </si>
  <si>
    <t>CR2021IRP_FD_D</t>
  </si>
  <si>
    <t>CR2022IRP_FD_D</t>
  </si>
  <si>
    <t>CR2023IRP_FD_D</t>
  </si>
  <si>
    <t>CR2024IRP_FD_D</t>
  </si>
  <si>
    <t>CR2025IRP_FD_D</t>
  </si>
  <si>
    <t>CR2026IRP_FD_D</t>
  </si>
  <si>
    <t>CR4029IRP_FD_D</t>
  </si>
  <si>
    <t>CR2021IRR_FD_D</t>
  </si>
  <si>
    <t>CR2022IRR_FD_D</t>
  </si>
  <si>
    <t>CR2023IRR_FD_D</t>
  </si>
  <si>
    <t>CR2024IRR_FD_D</t>
  </si>
  <si>
    <t>CR2025IRR_FD_D</t>
  </si>
  <si>
    <t>CR2026IRR_FD_D</t>
  </si>
  <si>
    <t>CR4029IRR_FD_D</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</si>
  <si>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</si>
  <si>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</si>
  <si>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</si>
  <si>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</si>
  <si>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</si>
  <si>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</si>
  <si>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</si>
  <si>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</si>
  <si>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</si>
  <si>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</si>
  <si>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</si>
  <si>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</si>
  <si>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</si>
  <si>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</si>
  <si>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</si>
  <si>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</si>
  <si>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</si>
  <si>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</si>
  <si>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</si>
  <si>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</si>
  <si>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</si>
  <si>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</si>
  <si>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</si>
  <si>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</si>
  <si>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</si>
  <si>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</si>
  <si>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</si>
  <si>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</si>
  <si>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</si>
  <si>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</si>
  <si>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</si>
  <si>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</si>
  <si>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</si>
  <si>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</si>
  <si>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</si>
  <si>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</si>
  <si>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B0C232DSC_TWD</t>
  </si>
  <si>
    <t>B0C232DSC_TOT</t>
  </si>
  <si>
    <t>B0C233DSO_TWD</t>
  </si>
  <si>
    <t>B0C233DSO_TOT</t>
  </si>
  <si>
    <t>B0C234DST_TWD</t>
  </si>
  <si>
    <t>B0C234DST_TOT</t>
  </si>
  <si>
    <t>B0C235LIC_TWD</t>
  </si>
  <si>
    <t>B0C235LIC_TOT</t>
  </si>
  <si>
    <t>B0C266ARTT_TWD</t>
  </si>
  <si>
    <t>B0C266ARTT_TOT</t>
  </si>
  <si>
    <t>B0C264ARCN_TWD</t>
  </si>
  <si>
    <t>B0C264ARCN_TOT</t>
  </si>
  <si>
    <t>B0C265ARON_TWD</t>
  </si>
  <si>
    <t>B0C265ARON_TOT</t>
  </si>
  <si>
    <t>B0264ARCT_WR</t>
  </si>
  <si>
    <t>B0264ARCT_RWT</t>
  </si>
  <si>
    <t>B0264ARCT_RWS</t>
  </si>
  <si>
    <t>B0264ARCT_WT</t>
  </si>
  <si>
    <t>B0264ARCT_TWD</t>
  </si>
  <si>
    <t>B0C264ARCT_WR</t>
  </si>
  <si>
    <t>B0C264ARCT_RWT</t>
  </si>
  <si>
    <t>B0C264ARCT_RWS</t>
  </si>
  <si>
    <t>B0C264ARCT_WT</t>
  </si>
  <si>
    <t>B0C264ARCT_TWD</t>
  </si>
  <si>
    <t>B0C264ARCT_TOT</t>
  </si>
  <si>
    <t>B0265AROT_WR</t>
  </si>
  <si>
    <t>B0265AROT_RWT</t>
  </si>
  <si>
    <t>B0265AROT_RWS</t>
  </si>
  <si>
    <t>B0265AROT_WT</t>
  </si>
  <si>
    <t>B0265AROT_TWD</t>
  </si>
  <si>
    <t>B0C265AROT_WR</t>
  </si>
  <si>
    <t>B0C265AROT_RWT</t>
  </si>
  <si>
    <t>B0C265AROT_RWS</t>
  </si>
  <si>
    <t>B0C265AROT_WT</t>
  </si>
  <si>
    <t>B0C265AROT_TWD</t>
  </si>
  <si>
    <t>B0C265AROT_TOT</t>
  </si>
  <si>
    <t>B0266ARTT_WR</t>
  </si>
  <si>
    <t>B0266ARTT_RWT</t>
  </si>
  <si>
    <t>B0266ARTT_RWS</t>
  </si>
  <si>
    <t>B0266ARTT_WT</t>
  </si>
  <si>
    <t>B0266ARTT_TWD</t>
  </si>
  <si>
    <t>B0C266ARTT_WR</t>
  </si>
  <si>
    <t>B0C266ARTT_RWT</t>
  </si>
  <si>
    <t>B0C266ARTT_RWS</t>
  </si>
  <si>
    <t>B0C266ARTT_WT</t>
  </si>
  <si>
    <t>B0264ARCN_WR</t>
  </si>
  <si>
    <t>B0264ARCN_RWT</t>
  </si>
  <si>
    <t>B0264ARCN_RWS</t>
  </si>
  <si>
    <t>B0264ARCN_WT</t>
  </si>
  <si>
    <t>B0264ARCN_TWD</t>
  </si>
  <si>
    <t>B0C264ARCN_WR</t>
  </si>
  <si>
    <t>B0C264ARCN_RWT</t>
  </si>
  <si>
    <t>B0C264ARCN_RWS</t>
  </si>
  <si>
    <t>B0C264ARCN_WT</t>
  </si>
  <si>
    <t>B0265ARON_WR</t>
  </si>
  <si>
    <t>B0265ARON_RWT</t>
  </si>
  <si>
    <t>B0265ARON_RWS</t>
  </si>
  <si>
    <t>B0265ARON_WT</t>
  </si>
  <si>
    <t>B0265ARON_TWD</t>
  </si>
  <si>
    <t>B0C265ARON_WR</t>
  </si>
  <si>
    <t>B0C265ARON_RWT</t>
  </si>
  <si>
    <t>B0C265ARON_RWS</t>
  </si>
  <si>
    <t>B0C265ARON_WT</t>
  </si>
  <si>
    <t>B0266ARTN_WR</t>
  </si>
  <si>
    <t>B0266ARTN_RWT</t>
  </si>
  <si>
    <t>B0266ARTN_RWS</t>
  </si>
  <si>
    <t>B0266ARTN_WT</t>
  </si>
  <si>
    <t>B0266ARTN_TWD</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</si>
  <si>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</si>
  <si>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</si>
  <si>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</si>
  <si>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</si>
  <si>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</si>
  <si>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</si>
  <si>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</si>
  <si>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</si>
  <si>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</si>
  <si>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</si>
  <si>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</si>
  <si>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</si>
  <si>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</si>
  <si>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</si>
  <si>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</si>
  <si>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</si>
  <si>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</si>
  <si>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</si>
  <si>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</si>
  <si>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</si>
  <si>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</si>
  <si>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</si>
  <si>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</si>
  <si>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</si>
  <si>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B0261MLCC_WR</t>
  </si>
  <si>
    <t>B0261MLCC_RWT</t>
  </si>
  <si>
    <t>B0261MLCC_RWS</t>
  </si>
  <si>
    <t>B0261MLCC_WT</t>
  </si>
  <si>
    <t>B0261MLCC_TWD</t>
  </si>
  <si>
    <t>B0262MLOC_WR</t>
  </si>
  <si>
    <t>B0262MLOC_RWT</t>
  </si>
  <si>
    <t>B0262MLOC_RWS</t>
  </si>
  <si>
    <t>B0262MLOC_WT</t>
  </si>
  <si>
    <t>B0262MLOC_TWD</t>
  </si>
  <si>
    <t>B0263MLTC_WR</t>
  </si>
  <si>
    <t>B0263MLTC_RWT</t>
  </si>
  <si>
    <t>B0263MLTC_RWS</t>
  </si>
  <si>
    <t>B0263MLTC_WT</t>
  </si>
  <si>
    <t>B0263MLTC_TWD</t>
  </si>
  <si>
    <t>B0C399ERLP_CUMME</t>
  </si>
  <si>
    <t>B0C399ERLP_CUMMA</t>
  </si>
  <si>
    <t>B0C399ERLP_CUMMT</t>
  </si>
  <si>
    <t>B0261MLCCP_WR</t>
  </si>
  <si>
    <t>B0261MLCCP_RWT</t>
  </si>
  <si>
    <t>B0261MLCCP_RWS</t>
  </si>
  <si>
    <t>B0261MLCCP_WT</t>
  </si>
  <si>
    <t>B0261MLCCP_TWD</t>
  </si>
  <si>
    <t>B0262MLOCP_WR</t>
  </si>
  <si>
    <t>B0262MLOCP_RWT</t>
  </si>
  <si>
    <t>B0262MLOCP_RWS</t>
  </si>
  <si>
    <t>B0262MLOCP_WT</t>
  </si>
  <si>
    <t>B0262MLOCP_TWD</t>
  </si>
  <si>
    <t>B0263MLTCP_WR</t>
  </si>
  <si>
    <t>B0263MLTCP_RWT</t>
  </si>
  <si>
    <t>B0263MLTCP_RWS</t>
  </si>
  <si>
    <t>B0263MLTCP_WT</t>
  </si>
  <si>
    <t>B0263MLTCP_TWD</t>
  </si>
  <si>
    <t>B0C400SEMD_CUMME</t>
  </si>
  <si>
    <t>B0C400SEMD_CUMMA</t>
  </si>
  <si>
    <t>B0C400SEMD_CUMMT</t>
  </si>
  <si>
    <t>B0261MLCI_WR</t>
  </si>
  <si>
    <t>B0261MLCI_RWT</t>
  </si>
  <si>
    <t>B0261MLCI_RWS</t>
  </si>
  <si>
    <t>B0261MLCI_WT</t>
  </si>
  <si>
    <t>B0261MLCI_TWD</t>
  </si>
  <si>
    <t>B0262MLOI_WR</t>
  </si>
  <si>
    <t>B0262MLOI_RWT</t>
  </si>
  <si>
    <t>B0262MLOI_RWS</t>
  </si>
  <si>
    <t>B0262MLOI_WT</t>
  </si>
  <si>
    <t>B0262MLOI_TWD</t>
  </si>
  <si>
    <t>B0263MLTI_WR</t>
  </si>
  <si>
    <t>B0263MLTI_RWT</t>
  </si>
  <si>
    <t>B0263MLTI_RWS</t>
  </si>
  <si>
    <t>B0263MLTI_WT</t>
  </si>
  <si>
    <t>B0263MLTI_TWD</t>
  </si>
  <si>
    <t>B0C403AL2C_CUMME</t>
  </si>
  <si>
    <t>B0C403AL2C_CUMMA</t>
  </si>
  <si>
    <t>B0C403AL2C_CUMMT</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</si>
  <si>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</si>
  <si>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</si>
  <si>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</si>
  <si>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</si>
  <si>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</si>
  <si>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</si>
  <si>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</si>
  <si>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</si>
  <si>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</si>
  <si>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</si>
  <si>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</si>
  <si>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</si>
  <si>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</si>
  <si>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</si>
  <si>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</si>
  <si>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</si>
  <si>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</si>
  <si>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</si>
  <si>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</si>
  <si>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</si>
  <si>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</si>
  <si>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</si>
  <si>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</si>
  <si>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</si>
  <si>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</si>
  <si>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</si>
  <si>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</si>
  <si>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</si>
  <si>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</si>
  <si>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</si>
  <si>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</si>
  <si>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</si>
  <si>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</si>
  <si>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</si>
  <si>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</si>
  <si>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</si>
  <si>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</si>
  <si>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</si>
  <si>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</si>
  <si>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</si>
  <si>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</si>
  <si>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</si>
  <si>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</si>
  <si>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</si>
  <si>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</si>
  <si>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</si>
  <si>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</si>
  <si>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</si>
  <si>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</si>
  <si>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</si>
  <si>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</si>
  <si>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</si>
  <si>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</si>
  <si>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</si>
  <si>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</si>
  <si>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</si>
  <si>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</si>
  <si>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</si>
  <si>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</si>
  <si>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</si>
  <si>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</si>
  <si>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</si>
  <si>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</si>
  <si>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</si>
  <si>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</si>
  <si>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</si>
  <si>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</si>
  <si>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</si>
  <si>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</si>
  <si>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</si>
  <si>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</si>
  <si>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</si>
  <si>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</si>
  <si>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</si>
  <si>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</si>
  <si>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</si>
  <si>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</si>
  <si>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</si>
  <si>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</si>
  <si>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</si>
  <si>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</si>
  <si>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</si>
  <si>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</si>
  <si>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</si>
  <si>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</si>
  <si>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</si>
  <si>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</si>
  <si>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</si>
  <si>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</si>
  <si>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</si>
  <si>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</si>
  <si>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</si>
  <si>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</si>
  <si>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</si>
  <si>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</si>
  <si>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</si>
  <si>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</si>
  <si>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</si>
  <si>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</si>
  <si>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</si>
  <si>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</si>
  <si>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</si>
  <si>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</si>
  <si>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</si>
  <si>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</si>
  <si>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</si>
  <si>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</si>
  <si>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</si>
  <si>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</si>
  <si>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</si>
  <si>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</si>
  <si>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</si>
  <si>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</si>
  <si>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</si>
  <si>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</si>
  <si>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</si>
  <si>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</si>
  <si>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</si>
  <si>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</si>
  <si>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</si>
  <si>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</si>
  <si>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</si>
  <si>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</si>
  <si>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</si>
  <si>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</si>
  <si>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</si>
  <si>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</si>
  <si>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</si>
  <si>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</si>
  <si>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</si>
  <si>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</si>
  <si>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</si>
  <si>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</si>
  <si>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</si>
  <si>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</si>
  <si>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</si>
  <si>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</si>
  <si>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</si>
  <si>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</si>
  <si>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</si>
  <si>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</si>
  <si>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</si>
  <si>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</si>
  <si>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</si>
  <si>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</si>
  <si>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</si>
  <si>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</si>
  <si>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</si>
  <si>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</si>
  <si>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</si>
  <si>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</si>
  <si>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</si>
  <si>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</si>
  <si>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</si>
  <si>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</si>
  <si>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</si>
  <si>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</si>
  <si>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</si>
  <si>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</si>
  <si>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</si>
  <si>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</si>
  <si>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</si>
  <si>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</si>
  <si>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</si>
  <si>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</si>
  <si>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</si>
  <si>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</si>
  <si>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</si>
  <si>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</si>
  <si>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</si>
  <si>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</si>
  <si>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</si>
  <si>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</si>
  <si>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</si>
  <si>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</si>
  <si>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</si>
  <si>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</si>
  <si>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</si>
  <si>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B4860_TOT</t>
  </si>
  <si>
    <t>BNARPC_WT0</t>
  </si>
  <si>
    <t>Ml/d</t>
  </si>
  <si>
    <t>BO_6970353</t>
  </si>
  <si>
    <t>BO_894269</t>
  </si>
  <si>
    <t>%</t>
  </si>
  <si>
    <t>BN2300_A</t>
  </si>
  <si>
    <t>BN2305_A</t>
  </si>
  <si>
    <t>BN2310_A</t>
  </si>
  <si>
    <t>BN2315_A</t>
  </si>
  <si>
    <t>BN2325_A</t>
  </si>
  <si>
    <t>BN2327A</t>
  </si>
  <si>
    <t>BN1000A</t>
  </si>
  <si>
    <t>BN1000PRMA</t>
  </si>
  <si>
    <t>BN2300_A1</t>
  </si>
  <si>
    <t>BN2305_A1</t>
  </si>
  <si>
    <t>BN2310_A1</t>
  </si>
  <si>
    <t>BN2315_A1</t>
  </si>
  <si>
    <t>BN2345A1</t>
  </si>
  <si>
    <t>BN2325_A1</t>
  </si>
  <si>
    <t>BN2327A1</t>
  </si>
  <si>
    <t>BN1000A1</t>
  </si>
  <si>
    <t>BN1000PRM_A1</t>
  </si>
  <si>
    <t>BN2300_A2</t>
  </si>
  <si>
    <t>BN2305_A2</t>
  </si>
  <si>
    <t>BN2310_A2</t>
  </si>
  <si>
    <t>BN2315_A2</t>
  </si>
  <si>
    <t>BN2345A2</t>
  </si>
  <si>
    <t>BN2325_A2</t>
  </si>
  <si>
    <t>BN2327A2</t>
  </si>
  <si>
    <t>BN1000A2</t>
  </si>
  <si>
    <t>BN1000PRM_A2</t>
  </si>
  <si>
    <t>BN20041</t>
  </si>
  <si>
    <t>Ml/day</t>
  </si>
  <si>
    <t>BN20051</t>
  </si>
  <si>
    <t>BN20061</t>
  </si>
  <si>
    <t>BN20071</t>
  </si>
  <si>
    <t>BN20041_A</t>
  </si>
  <si>
    <t>BN20051_A</t>
  </si>
  <si>
    <t>BN20061_A</t>
  </si>
  <si>
    <t>BN20071_A</t>
  </si>
  <si>
    <t>BN20041_B</t>
  </si>
  <si>
    <t>BN20051_B</t>
  </si>
  <si>
    <t>BN20061_B</t>
  </si>
  <si>
    <t>BN20071_B</t>
  </si>
  <si>
    <t>BO_1143311</t>
  </si>
  <si>
    <t>km</t>
  </si>
  <si>
    <t>BO_8328485</t>
  </si>
  <si>
    <t>000s</t>
  </si>
  <si>
    <t>BO_2369032</t>
  </si>
  <si>
    <t>BO_2740287</t>
  </si>
  <si>
    <t>BO_1225801</t>
  </si>
  <si>
    <t>BO_6841858</t>
  </si>
  <si>
    <t>BO_3766463</t>
  </si>
  <si>
    <t>BO_590940</t>
  </si>
  <si>
    <t>BO_3649481</t>
  </si>
  <si>
    <t>BO_7507358</t>
  </si>
  <si>
    <t>BO_6974193</t>
  </si>
  <si>
    <t>BO_2091351</t>
  </si>
  <si>
    <t>BO_591138</t>
  </si>
  <si>
    <t>BO_9504868</t>
  </si>
  <si>
    <t>BO_1337357</t>
  </si>
  <si>
    <t>BO_7654321</t>
  </si>
  <si>
    <t>MWh</t>
  </si>
  <si>
    <t>BO_780543074</t>
  </si>
  <si>
    <t>BO_9784058</t>
  </si>
  <si>
    <t>BO_2962522</t>
  </si>
  <si>
    <t>BO_4593973</t>
  </si>
  <si>
    <t>BO_6262597</t>
  </si>
  <si>
    <t>BO_5728166</t>
  </si>
  <si>
    <t>BO_9595975</t>
  </si>
  <si>
    <t>BO_8753577</t>
  </si>
  <si>
    <t>BO_7166343</t>
  </si>
  <si>
    <t>BO_7374000</t>
  </si>
  <si>
    <t>BO_2253155</t>
  </si>
  <si>
    <t>BO_3373114</t>
  </si>
  <si>
    <t>BO_7640563</t>
  </si>
  <si>
    <t>BO23_7640563</t>
  </si>
  <si>
    <t>BO_3165168</t>
  </si>
  <si>
    <t>BO23_3165168</t>
  </si>
  <si>
    <t>BO_1864509</t>
  </si>
  <si>
    <t>BO_4539015</t>
  </si>
  <si>
    <t>BO_3673371</t>
  </si>
  <si>
    <t>BO_9135301</t>
  </si>
  <si>
    <t>BO_5022348</t>
  </si>
  <si>
    <t>BO_297806</t>
  </si>
  <si>
    <t>BO_1679948</t>
  </si>
  <si>
    <t>BO_1088090</t>
  </si>
  <si>
    <t>BO_943397</t>
  </si>
  <si>
    <t>BO_487889</t>
  </si>
  <si>
    <t>BO23_487889</t>
  </si>
  <si>
    <t>BO_3137918</t>
  </si>
  <si>
    <t>BO23_3137918</t>
  </si>
  <si>
    <t>BO_6235227</t>
  </si>
  <si>
    <t>BO_626958</t>
  </si>
  <si>
    <t>BO_3551548</t>
  </si>
  <si>
    <t>BO_592209</t>
  </si>
  <si>
    <t>BO_9994906</t>
  </si>
  <si>
    <t>BO_8735056</t>
  </si>
  <si>
    <t>BO_4236024</t>
  </si>
  <si>
    <t>BO_366046</t>
  </si>
  <si>
    <t>BO_9666744</t>
  </si>
  <si>
    <t>BO_1126087</t>
  </si>
  <si>
    <t>BO23_1126087</t>
  </si>
  <si>
    <t>BO_8687860</t>
  </si>
  <si>
    <t>BO23_8687860</t>
  </si>
  <si>
    <t>BO_1343884</t>
  </si>
  <si>
    <t>BO_3435854</t>
  </si>
  <si>
    <t>BO_8245468</t>
  </si>
  <si>
    <t>BO_5801516</t>
  </si>
  <si>
    <t>BO_4235757</t>
  </si>
  <si>
    <t>BO_1697609</t>
  </si>
  <si>
    <t>BO_1263220</t>
  </si>
  <si>
    <t>BO_3803198</t>
  </si>
  <si>
    <t>BO_6300866</t>
  </si>
  <si>
    <t>BO_2005000</t>
  </si>
  <si>
    <t>BO23_2005000</t>
  </si>
  <si>
    <t>BO_3004429</t>
  </si>
  <si>
    <t>BO23_3004429</t>
  </si>
  <si>
    <t>BO_9121046</t>
  </si>
  <si>
    <t>BO_1037964</t>
  </si>
  <si>
    <t>BO_9197207</t>
  </si>
  <si>
    <t>BO_7748929</t>
  </si>
  <si>
    <t>BO_2536664</t>
  </si>
  <si>
    <t>BO_3860065</t>
  </si>
  <si>
    <t>BO_9321288</t>
  </si>
  <si>
    <t>BO_1269653</t>
  </si>
  <si>
    <t>BO_1927262</t>
  </si>
  <si>
    <t>BO_1925837</t>
  </si>
  <si>
    <t>BO23_1925837</t>
  </si>
  <si>
    <t>BO_3695559</t>
  </si>
  <si>
    <t>BO23_3695559</t>
  </si>
  <si>
    <t>BO_2655321</t>
  </si>
  <si>
    <t>BO_2415159</t>
  </si>
  <si>
    <t>BO_5377351</t>
  </si>
  <si>
    <t>BO_3494612</t>
  </si>
  <si>
    <t>BO_9074</t>
  </si>
  <si>
    <t>BO_405946</t>
  </si>
  <si>
    <t>BO_1870993</t>
  </si>
  <si>
    <t>BO_9357011</t>
  </si>
  <si>
    <t>BO_5573103</t>
  </si>
  <si>
    <t>BO_618668</t>
  </si>
  <si>
    <t>BO23_618668</t>
  </si>
  <si>
    <t>BO_3075702</t>
  </si>
  <si>
    <t>BO23_3075702</t>
  </si>
  <si>
    <t>BO_6408764</t>
  </si>
  <si>
    <t>BO_7046757</t>
  </si>
  <si>
    <t>BO_8070684</t>
  </si>
  <si>
    <t>BO_5129958</t>
  </si>
  <si>
    <t>BO_323549</t>
  </si>
  <si>
    <t>BO_9922869</t>
  </si>
  <si>
    <t>BO_6313663</t>
  </si>
  <si>
    <t>BO_8822674</t>
  </si>
  <si>
    <t>BO_5993266</t>
  </si>
  <si>
    <t>BO_7283530</t>
  </si>
  <si>
    <t>BO23_7283530</t>
  </si>
  <si>
    <t>BO_7464120</t>
  </si>
  <si>
    <t>BO23_7464120</t>
  </si>
  <si>
    <t>BO_2082771</t>
  </si>
  <si>
    <t>BO_3632391</t>
  </si>
  <si>
    <t>BO_1257261</t>
  </si>
  <si>
    <t>BO_6407105</t>
  </si>
  <si>
    <t>BO_1493422</t>
  </si>
  <si>
    <t>BO_8423500</t>
  </si>
  <si>
    <t>BO_8600925</t>
  </si>
  <si>
    <t>BO_7655329</t>
  </si>
  <si>
    <t>BO_5254575</t>
  </si>
  <si>
    <t>BO_6653491</t>
  </si>
  <si>
    <t>BO23_6653491</t>
  </si>
  <si>
    <t>BO_1705208</t>
  </si>
  <si>
    <t>BO23_1705208</t>
  </si>
  <si>
    <t>BO_8134703</t>
  </si>
  <si>
    <t>BO_4346510</t>
  </si>
  <si>
    <t>BO_6296208</t>
  </si>
  <si>
    <t>BO_7223700</t>
  </si>
  <si>
    <t>BO_7530883</t>
  </si>
  <si>
    <t>BO_7174882</t>
  </si>
  <si>
    <t>BO_8230060</t>
  </si>
  <si>
    <t>BO_9163631</t>
  </si>
  <si>
    <t>BO_2722774</t>
  </si>
  <si>
    <t>BO_2630441</t>
  </si>
  <si>
    <t>BO23_2630441</t>
  </si>
  <si>
    <t>BO_1540196</t>
  </si>
  <si>
    <t>BO23_1540196</t>
  </si>
  <si>
    <t>BO_6374780</t>
  </si>
  <si>
    <t>BO_8020127</t>
  </si>
  <si>
    <t>BO_5705578</t>
  </si>
  <si>
    <t>BO_4023311</t>
  </si>
  <si>
    <t>BO_1210533</t>
  </si>
  <si>
    <t>BO_8087259</t>
  </si>
  <si>
    <t>BO_9510142</t>
  </si>
  <si>
    <t>BO_6391882</t>
  </si>
  <si>
    <t>BO_2663033</t>
  </si>
  <si>
    <t>BO_3559155</t>
  </si>
  <si>
    <t>BO23_3559155</t>
  </si>
  <si>
    <t>BO_2100314</t>
  </si>
  <si>
    <t>BO23_2100314</t>
  </si>
  <si>
    <t>BO_6251759</t>
  </si>
  <si>
    <t>BO_745587</t>
  </si>
  <si>
    <t>BO_4469775</t>
  </si>
  <si>
    <t>BO_10110</t>
  </si>
  <si>
    <t>BO_7918081</t>
  </si>
  <si>
    <t>BO_8556865</t>
  </si>
  <si>
    <t>BO_2184147</t>
  </si>
  <si>
    <t>BO_2556962</t>
  </si>
  <si>
    <t>BO_3292677</t>
  </si>
  <si>
    <t>BO_9805370</t>
  </si>
  <si>
    <t>BO23_9805370</t>
  </si>
  <si>
    <t>BO_9271376</t>
  </si>
  <si>
    <t>BO23_9271376</t>
  </si>
  <si>
    <t>BO_6759356</t>
  </si>
  <si>
    <t>BO_3558456</t>
  </si>
  <si>
    <t>BO_7518192</t>
  </si>
  <si>
    <t>BO_7923913</t>
  </si>
  <si>
    <t>BO_787784</t>
  </si>
  <si>
    <t>BO_3376575</t>
  </si>
  <si>
    <t>BO_8703282</t>
  </si>
  <si>
    <t>BO_8716304</t>
  </si>
  <si>
    <t>BO_8240280</t>
  </si>
  <si>
    <t>BO_259386</t>
  </si>
  <si>
    <t>BO23_259386</t>
  </si>
  <si>
    <t>BO_1062786</t>
  </si>
  <si>
    <t>BO23_1062786</t>
  </si>
  <si>
    <t>BO_9330663</t>
  </si>
  <si>
    <t>BO_3554136</t>
  </si>
  <si>
    <t>BO_5025681</t>
  </si>
  <si>
    <t>BO_6958429</t>
  </si>
  <si>
    <t>BO_2003405</t>
  </si>
  <si>
    <t>BO_1254519</t>
  </si>
  <si>
    <t>BO_8344663</t>
  </si>
  <si>
    <t>BO_2012486</t>
  </si>
  <si>
    <t>BO_6485641</t>
  </si>
  <si>
    <t>BO_7648524</t>
  </si>
  <si>
    <t>BO23_7648524</t>
  </si>
  <si>
    <t>BO_954522</t>
  </si>
  <si>
    <t>BO23_954522</t>
  </si>
  <si>
    <t>BO_7697659</t>
  </si>
  <si>
    <t>BO_2445707</t>
  </si>
  <si>
    <t>BO_9617921</t>
  </si>
  <si>
    <t>BO_9359394</t>
  </si>
  <si>
    <t>BO_4164238</t>
  </si>
  <si>
    <t>BO_6175034</t>
  </si>
  <si>
    <t>BO_5881970</t>
  </si>
  <si>
    <t>BO_6508247</t>
  </si>
  <si>
    <t>BO_8701815</t>
  </si>
  <si>
    <t>BO_6148232</t>
  </si>
  <si>
    <t>BO23_6148232</t>
  </si>
  <si>
    <t>BO_7707001</t>
  </si>
  <si>
    <t>BO23_7707001</t>
  </si>
  <si>
    <t>BO_954151</t>
  </si>
  <si>
    <t>BO_9474392</t>
  </si>
  <si>
    <t>BO_6867152</t>
  </si>
  <si>
    <t>BO_6329274</t>
  </si>
  <si>
    <t>BO_8008024</t>
  </si>
  <si>
    <t>BO_4529482</t>
  </si>
  <si>
    <t>BO_6799701</t>
  </si>
  <si>
    <t>BO_5674113</t>
  </si>
  <si>
    <t>BO_5818165</t>
  </si>
  <si>
    <t>BO_5769717</t>
  </si>
  <si>
    <t>BO23_5769717</t>
  </si>
  <si>
    <t>BO_7827747</t>
  </si>
  <si>
    <t>BO23_7827747</t>
  </si>
  <si>
    <t>BO_709060</t>
  </si>
  <si>
    <t>BO_8196426</t>
  </si>
  <si>
    <t>BO_1993881</t>
  </si>
  <si>
    <t>BO_8061588</t>
  </si>
  <si>
    <t>BO_2205112</t>
  </si>
  <si>
    <t>BO_2488494</t>
  </si>
  <si>
    <t>BO_3942593</t>
  </si>
  <si>
    <t>BO_7737865</t>
  </si>
  <si>
    <t>BO_9499548</t>
  </si>
  <si>
    <t>BO_9075086</t>
  </si>
  <si>
    <t>BO23_9075086</t>
  </si>
  <si>
    <t>BO_2988952</t>
  </si>
  <si>
    <t>BO23_2988952</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</si>
  <si>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</si>
  <si>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</si>
  <si>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</si>
  <si>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</si>
  <si>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</si>
  <si>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</si>
  <si>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</si>
  <si>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</si>
  <si>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</si>
  <si>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</si>
  <si>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</si>
  <si>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</si>
  <si>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</si>
  <si>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</si>
  <si>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</si>
  <si>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</si>
  <si>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</si>
  <si>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</si>
  <si>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</si>
  <si>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</si>
  <si>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</si>
  <si>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</si>
  <si>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</si>
  <si>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</si>
  <si>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</si>
  <si>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</si>
  <si>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</si>
  <si>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</si>
  <si>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</si>
  <si>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</si>
  <si>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</si>
  <si>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</si>
  <si>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</si>
  <si>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</si>
  <si>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</si>
  <si>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</si>
  <si>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</si>
  <si>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</si>
  <si>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</si>
  <si>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</si>
  <si>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</si>
  <si>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</si>
  <si>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</si>
  <si>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</si>
  <si>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</si>
  <si>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</si>
  <si>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</si>
  <si>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</si>
  <si>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</si>
  <si>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</si>
  <si>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</si>
  <si>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</si>
  <si>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</si>
  <si>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</si>
  <si>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BO_214895</t>
  </si>
  <si>
    <t>BO_842566</t>
  </si>
  <si>
    <t>BO_3248925</t>
  </si>
  <si>
    <t>BN02005_AMR</t>
  </si>
  <si>
    <t>BN02005_AMI</t>
  </si>
  <si>
    <t>BN02005A_AMI</t>
  </si>
  <si>
    <t>BN02006_AMR</t>
  </si>
  <si>
    <t>BN02006_AMI</t>
  </si>
  <si>
    <t>BN02007_AMI</t>
  </si>
  <si>
    <t>BN02008_AMR</t>
  </si>
  <si>
    <t>BN02008_AMI</t>
  </si>
  <si>
    <t>BN02009_AMI</t>
  </si>
  <si>
    <t>BN02010_AMR</t>
  </si>
  <si>
    <t>BN02010_AMI</t>
  </si>
  <si>
    <t>BN02011_AMI</t>
  </si>
  <si>
    <t>BN02011_BA</t>
  </si>
  <si>
    <t>Additional storm tank capacity provided at STWs (grey infrastructure)</t>
  </si>
  <si>
    <t>m3</t>
  </si>
  <si>
    <t>BN02012_BA</t>
  </si>
  <si>
    <t>Additional effective storm storage capacity at sewage treatment work (delivered through green infrastructure)</t>
  </si>
  <si>
    <t>BN02013_BA</t>
  </si>
  <si>
    <t>Additional volume of network storage at CSOs etc to reduce spill frequency (grey infrastructure)</t>
  </si>
  <si>
    <t>BN02014_BA</t>
  </si>
  <si>
    <t>Additional effective storage in the network delivered through green infrastructure</t>
  </si>
  <si>
    <t>Capex</t>
  </si>
  <si>
    <t>Opex</t>
  </si>
  <si>
    <t>Totex</t>
  </si>
  <si>
    <t>SE Column Headings</t>
  </si>
  <si>
    <t>2021-22</t>
  </si>
  <si>
    <t>Total borrowings</t>
  </si>
  <si>
    <t>Cash</t>
  </si>
  <si>
    <t>Short term deposits</t>
  </si>
  <si>
    <t>Customer-side leak repairs - net retail expenditure</t>
  </si>
  <si>
    <t>Cumulative actual retail expenditure to reporting year end</t>
  </si>
  <si>
    <t>Cumulative allowed expenditure to reporting year end</t>
  </si>
  <si>
    <t>Total allowed expenditure 2020-25</t>
  </si>
  <si>
    <t>B0041DFRIS</t>
  </si>
  <si>
    <t>B0041DCAIS</t>
  </si>
  <si>
    <t>B0041DFNC</t>
  </si>
  <si>
    <t>B0041DTOT</t>
  </si>
  <si>
    <t>B0042OCFRIS</t>
  </si>
  <si>
    <t>B0042OCCAIS</t>
  </si>
  <si>
    <t>B0042OCFNC</t>
  </si>
  <si>
    <t>B0042OCTOT</t>
  </si>
  <si>
    <t>B0043PCFRIS</t>
  </si>
  <si>
    <t>B0043PCCAIS</t>
  </si>
  <si>
    <t>B0043PCFNC</t>
  </si>
  <si>
    <t>B0043PCTOT</t>
  </si>
  <si>
    <t>B0044DNFRIS</t>
  </si>
  <si>
    <t>B0044DNCAIS</t>
  </si>
  <si>
    <t>B0044DNFNC</t>
  </si>
  <si>
    <t>B0044DNTOT</t>
  </si>
  <si>
    <t>B0045DOFRIS</t>
  </si>
  <si>
    <t>B0045DOCAIS</t>
  </si>
  <si>
    <t>B0045DOFNC</t>
  </si>
  <si>
    <t>B0045DOTOT</t>
  </si>
  <si>
    <t>B0046OCFRIS</t>
  </si>
  <si>
    <t>B0046OCCAIS</t>
  </si>
  <si>
    <t>B0046OCFNC</t>
  </si>
  <si>
    <t>B0046OCTOT</t>
  </si>
  <si>
    <t>B0047TTFRIS</t>
  </si>
  <si>
    <t>B0047TTCAIS</t>
  </si>
  <si>
    <t>B0047TTFNC</t>
  </si>
  <si>
    <t>B0047TTTOT</t>
  </si>
  <si>
    <t>B0048VAFRIS</t>
  </si>
  <si>
    <t>B0048VACAIS</t>
  </si>
  <si>
    <t>B0048VATOT</t>
  </si>
  <si>
    <t>B0049CCFRIS</t>
  </si>
  <si>
    <t>B0049CCCAIS</t>
  </si>
  <si>
    <t>B0049CCFNC</t>
  </si>
  <si>
    <t>B0049CCTOT</t>
  </si>
  <si>
    <t>B0050ICFRIS</t>
  </si>
  <si>
    <t>B0050ICCAIS</t>
  </si>
  <si>
    <t>B0050ICFNC</t>
  </si>
  <si>
    <t>B0050ICTOT</t>
  </si>
  <si>
    <t>B0051RMFRIS</t>
  </si>
  <si>
    <t>B0051RMCAIS</t>
  </si>
  <si>
    <t>B0051RMFNC</t>
  </si>
  <si>
    <t>B0051RMTOT</t>
  </si>
  <si>
    <t>B0052DSFRIS</t>
  </si>
  <si>
    <t>B0052DSCAIS</t>
  </si>
  <si>
    <t>B0052DSFNC</t>
  </si>
  <si>
    <t>B0052DSTOT</t>
  </si>
  <si>
    <t>B0053OCFRIS</t>
  </si>
  <si>
    <t>B0053OCCAIS</t>
  </si>
  <si>
    <t>B0053OCFNC</t>
  </si>
  <si>
    <t>B0053OCTOT</t>
  </si>
  <si>
    <t>B0054PCFRIS</t>
  </si>
  <si>
    <t>B0054PCCAIS</t>
  </si>
  <si>
    <t>B0054PCFNC</t>
  </si>
  <si>
    <t>B0054PCTOT</t>
  </si>
  <si>
    <t>B0055IOFRIS</t>
  </si>
  <si>
    <t>B0055IOCAIS</t>
  </si>
  <si>
    <t>B0055IOFNC</t>
  </si>
  <si>
    <t>B0055IOTOT</t>
  </si>
  <si>
    <t>B0056PCFRIS</t>
  </si>
  <si>
    <t>B0056PCCAIS</t>
  </si>
  <si>
    <t>B0056PCFNC</t>
  </si>
  <si>
    <t>B0056PCTOT</t>
  </si>
  <si>
    <t>B0057DNFRIS</t>
  </si>
  <si>
    <t>B0057DNCAIS</t>
  </si>
  <si>
    <t>B0057DNFNC</t>
  </si>
  <si>
    <t>B0057DNTOT</t>
  </si>
  <si>
    <t>B0058DOFRIS</t>
  </si>
  <si>
    <t>B0058DOCAIS</t>
  </si>
  <si>
    <t>B0058DOFNC</t>
  </si>
  <si>
    <t>B0058DOTOT</t>
  </si>
  <si>
    <t>B0059OCFRIS</t>
  </si>
  <si>
    <t>B0059OCCAIS</t>
  </si>
  <si>
    <t>B0059OCFNC</t>
  </si>
  <si>
    <t>B0059OCTOT</t>
  </si>
  <si>
    <t>B0060TTFRIS</t>
  </si>
  <si>
    <t>B0060TTCAIS</t>
  </si>
  <si>
    <t>B0060TTFNC</t>
  </si>
  <si>
    <t>B0060TTTOT</t>
  </si>
  <si>
    <t>B0060VAFRIS</t>
  </si>
  <si>
    <t>B0060VACAIS</t>
  </si>
  <si>
    <t>B0060VATOT</t>
  </si>
  <si>
    <t>B0061RSFRIS</t>
  </si>
  <si>
    <t>B0061RSCAIS</t>
  </si>
  <si>
    <t>B0061RSFNC</t>
  </si>
  <si>
    <t>B0061RSTOT</t>
  </si>
  <si>
    <t>BC11370REV</t>
  </si>
  <si>
    <t>BC11370CAP</t>
  </si>
  <si>
    <t>BC11370NET</t>
  </si>
  <si>
    <t>BC11370</t>
  </si>
  <si>
    <t>B0062DSFRIS</t>
  </si>
  <si>
    <t>B0062DSCAIS</t>
  </si>
  <si>
    <t>B0062DSFNC</t>
  </si>
  <si>
    <t>B0062DSTOT</t>
  </si>
  <si>
    <t>B0063OCFRIS</t>
  </si>
  <si>
    <t>B0063OCCAIS</t>
  </si>
  <si>
    <t>B0063OCFNC</t>
  </si>
  <si>
    <t>B0063OCTOT</t>
  </si>
  <si>
    <t>B0064PCFRIS</t>
  </si>
  <si>
    <t>B0064PCCAIS</t>
  </si>
  <si>
    <t>B0064PCFNC</t>
  </si>
  <si>
    <t>B0064PCTOT</t>
  </si>
  <si>
    <t>B0065IOFRIS</t>
  </si>
  <si>
    <t>B0065IOCAIS</t>
  </si>
  <si>
    <t>B0065IOFNC</t>
  </si>
  <si>
    <t>B0065IOTOT</t>
  </si>
  <si>
    <t>B0066PCFRIS</t>
  </si>
  <si>
    <t>B0066PCCAIS</t>
  </si>
  <si>
    <t>B0066PCFNC</t>
  </si>
  <si>
    <t>B0066PCTOT</t>
  </si>
  <si>
    <t>B0067DNFRIS</t>
  </si>
  <si>
    <t>B0067DNCAIS</t>
  </si>
  <si>
    <t>B0067DNFNC</t>
  </si>
  <si>
    <t>B0067DNTOT</t>
  </si>
  <si>
    <t>B0068DOFRIS</t>
  </si>
  <si>
    <t>B0068DOCAIS</t>
  </si>
  <si>
    <t>B0068DOFNC</t>
  </si>
  <si>
    <t>B0068DOTOT</t>
  </si>
  <si>
    <t>B0069OCFRIS</t>
  </si>
  <si>
    <t>B0069OCCAIS</t>
  </si>
  <si>
    <t>B0069OCFNC</t>
  </si>
  <si>
    <t>B0069OCTOT</t>
  </si>
  <si>
    <t>BA2090REV</t>
  </si>
  <si>
    <t>BA2091CAP</t>
  </si>
  <si>
    <t>BA2090NET</t>
  </si>
  <si>
    <t>BA2091</t>
  </si>
  <si>
    <t>BC30460TTTREV</t>
  </si>
  <si>
    <t>BC30460TTTCAP</t>
  </si>
  <si>
    <t>BC30460TTTTOT</t>
  </si>
  <si>
    <t>BA1090BFWD</t>
  </si>
  <si>
    <t>BA2090BFWD</t>
  </si>
  <si>
    <t>BA2090TTTBFWD</t>
  </si>
  <si>
    <t>BA3001BFWD</t>
  </si>
  <si>
    <t>BA3091CAP</t>
  </si>
  <si>
    <t>BA1090AMORT</t>
  </si>
  <si>
    <t>BA2090AMORT</t>
  </si>
  <si>
    <t>BA2090TTTAMORT</t>
  </si>
  <si>
    <t>BA3001AMORT</t>
  </si>
  <si>
    <t>BA1091CFWD</t>
  </si>
  <si>
    <t>BA2091CFWD</t>
  </si>
  <si>
    <t>BA2091TTTCFWD</t>
  </si>
  <si>
    <t>BA3091CFWD</t>
  </si>
  <si>
    <t>Total operating expenditure</t>
  </si>
  <si>
    <t>Total number of sewer blockages</t>
  </si>
  <si>
    <t>Total number of gravity sewer collapses</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</si>
  <si>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</si>
  <si>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</si>
  <si>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</si>
  <si>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</si>
  <si>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</si>
  <si>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2020-21</t>
  </si>
  <si>
    <t>2022-23</t>
  </si>
  <si>
    <t>Cover</t>
  </si>
  <si>
    <t>Name:</t>
  </si>
  <si>
    <t>2022-23 APR tables (excluding tables 3A-3I)</t>
  </si>
  <si>
    <t>Version number:</t>
  </si>
  <si>
    <t>Filename:</t>
  </si>
  <si>
    <t>2022-23 annual performance report tables (excluding tables 3A-3I).xlsx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</si>
  <si>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</si>
  <si>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</si>
  <si>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</si>
  <si>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</si>
  <si>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</si>
  <si>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</si>
  <si>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</si>
  <si>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</si>
  <si>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</si>
  <si>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</si>
  <si>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2022-23 Annual performance report tables template, please email to:annual.reporting@ofwat.gov.uk</t>
  </si>
  <si>
    <t>Submissions</t>
  </si>
  <si>
    <t>Your completed spreadsheet should be uploaded to the ‘July APR 2023’ folder in your company’s area of our SharePoint DCS website. If you require any assistance with this, please contact:annual.reporting@ofwat.gov.uk</t>
  </si>
  <si>
    <t>Links to additional information / guidance</t>
  </si>
  <si>
    <t xml:space="preserve">RAG 3.14 – Guideline for the format and disclosures for the annual performance report </t>
  </si>
  <si>
    <t xml:space="preserve">RAG 4.11 – Guideline for the table definitions in the annual performance report </t>
  </si>
  <si>
    <t>The table below sets out changes from version 1 of this workbook published on 31 March 2023.</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</si>
  <si>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</si>
  <si>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</si>
  <si>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</si>
  <si>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</si>
  <si>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</si>
  <si>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</si>
  <si>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Select company from drop down list</t>
  </si>
  <si>
    <t>Pro forma 1A</t>
  </si>
  <si>
    <t>Ofwat Bon Numbers</t>
  </si>
  <si>
    <t>Income statement for the 12 months ended 31 March 2023</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</si>
  <si>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</si>
  <si>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</si>
  <si>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</si>
  <si>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</si>
  <si>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</si>
  <si>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</si>
  <si>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</si>
  <si>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</si>
  <si>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</si>
  <si>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</si>
  <si>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</si>
  <si>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</si>
  <si>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</si>
  <si>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</si>
  <si>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</si>
  <si>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</si>
  <si>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</si>
  <si>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</si>
  <si>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</si>
  <si>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</si>
  <si>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</si>
  <si>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</si>
  <si>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</si>
  <si>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</si>
  <si>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</si>
  <si>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</si>
  <si>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</si>
  <si>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</si>
  <si>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</si>
  <si>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</si>
  <si>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</si>
  <si>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</si>
  <si>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</si>
  <si>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</si>
  <si>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</si>
  <si>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</si>
  <si>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</si>
  <si>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</si>
  <si>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</si>
  <si>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</si>
  <si>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</si>
  <si>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</si>
  <si>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</si>
  <si>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</si>
  <si>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</si>
  <si>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</si>
  <si>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</si>
  <si>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</si>
  <si>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</si>
  <si>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</si>
  <si>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</si>
  <si>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</si>
  <si>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</si>
  <si>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</si>
  <si>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</si>
  <si>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</si>
  <si>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</si>
  <si>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</si>
  <si>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</si>
  <si>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</si>
  <si>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</si>
  <si>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</si>
  <si>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</si>
  <si>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</si>
  <si>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</si>
  <si>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</si>
  <si>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</si>
  <si>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</si>
  <si>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</si>
  <si>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</si>
  <si>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</si>
  <si>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</si>
  <si>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</si>
  <si>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</si>
  <si>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</si>
  <si>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</si>
  <si>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</si>
  <si>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</si>
  <si>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</si>
  <si>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</si>
  <si>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</si>
  <si>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</si>
  <si>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</si>
  <si>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</si>
  <si>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</si>
  <si>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</si>
  <si>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</si>
  <si>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</si>
  <si>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</si>
  <si>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</si>
  <si>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</si>
  <si>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</si>
  <si>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</si>
  <si>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</si>
  <si>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</si>
  <si>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</si>
  <si>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</si>
  <si>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</si>
  <si>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</si>
  <si>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</si>
  <si>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</si>
  <si>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</si>
  <si>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</si>
  <si>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</si>
  <si>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</si>
  <si>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</si>
  <si>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</si>
  <si>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</si>
  <si>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</si>
  <si>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</si>
  <si>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</si>
  <si>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</si>
  <si>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</si>
  <si>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</si>
  <si>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</si>
  <si>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</si>
  <si>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</si>
  <si>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</si>
  <si>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</si>
  <si>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</si>
  <si>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</si>
  <si>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</si>
  <si>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</si>
  <si>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</si>
  <si>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</si>
  <si>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</si>
  <si>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</si>
  <si>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</si>
  <si>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</si>
  <si>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</si>
  <si>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</si>
  <si>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</si>
  <si>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</si>
  <si>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</si>
  <si>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</si>
  <si>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</si>
  <si>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</si>
  <si>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</si>
  <si>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</si>
  <si>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</si>
  <si>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</si>
  <si>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</si>
  <si>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</si>
  <si>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</si>
  <si>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</si>
  <si>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</si>
  <si>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</si>
  <si>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</si>
  <si>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</si>
  <si>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</si>
  <si>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</si>
  <si>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</si>
  <si>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</si>
  <si>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</si>
  <si>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</si>
  <si>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</si>
  <si>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</si>
  <si>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</si>
  <si>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</si>
  <si>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</si>
  <si>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</si>
  <si>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</si>
  <si>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</si>
  <si>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</si>
  <si>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</si>
  <si>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</si>
  <si>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</si>
  <si>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</si>
  <si>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</si>
  <si>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</si>
  <si>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</si>
  <si>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</si>
  <si>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</si>
  <si>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</si>
  <si>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</si>
  <si>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</si>
  <si>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</si>
  <si>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</si>
  <si>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</si>
  <si>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</si>
  <si>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</si>
  <si>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</si>
  <si>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</si>
  <si>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</si>
  <si>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</si>
  <si>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</si>
  <si>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</si>
  <si>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</si>
  <si>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</si>
  <si>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</si>
  <si>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</si>
  <si>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</si>
  <si>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</si>
  <si>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</si>
  <si>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</si>
  <si>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</si>
  <si>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</si>
  <si>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</si>
  <si>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</si>
  <si>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</si>
  <si>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</si>
  <si>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</si>
  <si>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</si>
  <si>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</si>
  <si>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</si>
  <si>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</si>
  <si>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</si>
  <si>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</si>
  <si>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</si>
  <si>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</si>
  <si>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</si>
  <si>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</si>
  <si>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</si>
  <si>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</si>
  <si>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</si>
  <si>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</si>
  <si>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</si>
  <si>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</si>
  <si>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</si>
  <si>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</si>
  <si>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</si>
  <si>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</si>
  <si>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</si>
  <si>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</si>
  <si>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</si>
  <si>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</si>
  <si>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</si>
  <si>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</si>
  <si>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</si>
  <si>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</si>
  <si>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</si>
  <si>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</si>
  <si>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</si>
  <si>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</si>
  <si>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</si>
  <si>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</si>
  <si>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</si>
  <si>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</si>
  <si>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</si>
  <si>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</si>
  <si>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</si>
  <si>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</si>
  <si>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</si>
  <si>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</si>
  <si>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</si>
  <si>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</si>
  <si>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</si>
  <si>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</si>
  <si>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</si>
  <si>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</si>
  <si>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</si>
  <si>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</si>
  <si>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</si>
  <si>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</si>
  <si>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</si>
  <si>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</si>
  <si>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</si>
  <si>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</si>
  <si>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</si>
  <si>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</si>
  <si>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</si>
  <si>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</si>
  <si>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</si>
  <si>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</si>
  <si>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</si>
  <si>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</si>
  <si>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</si>
  <si>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</si>
  <si>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</si>
  <si>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</si>
  <si>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</si>
  <si>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</si>
  <si>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</si>
  <si>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</si>
  <si>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</si>
  <si>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</si>
  <si>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</si>
  <si>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</si>
  <si>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</si>
  <si>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</si>
  <si>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</si>
  <si>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</si>
  <si>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</si>
  <si>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</si>
  <si>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</si>
  <si>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</si>
  <si>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</si>
  <si>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</si>
  <si>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</si>
  <si>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</si>
  <si>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</si>
  <si>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</si>
  <si>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</si>
  <si>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</si>
  <si>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</si>
  <si>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</si>
  <si>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</si>
  <si>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</si>
  <si>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</si>
  <si>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</si>
  <si>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</si>
  <si>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</si>
  <si>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</si>
  <si>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</si>
  <si>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</si>
  <si>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</si>
  <si>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</si>
  <si>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</si>
  <si>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</si>
  <si>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</si>
  <si>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</si>
  <si>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</si>
  <si>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</si>
  <si>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</si>
  <si>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</si>
  <si>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</si>
  <si>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</si>
  <si>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</si>
  <si>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</si>
  <si>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</si>
  <si>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</si>
  <si>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</si>
  <si>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</si>
  <si>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</si>
  <si>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</si>
  <si>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</si>
  <si>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</si>
  <si>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</si>
  <si>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</si>
  <si>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</si>
  <si>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</si>
  <si>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</si>
  <si>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</si>
  <si>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</si>
  <si>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</si>
  <si>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</si>
  <si>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</si>
  <si>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</si>
  <si>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</si>
  <si>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</si>
  <si>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</si>
  <si>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</si>
  <si>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</si>
  <si>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</si>
  <si>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</si>
  <si>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</si>
  <si>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</si>
  <si>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</si>
  <si>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</si>
  <si>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</si>
  <si>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</si>
  <si>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</si>
  <si>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</si>
  <si>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</si>
  <si>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</si>
  <si>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DH - Lines 26 &amp; 27 don't tie in with 2E.37 due to 2E income values not aligned with SAP</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</si>
  <si>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</si>
  <si>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</si>
  <si>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</si>
  <si>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</si>
  <si>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</si>
  <si>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</si>
  <si>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</si>
  <si>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</si>
  <si>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</si>
  <si>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</si>
  <si>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</si>
  <si>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</si>
  <si>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</si>
  <si>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</si>
  <si>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</si>
  <si>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</si>
  <si>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</si>
  <si>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</si>
  <si>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</si>
  <si>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</si>
  <si>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</si>
  <si>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</si>
  <si>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</si>
  <si>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</si>
  <si>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</si>
  <si>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</si>
  <si>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</si>
  <si>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</si>
  <si>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</si>
  <si>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</si>
  <si>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</si>
  <si>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</si>
  <si>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</si>
  <si>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</si>
  <si>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</si>
  <si>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</si>
  <si>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</si>
  <si>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</si>
  <si>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</si>
  <si>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</si>
  <si>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</si>
  <si>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</si>
  <si>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</si>
  <si>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</si>
  <si>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</si>
  <si>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</si>
  <si>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</si>
  <si>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</si>
  <si>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</si>
  <si>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</si>
  <si>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</si>
  <si>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</si>
  <si>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</si>
  <si>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</si>
  <si>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</si>
  <si>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</si>
  <si>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</si>
  <si>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</si>
  <si>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</si>
  <si>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</si>
  <si>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</si>
  <si>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</si>
  <si>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</si>
  <si>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</si>
  <si>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</si>
  <si>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</si>
  <si>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</si>
  <si>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</si>
  <si>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</si>
  <si>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</si>
  <si>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</si>
  <si>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</si>
  <si>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</si>
  <si>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</si>
  <si>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</si>
  <si>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</si>
  <si>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</si>
  <si>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</si>
  <si>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</si>
  <si>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</si>
  <si>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</si>
  <si>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</si>
  <si>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</si>
  <si>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</si>
  <si>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</si>
  <si>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</si>
  <si>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</si>
  <si>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</si>
  <si>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</si>
  <si>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</si>
  <si>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</si>
  <si>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</si>
  <si>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</si>
  <si>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</si>
  <si>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</si>
  <si>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</si>
  <si>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</si>
  <si>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</si>
  <si>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</si>
  <si>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</si>
  <si>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</si>
  <si>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</si>
  <si>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</si>
  <si>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</si>
  <si>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</si>
  <si>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</si>
  <si>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</si>
  <si>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</si>
  <si>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</si>
  <si>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</si>
  <si>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</si>
  <si>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</si>
  <si>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</si>
  <si>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</si>
  <si>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</si>
  <si>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</si>
  <si>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</si>
  <si>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</si>
  <si>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</si>
  <si>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</si>
  <si>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</si>
  <si>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</si>
  <si>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</si>
  <si>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</si>
  <si>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</si>
  <si>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</si>
  <si>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</si>
  <si>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</si>
  <si>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</si>
  <si>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</si>
  <si>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</si>
  <si>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</si>
  <si>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</si>
  <si>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</si>
  <si>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</si>
  <si>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</si>
  <si>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</si>
  <si>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</si>
  <si>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</si>
  <si>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</si>
  <si>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</si>
  <si>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</si>
  <si>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</si>
  <si>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</si>
  <si>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</si>
  <si>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</si>
  <si>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</si>
  <si>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</si>
  <si>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</si>
  <si>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</si>
  <si>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</si>
  <si>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</si>
  <si>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</si>
  <si>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</si>
  <si>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</si>
  <si>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</si>
  <si>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</si>
  <si>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</si>
  <si>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</si>
  <si>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</si>
  <si>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</si>
  <si>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</si>
  <si>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</si>
  <si>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</si>
  <si>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</si>
  <si>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</si>
  <si>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</si>
  <si>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</si>
  <si>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</si>
  <si>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</si>
  <si>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</si>
  <si>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</si>
  <si>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</si>
  <si>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</si>
  <si>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</si>
  <si>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</si>
  <si>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</si>
  <si>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</si>
  <si>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</si>
  <si>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</si>
  <si>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</si>
  <si>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</si>
  <si>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</si>
  <si>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</si>
  <si>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</si>
  <si>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</si>
  <si>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</si>
  <si>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</si>
  <si>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</si>
  <si>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</si>
  <si>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</si>
  <si>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</si>
  <si>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</si>
  <si>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</si>
  <si>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</si>
  <si>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</si>
  <si>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</si>
  <si>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</si>
  <si>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</si>
  <si>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</si>
  <si>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</si>
  <si>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</si>
  <si>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</si>
  <si>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</si>
  <si>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</si>
  <si>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</si>
  <si>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</si>
  <si>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</si>
  <si>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</si>
  <si>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</si>
  <si>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</si>
  <si>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</si>
  <si>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</si>
  <si>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</si>
  <si>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</si>
  <si>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</si>
  <si>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</si>
  <si>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</si>
  <si>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</si>
  <si>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</si>
  <si>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</si>
  <si>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</si>
  <si>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</si>
  <si>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</si>
  <si>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</si>
  <si>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</si>
  <si>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</si>
  <si>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</si>
  <si>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</si>
  <si>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</si>
  <si>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</si>
  <si>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</si>
  <si>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</si>
  <si>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</si>
  <si>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</si>
  <si>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</si>
  <si>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</si>
  <si>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</si>
  <si>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</si>
  <si>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</si>
  <si>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</si>
  <si>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</si>
  <si>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</si>
  <si>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</si>
  <si>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</si>
  <si>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</si>
  <si>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</si>
  <si>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</si>
  <si>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</si>
  <si>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</si>
  <si>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</si>
  <si>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</si>
  <si>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</si>
  <si>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</si>
  <si>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</si>
  <si>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</si>
  <si>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</si>
  <si>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</si>
  <si>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</si>
  <si>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</si>
  <si>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</si>
  <si>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</si>
  <si>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</si>
  <si>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</si>
  <si>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</si>
  <si>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</si>
  <si>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</si>
  <si>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</si>
  <si>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</si>
  <si>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</si>
  <si>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</si>
  <si>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</si>
  <si>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</si>
  <si>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</si>
  <si>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</si>
  <si>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</si>
  <si>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</si>
  <si>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</si>
  <si>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</si>
  <si>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</si>
  <si>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</si>
  <si>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</si>
  <si>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</si>
  <si>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</si>
  <si>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</si>
  <si>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</si>
  <si>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</si>
  <si>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</si>
  <si>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</si>
  <si>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</si>
  <si>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</si>
  <si>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</si>
  <si>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</si>
  <si>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</si>
  <si>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</si>
  <si>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</si>
  <si>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</si>
  <si>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</si>
  <si>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</si>
  <si>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</si>
  <si>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</si>
  <si>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</si>
  <si>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</si>
  <si>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</si>
  <si>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</si>
  <si>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</si>
  <si>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</si>
  <si>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</si>
  <si>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</si>
  <si>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</si>
  <si>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</si>
  <si>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</si>
  <si>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</si>
  <si>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</si>
  <si>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</si>
  <si>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</si>
  <si>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</si>
  <si>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</si>
  <si>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</si>
  <si>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</si>
  <si>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</si>
  <si>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</si>
  <si>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</si>
  <si>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</si>
  <si>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</si>
  <si>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</si>
  <si>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</si>
  <si>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</si>
  <si>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</si>
  <si>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</si>
  <si>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</si>
  <si>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</si>
  <si>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</si>
  <si>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</si>
  <si>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</si>
  <si>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</si>
  <si>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</si>
  <si>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</si>
  <si>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</si>
  <si>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</si>
  <si>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</si>
  <si>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</si>
  <si>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</si>
  <si>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</si>
  <si>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</si>
  <si>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</si>
  <si>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</si>
  <si>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</si>
  <si>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</si>
  <si>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</si>
  <si>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</si>
  <si>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</si>
  <si>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</si>
  <si>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</si>
  <si>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</si>
  <si>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</si>
  <si>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</si>
  <si>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</si>
  <si>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</si>
  <si>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</si>
  <si>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</si>
  <si>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</si>
  <si>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</si>
  <si>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</si>
  <si>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</si>
  <si>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</si>
  <si>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</si>
  <si>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</si>
  <si>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</si>
  <si>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</si>
  <si>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</si>
  <si>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</si>
  <si>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</si>
  <si>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</si>
  <si>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</si>
  <si>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</si>
  <si>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</si>
  <si>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</si>
  <si>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</si>
  <si>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</si>
  <si>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</si>
  <si>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</si>
  <si>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</si>
  <si>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</si>
  <si>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</si>
  <si>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</si>
  <si>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</si>
  <si>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</si>
  <si>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</si>
  <si>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</si>
  <si>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</si>
  <si>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</si>
  <si>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</si>
  <si>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</si>
  <si>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</si>
  <si>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</si>
  <si>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</si>
  <si>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</si>
  <si>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</si>
  <si>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</si>
  <si>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</si>
  <si>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</si>
  <si>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</si>
  <si>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</si>
  <si>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</si>
  <si>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</si>
  <si>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</si>
  <si>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</si>
  <si>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</si>
  <si>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</si>
  <si>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</si>
  <si>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</si>
  <si>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</si>
  <si>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</si>
  <si>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</si>
  <si>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</si>
  <si>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</si>
  <si>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</si>
  <si>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</si>
  <si>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</si>
  <si>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</si>
  <si>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</si>
  <si>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</si>
  <si>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</si>
  <si>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</si>
  <si>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</si>
  <si>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</si>
  <si>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</si>
  <si>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</si>
  <si>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</si>
  <si>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</si>
  <si>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</si>
  <si>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</si>
  <si>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</si>
  <si>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</si>
  <si>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</si>
  <si>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</si>
  <si>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</si>
  <si>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</si>
  <si>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</si>
  <si>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</si>
  <si>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</si>
  <si>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</si>
  <si>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</si>
  <si>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</si>
  <si>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</si>
  <si>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</si>
  <si>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</si>
  <si>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</si>
  <si>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</si>
  <si>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</si>
  <si>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</si>
  <si>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</si>
  <si>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</si>
  <si>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</si>
  <si>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</si>
  <si>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</si>
  <si>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</si>
  <si>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</si>
  <si>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</si>
  <si>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</si>
  <si>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</si>
  <si>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</si>
  <si>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</si>
  <si>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</si>
  <si>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</si>
  <si>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</si>
  <si>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</si>
  <si>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</si>
  <si>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</si>
  <si>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</si>
  <si>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</si>
  <si>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</si>
  <si>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</si>
  <si>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</si>
  <si>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</si>
  <si>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</si>
  <si>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</si>
  <si>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</si>
  <si>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</si>
  <si>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</si>
  <si>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</si>
  <si>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</si>
  <si>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</si>
  <si>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</si>
  <si>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</si>
  <si>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</si>
  <si>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</si>
  <si>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</si>
  <si>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</si>
  <si>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</si>
  <si>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</si>
  <si>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</si>
  <si>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</si>
  <si>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</si>
  <si>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</si>
  <si>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</si>
  <si>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</si>
  <si>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</si>
  <si>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</si>
  <si>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</si>
  <si>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</si>
  <si>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</si>
  <si>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</si>
  <si>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</si>
  <si>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</si>
  <si>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</si>
  <si>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</si>
  <si>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</si>
  <si>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</si>
  <si>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</si>
  <si>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</si>
  <si>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</si>
  <si>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</si>
  <si>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</si>
  <si>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</si>
  <si>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</si>
  <si>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</si>
  <si>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</si>
  <si>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</si>
  <si>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</si>
  <si>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</si>
  <si>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</si>
  <si>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</si>
  <si>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</si>
  <si>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</si>
  <si>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</si>
  <si>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</si>
  <si>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</si>
  <si>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</si>
  <si>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</si>
  <si>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</si>
  <si>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</si>
  <si>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</si>
  <si>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</si>
  <si>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</si>
  <si>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</si>
  <si>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</si>
  <si>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</si>
  <si>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</si>
  <si>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</si>
  <si>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</si>
  <si>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</si>
  <si>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</si>
  <si>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</si>
  <si>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</si>
  <si>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</si>
  <si>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</si>
  <si>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</si>
  <si>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</si>
  <si>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</si>
  <si>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</si>
  <si>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</si>
  <si>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</si>
  <si>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</si>
  <si>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</si>
  <si>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</si>
  <si>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</si>
  <si>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</si>
  <si>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</si>
  <si>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</si>
  <si>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</si>
  <si>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</si>
  <si>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</si>
  <si>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</si>
  <si>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</si>
  <si>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</si>
  <si>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</si>
  <si>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</si>
  <si>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</si>
  <si>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</si>
  <si>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</si>
  <si>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</si>
  <si>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</si>
  <si>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</si>
  <si>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</si>
  <si>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</si>
  <si>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</si>
  <si>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</si>
  <si>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</si>
  <si>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</si>
  <si>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</si>
  <si>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</si>
  <si>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</si>
  <si>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</si>
  <si>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</si>
  <si>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</si>
  <si>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</si>
  <si>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</si>
  <si>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</si>
  <si>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</si>
  <si>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</si>
  <si>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</si>
  <si>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</si>
  <si>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</si>
  <si>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</si>
  <si>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</si>
  <si>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</si>
  <si>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</si>
  <si>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</si>
  <si>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</si>
  <si>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</si>
  <si>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</si>
  <si>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</si>
  <si>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</si>
  <si>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</si>
  <si>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</si>
  <si>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</si>
  <si>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</si>
  <si>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</si>
  <si>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</si>
  <si>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</si>
  <si>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</si>
  <si>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</si>
  <si>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</si>
  <si>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</si>
  <si>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</si>
  <si>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</si>
  <si>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</si>
  <si>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</si>
  <si>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</si>
  <si>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</si>
  <si>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</si>
  <si>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</si>
  <si>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</si>
  <si>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</si>
  <si>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</si>
  <si>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</si>
  <si>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</si>
  <si>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</si>
  <si>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</si>
  <si>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</si>
  <si>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</si>
  <si>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</si>
  <si>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</si>
  <si>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</si>
  <si>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</si>
  <si>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</si>
  <si>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</si>
  <si>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</si>
  <si>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</si>
  <si>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</si>
  <si>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</si>
  <si>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</si>
  <si>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</si>
  <si>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</si>
  <si>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</si>
  <si>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</si>
  <si>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</si>
  <si>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</si>
  <si>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</si>
  <si>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</si>
  <si>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</si>
  <si>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</si>
  <si>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</si>
  <si>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</si>
  <si>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</si>
  <si>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</si>
  <si>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</si>
  <si>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</si>
  <si>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</si>
  <si>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</si>
  <si>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</si>
  <si>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</si>
  <si>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</si>
  <si>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</si>
  <si>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</si>
  <si>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</si>
  <si>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</si>
  <si>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</si>
  <si>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</si>
  <si>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</si>
  <si>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</si>
  <si>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</si>
  <si>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</si>
  <si>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</si>
  <si>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</si>
  <si>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</si>
  <si>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</si>
  <si>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</si>
  <si>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</si>
  <si>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</si>
  <si>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</si>
  <si>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</si>
  <si>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</si>
  <si>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</si>
  <si>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</si>
  <si>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</si>
  <si>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</si>
  <si>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</si>
  <si>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</si>
  <si>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</si>
  <si>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</si>
  <si>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</si>
  <si>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</si>
  <si>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</si>
  <si>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</si>
  <si>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</si>
  <si>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</si>
  <si>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</si>
  <si>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</si>
  <si>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</si>
  <si>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</si>
  <si>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</si>
  <si>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</si>
  <si>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</si>
  <si>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</si>
  <si>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</si>
  <si>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</si>
  <si>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</si>
  <si>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</si>
  <si>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</si>
  <si>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</si>
  <si>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</si>
  <si>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</si>
  <si>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</si>
  <si>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</si>
  <si>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</si>
  <si>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</si>
  <si>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</si>
  <si>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</si>
  <si>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</si>
  <si>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</si>
  <si>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</si>
  <si>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</si>
  <si>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</si>
  <si>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</si>
  <si>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</si>
  <si>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</si>
  <si>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</si>
  <si>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</si>
  <si>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</si>
  <si>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</si>
  <si>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</si>
  <si>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</si>
  <si>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</si>
  <si>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</si>
  <si>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</si>
  <si>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</si>
  <si>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</si>
  <si>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</si>
  <si>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</si>
  <si>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</si>
  <si>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</si>
  <si>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</si>
  <si>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</si>
  <si>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</si>
  <si>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</si>
  <si>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</si>
  <si>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</si>
  <si>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</si>
  <si>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</si>
  <si>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</si>
  <si>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</si>
  <si>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</si>
  <si>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</si>
  <si>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</si>
  <si>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</si>
  <si>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</si>
  <si>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</si>
  <si>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</si>
  <si>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</si>
  <si>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</si>
  <si>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</si>
  <si>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</si>
  <si>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</si>
  <si>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</si>
  <si>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</si>
  <si>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</si>
  <si>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</si>
  <si>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</si>
  <si>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</si>
  <si>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</si>
  <si>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</si>
  <si>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</si>
  <si>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</si>
  <si>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</si>
  <si>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</si>
  <si>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</si>
  <si>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</si>
  <si>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</si>
  <si>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</si>
  <si>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</si>
  <si>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</si>
  <si>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</si>
  <si>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</si>
  <si>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</si>
  <si>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</si>
  <si>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</si>
  <si>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</si>
  <si>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</si>
  <si>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</si>
  <si>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</si>
  <si>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</si>
  <si>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</si>
  <si>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</si>
  <si>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</si>
  <si>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</si>
  <si>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</si>
  <si>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</si>
  <si>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</si>
  <si>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</si>
  <si>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</si>
  <si>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</si>
  <si>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</si>
  <si>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</si>
  <si>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</si>
  <si>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</si>
  <si>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</si>
  <si>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</si>
  <si>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</si>
  <si>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</si>
  <si>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</si>
  <si>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</si>
  <si>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</si>
  <si>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</si>
  <si>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</si>
  <si>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</si>
  <si>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</si>
  <si>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</si>
  <si>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</si>
  <si>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</si>
  <si>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</si>
  <si>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</si>
  <si>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</si>
  <si>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</si>
  <si>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</si>
  <si>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</si>
  <si>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</si>
  <si>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</si>
  <si>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</si>
  <si>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</si>
  <si>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</si>
  <si>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</si>
  <si>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</si>
  <si>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</si>
  <si>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</si>
  <si>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</si>
  <si>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</si>
  <si>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</si>
  <si>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</si>
  <si>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</si>
  <si>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</si>
  <si>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</si>
  <si>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</si>
  <si>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</si>
  <si>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</si>
  <si>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</si>
  <si>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</si>
  <si>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</si>
  <si>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</si>
  <si>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</si>
  <si>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</si>
  <si>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</si>
  <si>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</si>
  <si>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</si>
  <si>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</si>
  <si>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</si>
  <si>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</si>
  <si>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</si>
  <si>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</si>
  <si>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</si>
  <si>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</si>
  <si>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</si>
  <si>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</si>
  <si>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</si>
  <si>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</si>
  <si>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</si>
  <si>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</si>
  <si>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</si>
  <si>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</si>
  <si>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</si>
  <si>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</si>
  <si>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</si>
  <si>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</si>
  <si>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</si>
  <si>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</si>
  <si>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</si>
  <si>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</si>
  <si>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</si>
  <si>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</si>
  <si>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</si>
  <si>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</si>
  <si>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</si>
  <si>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</si>
  <si>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</si>
  <si>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</si>
  <si>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</si>
  <si>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</si>
  <si>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</si>
  <si>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</si>
  <si>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</si>
  <si>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</si>
  <si>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</si>
  <si>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</si>
  <si>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</si>
  <si>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</si>
  <si>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</si>
  <si>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</si>
  <si>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</si>
  <si>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</si>
  <si>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</si>
  <si>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</si>
  <si>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</si>
  <si>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</si>
  <si>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</si>
  <si>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</si>
  <si>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</si>
  <si>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</si>
  <si>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</si>
  <si>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</si>
  <si>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</si>
  <si>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</si>
  <si>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</si>
  <si>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</si>
  <si>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</si>
  <si>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</si>
  <si>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</si>
  <si>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</si>
  <si>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</si>
  <si>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</si>
  <si>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</si>
  <si>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</si>
  <si>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</si>
  <si>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</si>
  <si>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</si>
  <si>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</si>
  <si>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</si>
  <si>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</si>
  <si>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</si>
  <si>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</si>
  <si>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</si>
  <si>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</si>
  <si>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</si>
  <si>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</si>
  <si>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</si>
  <si>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</si>
  <si>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</si>
  <si>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</si>
  <si>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</si>
  <si>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</si>
  <si>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</si>
  <si>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</si>
  <si>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</si>
  <si>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</si>
  <si>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</si>
  <si>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</si>
  <si>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</si>
  <si>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</si>
  <si>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</si>
  <si>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</si>
  <si>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</si>
  <si>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</si>
  <si>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</si>
  <si>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</si>
  <si>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</si>
  <si>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</si>
  <si>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</si>
  <si>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</si>
  <si>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</si>
  <si>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</si>
  <si>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</si>
  <si>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</si>
  <si>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</si>
  <si>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</si>
  <si>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</si>
  <si>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</si>
  <si>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</si>
  <si>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</si>
  <si>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</si>
  <si>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</si>
  <si>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</si>
  <si>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</si>
  <si>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</si>
  <si>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</si>
  <si>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</si>
  <si>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</si>
  <si>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</si>
  <si>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</si>
  <si>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</si>
  <si>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</si>
  <si>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</si>
  <si>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</si>
  <si>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</si>
  <si>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</si>
  <si>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</si>
  <si>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</si>
  <si>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</si>
  <si>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</si>
  <si>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</si>
  <si>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</si>
  <si>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</si>
  <si>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</si>
  <si>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</si>
  <si>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</si>
  <si>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</si>
  <si>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</si>
  <si>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</si>
  <si>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</si>
  <si>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</si>
  <si>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</si>
  <si>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</si>
  <si>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</si>
  <si>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</si>
  <si>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</si>
  <si>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</si>
  <si>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</si>
  <si>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</si>
  <si>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</si>
  <si>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</si>
  <si>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</si>
  <si>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</si>
  <si>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</si>
  <si>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</si>
  <si>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</si>
  <si>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</si>
  <si>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</si>
  <si>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</si>
  <si>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</si>
  <si>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</si>
  <si>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</si>
  <si>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</si>
  <si>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</si>
  <si>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</si>
  <si>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</si>
  <si>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</si>
  <si>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</si>
  <si>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</si>
  <si>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</si>
  <si>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</si>
  <si>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</si>
  <si>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</si>
  <si>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</si>
  <si>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</si>
  <si>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</si>
  <si>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</si>
  <si>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</si>
  <si>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</si>
  <si>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</si>
  <si>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</si>
  <si>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</si>
  <si>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</si>
  <si>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</si>
  <si>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</si>
  <si>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</si>
  <si>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</si>
  <si>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</si>
  <si>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</si>
  <si>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</si>
  <si>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</si>
  <si>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</si>
  <si>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</si>
  <si>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</si>
  <si>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</si>
  <si>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</si>
  <si>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</si>
  <si>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</si>
  <si>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</si>
  <si>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</si>
  <si>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</si>
  <si>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</si>
  <si>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</si>
  <si>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</si>
  <si>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</si>
  <si>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</si>
  <si>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</si>
  <si>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</si>
  <si>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</si>
  <si>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</si>
  <si>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</si>
  <si>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</si>
  <si>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</si>
  <si>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</si>
  <si>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</si>
  <si>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</si>
  <si>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</si>
  <si>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</si>
  <si>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</si>
  <si>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</si>
  <si>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</si>
  <si>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</si>
  <si>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</si>
  <si>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</si>
  <si>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</si>
  <si>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</si>
  <si>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</si>
  <si>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</si>
  <si>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</si>
  <si>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</si>
  <si>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</si>
  <si>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</si>
  <si>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</si>
  <si>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</si>
  <si>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</si>
  <si>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</si>
  <si>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</si>
  <si>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</si>
  <si>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</si>
  <si>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</si>
  <si>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</si>
  <si>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</si>
  <si>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</si>
  <si>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</si>
  <si>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</si>
  <si>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</si>
  <si>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</si>
  <si>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</si>
  <si>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</si>
  <si>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</si>
  <si>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</si>
  <si>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</si>
  <si>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</si>
  <si>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</si>
  <si>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</si>
  <si>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</si>
  <si>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</si>
  <si>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</si>
  <si>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</si>
  <si>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</si>
  <si>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</si>
  <si>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</si>
  <si>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</si>
  <si>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</si>
  <si>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</si>
  <si>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</si>
  <si>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</si>
  <si>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</si>
  <si>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</si>
  <si>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</si>
  <si>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</si>
  <si>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</si>
  <si>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</si>
  <si>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</si>
  <si>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</si>
  <si>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</si>
  <si>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</si>
  <si>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</si>
  <si>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</si>
  <si>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</si>
  <si>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</si>
  <si>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</si>
  <si>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</si>
  <si>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</si>
  <si>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</si>
  <si>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</si>
  <si>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</si>
  <si>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</si>
  <si>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</si>
  <si>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</si>
  <si>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</si>
  <si>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</si>
  <si>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</si>
  <si>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</si>
  <si>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</si>
  <si>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</si>
  <si>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</si>
  <si>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</si>
  <si>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</si>
  <si>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</si>
  <si>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</si>
  <si>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</si>
  <si>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</si>
  <si>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</si>
  <si>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</si>
  <si>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</si>
  <si>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</si>
  <si>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</si>
  <si>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</si>
  <si>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</si>
  <si>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</si>
  <si>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</si>
  <si>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</si>
  <si>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</si>
  <si>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</si>
  <si>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</si>
  <si>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</si>
  <si>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</si>
  <si>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</si>
  <si>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</si>
  <si>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</si>
  <si>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</si>
  <si>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</si>
  <si>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</si>
  <si>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</si>
  <si>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</si>
  <si>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</si>
  <si>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</si>
  <si>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</si>
  <si>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</si>
  <si>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</si>
  <si>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</si>
  <si>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</si>
  <si>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</si>
  <si>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</si>
  <si>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</si>
  <si>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</si>
  <si>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</si>
  <si>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</si>
  <si>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</si>
  <si>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</si>
  <si>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</si>
  <si>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</si>
  <si>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</si>
  <si>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</si>
  <si>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</si>
  <si>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</si>
  <si>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</si>
  <si>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</si>
  <si>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</si>
  <si>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</si>
  <si>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</si>
  <si>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</si>
  <si>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</si>
  <si>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</si>
  <si>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</si>
  <si>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</si>
  <si>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</si>
  <si>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</si>
  <si>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</si>
  <si>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</si>
  <si>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</si>
  <si>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Total grants and contributions</t>
  </si>
  <si>
    <t>2E.7</t>
  </si>
  <si>
    <t>Value of adopted assets</t>
  </si>
  <si>
    <t>2E.8</t>
  </si>
  <si>
    <t>Grants and contributions - water network+</t>
  </si>
  <si>
    <t>Connection charges</t>
  </si>
  <si>
    <t>2E.9</t>
  </si>
  <si>
    <t>Infrastructure charge receipts – new connections</t>
  </si>
  <si>
    <t>2E.10</t>
  </si>
  <si>
    <t>Infrastructure charge receipts</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</si>
  <si>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</si>
  <si>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</si>
  <si>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</si>
  <si>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</si>
  <si>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</si>
  <si>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</si>
  <si>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</si>
  <si>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</si>
  <si>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</si>
  <si>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</si>
  <si>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</si>
  <si>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</si>
  <si>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</si>
  <si>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</si>
  <si>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</si>
  <si>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</si>
  <si>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</si>
  <si>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</si>
  <si>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</si>
  <si>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</si>
  <si>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</si>
  <si>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</si>
  <si>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</si>
  <si>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</si>
  <si>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</si>
  <si>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</si>
  <si>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</si>
  <si>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</si>
  <si>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</si>
  <si>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</si>
  <si>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_x000D_
resources</t>
  </si>
  <si>
    <t>Water _x000D_
network+</t>
  </si>
  <si>
    <t>Wastewater network+</t>
  </si>
  <si>
    <t>Water 
resources</t>
  </si>
  <si>
    <t>Water 
network+</t>
  </si>
  <si>
    <t>Movements in capitalised grants and contributions</t>
  </si>
  <si>
    <t>b/f</t>
  </si>
  <si>
    <t>2E.34</t>
  </si>
  <si>
    <t>Capitalised in year</t>
  </si>
  <si>
    <t>2E.35</t>
  </si>
  <si>
    <t>BA1091CAP</t>
  </si>
  <si>
    <t>BA2091TTTCAP</t>
  </si>
  <si>
    <t>Amortisation (in income statement)</t>
  </si>
  <si>
    <t>2E.36</t>
  </si>
  <si>
    <t>c/f</t>
  </si>
  <si>
    <t>2E.37</t>
  </si>
  <si>
    <t>Pro forma 2F</t>
  </si>
  <si>
    <t>Residential retail for the 12 months ended 31 March 2023</t>
  </si>
  <si>
    <t>Number of customers</t>
  </si>
  <si>
    <t>Average residential revenues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</si>
  <si>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</si>
  <si>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</si>
  <si>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</si>
  <si>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</si>
  <si>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</si>
  <si>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</si>
  <si>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</si>
  <si>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</si>
  <si>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</si>
  <si>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</si>
  <si>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</si>
  <si>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</si>
  <si>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</si>
  <si>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</si>
  <si>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</si>
  <si>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</si>
  <si>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</si>
  <si>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</si>
  <si>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</si>
  <si>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</si>
  <si>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</si>
  <si>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</si>
  <si>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</si>
  <si>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</si>
  <si>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</si>
  <si>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</si>
  <si>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</si>
  <si>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</si>
  <si>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</si>
  <si>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</si>
  <si>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</si>
  <si>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</si>
  <si>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</si>
  <si>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</si>
  <si>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</si>
  <si>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</si>
  <si>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</si>
  <si>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</si>
  <si>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</si>
  <si>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</si>
  <si>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Pro forma 2H - Only HDD and WSH</t>
  </si>
  <si>
    <t>Non-household wastewater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</si>
  <si>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</si>
  <si>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</si>
  <si>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</si>
  <si>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</si>
  <si>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</si>
  <si>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</si>
  <si>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</si>
  <si>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</si>
  <si>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</si>
  <si>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</si>
  <si>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</si>
  <si>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2H.1</t>
  </si>
  <si>
    <t>CR1002SWCR</t>
  </si>
  <si>
    <t>CR1002SRR</t>
  </si>
  <si>
    <t>CR1002STR</t>
  </si>
  <si>
    <t>CR1042SCO</t>
  </si>
  <si>
    <t>CR1042SRPC</t>
  </si>
  <si>
    <t>B0086TAANH</t>
  </si>
  <si>
    <t>B0086TAODI</t>
  </si>
  <si>
    <t>B0086TAAANH</t>
  </si>
  <si>
    <t>B0086TAAM</t>
  </si>
  <si>
    <t>B0086TAAHRC</t>
  </si>
  <si>
    <t>Tariff type 2</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</si>
  <si>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</si>
  <si>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</si>
  <si>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</si>
  <si>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</si>
  <si>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</si>
  <si>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</si>
  <si>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</si>
  <si>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</si>
  <si>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</si>
  <si>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</si>
  <si>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</si>
  <si>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</si>
  <si>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</si>
  <si>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</si>
  <si>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</si>
  <si>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</si>
  <si>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</si>
  <si>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</si>
  <si>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</si>
  <si>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</si>
  <si>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</si>
  <si>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</si>
  <si>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</si>
  <si>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Total default tariffs</t>
  </si>
  <si>
    <t>2H.4</t>
  </si>
  <si>
    <t>B0089TWCR</t>
  </si>
  <si>
    <t>B0089TWRR</t>
  </si>
  <si>
    <t>B0089TWTR</t>
  </si>
  <si>
    <t>B0089TWNC</t>
  </si>
  <si>
    <t>B0089TWAHRR</t>
  </si>
  <si>
    <t>B0089TWAANH</t>
  </si>
  <si>
    <t>B0089TWODI</t>
  </si>
  <si>
    <t>B0089TWAANHO</t>
  </si>
  <si>
    <t>B0089TWAM</t>
  </si>
  <si>
    <t>B0089TWAHRC</t>
  </si>
  <si>
    <t>Non-Default tariffs</t>
  </si>
  <si>
    <t>Total non-default tariffs</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</si>
  <si>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</si>
  <si>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</si>
  <si>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</si>
  <si>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</si>
  <si>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</si>
  <si>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</si>
  <si>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</si>
  <si>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</si>
  <si>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</si>
  <si>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</si>
  <si>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</si>
  <si>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</si>
  <si>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</si>
  <si>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</si>
  <si>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</si>
  <si>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</si>
  <si>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</si>
  <si>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Average non-household retail revenue per customer</t>
  </si>
  <si>
    <t>Revenue per customer</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</si>
  <si>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</si>
  <si>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</si>
  <si>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</si>
  <si>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</si>
  <si>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</si>
  <si>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</si>
  <si>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</si>
  <si>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</si>
  <si>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</si>
  <si>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</si>
  <si>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</si>
  <si>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</si>
  <si>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</si>
  <si>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</si>
  <si>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</si>
  <si>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</si>
  <si>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</si>
  <si>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</si>
  <si>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</si>
  <si>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</si>
  <si>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</si>
  <si>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</si>
  <si>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</si>
  <si>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</si>
  <si>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</si>
  <si>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</si>
  <si>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</si>
  <si>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</si>
  <si>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</si>
  <si>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</si>
  <si>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</si>
  <si>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</si>
  <si>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</si>
  <si>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</si>
  <si>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</si>
  <si>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</si>
  <si>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</si>
  <si>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</si>
  <si>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</si>
  <si>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</si>
  <si>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</si>
  <si>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</si>
  <si>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</si>
  <si>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</si>
  <si>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</si>
  <si>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</si>
  <si>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</si>
  <si>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</si>
  <si>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</si>
  <si>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</si>
  <si>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</si>
  <si>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</si>
  <si>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</si>
  <si>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</si>
  <si>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</si>
  <si>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</si>
  <si>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</si>
  <si>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</si>
  <si>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</si>
  <si>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</si>
  <si>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</si>
  <si>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</si>
  <si>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</si>
  <si>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</si>
  <si>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</si>
  <si>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</si>
  <si>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</si>
  <si>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</si>
  <si>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</si>
  <si>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</si>
  <si>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</si>
  <si>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</si>
  <si>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</si>
  <si>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</si>
  <si>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</si>
  <si>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</si>
  <si>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</si>
  <si>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</si>
  <si>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</si>
  <si>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</si>
  <si>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</si>
  <si>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</si>
  <si>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</si>
  <si>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</si>
  <si>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</si>
  <si>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</si>
  <si>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</si>
  <si>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</si>
  <si>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</si>
  <si>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</si>
  <si>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</si>
  <si>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</si>
  <si>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</si>
  <si>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</si>
  <si>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</si>
  <si>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</si>
  <si>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</si>
  <si>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</si>
  <si>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</si>
  <si>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</si>
  <si>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</si>
  <si>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</si>
  <si>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</si>
  <si>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</si>
  <si>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</si>
  <si>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</si>
  <si>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</si>
  <si>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</si>
  <si>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</si>
  <si>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</si>
  <si>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</si>
  <si>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</si>
  <si>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</si>
  <si>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</si>
  <si>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</si>
  <si>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</si>
  <si>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</si>
  <si>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</si>
  <si>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</si>
  <si>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</si>
  <si>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</si>
  <si>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</si>
  <si>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</si>
  <si>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</si>
  <si>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</si>
  <si>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</si>
  <si>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</si>
  <si>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</si>
  <si>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</si>
  <si>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</si>
  <si>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</si>
  <si>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</si>
  <si>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</si>
  <si>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</si>
  <si>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</si>
  <si>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</si>
  <si>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</si>
  <si>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</si>
  <si>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</si>
  <si>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</si>
  <si>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</si>
  <si>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</si>
  <si>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</si>
  <si>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</si>
  <si>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</si>
  <si>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</si>
  <si>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</si>
  <si>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</si>
  <si>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</si>
  <si>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</si>
  <si>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</si>
  <si>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</si>
  <si>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</si>
  <si>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</si>
  <si>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</si>
  <si>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</si>
  <si>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</si>
  <si>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</si>
  <si>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</si>
  <si>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</si>
  <si>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</si>
  <si>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</si>
  <si>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</si>
  <si>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</si>
  <si>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</si>
  <si>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</si>
  <si>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</si>
  <si>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</si>
  <si>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</si>
  <si>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</si>
  <si>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</si>
  <si>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</si>
  <si>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</si>
  <si>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</si>
  <si>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</si>
  <si>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</si>
  <si>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</si>
  <si>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</si>
  <si>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</si>
  <si>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</si>
  <si>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</si>
  <si>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</si>
  <si>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</si>
  <si>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</si>
  <si>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</si>
  <si>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</si>
  <si>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</si>
  <si>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</si>
  <si>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</si>
  <si>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</si>
  <si>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</si>
  <si>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</si>
  <si>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</si>
  <si>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</si>
  <si>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</si>
  <si>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</si>
  <si>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</si>
  <si>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</si>
  <si>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</si>
  <si>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</si>
  <si>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</si>
  <si>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</si>
  <si>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</si>
  <si>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</si>
  <si>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</si>
  <si>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</si>
  <si>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</si>
  <si>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</si>
  <si>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</si>
  <si>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</si>
  <si>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</si>
  <si>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</si>
  <si>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</si>
  <si>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</si>
  <si>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</si>
  <si>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</si>
  <si>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</si>
  <si>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</si>
  <si>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</si>
  <si>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</si>
  <si>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</si>
  <si>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</si>
  <si>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</si>
  <si>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</si>
  <si>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</si>
  <si>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</si>
  <si>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</si>
  <si>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</si>
  <si>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</si>
  <si>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</si>
  <si>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</si>
  <si>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</si>
  <si>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</si>
  <si>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</si>
  <si>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</si>
  <si>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</si>
  <si>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 xml:space="preserve"> </t>
  </si>
  <si>
    <t>Pro forma 2G - Only HDD and WSH</t>
  </si>
  <si>
    <t>Non-household water - revenues by tariff type</t>
  </si>
  <si>
    <t>2G.1</t>
  </si>
  <si>
    <t>CR1003WWCR</t>
  </si>
  <si>
    <t>CR1003WRR</t>
  </si>
  <si>
    <t>CR1003WTR</t>
  </si>
  <si>
    <t>CR1043WCO</t>
  </si>
  <si>
    <t>CR1043WRPC</t>
  </si>
  <si>
    <t>B0081TAANH</t>
  </si>
  <si>
    <t>B0081TAODI</t>
  </si>
  <si>
    <t>B0081TAAANH</t>
  </si>
  <si>
    <t>B0081TAAM</t>
  </si>
  <si>
    <t>B0081TAAHRC</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</si>
  <si>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</si>
  <si>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</si>
  <si>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</si>
  <si>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</si>
  <si>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</si>
  <si>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</si>
  <si>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</si>
  <si>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</si>
  <si>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</si>
  <si>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</si>
  <si>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</si>
  <si>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</si>
  <si>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</si>
  <si>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</si>
  <si>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</si>
  <si>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</si>
  <si>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</si>
  <si>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</si>
  <si>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</si>
  <si>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</si>
  <si>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</si>
  <si>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</si>
  <si>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</si>
  <si>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</si>
  <si>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</si>
  <si>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</si>
  <si>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</si>
  <si>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</si>
  <si>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</si>
  <si>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</si>
  <si>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</si>
  <si>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</si>
  <si>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</si>
  <si>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</si>
  <si>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</si>
  <si>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2G.5</t>
  </si>
  <si>
    <t>B0085TWCR</t>
  </si>
  <si>
    <t>B0085TWRR</t>
  </si>
  <si>
    <t>B0085TWTR</t>
  </si>
  <si>
    <t>B0085TWNC</t>
  </si>
  <si>
    <t>B0085TWAHRR</t>
  </si>
  <si>
    <t>B0085TAANH</t>
  </si>
  <si>
    <t>B0085TAODI</t>
  </si>
  <si>
    <t>B0085TAAANH</t>
  </si>
  <si>
    <t>B0085TAAM</t>
  </si>
  <si>
    <t>B0085TAAHRC</t>
  </si>
  <si>
    <t>2G.6</t>
  </si>
  <si>
    <t>B0376TN_WCR</t>
  </si>
  <si>
    <t>B0376TN_RR</t>
  </si>
  <si>
    <t>B0376TN_TR</t>
  </si>
  <si>
    <t>B0376TN_NC</t>
  </si>
  <si>
    <t>B0376TN_AHRR</t>
  </si>
  <si>
    <t>2G.7</t>
  </si>
  <si>
    <t>B0377TT_WCR</t>
  </si>
  <si>
    <t>B0377TT_RR</t>
  </si>
  <si>
    <t>B0377TT_TR</t>
  </si>
  <si>
    <t>B0377TT_NC</t>
  </si>
  <si>
    <t>B0377TT_AHRR</t>
  </si>
  <si>
    <t>2G.8</t>
  </si>
  <si>
    <t>B0378T_NC</t>
  </si>
  <si>
    <t>B0378T_AHRR</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</si>
  <si>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</si>
  <si>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</si>
  <si>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</si>
  <si>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</si>
  <si>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</si>
  <si>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</si>
  <si>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</si>
  <si>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</si>
  <si>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</si>
  <si>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</si>
  <si>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</si>
  <si>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</si>
  <si>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</si>
  <si>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</si>
  <si>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</si>
  <si>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</si>
  <si>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</si>
  <si>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</si>
  <si>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</si>
  <si>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</si>
  <si>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</si>
  <si>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</si>
  <si>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</si>
  <si>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</si>
  <si>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</si>
  <si>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</si>
  <si>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</si>
  <si>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</si>
  <si>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</si>
  <si>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</si>
  <si>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</si>
  <si>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</si>
  <si>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</si>
  <si>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</si>
  <si>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</si>
  <si>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</si>
  <si>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</si>
  <si>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</si>
  <si>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</si>
  <si>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</si>
  <si>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</si>
  <si>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</si>
  <si>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</si>
  <si>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</si>
  <si>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</si>
  <si>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</si>
  <si>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</si>
  <si>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</si>
  <si>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</si>
  <si>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</si>
  <si>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</si>
  <si>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</si>
  <si>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</si>
  <si>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</si>
  <si>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</si>
  <si>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</si>
  <si>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</si>
  <si>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</si>
  <si>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</si>
  <si>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</si>
  <si>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</si>
  <si>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</si>
  <si>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</si>
  <si>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</si>
  <si>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</si>
  <si>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</si>
  <si>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</si>
  <si>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</si>
  <si>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</si>
  <si>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</si>
  <si>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</si>
  <si>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</si>
  <si>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</si>
  <si>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</si>
  <si>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</si>
  <si>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</si>
  <si>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</si>
  <si>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</si>
  <si>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</si>
  <si>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</si>
  <si>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</si>
  <si>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</si>
  <si>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</si>
  <si>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</si>
  <si>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</si>
  <si>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</si>
  <si>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</si>
  <si>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</si>
  <si>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</si>
  <si>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</si>
  <si>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</si>
  <si>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</si>
  <si>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</si>
  <si>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</si>
  <si>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</si>
  <si>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</si>
  <si>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</si>
  <si>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</si>
  <si>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</si>
  <si>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</si>
  <si>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</si>
  <si>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</si>
  <si>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</si>
  <si>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</si>
  <si>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</si>
  <si>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</si>
  <si>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</si>
  <si>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</si>
  <si>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</si>
  <si>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</si>
  <si>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</si>
  <si>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</si>
  <si>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</si>
  <si>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</si>
  <si>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</si>
  <si>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</si>
  <si>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</si>
  <si>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</si>
  <si>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</si>
  <si>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</si>
  <si>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</si>
  <si>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</si>
  <si>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</si>
  <si>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</si>
  <si>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</si>
  <si>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</si>
  <si>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</si>
  <si>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</si>
  <si>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</si>
  <si>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</si>
  <si>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</si>
  <si>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</si>
  <si>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</si>
  <si>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</si>
  <si>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</si>
  <si>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</si>
  <si>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</si>
  <si>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</si>
  <si>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</si>
  <si>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</si>
  <si>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</si>
  <si>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</si>
  <si>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</si>
  <si>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</si>
  <si>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</si>
  <si>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</si>
  <si>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</si>
  <si>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</si>
  <si>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</si>
  <si>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</si>
  <si>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</si>
  <si>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</si>
  <si>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</si>
  <si>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</si>
  <si>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</si>
  <si>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</si>
  <si>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</si>
  <si>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</si>
  <si>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</si>
  <si>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</si>
  <si>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</si>
  <si>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</si>
  <si>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</si>
  <si>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</si>
  <si>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</si>
  <si>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</si>
  <si>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</si>
  <si>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</si>
  <si>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</si>
  <si>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</si>
  <si>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</si>
  <si>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</si>
  <si>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</si>
  <si>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</si>
  <si>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</si>
  <si>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</si>
  <si>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</si>
  <si>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</si>
  <si>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</si>
  <si>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</si>
  <si>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</si>
  <si>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</si>
  <si>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</si>
  <si>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</si>
  <si>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</si>
  <si>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</si>
  <si>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</si>
  <si>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</si>
  <si>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</si>
  <si>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</si>
  <si>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</si>
  <si>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</si>
  <si>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</si>
  <si>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</si>
  <si>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</si>
  <si>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</si>
  <si>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</si>
  <si>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</si>
  <si>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</si>
  <si>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</si>
  <si>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</si>
  <si>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</si>
  <si>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</si>
  <si>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</si>
  <si>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</si>
  <si>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</si>
  <si>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</si>
  <si>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</si>
  <si>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</si>
  <si>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</si>
  <si>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</si>
  <si>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</si>
  <si>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</si>
  <si>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</si>
  <si>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</si>
  <si>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</si>
  <si>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</si>
  <si>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</si>
  <si>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</si>
  <si>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</si>
  <si>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</si>
  <si>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</si>
  <si>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</si>
  <si>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</si>
  <si>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</si>
  <si>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</si>
  <si>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</si>
  <si>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</si>
  <si>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</si>
  <si>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</si>
  <si>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</si>
  <si>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</si>
  <si>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</si>
  <si>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</si>
  <si>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</si>
  <si>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</si>
  <si>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</si>
  <si>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</si>
  <si>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</si>
  <si>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</si>
  <si>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</si>
  <si>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</si>
  <si>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</si>
  <si>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</si>
  <si>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</si>
  <si>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</si>
  <si>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</si>
  <si>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</si>
  <si>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</si>
  <si>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</si>
  <si>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</si>
  <si>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</si>
  <si>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</si>
  <si>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</si>
  <si>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</si>
  <si>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</si>
  <si>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</si>
  <si>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</si>
  <si>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</si>
  <si>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</si>
  <si>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</si>
  <si>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</si>
  <si>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</si>
  <si>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</si>
  <si>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</si>
  <si>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</si>
  <si>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</si>
  <si>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</si>
  <si>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</si>
  <si>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</si>
  <si>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</si>
  <si>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</si>
  <si>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</si>
  <si>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</si>
  <si>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</si>
  <si>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</si>
  <si>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</si>
  <si>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</si>
  <si>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</si>
  <si>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</si>
  <si>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</si>
  <si>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</si>
  <si>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</si>
  <si>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</si>
  <si>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</si>
  <si>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</si>
  <si>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</si>
  <si>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</si>
  <si>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</si>
  <si>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</si>
  <si>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</si>
  <si>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</si>
  <si>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</si>
  <si>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</si>
  <si>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</si>
  <si>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</si>
  <si>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</si>
  <si>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</si>
  <si>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</si>
  <si>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</si>
  <si>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</si>
  <si>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</si>
  <si>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</si>
  <si>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</si>
  <si>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</si>
  <si>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</si>
  <si>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</si>
  <si>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</si>
  <si>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</si>
  <si>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</si>
  <si>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</si>
  <si>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</si>
  <si>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</si>
  <si>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</si>
  <si>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</si>
  <si>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</si>
  <si>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</si>
  <si>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</si>
  <si>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</si>
  <si>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</si>
  <si>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</si>
  <si>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</si>
  <si>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</si>
  <si>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</si>
  <si>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</si>
  <si>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</si>
  <si>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</si>
  <si>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</si>
  <si>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</si>
  <si>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</si>
  <si>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</si>
  <si>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</si>
  <si>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</si>
  <si>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</si>
  <si>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</si>
  <si>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</si>
  <si>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</si>
  <si>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</si>
  <si>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</si>
  <si>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</si>
  <si>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</si>
  <si>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</si>
  <si>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</si>
  <si>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Bulk supply 1</t>
  </si>
  <si>
    <t>4A.1</t>
  </si>
  <si>
    <t>Anglian Water - Finningley</t>
  </si>
  <si>
    <t>Bulk supply 2</t>
  </si>
  <si>
    <t>4A.2</t>
  </si>
  <si>
    <t>Severn Trent Water - Bradway Grange Farm</t>
  </si>
  <si>
    <t>Bulk supply 3</t>
  </si>
  <si>
    <t>4A.3</t>
  </si>
  <si>
    <t>NAV - IWNL</t>
  </si>
  <si>
    <t>Bulk supply 4</t>
  </si>
  <si>
    <t>4A.4</t>
  </si>
  <si>
    <t>NAV - Leep</t>
  </si>
  <si>
    <t>Bulk supply 5</t>
  </si>
  <si>
    <t>4A.5</t>
  </si>
  <si>
    <t>NAV - ESP</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</si>
  <si>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</si>
  <si>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</si>
  <si>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</si>
  <si>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</si>
  <si>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</si>
  <si>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</si>
  <si>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</si>
  <si>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</si>
  <si>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</si>
  <si>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</si>
  <si>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</si>
  <si>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</si>
  <si>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</si>
  <si>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</si>
  <si>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</si>
  <si>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</si>
  <si>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</si>
  <si>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</si>
  <si>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</si>
  <si>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</si>
  <si>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</si>
  <si>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</si>
  <si>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</si>
  <si>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</si>
  <si>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</si>
  <si>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</si>
  <si>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</si>
  <si>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</si>
  <si>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</si>
  <si>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</si>
  <si>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</si>
  <si>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</si>
  <si>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</si>
  <si>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</si>
  <si>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</si>
  <si>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</si>
  <si>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</si>
  <si>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</si>
  <si>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</si>
  <si>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</si>
  <si>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</si>
  <si>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</si>
  <si>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</si>
  <si>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</si>
  <si>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Severn Trent Water - Ladybower</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</si>
  <si>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</si>
  <si>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</si>
  <si>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</si>
  <si>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</si>
  <si>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</si>
  <si>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</si>
  <si>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</si>
  <si>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</si>
  <si>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</si>
  <si>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</si>
  <si>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</si>
  <si>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</si>
  <si>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</si>
  <si>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</si>
  <si>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</si>
  <si>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</si>
  <si>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</si>
  <si>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</si>
  <si>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</si>
  <si>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</si>
  <si>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</si>
  <si>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</si>
  <si>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</si>
  <si>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</si>
  <si>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</si>
  <si>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</si>
  <si>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</si>
  <si>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</si>
  <si>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</si>
  <si>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</si>
  <si>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</si>
  <si>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</si>
  <si>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</si>
  <si>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</si>
  <si>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</si>
  <si>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</si>
  <si>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</si>
  <si>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</si>
  <si>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</si>
  <si>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</si>
  <si>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</si>
  <si>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</si>
  <si>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</si>
  <si>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</si>
  <si>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</si>
  <si>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</si>
  <si>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</si>
  <si>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</si>
  <si>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</si>
  <si>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</si>
  <si>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</si>
  <si>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</si>
  <si>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</si>
  <si>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</si>
  <si>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</si>
  <si>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</si>
  <si>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</si>
  <si>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</si>
  <si>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</si>
  <si>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</si>
  <si>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</si>
  <si>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</si>
  <si>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</si>
  <si>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</si>
  <si>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</si>
  <si>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£7.4m 5.5% fixed rate bond - repayable 2027</t>
  </si>
  <si>
    <t>Yorkshire Water Services Finance Ltd</t>
  </si>
  <si>
    <t>Bond</t>
  </si>
  <si>
    <t>Bullet</t>
  </si>
  <si>
    <t>XS0302074678</t>
  </si>
  <si>
    <t>Senior</t>
  </si>
  <si>
    <t>A-/Baa2/BBB+</t>
  </si>
  <si>
    <t>GBP</t>
  </si>
  <si>
    <t>99.664</t>
  </si>
  <si>
    <t/>
  </si>
  <si>
    <t>4B.1</t>
  </si>
  <si>
    <t>£135.476m 6.454% fixed rate bond - repayable 2027</t>
  </si>
  <si>
    <t>Yorkshire Water Finance Plc</t>
  </si>
  <si>
    <t>XS0439817734</t>
  </si>
  <si>
    <t>A-/Baa2/A-</t>
  </si>
  <si>
    <t>4B.2</t>
  </si>
  <si>
    <t>£254.974m 6.6011% fixed rate bond - repayable 2031</t>
  </si>
  <si>
    <t>XS0439817577</t>
  </si>
  <si>
    <t>4B.3</t>
  </si>
  <si>
    <t>£200m 5.5% fixed rate bond - repayable 2037</t>
  </si>
  <si>
    <t>XS0302054050</t>
  </si>
  <si>
    <t>AA/A1/A-</t>
  </si>
  <si>
    <t>4B.4</t>
  </si>
  <si>
    <t xml:space="preserve">£200m 6.375% fixed rate bond - repayable 2039 </t>
  </si>
  <si>
    <t>XS0439818039</t>
  </si>
  <si>
    <t>98.761</t>
  </si>
  <si>
    <t>4B.5</t>
  </si>
  <si>
    <t>£100m 6.375% fixed rate bond (TAP) - repayable 2039</t>
  </si>
  <si>
    <t>110.293</t>
  </si>
  <si>
    <t>4B.6</t>
  </si>
  <si>
    <t>USPP Aug 2016 Series A</t>
  </si>
  <si>
    <t>Private placement</t>
  </si>
  <si>
    <t>G9851 AB0</t>
  </si>
  <si>
    <t>N/A</t>
  </si>
  <si>
    <t>4B.7</t>
  </si>
  <si>
    <t>USPP Aug 2016 Series B</t>
  </si>
  <si>
    <t>G9851 AC8</t>
  </si>
  <si>
    <t>4B.8</t>
  </si>
  <si>
    <t>USPP Aug 2016 Series C</t>
  </si>
  <si>
    <t>G9851 AD6</t>
  </si>
  <si>
    <t>4B.9</t>
  </si>
  <si>
    <t>USPP Aug 2016 Series D</t>
  </si>
  <si>
    <t>G9851 AE4</t>
  </si>
  <si>
    <t>4B.10</t>
  </si>
  <si>
    <t>USPP Aug 2016 Series E</t>
  </si>
  <si>
    <t>G9851 AF1</t>
  </si>
  <si>
    <t>4B.11</t>
  </si>
  <si>
    <t>£50m 2.881% fixed rate debt - repayable 2031</t>
  </si>
  <si>
    <t>Loan (non-EIB)</t>
  </si>
  <si>
    <t>A-/-/-</t>
  </si>
  <si>
    <t>4B.12</t>
  </si>
  <si>
    <t xml:space="preserve">£50m 3.080% fixed rate debt - repayable 2034 </t>
  </si>
  <si>
    <t>G9851# AA8</t>
  </si>
  <si>
    <t>4B.13</t>
  </si>
  <si>
    <t>£50m 3.170% fixed rate debt - repayable 2038</t>
  </si>
  <si>
    <t>G9851# AB6</t>
  </si>
  <si>
    <t>4B.14</t>
  </si>
  <si>
    <t>£350m 2.750% fixed rate bond - repayable 2041</t>
  </si>
  <si>
    <t>XS1984257029</t>
  </si>
  <si>
    <t>97.912</t>
  </si>
  <si>
    <t>4B.15</t>
  </si>
  <si>
    <t>£100m tap of £350m 2.750% fixed rate bond - repayable 2041</t>
  </si>
  <si>
    <t>104.807</t>
  </si>
  <si>
    <t>4B.16</t>
  </si>
  <si>
    <t>£300m 1.750% fixed rate bond - repayable 2026</t>
  </si>
  <si>
    <t>XS2084420582</t>
  </si>
  <si>
    <t>99.904</t>
  </si>
  <si>
    <t>4B.17</t>
  </si>
  <si>
    <t>£350m 1.750% fixed rate bond - repayable 2032</t>
  </si>
  <si>
    <t>XS2333224314</t>
  </si>
  <si>
    <t>98.869</t>
  </si>
  <si>
    <t>4B.18</t>
  </si>
  <si>
    <t>£250m 5.25% fixed rate bond - repayable 2030</t>
  </si>
  <si>
    <t>XS2591021113</t>
  </si>
  <si>
    <t>4B.19</t>
  </si>
  <si>
    <t>£250m 5.5% fixed rate bond - repayable 2035</t>
  </si>
  <si>
    <t>XS2591021972</t>
  </si>
  <si>
    <t>4B.20</t>
  </si>
  <si>
    <t>Floating to Fixed Swap Payable 2030</t>
  </si>
  <si>
    <t>Swap - paying leg</t>
  </si>
  <si>
    <t>27/03/2000</t>
  </si>
  <si>
    <t>D</t>
  </si>
  <si>
    <t>Legacy Floating to Fixed Swap not part of a designated hedging agreement - fixed leg payable.</t>
  </si>
  <si>
    <t>4B.21</t>
  </si>
  <si>
    <t>Floating to Fixed Swap Payable 2032</t>
  </si>
  <si>
    <t>03/04/2000</t>
  </si>
  <si>
    <t>4B.22</t>
  </si>
  <si>
    <t>Index Linked Swaps (receives fixed restructure 1)</t>
  </si>
  <si>
    <t>Swap - receiving leg</t>
  </si>
  <si>
    <t>Super-senior</t>
  </si>
  <si>
    <t>22/06/2017</t>
  </si>
  <si>
    <t>A</t>
  </si>
  <si>
    <t>Consolidated amended terms for index linked swaps (fixed margins). Fair value included in that of underlying instrument.</t>
  </si>
  <si>
    <t>4B.23</t>
  </si>
  <si>
    <t>Index Linked Swaps (receives fixed restructure 2)</t>
  </si>
  <si>
    <t>24/08/2020</t>
  </si>
  <si>
    <t>4B.24</t>
  </si>
  <si>
    <t>Index Linked Swaps (receives fixed restructure 3)</t>
  </si>
  <si>
    <t>19/12/2017</t>
  </si>
  <si>
    <t>4B.25</t>
  </si>
  <si>
    <t>Index Linked Swaps (restructure 4)</t>
  </si>
  <si>
    <t>07/07/2020</t>
  </si>
  <si>
    <t>4B.26</t>
  </si>
  <si>
    <t>Index Linked Swaps (receives fixed restructure 5)</t>
  </si>
  <si>
    <t>02/07/2018</t>
  </si>
  <si>
    <t>Consolidated amended terms for index linked swaps. Receive margin increases to 6.98% from 21/02/2025, then 8.59% from 21/02/2029. Fair value included in that of underlying instrument.</t>
  </si>
  <si>
    <t>4B.27</t>
  </si>
  <si>
    <t>Index Linked Swaps (receives fixed restructure 6)</t>
  </si>
  <si>
    <t>01/03/2023</t>
  </si>
  <si>
    <t>4B.28</t>
  </si>
  <si>
    <t>Index Linked Swaps (receives fixed restructure 7)</t>
  </si>
  <si>
    <t>4B.29</t>
  </si>
  <si>
    <t>£250m 3.625% fixed rate bond swapped to floating - repayable 2029</t>
  </si>
  <si>
    <t>XS0810290832</t>
  </si>
  <si>
    <t>01/08/2012</t>
  </si>
  <si>
    <t>99.197</t>
  </si>
  <si>
    <t>Bond debt. Part of a designated hedging agreement.</t>
  </si>
  <si>
    <t>4B.30</t>
  </si>
  <si>
    <t>£90m 3.54% fixed rate note swapped to floating - repayable 2029</t>
  </si>
  <si>
    <t>G9851 AA2</t>
  </si>
  <si>
    <t>30/10/2014</t>
  </si>
  <si>
    <t>Private placement debt. Part of a designated hedging agreement.</t>
  </si>
  <si>
    <t>4B.31</t>
  </si>
  <si>
    <t>£90m 4.965% fixed rate bond swapped to floating - repayable 2033 (Class B)</t>
  </si>
  <si>
    <t>XS0939006770</t>
  </si>
  <si>
    <t>Junior/Subordinated</t>
  </si>
  <si>
    <t>BBB/Ba1/BBB-</t>
  </si>
  <si>
    <t>12/06/2013</t>
  </si>
  <si>
    <t>4B.32</t>
  </si>
  <si>
    <t>£250m 3.625% fixed rate bond swapped to floating - repayable 2029 - swap</t>
  </si>
  <si>
    <t>Fixed to Floating swap. Part of a designated hedging agreement - fixed leg receivable.</t>
  </si>
  <si>
    <t>4B.33</t>
  </si>
  <si>
    <t>£90m 3.54% fixed rate note swapped to floating - repayable 2029 - swap</t>
  </si>
  <si>
    <t>4B.34</t>
  </si>
  <si>
    <t>£90m 4.965% fixed rate bond swapped to floating - repayable 2033 (Class B) - swap</t>
  </si>
  <si>
    <t>4B.35</t>
  </si>
  <si>
    <t>IFRS 16 Lease Liabilities</t>
  </si>
  <si>
    <t>IFRS 16 Lease Liabilities.</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</si>
  <si>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</si>
  <si>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</si>
  <si>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</si>
  <si>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</si>
  <si>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</si>
  <si>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</si>
  <si>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</si>
  <si>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</si>
  <si>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</si>
  <si>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</si>
  <si>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</si>
  <si>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</si>
  <si>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</si>
  <si>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</si>
  <si>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</si>
  <si>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</si>
  <si>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</si>
  <si>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</si>
  <si>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</si>
  <si>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</si>
  <si>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</si>
  <si>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</si>
  <si>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</si>
  <si>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</si>
  <si>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</si>
  <si>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</si>
  <si>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</si>
  <si>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</si>
  <si>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</si>
  <si>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</si>
  <si>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</si>
  <si>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</si>
  <si>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</si>
  <si>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</si>
  <si>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</si>
  <si>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</si>
  <si>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</si>
  <si>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</si>
  <si>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</si>
  <si>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</si>
  <si>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</si>
  <si>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</si>
  <si>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</si>
  <si>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</si>
  <si>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</si>
  <si>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</si>
  <si>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</si>
  <si>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</si>
  <si>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</si>
  <si>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</si>
  <si>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</si>
  <si>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</si>
  <si>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</si>
  <si>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</si>
  <si>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</si>
  <si>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</si>
  <si>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</si>
  <si>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</si>
  <si>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</si>
  <si>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</si>
  <si>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</si>
  <si>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</si>
  <si>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</si>
  <si>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</si>
  <si>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</si>
  <si>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</si>
  <si>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</si>
  <si>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</si>
  <si>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</si>
  <si>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</si>
  <si>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</si>
  <si>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</si>
  <si>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</si>
  <si>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</si>
  <si>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</si>
  <si>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</si>
  <si>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</si>
  <si>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</si>
  <si>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</si>
  <si>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</si>
  <si>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</si>
  <si>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</si>
  <si>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</si>
  <si>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</si>
  <si>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</si>
  <si>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</si>
  <si>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</si>
  <si>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</si>
  <si>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</si>
  <si>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</si>
  <si>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</si>
  <si>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</si>
  <si>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</si>
  <si>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</si>
  <si>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</si>
  <si>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</si>
  <si>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</si>
  <si>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</si>
  <si>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</si>
  <si>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</si>
  <si>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</si>
  <si>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</si>
  <si>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</si>
  <si>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</si>
  <si>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</si>
  <si>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</si>
  <si>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</si>
  <si>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</si>
  <si>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</si>
  <si>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</si>
  <si>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</si>
  <si>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</si>
  <si>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</si>
  <si>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</si>
  <si>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</si>
  <si>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</si>
  <si>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</si>
  <si>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</si>
  <si>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USPP with Cross Currency Swaps - CP3 2023</t>
  </si>
  <si>
    <t>G9850 @ AC7</t>
  </si>
  <si>
    <t>13/12/2011</t>
  </si>
  <si>
    <t>13/12/2023</t>
  </si>
  <si>
    <t>SONIA compounded for 6 months</t>
  </si>
  <si>
    <t>USPP Note debt with cross currency swap in designated hedge relationship.</t>
  </si>
  <si>
    <t>4B.202</t>
  </si>
  <si>
    <t>USPP with Cross Currency Swaps - CP4 2023</t>
  </si>
  <si>
    <t>USPP Note debt with cross currency swap in designated hedge relationship. Consolidated fair value of debt shown in row above.</t>
  </si>
  <si>
    <t>4B.203</t>
  </si>
  <si>
    <t>USPP Note debt with cross currency swap in designated hedge relationship. Consolidated fair value of debt shown two rows above.</t>
  </si>
  <si>
    <t>4B.204</t>
  </si>
  <si>
    <t>USPP with Cross Currency Swaps - CP4 2024</t>
  </si>
  <si>
    <t>G9850@ AF0</t>
  </si>
  <si>
    <t>05/01/2012</t>
  </si>
  <si>
    <t>05/01/2024</t>
  </si>
  <si>
    <t>4B.205</t>
  </si>
  <si>
    <t>4B.206</t>
  </si>
  <si>
    <t>AUD Bond with Cross Currency Swap - 2023</t>
  </si>
  <si>
    <t>XS0923597354</t>
  </si>
  <si>
    <t>26/04/2013</t>
  </si>
  <si>
    <t>Bond debt with cross currency swap in designated hedge relationship.</t>
  </si>
  <si>
    <t>4B.207</t>
  </si>
  <si>
    <t>Fixed to Floating swap. Part of a designated hedging agreement - floating leg payable.</t>
  </si>
  <si>
    <t>4B.208</t>
  </si>
  <si>
    <t>31/10/2014</t>
  </si>
  <si>
    <t>4B.209</t>
  </si>
  <si>
    <t>4B.210</t>
  </si>
  <si>
    <t>£75m 6m SONIA+CAS+2.200% - repayable 2037 (Class B) Bank Debt</t>
  </si>
  <si>
    <t>16/03/2016</t>
  </si>
  <si>
    <t>Bank Debt.</t>
  </si>
  <si>
    <t>4B.211</t>
  </si>
  <si>
    <t>Revolving Credit Facility</t>
  </si>
  <si>
    <t>RCF</t>
  </si>
  <si>
    <t>Revolving</t>
  </si>
  <si>
    <t>29/11/2022</t>
  </si>
  <si>
    <t>SONIA compounded for interest period</t>
  </si>
  <si>
    <t>£480m RCF with option to extend for a further year at each of first and second anniversaries of issue. Ability to upsize by up to £180m if appropriate. Utilisation fee 0.0%, 0.15%, 0.30% depending on utilisation. Margin and commitment fee depends on credit ratings.</t>
  </si>
  <si>
    <t>4B.212</t>
  </si>
  <si>
    <t>Liquidity Facility 1</t>
  </si>
  <si>
    <t>Liquidity facility</t>
  </si>
  <si>
    <t>25/03/2022</t>
  </si>
  <si>
    <t>Undrawn O&amp;M Liquidity Facility, margin depends on credit ratings and tenor of drawings.</t>
  </si>
  <si>
    <t>4B.213</t>
  </si>
  <si>
    <t>Liquidity Guarantee</t>
  </si>
  <si>
    <t>Yorkshire Water Services Ltd/Yorkshire Water Services Finanace Ltd/Yorkshire Water Finance Plc</t>
  </si>
  <si>
    <t>BBR</t>
  </si>
  <si>
    <t>Undrawn 5 year evergreen DSR liquidity facility.</t>
  </si>
  <si>
    <t>4B.214</t>
  </si>
  <si>
    <t>Finance Lease 2043</t>
  </si>
  <si>
    <t>Finance lease</t>
  </si>
  <si>
    <t>Amortising</t>
  </si>
  <si>
    <t>31/03/2008</t>
  </si>
  <si>
    <t>Finance Lease - Amortising.</t>
  </si>
  <si>
    <t>4B.215</t>
  </si>
  <si>
    <t>Floating to Fixed Swap Receivable 2030</t>
  </si>
  <si>
    <t>SONIA compounded for 12 months</t>
  </si>
  <si>
    <t>Legacy Floating to Fixed Swap not part of a designated hedging agreement - floating leg receivable.</t>
  </si>
  <si>
    <t>4B.216</t>
  </si>
  <si>
    <t>Floating to Fixed Swap Receivable 2032</t>
  </si>
  <si>
    <t>4B.217</t>
  </si>
  <si>
    <t>Index Linked Swap (Pays RPI receives Floating) 1</t>
  </si>
  <si>
    <t>21/02/2008</t>
  </si>
  <si>
    <t>Index linked swap not part of a designated hedging agreement. YWS has open-ended American style early maturity option.</t>
  </si>
  <si>
    <t>4B.218</t>
  </si>
  <si>
    <t>Index Linked Swap (Pays RPI receives Floating) 2</t>
  </si>
  <si>
    <t>4B.219</t>
  </si>
  <si>
    <t>Index Linked Swap (Pays RPI receives Floating) 3</t>
  </si>
  <si>
    <t>4B.220</t>
  </si>
  <si>
    <t>Index Linked Swap (Pays RPI receives Floating) 4</t>
  </si>
  <si>
    <t>4B.221</t>
  </si>
  <si>
    <t>Index Linked Swap (Pays RPI receives Floating) 5</t>
  </si>
  <si>
    <t>4B.222</t>
  </si>
  <si>
    <t>Index Linked Swap (Pays RPI receives Floating) 6</t>
  </si>
  <si>
    <t>C</t>
  </si>
  <si>
    <t>Index linked swap not part of a designated hedging agreement.</t>
  </si>
  <si>
    <t>4B.223</t>
  </si>
  <si>
    <t>Index Linked Swap (Pays RPI receives Floating) 7</t>
  </si>
  <si>
    <t>4B.224</t>
  </si>
  <si>
    <t>Index Linked Swap (Pays RPI receives Floating) 8</t>
  </si>
  <si>
    <t>4B.225</t>
  </si>
  <si>
    <t>Index Linked Swap (Pays RPI receives Floating) 9</t>
  </si>
  <si>
    <t>4B.226</t>
  </si>
  <si>
    <t>Index Linked Swap (Pays RPI receives Floating) 10</t>
  </si>
  <si>
    <t>4B.227</t>
  </si>
  <si>
    <t>Index Linked Swap (Pays RPI receives Floating) 11</t>
  </si>
  <si>
    <t>4B.228</t>
  </si>
  <si>
    <t>Index Linked Swap (Pays RPI receives Floating) 12</t>
  </si>
  <si>
    <t>4B.229</t>
  </si>
  <si>
    <t>Index Linked Swap (Pays RPI receives Floating) 13</t>
  </si>
  <si>
    <t>4B.230</t>
  </si>
  <si>
    <t>Index Linked Swap (Pays RPI receives Floating) 14</t>
  </si>
  <si>
    <t>4B.231</t>
  </si>
  <si>
    <t>Index Linked Swap (Pays RPI receives Floating) 15</t>
  </si>
  <si>
    <t>4B.232</t>
  </si>
  <si>
    <t>Index Linked Swap (Pays RPI receives Floating) 16</t>
  </si>
  <si>
    <t>4B.233</t>
  </si>
  <si>
    <t>Index Linked Swap (Pays RPI receives Floating) 17</t>
  </si>
  <si>
    <t>4B.234</t>
  </si>
  <si>
    <t>Index Linked Swap (Pays RPI receives Floating) 18</t>
  </si>
  <si>
    <t>Index linked swap not part of a designated hedging agreement. Mandatory break date: 21/02/2025. YWS has open-ended American style early maturity option.</t>
  </si>
  <si>
    <t>4B.235</t>
  </si>
  <si>
    <t>Index Linked Swap (Pays RPI receives Floating) 19</t>
  </si>
  <si>
    <t>4B.236</t>
  </si>
  <si>
    <t>Index Linked Swap (Pays RPI receives Floating) 20</t>
  </si>
  <si>
    <t>4B.237</t>
  </si>
  <si>
    <t>Index Linked Swap (Pays RPI receives Floating) 21</t>
  </si>
  <si>
    <t>4B.238</t>
  </si>
  <si>
    <t>Index Linked Swap (Pays RPI receives Floating) 22</t>
  </si>
  <si>
    <t>Index linked swap not part of a designated hedging agreement. Mandatory break date: 21/02/2028. YWS has open-ended American style early maturity option.</t>
  </si>
  <si>
    <t>4B.239</t>
  </si>
  <si>
    <t>Index Linked Swap (Pays RPI receives Floating) 23</t>
  </si>
  <si>
    <t xml:space="preserve">Index linked swap not part of a designated hedging agreement. Mandatory break date: 21/02/2028. YWS has open-ended American style early maturity option. </t>
  </si>
  <si>
    <t>4B.240</t>
  </si>
  <si>
    <t>Index Linked Swap (Pays RPI receives Floating) 24</t>
  </si>
  <si>
    <t>4B.241</t>
  </si>
  <si>
    <t>Index Linked Swap (Pays RPI receives Floating) 25</t>
  </si>
  <si>
    <t>4B.242</t>
  </si>
  <si>
    <t>Index Linked Swap (Pays RPI receives Floating) 26</t>
  </si>
  <si>
    <t>4B.243</t>
  </si>
  <si>
    <t>Index Linked Swap (Pays RPI receives Floating) 27</t>
  </si>
  <si>
    <t>4B.244</t>
  </si>
  <si>
    <t>Index Linked Swap (Pays RPI receives Floating) 28</t>
  </si>
  <si>
    <t>4B.245</t>
  </si>
  <si>
    <t>Index Linked Swap (Pays RPI receives Floating) 29</t>
  </si>
  <si>
    <t>4B.246</t>
  </si>
  <si>
    <t>Index Linked Swap (Pays RPI receives Floating) 30</t>
  </si>
  <si>
    <t>4B.247</t>
  </si>
  <si>
    <t>Index Linked Swap (Pays RPI receives Floating) 31</t>
  </si>
  <si>
    <t>4B.248</t>
  </si>
  <si>
    <t>Index Linked Swap (Pays RPI receives Floating) 32</t>
  </si>
  <si>
    <t>4B.249</t>
  </si>
  <si>
    <t>Index Linked Swap (Pays RPI receives Floating) 33</t>
  </si>
  <si>
    <t>4B.250</t>
  </si>
  <si>
    <t>Index Linked Swap (Pays RPI receives Floating) 34</t>
  </si>
  <si>
    <t>4B.251</t>
  </si>
  <si>
    <t>Index Linked Swap (Pays RPI receives Floating) 35</t>
  </si>
  <si>
    <t>4B.252</t>
  </si>
  <si>
    <t>Index Linked Swap (Pays RPI receives Floating) 36</t>
  </si>
  <si>
    <t>4B.253</t>
  </si>
  <si>
    <t>Index Linked Swap (Pays RPI receives Floating) 37</t>
  </si>
  <si>
    <t>4B.254</t>
  </si>
  <si>
    <t>Index Linked Swap (Pays RPI receives Floating) 38</t>
  </si>
  <si>
    <t>4B.255</t>
  </si>
  <si>
    <t>Index Linked Swap (Pays RPI receives Floating) 39</t>
  </si>
  <si>
    <t>4B.256</t>
  </si>
  <si>
    <t>Index Linked Swap (Pays RPI receives Floating) 40</t>
  </si>
  <si>
    <t>Index linked swap not part of a designated hedging agreement. Mandatory break date: 21/08/2030.</t>
  </si>
  <si>
    <t>4B.257</t>
  </si>
  <si>
    <t>Index Linked Swap (Pays RPI receives Floating) 41</t>
  </si>
  <si>
    <t>4B.258</t>
  </si>
  <si>
    <t>Index Linked Swap (Pays RPI receives Floating) 42</t>
  </si>
  <si>
    <t>4B.259</t>
  </si>
  <si>
    <t>Index Linked Swap (Pays RPI receives Floating) 43</t>
  </si>
  <si>
    <t>4B.260</t>
  </si>
  <si>
    <t>Index Linked Swap (Pays RPI receives Floating) 44</t>
  </si>
  <si>
    <t>4B.261</t>
  </si>
  <si>
    <t>Index Linked Swap (Pays RPI receives Floating) 45</t>
  </si>
  <si>
    <t>4B.262</t>
  </si>
  <si>
    <t>Index Linked Swap (Pays RPI receives Floating) 46</t>
  </si>
  <si>
    <t>4B.263</t>
  </si>
  <si>
    <t>Index Linked Swap (Pays RPI receives Floating) 47</t>
  </si>
  <si>
    <t>4B.264</t>
  </si>
  <si>
    <t>Index Linked Swap (Pays RPI receives Floating) 48</t>
  </si>
  <si>
    <t>4B.265</t>
  </si>
  <si>
    <t>Index Linked Swap (Pays RPI receives Floating) 49</t>
  </si>
  <si>
    <t>4B.266</t>
  </si>
  <si>
    <t>Index Linked Swap (Pays RPI receives Floating) 50</t>
  </si>
  <si>
    <t>4B.267</t>
  </si>
  <si>
    <t>Index Linked Swap (Pays RPI receives Floating) 51</t>
  </si>
  <si>
    <t>4B.268</t>
  </si>
  <si>
    <t>Index Linked Swap (Pays RPI receives Floating) 52</t>
  </si>
  <si>
    <t>4B.269</t>
  </si>
  <si>
    <t>Index Linked Swap (Pays RPI receives Floating) 53</t>
  </si>
  <si>
    <t>4B.270</t>
  </si>
  <si>
    <t>Index Linked Swap (Pays RPI receives Floating) 54</t>
  </si>
  <si>
    <t>4B.271</t>
  </si>
  <si>
    <t>Index Linked Swap (Pays RPI receives Floating) 55</t>
  </si>
  <si>
    <t>Index linked swap not part of a designated hedging arrangement. YWS has partial open-ended American style early maturity option.</t>
  </si>
  <si>
    <t>4B.272</t>
  </si>
  <si>
    <t>Index Linked Swap (Pays RPI receives Floating) 56</t>
  </si>
  <si>
    <t>Index linked swap not part of a designated hedging agreement. YWS has partial open-ended American style early maturity option.</t>
  </si>
  <si>
    <t>4B.273</t>
  </si>
  <si>
    <t>Index Linked Swap (Pays RPI receives Floating) 57</t>
  </si>
  <si>
    <t>4B.274</t>
  </si>
  <si>
    <t>Index Linked Swap (Pays RPI receives Floating) 58</t>
  </si>
  <si>
    <t>4B.275</t>
  </si>
  <si>
    <t>Index Linked Swap (Pays RPI receives Floating) 59</t>
  </si>
  <si>
    <t>4B.276</t>
  </si>
  <si>
    <t>Index Linked Swap (Pays RPI receives Floating) 60</t>
  </si>
  <si>
    <t>4B.277</t>
  </si>
  <si>
    <t>Index Linked Swap (Pays RPI receives Floating) 61</t>
  </si>
  <si>
    <t>Index linked swap not part of a designated hedging agreement. Mandatory break date: 21/02/2033. YWS has open-ended American style early maturity option.</t>
  </si>
  <si>
    <t>4B.278</t>
  </si>
  <si>
    <t>Index Linked Swap (Pays RPI receives Floating) 62</t>
  </si>
  <si>
    <t>4B.279</t>
  </si>
  <si>
    <t>Index Linked Swap (Pays RPI receives Floating) 63</t>
  </si>
  <si>
    <t>4B.280</t>
  </si>
  <si>
    <t>Index Linked Swap (Pays RPI receives Floating) 64</t>
  </si>
  <si>
    <t>4B.281</t>
  </si>
  <si>
    <t>Index Linked Swap (Pays RPI receives Floating) 65</t>
  </si>
  <si>
    <t>4B.282</t>
  </si>
  <si>
    <t>Index Linked Swap (Pays RPI receives Floating) 66</t>
  </si>
  <si>
    <t>4B.283</t>
  </si>
  <si>
    <t>Index Linked Swap (Pays RPI receives Floating) 67</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</si>
  <si>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</si>
  <si>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</si>
  <si>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</si>
  <si>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</si>
  <si>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</si>
  <si>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</si>
  <si>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</si>
  <si>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</si>
  <si>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</si>
  <si>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</si>
  <si>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</si>
  <si>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</si>
  <si>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</si>
  <si>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</si>
  <si>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</si>
  <si>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</si>
  <si>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</si>
  <si>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</si>
  <si>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</si>
  <si>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</si>
  <si>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</si>
  <si>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</si>
  <si>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</si>
  <si>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</si>
  <si>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</si>
  <si>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</si>
  <si>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</si>
  <si>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</si>
  <si>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</si>
  <si>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</si>
  <si>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</si>
  <si>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</si>
  <si>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</si>
  <si>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</si>
  <si>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</si>
  <si>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</si>
  <si>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</si>
  <si>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</si>
  <si>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</si>
  <si>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</si>
  <si>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</si>
  <si>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</si>
  <si>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</si>
  <si>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</si>
  <si>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</si>
  <si>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</si>
  <si>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</si>
  <si>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</si>
  <si>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</si>
  <si>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</si>
  <si>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</si>
  <si>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</si>
  <si>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</si>
  <si>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</si>
  <si>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</si>
  <si>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</si>
  <si>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</si>
  <si>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</si>
  <si>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</si>
  <si>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</si>
  <si>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</si>
  <si>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</si>
  <si>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</si>
  <si>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</si>
  <si>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</si>
  <si>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</si>
  <si>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</si>
  <si>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</si>
  <si>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</si>
  <si>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</si>
  <si>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</si>
  <si>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</si>
  <si>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</si>
  <si>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</si>
  <si>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</si>
  <si>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</si>
  <si>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</si>
  <si>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</si>
  <si>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Index linked swap not part of a designated hedging agreement. YWS has open-ended American style early maturity option. PAYG accretion payments every 5 years (next::21/08/2026) until maturity.</t>
  </si>
  <si>
    <t>4B.410</t>
  </si>
  <si>
    <t>Index linked swap not part of a designated hedging agreement. YWS has open-ended American style early maturity option. PAYG accretion payments every 5 years (next: 21/08/2026) until maturity.</t>
  </si>
  <si>
    <t>4B.411</t>
  </si>
  <si>
    <t>4B.412</t>
  </si>
  <si>
    <t>4B.413</t>
  </si>
  <si>
    <t>4B.414</t>
  </si>
  <si>
    <t>4B.415</t>
  </si>
  <si>
    <t>4B.416</t>
  </si>
  <si>
    <t>Index linked swap not part of a designated hedging agreement. PAYG accretion payments every 5 years (next: 21/08/2026).</t>
  </si>
  <si>
    <t>4B.417</t>
  </si>
  <si>
    <t>4B.418</t>
  </si>
  <si>
    <t>4B.419</t>
  </si>
  <si>
    <t>4B.420</t>
  </si>
  <si>
    <t>4B.421</t>
  </si>
  <si>
    <t>4B.422</t>
  </si>
  <si>
    <t>4B.423</t>
  </si>
  <si>
    <t>4B.424</t>
  </si>
  <si>
    <t>4B.425</t>
  </si>
  <si>
    <t>4B.426</t>
  </si>
  <si>
    <t>Index linked swap not part of a designated hedging agreement. Mandatory break date: 21/02/2028. YWS has open-ended American style early maturity option. PAYG accretion payments every 5 years (next: 21/08/2026) until maturity.</t>
  </si>
  <si>
    <t>4B.427</t>
  </si>
  <si>
    <t>4B.428</t>
  </si>
  <si>
    <t>4B.429</t>
  </si>
  <si>
    <t>4B.430</t>
  </si>
  <si>
    <t>4B.431</t>
  </si>
  <si>
    <t>4B.432</t>
  </si>
  <si>
    <t>4B.433</t>
  </si>
  <si>
    <t>4B.434</t>
  </si>
  <si>
    <t>4B.435</t>
  </si>
  <si>
    <t>4B.436</t>
  </si>
  <si>
    <t>4B.437</t>
  </si>
  <si>
    <t>4B.438</t>
  </si>
  <si>
    <t>4B.439</t>
  </si>
  <si>
    <t>4B.440</t>
  </si>
  <si>
    <t>Index linked swap not part of a designated hedging agreement. YWS has partial open-ended American style early maturity option. PAYG accretion payments every 5 years (next: 21/08/2026) until maturity.</t>
  </si>
  <si>
    <t>4B.441</t>
  </si>
  <si>
    <t>4B.442</t>
  </si>
  <si>
    <t>4B.443</t>
  </si>
  <si>
    <t>4B.444</t>
  </si>
  <si>
    <t>4B.445</t>
  </si>
  <si>
    <t>4B.446</t>
  </si>
  <si>
    <t>4B.447</t>
  </si>
  <si>
    <t>4B.448</t>
  </si>
  <si>
    <t>4B.449</t>
  </si>
  <si>
    <t>4B.450</t>
  </si>
  <si>
    <t>4B.451</t>
  </si>
  <si>
    <t>4B.452</t>
  </si>
  <si>
    <t>4B.453</t>
  </si>
  <si>
    <t>4B.454</t>
  </si>
  <si>
    <t>4B.455</t>
  </si>
  <si>
    <t>4B.456</t>
  </si>
  <si>
    <t>Index linked swap not part of a designated hedging arrangement. YWS has partial open-ended American style early maturity option. Interim accretion payment on 21/02/2029.</t>
  </si>
  <si>
    <t>4B.457</t>
  </si>
  <si>
    <t>Index linked swap not part of a designated hedging agreement. YWS has partial open-ended American style early maturity option. Interim accretion payment on 21/02/2034.</t>
  </si>
  <si>
    <t>4B.458</t>
  </si>
  <si>
    <t>4B.459</t>
  </si>
  <si>
    <t>4B.460</t>
  </si>
  <si>
    <t>Index linked swap not part of a designated hedging agreement. Mandatory break date: 21/02/2028. YWS has partial open-ended American style early maturity option.</t>
  </si>
  <si>
    <t>4B.461</t>
  </si>
  <si>
    <t>4B.462</t>
  </si>
  <si>
    <t>Index linked swap not part of a designated hedging agreement. Mandatory break date: 21/02/2033. YWS has partial open-ended American style early maturity option. PAYG accretion payments every 5 years (next: 21/08/2026) until maturity.</t>
  </si>
  <si>
    <t>4B.463</t>
  </si>
  <si>
    <t>4B.464</t>
  </si>
  <si>
    <t>4B.465</t>
  </si>
  <si>
    <t>4B.466</t>
  </si>
  <si>
    <t>Index linked swap not part of a designated hedging agreement. Mandatory break date: 21/02/2033. YWS has partial open-ended American style early maturity option. Interim accretion payment on 21/02/2033.</t>
  </si>
  <si>
    <t>4B.467</t>
  </si>
  <si>
    <t>4B.468</t>
  </si>
  <si>
    <t>4B.469</t>
  </si>
  <si>
    <t>£127.811m 3.30666% IL bond - repayable 2033</t>
  </si>
  <si>
    <t>XS0439817817</t>
  </si>
  <si>
    <t>127.811</t>
  </si>
  <si>
    <t>4B.470</t>
  </si>
  <si>
    <t xml:space="preserve">£175m 2.718% IL bond - repayable 2039 </t>
  </si>
  <si>
    <t>XS0440541752</t>
  </si>
  <si>
    <t>4B.471</t>
  </si>
  <si>
    <t xml:space="preserve">£85m 2.718% IL bond - repayable 2039 </t>
  </si>
  <si>
    <t>4B.472</t>
  </si>
  <si>
    <t>£50m 2.160% IL note - repayable 2041</t>
  </si>
  <si>
    <t>4B.473</t>
  </si>
  <si>
    <t>£50m (Amortising) @1.8030% - repayable 2042</t>
  </si>
  <si>
    <t>XS0785387670</t>
  </si>
  <si>
    <t>4B.474</t>
  </si>
  <si>
    <t>£65m 1.8225% IL bond - repayable 2050</t>
  </si>
  <si>
    <t>XS0304850927</t>
  </si>
  <si>
    <t>4B.475</t>
  </si>
  <si>
    <t>£125m 1.4620% IL bond - repayable 2051</t>
  </si>
  <si>
    <t>XS0275930203</t>
  </si>
  <si>
    <t>4B.476</t>
  </si>
  <si>
    <t>£85m 1.75756% IL bond - repayable 2054</t>
  </si>
  <si>
    <t>XS0302790000</t>
  </si>
  <si>
    <t>4B.477</t>
  </si>
  <si>
    <t>£125m 1.460% IL bond - repayable 2056</t>
  </si>
  <si>
    <t>XS0275222114</t>
  </si>
  <si>
    <t>4B.478</t>
  </si>
  <si>
    <t>£100m 1.7085% IL bond - repayable 2058</t>
  </si>
  <si>
    <t>XS0305261553</t>
  </si>
  <si>
    <t>4B.479</t>
  </si>
  <si>
    <t>£25m @1.3560% - repayable 2029</t>
  </si>
  <si>
    <t>4B.480</t>
  </si>
  <si>
    <t>£25m @1.3780% - repayable 2034</t>
  </si>
  <si>
    <t>4B.481</t>
  </si>
  <si>
    <t>£75m @1.4180% - repayable 2037</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</si>
  <si>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</si>
  <si>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</si>
  <si>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</si>
  <si>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</si>
  <si>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</si>
  <si>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</si>
  <si>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</si>
  <si>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</si>
  <si>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</si>
  <si>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</si>
  <si>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</si>
  <si>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</si>
  <si>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</si>
  <si>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</si>
  <si>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</si>
  <si>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</si>
  <si>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</si>
  <si>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</si>
  <si>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</si>
  <si>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</si>
  <si>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</si>
  <si>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</si>
  <si>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</si>
  <si>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</si>
  <si>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</si>
  <si>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</si>
  <si>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</si>
  <si>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</si>
  <si>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</si>
  <si>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</si>
  <si>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</si>
  <si>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</si>
  <si>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</si>
  <si>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</si>
  <si>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</si>
  <si>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</si>
  <si>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</si>
  <si>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</si>
  <si>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</si>
  <si>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</si>
  <si>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</si>
  <si>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</si>
  <si>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</si>
  <si>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</si>
  <si>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</si>
  <si>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</si>
  <si>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</si>
  <si>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</si>
  <si>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</si>
  <si>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</si>
  <si>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</si>
  <si>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</si>
  <si>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</si>
  <si>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</si>
  <si>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</si>
  <si>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</si>
  <si>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</si>
  <si>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</si>
  <si>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</si>
  <si>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</si>
  <si>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</si>
  <si>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</si>
  <si>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</si>
  <si>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</si>
  <si>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</si>
  <si>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</si>
  <si>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</si>
  <si>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</si>
  <si>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</si>
  <si>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</si>
  <si>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</si>
  <si>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</si>
  <si>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</si>
  <si>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</si>
  <si>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£25m 2.881% IL (CPI) - repayable 2031</t>
  </si>
  <si>
    <t>4B.604</t>
  </si>
  <si>
    <t>£100m 0.4745% IL (CPI) - repayable 2029</t>
  </si>
  <si>
    <t>4B.605</t>
  </si>
  <si>
    <t>£100m 0.695% IL (CPI) - repayable 2032</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</si>
  <si>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</si>
  <si>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</si>
  <si>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</si>
  <si>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</si>
  <si>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</si>
  <si>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</si>
  <si>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</si>
  <si>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</si>
  <si>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</si>
  <si>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</si>
  <si>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</si>
  <si>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</si>
  <si>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</si>
  <si>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</si>
  <si>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</si>
  <si>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</si>
  <si>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</si>
  <si>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</si>
  <si>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</si>
  <si>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</si>
  <si>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</si>
  <si>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</si>
  <si>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</si>
  <si>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</si>
  <si>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</si>
  <si>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</si>
  <si>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</si>
  <si>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</si>
  <si>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</si>
  <si>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</si>
  <si>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</si>
  <si>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</si>
  <si>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</si>
  <si>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</si>
  <si>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</si>
  <si>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</si>
  <si>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</si>
  <si>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</si>
  <si>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</si>
  <si>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</si>
  <si>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</si>
  <si>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</si>
  <si>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</si>
  <si>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</si>
  <si>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</si>
  <si>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</si>
  <si>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</si>
  <si>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</si>
  <si>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</si>
  <si>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</si>
  <si>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</si>
  <si>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</si>
  <si>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</si>
  <si>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</si>
  <si>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</si>
  <si>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</si>
  <si>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</si>
  <si>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</si>
  <si>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</si>
  <si>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</si>
  <si>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</si>
  <si>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</si>
  <si>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</si>
  <si>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</si>
  <si>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</si>
  <si>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</si>
  <si>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</si>
  <si>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</si>
  <si>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</si>
  <si>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</si>
  <si>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</si>
  <si>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</si>
  <si>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</si>
  <si>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</si>
  <si>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</si>
  <si>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</si>
  <si>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</si>
  <si>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</si>
  <si>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</si>
  <si>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</si>
  <si>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</si>
  <si>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</si>
  <si>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</si>
  <si>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</si>
  <si>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</si>
  <si>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</si>
  <si>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</si>
  <si>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</si>
  <si>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</si>
  <si>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</si>
  <si>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</si>
  <si>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</si>
  <si>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</si>
  <si>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</si>
  <si>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</si>
  <si>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</si>
  <si>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</si>
  <si>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</si>
  <si>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</si>
  <si>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</si>
  <si>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</si>
  <si>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</si>
  <si>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</si>
  <si>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</si>
  <si>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</si>
  <si>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</si>
  <si>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</si>
  <si>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</si>
  <si>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</si>
  <si>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</si>
  <si>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</si>
  <si>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</si>
  <si>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</si>
  <si>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</si>
  <si>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</si>
  <si>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</si>
  <si>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</si>
  <si>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</si>
  <si>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</si>
  <si>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</si>
  <si>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</si>
  <si>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</si>
  <si>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</si>
  <si>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</si>
  <si>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</si>
  <si>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</si>
  <si>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</si>
  <si>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</si>
  <si>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</si>
  <si>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</si>
  <si>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</si>
  <si>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</si>
  <si>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</si>
  <si>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</si>
  <si>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</si>
  <si>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</si>
  <si>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</si>
  <si>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</si>
  <si>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</si>
  <si>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</si>
  <si>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</si>
  <si>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</si>
  <si>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</si>
  <si>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</si>
  <si>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</si>
  <si>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</si>
  <si>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</si>
  <si>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</si>
  <si>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</si>
  <si>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</si>
  <si>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</si>
  <si>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</si>
  <si>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</si>
  <si>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</si>
  <si>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</si>
  <si>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</si>
  <si>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</si>
  <si>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</si>
  <si>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</si>
  <si>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</si>
  <si>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</si>
  <si>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</si>
  <si>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</si>
  <si>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</si>
  <si>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</si>
  <si>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</si>
  <si>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</si>
  <si>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</si>
  <si>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</si>
  <si>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</si>
  <si>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</si>
  <si>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</si>
  <si>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</si>
  <si>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</si>
  <si>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</si>
  <si>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</si>
  <si>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</si>
  <si>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</si>
  <si>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</si>
  <si>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</si>
  <si>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</si>
  <si>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</si>
  <si>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</si>
  <si>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</si>
  <si>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</si>
  <si>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</si>
  <si>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</si>
  <si>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</si>
  <si>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</si>
  <si>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</si>
  <si>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</si>
  <si>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</si>
  <si>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</si>
  <si>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</si>
  <si>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</si>
  <si>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</si>
  <si>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</si>
  <si>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</si>
  <si>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</si>
  <si>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</si>
  <si>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</si>
  <si>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</si>
  <si>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</si>
  <si>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</si>
  <si>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</si>
  <si>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</si>
  <si>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</si>
  <si>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</si>
  <si>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</si>
  <si>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</si>
  <si>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</si>
  <si>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</si>
  <si>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</si>
  <si>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</si>
  <si>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</si>
  <si>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</si>
  <si>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</si>
  <si>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</si>
  <si>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</si>
  <si>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</si>
  <si>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</si>
  <si>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</si>
  <si>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</si>
  <si>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</si>
  <si>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</si>
  <si>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</si>
  <si>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</si>
  <si>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</si>
  <si>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</si>
  <si>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</si>
  <si>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</si>
  <si>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</si>
  <si>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</si>
  <si>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</si>
  <si>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</si>
  <si>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</si>
  <si>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</si>
  <si>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</si>
  <si>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</si>
  <si>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</si>
  <si>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</si>
  <si>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</si>
  <si>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</si>
  <si>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</si>
  <si>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</si>
  <si>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</si>
  <si>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</si>
  <si>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</si>
  <si>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</si>
  <si>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</si>
  <si>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</si>
  <si>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</si>
  <si>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</si>
  <si>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</si>
  <si>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</si>
  <si>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</si>
  <si>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</si>
  <si>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</si>
  <si>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</si>
  <si>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</si>
  <si>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</si>
  <si>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</si>
  <si>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</si>
  <si>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</si>
  <si>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</si>
  <si>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</si>
  <si>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</si>
  <si>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</si>
  <si>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</si>
  <si>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</si>
  <si>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</si>
  <si>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</si>
  <si>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</si>
  <si>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</si>
  <si>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</si>
  <si>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</si>
  <si>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</si>
  <si>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</si>
  <si>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</si>
  <si>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</si>
  <si>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</si>
  <si>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</si>
  <si>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</si>
  <si>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</si>
  <si>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</si>
  <si>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</si>
  <si>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</si>
  <si>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</si>
  <si>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</si>
  <si>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</si>
  <si>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</si>
  <si>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</si>
  <si>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</si>
  <si>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</si>
  <si>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</si>
  <si>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</si>
  <si>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</si>
  <si>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</si>
  <si>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</si>
  <si>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</si>
  <si>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</si>
  <si>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</si>
  <si>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</si>
  <si>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</si>
  <si>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</si>
  <si>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</si>
  <si>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</si>
  <si>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</si>
  <si>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</si>
  <si>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</si>
  <si>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</si>
  <si>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</si>
  <si>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</si>
  <si>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</si>
  <si>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</si>
  <si>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</si>
  <si>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</si>
  <si>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</si>
  <si>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</si>
  <si>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</si>
  <si>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</si>
  <si>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</si>
  <si>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</si>
  <si>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</si>
  <si>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</si>
  <si>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</si>
  <si>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</si>
  <si>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</si>
  <si>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</si>
  <si>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</si>
  <si>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</si>
  <si>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</si>
  <si>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</si>
  <si>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</si>
  <si>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</si>
  <si>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</si>
  <si>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</si>
  <si>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</si>
  <si>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</si>
  <si>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</si>
  <si>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</si>
  <si>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</si>
  <si>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</si>
  <si>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</si>
  <si>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</si>
  <si>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</si>
  <si>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</si>
  <si>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</si>
  <si>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</si>
  <si>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</si>
  <si>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</si>
  <si>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</si>
  <si>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</si>
  <si>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</si>
  <si>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</si>
  <si>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</si>
  <si>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</si>
  <si>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</si>
  <si>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</si>
  <si>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</si>
  <si>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</si>
  <si>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</si>
  <si>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</si>
  <si>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</si>
  <si>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</si>
  <si>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</si>
  <si>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</si>
  <si>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</si>
  <si>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</si>
  <si>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</si>
  <si>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</si>
  <si>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</si>
  <si>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</si>
  <si>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</si>
  <si>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</si>
  <si>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</si>
  <si>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</si>
  <si>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</si>
  <si>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</si>
  <si>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</si>
  <si>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</si>
  <si>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</si>
  <si>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</si>
  <si>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</si>
  <si>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</si>
  <si>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</si>
  <si>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</si>
  <si>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</si>
  <si>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</si>
  <si>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rates/abstraction license fees/IED</t>
  </si>
  <si>
    <t>4C.18</t>
  </si>
  <si>
    <t>Customer cost sharing rate  - business rates</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</si>
  <si>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</si>
  <si>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</si>
  <si>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</si>
  <si>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</si>
  <si>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</si>
  <si>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</si>
  <si>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</si>
  <si>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</si>
  <si>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</si>
  <si>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</si>
  <si>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</si>
  <si>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</si>
  <si>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</si>
  <si>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</si>
  <si>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</si>
  <si>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</si>
  <si>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</si>
  <si>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</si>
  <si>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</si>
  <si>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</si>
  <si>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</si>
  <si>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</si>
  <si>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</si>
  <si>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</si>
  <si>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</si>
  <si>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</si>
  <si>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</si>
  <si>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</si>
  <si>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</si>
  <si>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</si>
  <si>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</si>
  <si>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</si>
  <si>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</si>
  <si>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</si>
  <si>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</si>
  <si>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</si>
  <si>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</si>
  <si>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</si>
  <si>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</si>
  <si>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</si>
  <si>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</si>
  <si>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</si>
  <si>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</si>
  <si>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</si>
  <si>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</si>
  <si>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</si>
  <si>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</si>
  <si>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</si>
  <si>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</si>
  <si>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</si>
  <si>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</si>
  <si>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</si>
  <si>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</si>
  <si>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</si>
  <si>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</si>
  <si>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</si>
  <si>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</si>
  <si>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</si>
  <si>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</si>
  <si>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</si>
  <si>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</si>
  <si>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</si>
  <si>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</si>
  <si>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</si>
  <si>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</si>
  <si>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</si>
  <si>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</si>
  <si>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</si>
  <si>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</si>
  <si>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</si>
  <si>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</si>
  <si>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</si>
  <si>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</si>
  <si>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</si>
  <si>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</si>
  <si>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</si>
  <si>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</si>
  <si>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</si>
  <si>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</si>
  <si>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</si>
  <si>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</si>
  <si>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</si>
  <si>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</si>
  <si>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</si>
  <si>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</si>
  <si>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</si>
  <si>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</si>
  <si>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</si>
  <si>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</si>
  <si>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</si>
  <si>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</si>
  <si>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</si>
  <si>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</si>
  <si>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</si>
  <si>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</si>
  <si>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</si>
  <si>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</si>
  <si>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</si>
  <si>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</si>
  <si>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</si>
  <si>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</si>
  <si>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</si>
  <si>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</si>
  <si>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</si>
  <si>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</si>
  <si>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</si>
  <si>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</si>
  <si>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</si>
  <si>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</si>
  <si>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</si>
  <si>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</si>
  <si>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</si>
  <si>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</si>
  <si>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</si>
  <si>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</si>
  <si>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</si>
  <si>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</si>
  <si>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</si>
  <si>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</si>
  <si>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</si>
  <si>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</si>
  <si>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</si>
  <si>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</si>
  <si>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</si>
  <si>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</si>
  <si>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</si>
  <si>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</si>
  <si>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</si>
  <si>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</si>
  <si>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</si>
  <si>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</si>
  <si>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</si>
  <si>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</si>
  <si>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</si>
  <si>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</si>
  <si>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</si>
  <si>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</si>
  <si>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</si>
  <si>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</si>
  <si>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</si>
  <si>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</si>
  <si>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</si>
  <si>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</si>
  <si>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</si>
  <si>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</si>
  <si>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</si>
  <si>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</si>
  <si>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</si>
  <si>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</si>
  <si>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</si>
  <si>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</si>
  <si>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</si>
  <si>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</si>
  <si>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</si>
  <si>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</si>
  <si>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</si>
  <si>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</si>
  <si>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</si>
  <si>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</si>
  <si>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</si>
  <si>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</si>
  <si>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</si>
  <si>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</si>
  <si>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</si>
  <si>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</si>
  <si>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</si>
  <si>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</si>
  <si>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</si>
  <si>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</si>
  <si>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</si>
  <si>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</si>
  <si>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</si>
  <si>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</si>
  <si>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</si>
  <si>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</si>
  <si>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</si>
  <si>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</si>
  <si>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</si>
  <si>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</si>
  <si>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</si>
  <si>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</si>
  <si>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</si>
  <si>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</si>
  <si>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</si>
  <si>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</si>
  <si>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</si>
  <si>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</si>
  <si>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</si>
  <si>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</si>
  <si>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</si>
  <si>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</si>
  <si>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</si>
  <si>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</si>
  <si>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</si>
  <si>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</si>
  <si>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</si>
  <si>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</si>
  <si>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</si>
  <si>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</si>
  <si>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</si>
  <si>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</si>
  <si>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</si>
  <si>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</si>
  <si>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</si>
  <si>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</si>
  <si>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</si>
  <si>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</si>
  <si>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</si>
  <si>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</si>
  <si>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</si>
  <si>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</si>
  <si>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</si>
  <si>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</si>
  <si>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</si>
  <si>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</si>
  <si>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</si>
  <si>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</si>
  <si>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</si>
  <si>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</si>
  <si>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</si>
  <si>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</si>
  <si>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</si>
  <si>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</si>
  <si>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</si>
  <si>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</si>
  <si>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</si>
  <si>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</si>
  <si>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</si>
  <si>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</si>
  <si>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</si>
  <si>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</si>
  <si>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</si>
  <si>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</si>
  <si>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</si>
  <si>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</si>
  <si>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</si>
  <si>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</si>
  <si>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</si>
  <si>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</si>
  <si>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</si>
  <si>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</si>
  <si>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</si>
  <si>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</si>
  <si>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</si>
  <si>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</si>
  <si>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</si>
  <si>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</si>
  <si>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</si>
  <si>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</si>
  <si>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</si>
  <si>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</si>
  <si>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</si>
  <si>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</si>
  <si>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</si>
  <si>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</si>
  <si>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</si>
  <si>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</si>
  <si>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</si>
  <si>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</si>
  <si>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</si>
  <si>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</si>
  <si>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</si>
  <si>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</si>
  <si>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</si>
  <si>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</si>
  <si>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</si>
  <si>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</si>
  <si>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</si>
  <si>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</si>
  <si>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</si>
  <si>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</si>
  <si>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</si>
  <si>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</si>
  <si>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</si>
  <si>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</si>
  <si>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</si>
  <si>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</si>
  <si>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</si>
  <si>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</si>
  <si>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</si>
  <si>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</si>
  <si>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</si>
  <si>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</si>
  <si>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</si>
  <si>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</si>
  <si>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</si>
  <si>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</si>
  <si>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Covid Capex</t>
  </si>
  <si>
    <t>4D.19</t>
  </si>
  <si>
    <t>Item 1</t>
  </si>
  <si>
    <t>BP3357001WR</t>
  </si>
  <si>
    <t>BP3357001RWT</t>
  </si>
  <si>
    <t>BP3357001RWS</t>
  </si>
  <si>
    <t>BP3357001WT</t>
  </si>
  <si>
    <t>BP3357001TWD</t>
  </si>
  <si>
    <t>BP3357001CAW</t>
  </si>
  <si>
    <t>2022 Drought: 4D.1-Base operating expenditure</t>
  </si>
  <si>
    <t>4D.20</t>
  </si>
  <si>
    <t>Item 2</t>
  </si>
  <si>
    <t>BP3357002WR</t>
  </si>
  <si>
    <t>BP3357002RWT</t>
  </si>
  <si>
    <t>BP3357002RWS</t>
  </si>
  <si>
    <t>BP3357002WT</t>
  </si>
  <si>
    <t>BP3357002TWD</t>
  </si>
  <si>
    <t>BP3357002CAW</t>
  </si>
  <si>
    <t>Transformation Costs: 4D.1-Base operating expenditure</t>
  </si>
  <si>
    <t>4D.21</t>
  </si>
  <si>
    <t>Item 3</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</si>
  <si>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</si>
  <si>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</si>
  <si>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</si>
  <si>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</si>
  <si>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</si>
  <si>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</si>
  <si>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</si>
  <si>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</si>
  <si>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</si>
  <si>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</si>
  <si>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</si>
  <si>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</si>
  <si>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</si>
  <si>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</si>
  <si>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</si>
  <si>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</si>
  <si>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</si>
  <si>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</si>
  <si>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</si>
  <si>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</si>
  <si>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</si>
  <si>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</si>
  <si>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</si>
  <si>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</si>
  <si>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</si>
  <si>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</si>
  <si>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</si>
  <si>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</si>
  <si>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</si>
  <si>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</si>
  <si>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</si>
  <si>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</si>
  <si>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</si>
  <si>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</si>
  <si>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</si>
  <si>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</si>
  <si>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</si>
  <si>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</si>
  <si>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</si>
  <si>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</si>
  <si>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</si>
  <si>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</si>
  <si>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</si>
  <si>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</si>
  <si>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</si>
  <si>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</si>
  <si>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</si>
  <si>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</si>
  <si>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</si>
  <si>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</si>
  <si>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</si>
  <si>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</si>
  <si>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</si>
  <si>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</si>
  <si>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</si>
  <si>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</si>
  <si>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</si>
  <si>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</si>
  <si>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</si>
  <si>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</si>
  <si>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</si>
  <si>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</si>
  <si>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</si>
  <si>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</si>
  <si>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</si>
  <si>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</si>
  <si>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</si>
  <si>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</si>
  <si>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</si>
  <si>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</si>
  <si>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</si>
  <si>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</si>
  <si>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</si>
  <si>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</si>
  <si>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</si>
  <si>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</si>
  <si>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</si>
  <si>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</si>
  <si>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</si>
  <si>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</si>
  <si>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</si>
  <si>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</si>
  <si>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</si>
  <si>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</si>
  <si>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</si>
  <si>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</si>
  <si>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</si>
  <si>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</si>
  <si>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</si>
  <si>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</si>
  <si>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</si>
  <si>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</si>
  <si>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</si>
  <si>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</si>
  <si>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</si>
  <si>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</si>
  <si>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</si>
  <si>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</si>
  <si>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</si>
  <si>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</si>
  <si>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</si>
  <si>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</si>
  <si>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</si>
  <si>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</si>
  <si>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</si>
  <si>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</si>
  <si>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</si>
  <si>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</si>
  <si>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</si>
  <si>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</si>
  <si>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</si>
  <si>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</si>
  <si>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</si>
  <si>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</si>
  <si>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</si>
  <si>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</si>
  <si>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</si>
  <si>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</si>
  <si>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</si>
  <si>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</si>
  <si>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</si>
  <si>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</si>
  <si>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</si>
  <si>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</si>
  <si>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</si>
  <si>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</si>
  <si>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</si>
  <si>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</si>
  <si>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</si>
  <si>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</si>
  <si>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</si>
  <si>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</si>
  <si>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</si>
  <si>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</si>
  <si>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</si>
  <si>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</si>
  <si>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</si>
  <si>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</si>
  <si>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</si>
  <si>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</si>
  <si>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</si>
  <si>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</si>
  <si>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</si>
  <si>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</si>
  <si>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</si>
  <si>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</si>
  <si>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</si>
  <si>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</si>
  <si>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</si>
  <si>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</si>
  <si>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</si>
  <si>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</si>
  <si>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</si>
  <si>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</si>
  <si>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</si>
  <si>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</si>
  <si>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</si>
  <si>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</si>
  <si>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</si>
  <si>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</si>
  <si>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</si>
  <si>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</si>
  <si>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</si>
  <si>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</si>
  <si>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</si>
  <si>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</si>
  <si>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</si>
  <si>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</si>
  <si>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</si>
  <si>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</si>
  <si>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</si>
  <si>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</si>
  <si>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</si>
  <si>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</si>
  <si>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</si>
  <si>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</si>
  <si>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</si>
  <si>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</si>
  <si>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</si>
  <si>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</si>
  <si>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</si>
  <si>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</si>
  <si>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</si>
  <si>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</si>
  <si>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</si>
  <si>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</si>
  <si>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</si>
  <si>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</si>
  <si>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</si>
  <si>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</si>
  <si>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</si>
  <si>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</si>
  <si>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</si>
  <si>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</si>
  <si>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</si>
  <si>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</si>
  <si>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</si>
  <si>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</si>
  <si>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</si>
  <si>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</si>
  <si>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</si>
  <si>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</si>
  <si>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</si>
  <si>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</si>
  <si>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</si>
  <si>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</si>
  <si>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</si>
  <si>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</si>
  <si>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</si>
  <si>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</si>
  <si>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</si>
  <si>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</si>
  <si>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</si>
  <si>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</si>
  <si>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</si>
  <si>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</si>
  <si>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</si>
  <si>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</si>
  <si>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</si>
  <si>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</si>
  <si>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</si>
  <si>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</si>
  <si>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</si>
  <si>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Covid - Capex</t>
  </si>
  <si>
    <t>4E.19</t>
  </si>
  <si>
    <t>BP3357001FL</t>
  </si>
  <si>
    <t>BP3357001SWD</t>
  </si>
  <si>
    <t>BP3357001HD</t>
  </si>
  <si>
    <t>BP3357001STD</t>
  </si>
  <si>
    <t>BP3357001SLT</t>
  </si>
  <si>
    <t>BP3357001STP</t>
  </si>
  <si>
    <t>BP3357001SDT</t>
  </si>
  <si>
    <t>BP3357001SDD</t>
  </si>
  <si>
    <t>BP3357001CAS</t>
  </si>
  <si>
    <t>AMP6 Flooding - Capex</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</si>
  <si>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</si>
  <si>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</si>
  <si>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</si>
  <si>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</si>
  <si>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</si>
  <si>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</si>
  <si>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</si>
  <si>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</si>
  <si>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</si>
  <si>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</si>
  <si>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</si>
  <si>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</si>
  <si>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</si>
  <si>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</si>
  <si>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</si>
  <si>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</si>
  <si>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</si>
  <si>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</si>
  <si>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</si>
  <si>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</si>
  <si>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</si>
  <si>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</si>
  <si>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</si>
  <si>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</si>
  <si>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</si>
  <si>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</si>
  <si>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</si>
  <si>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</si>
  <si>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</si>
  <si>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</si>
  <si>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</si>
  <si>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</si>
  <si>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</si>
  <si>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</si>
  <si>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</si>
  <si>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</si>
  <si>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</si>
  <si>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</si>
  <si>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</si>
  <si>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</si>
  <si>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</si>
  <si>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</si>
  <si>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</si>
  <si>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</si>
  <si>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</si>
  <si>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</si>
  <si>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</si>
  <si>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</si>
  <si>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</si>
  <si>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</si>
  <si>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x`</t>
  </si>
  <si>
    <t>Pro forma 4F</t>
  </si>
  <si>
    <t>Major project expenditure for wholesale water by purpose for the 12 months ended 31 March 2023</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</si>
  <si>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</si>
  <si>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</si>
  <si>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</si>
  <si>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</si>
  <si>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</si>
  <si>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</si>
  <si>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</si>
  <si>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</si>
  <si>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</si>
  <si>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</si>
  <si>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</si>
  <si>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</si>
  <si>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</si>
  <si>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</si>
  <si>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</si>
  <si>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</si>
  <si>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</si>
  <si>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</si>
  <si>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</si>
  <si>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</si>
  <si>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</si>
  <si>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</si>
  <si>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</si>
  <si>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</si>
  <si>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</si>
  <si>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</si>
  <si>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</si>
  <si>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</si>
  <si>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</si>
  <si>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</si>
  <si>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</si>
  <si>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</si>
  <si>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</si>
  <si>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</si>
  <si>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</si>
  <si>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</si>
  <si>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</si>
  <si>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</si>
  <si>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</si>
  <si>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</si>
  <si>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</si>
  <si>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</si>
  <si>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</si>
  <si>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</si>
  <si>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</si>
  <si>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</si>
  <si>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</si>
  <si>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</si>
  <si>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</si>
  <si>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</si>
  <si>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</si>
  <si>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</si>
  <si>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</si>
  <si>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</si>
  <si>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</si>
  <si>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</si>
  <si>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</si>
  <si>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</si>
  <si>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</si>
  <si>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</si>
  <si>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</si>
  <si>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</si>
  <si>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</si>
  <si>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</si>
  <si>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</si>
  <si>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</si>
  <si>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</si>
  <si>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</si>
  <si>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</si>
  <si>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</si>
  <si>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</si>
  <si>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</si>
  <si>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</si>
  <si>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</si>
  <si>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</si>
  <si>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</si>
  <si>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</si>
  <si>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</si>
  <si>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</si>
  <si>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</si>
  <si>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</si>
  <si>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</si>
  <si>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</si>
  <si>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</si>
  <si>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</si>
  <si>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</si>
  <si>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</si>
  <si>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</si>
  <si>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</si>
  <si>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</si>
  <si>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</si>
  <si>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</si>
  <si>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</si>
  <si>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</si>
  <si>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</si>
  <si>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</si>
  <si>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</si>
  <si>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</si>
  <si>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</si>
  <si>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</si>
  <si>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</si>
  <si>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</si>
  <si>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</si>
  <si>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</si>
  <si>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</si>
  <si>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</si>
  <si>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</si>
  <si>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</si>
  <si>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</si>
  <si>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</si>
  <si>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</si>
  <si>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</si>
  <si>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</si>
  <si>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</si>
  <si>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</si>
  <si>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</si>
  <si>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</si>
  <si>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</si>
  <si>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</si>
  <si>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</si>
  <si>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</si>
  <si>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</si>
  <si>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</si>
  <si>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</si>
  <si>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</si>
  <si>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</si>
  <si>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</si>
  <si>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</si>
  <si>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</si>
  <si>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Baa2 (Stable)</t>
  </si>
  <si>
    <t>4H.10</t>
  </si>
  <si>
    <t>B0203FMCRM</t>
  </si>
  <si>
    <t>Credit rating - Standard and Poor's</t>
  </si>
  <si>
    <t>A- (Negative)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</si>
  <si>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</si>
  <si>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</si>
  <si>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</si>
  <si>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</si>
  <si>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</si>
  <si>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</si>
  <si>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</si>
  <si>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</si>
  <si>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</si>
  <si>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</si>
  <si>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</si>
  <si>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</si>
  <si>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</si>
  <si>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</si>
  <si>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</si>
  <si>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</si>
  <si>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</si>
  <si>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</si>
  <si>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</si>
  <si>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</si>
  <si>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</si>
  <si>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</si>
  <si>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</si>
  <si>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</si>
  <si>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</si>
  <si>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</si>
  <si>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</si>
  <si>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</si>
  <si>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</si>
  <si>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</si>
  <si>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</si>
  <si>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</si>
  <si>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</si>
  <si>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</si>
  <si>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</si>
  <si>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</si>
  <si>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</si>
  <si>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</si>
  <si>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</si>
  <si>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</si>
  <si>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</si>
  <si>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</si>
  <si>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</si>
  <si>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</si>
  <si>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</si>
  <si>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</si>
  <si>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</si>
  <si>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</si>
  <si>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</si>
  <si>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</si>
  <si>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</si>
  <si>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</si>
  <si>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</si>
  <si>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</si>
  <si>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</si>
  <si>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</si>
  <si>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</si>
  <si>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</si>
  <si>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</si>
  <si>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</si>
  <si>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</si>
  <si>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</si>
  <si>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</si>
  <si>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</si>
  <si>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</si>
  <si>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</si>
  <si>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</si>
  <si>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</si>
  <si>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</si>
  <si>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</si>
  <si>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</si>
  <si>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</si>
  <si>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</si>
  <si>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</si>
  <si>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</si>
  <si>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</si>
  <si>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</si>
  <si>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</si>
  <si>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</si>
  <si>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</si>
  <si>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</si>
  <si>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</si>
  <si>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</si>
  <si>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</si>
  <si>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</si>
  <si>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</si>
  <si>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</si>
  <si>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</si>
  <si>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</si>
  <si>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</si>
  <si>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</si>
  <si>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</si>
  <si>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</si>
  <si>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</si>
  <si>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</si>
  <si>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</si>
  <si>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</si>
  <si>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</si>
  <si>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</si>
  <si>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</si>
  <si>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</si>
  <si>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</si>
  <si>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</si>
  <si>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</si>
  <si>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</si>
  <si>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</si>
  <si>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</si>
  <si>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</si>
  <si>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</si>
  <si>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</si>
  <si>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</si>
  <si>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</si>
  <si>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</si>
  <si>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</si>
  <si>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</si>
  <si>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</si>
  <si>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</si>
  <si>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</si>
  <si>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</si>
  <si>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</si>
  <si>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</si>
  <si>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</si>
  <si>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</si>
  <si>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</si>
  <si>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</si>
  <si>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</si>
  <si>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</si>
  <si>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</si>
  <si>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</si>
  <si>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</si>
  <si>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</si>
  <si>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</si>
  <si>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</si>
  <si>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</si>
  <si>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</si>
  <si>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</si>
  <si>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</si>
  <si>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</si>
  <si>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</si>
  <si>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</si>
  <si>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</si>
  <si>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</si>
  <si>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</si>
  <si>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</si>
  <si>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</si>
  <si>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</si>
  <si>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</si>
  <si>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</si>
  <si>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</si>
  <si>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</si>
  <si>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</si>
  <si>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</si>
  <si>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</si>
  <si>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</si>
  <si>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</si>
  <si>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</si>
  <si>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</si>
  <si>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</si>
  <si>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</si>
  <si>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</si>
  <si>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</si>
  <si>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</si>
  <si>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</si>
  <si>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</si>
  <si>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</si>
  <si>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</si>
  <si>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</si>
  <si>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</si>
  <si>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</si>
  <si>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</si>
  <si>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</si>
  <si>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</si>
  <si>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</si>
  <si>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</si>
  <si>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</si>
  <si>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</si>
  <si>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</si>
  <si>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</si>
  <si>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</si>
  <si>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</si>
  <si>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</si>
  <si>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</si>
  <si>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</si>
  <si>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</si>
  <si>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</si>
  <si>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</si>
  <si>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</si>
  <si>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</si>
  <si>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</si>
  <si>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</si>
  <si>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</si>
  <si>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</si>
  <si>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</si>
  <si>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</si>
  <si>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</si>
  <si>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</si>
  <si>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</si>
  <si>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</si>
  <si>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</si>
  <si>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</si>
  <si>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</si>
  <si>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</si>
  <si>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</si>
  <si>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</si>
  <si>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</si>
  <si>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</si>
  <si>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</si>
  <si>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</si>
  <si>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</si>
  <si>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</si>
  <si>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</si>
  <si>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</si>
  <si>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</si>
  <si>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</si>
  <si>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</si>
  <si>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</si>
  <si>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</si>
  <si>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</si>
  <si>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</si>
  <si>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</si>
  <si>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</si>
  <si>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</si>
  <si>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</si>
  <si>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</si>
  <si>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</si>
  <si>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</si>
  <si>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</si>
  <si>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</si>
  <si>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</si>
  <si>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</si>
  <si>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</si>
  <si>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</si>
  <si>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</si>
  <si>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</si>
  <si>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</si>
  <si>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</si>
  <si>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</si>
  <si>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</si>
  <si>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</si>
  <si>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</si>
  <si>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</si>
  <si>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</si>
  <si>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</si>
  <si>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</si>
  <si>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</si>
  <si>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</si>
  <si>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</si>
  <si>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</si>
  <si>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</si>
  <si>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</si>
  <si>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</si>
  <si>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</si>
  <si>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</si>
  <si>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</si>
  <si>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</si>
  <si>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</si>
  <si>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</si>
  <si>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</si>
  <si>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</si>
  <si>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</si>
  <si>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</si>
  <si>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</si>
  <si>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</si>
  <si>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</si>
  <si>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</si>
  <si>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</si>
  <si>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</si>
  <si>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</si>
  <si>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</si>
  <si>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</si>
  <si>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</si>
  <si>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</si>
  <si>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</si>
  <si>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</si>
  <si>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</si>
  <si>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</si>
  <si>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</si>
  <si>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</si>
  <si>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</si>
  <si>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</si>
  <si>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</si>
  <si>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</si>
  <si>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</si>
  <si>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</si>
  <si>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</si>
  <si>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</si>
  <si>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</si>
  <si>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</si>
  <si>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</si>
  <si>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</si>
  <si>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</si>
  <si>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</si>
  <si>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</si>
  <si>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</si>
  <si>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</si>
  <si>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</si>
  <si>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</si>
  <si>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</si>
  <si>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</si>
  <si>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</si>
  <si>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</si>
  <si>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</si>
  <si>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</si>
  <si>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</si>
  <si>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</si>
  <si>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</si>
  <si>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</si>
  <si>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</si>
  <si>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</si>
  <si>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</si>
  <si>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</si>
  <si>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</si>
  <si>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</si>
  <si>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</si>
  <si>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</si>
  <si>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</si>
  <si>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</si>
  <si>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</si>
  <si>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</si>
  <si>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</si>
  <si>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</si>
  <si>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</si>
  <si>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</si>
  <si>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</si>
  <si>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</si>
  <si>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</si>
  <si>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</si>
  <si>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</si>
  <si>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</si>
  <si>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</si>
  <si>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</si>
  <si>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</si>
  <si>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</si>
  <si>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</si>
  <si>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</si>
  <si>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</si>
  <si>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</si>
  <si>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</si>
  <si>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</si>
  <si>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</si>
  <si>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</si>
  <si>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</si>
  <si>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</si>
  <si>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</si>
  <si>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</si>
  <si>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</si>
  <si>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</si>
  <si>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</si>
  <si>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</si>
  <si>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</si>
  <si>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</si>
  <si>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</si>
  <si>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</si>
  <si>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</si>
  <si>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</si>
  <si>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</si>
  <si>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</si>
  <si>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</si>
  <si>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</si>
  <si>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</si>
  <si>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</si>
  <si>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</si>
  <si>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</si>
  <si>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</si>
  <si>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</si>
  <si>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</si>
  <si>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</si>
  <si>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</si>
  <si>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</si>
  <si>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</si>
  <si>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</si>
  <si>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</si>
  <si>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</si>
  <si>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</si>
  <si>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</si>
  <si>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</si>
  <si>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</si>
  <si>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_FD_B</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</si>
  <si>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</si>
  <si>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</si>
  <si>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</si>
  <si>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</si>
  <si>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</si>
  <si>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</si>
  <si>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</si>
  <si>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</si>
  <si>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</si>
  <si>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</si>
  <si>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</si>
  <si>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</si>
  <si>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</si>
  <si>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</si>
  <si>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</si>
  <si>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</si>
  <si>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</si>
  <si>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</si>
  <si>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</si>
  <si>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</si>
  <si>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</si>
  <si>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</si>
  <si>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</si>
  <si>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</si>
  <si>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</si>
  <si>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</si>
  <si>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</si>
  <si>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</si>
  <si>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</si>
  <si>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_FD_C</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</si>
  <si>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</si>
  <si>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</si>
  <si>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</si>
  <si>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</si>
  <si>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</si>
  <si>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</si>
  <si>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</si>
  <si>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</si>
  <si>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</si>
  <si>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</si>
  <si>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</si>
  <si>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</si>
  <si>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</si>
  <si>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</si>
  <si>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</si>
  <si>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</si>
  <si>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</si>
  <si>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</si>
  <si>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</si>
  <si>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</si>
  <si>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</si>
  <si>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</si>
  <si>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</si>
  <si>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</si>
  <si>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</si>
  <si>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</si>
  <si>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</si>
  <si>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</si>
  <si>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</si>
  <si>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_FD_D</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</si>
  <si>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</si>
  <si>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</si>
  <si>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</si>
  <si>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</si>
  <si>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</si>
  <si>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</si>
  <si>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</si>
  <si>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</si>
  <si>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</si>
  <si>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</si>
  <si>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</si>
  <si>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</si>
  <si>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</si>
  <si>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</si>
  <si>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</si>
  <si>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</si>
  <si>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</si>
  <si>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</si>
  <si>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</si>
  <si>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</si>
  <si>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</si>
  <si>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</si>
  <si>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</si>
  <si>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</si>
  <si>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</si>
  <si>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</si>
  <si>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</si>
  <si>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</si>
  <si>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</si>
  <si>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</si>
  <si>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</si>
  <si>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</si>
  <si>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</si>
  <si>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</si>
  <si>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</si>
  <si>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</si>
  <si>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</si>
  <si>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</si>
  <si>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</si>
  <si>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</si>
  <si>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</si>
  <si>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</si>
  <si>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</si>
  <si>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</si>
  <si>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</si>
  <si>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</si>
  <si>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</si>
  <si>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</si>
  <si>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</si>
  <si>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</si>
  <si>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</si>
  <si>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</si>
  <si>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</si>
  <si>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</si>
  <si>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</si>
  <si>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</si>
  <si>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</si>
  <si>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</si>
  <si>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</si>
  <si>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</si>
  <si>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</si>
  <si>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</si>
  <si>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</si>
  <si>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</si>
  <si>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</si>
  <si>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</si>
  <si>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</si>
  <si>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</si>
  <si>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</si>
  <si>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</si>
  <si>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</si>
  <si>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</si>
  <si>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</si>
  <si>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</si>
  <si>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</si>
  <si>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</si>
  <si>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</si>
  <si>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</si>
  <si>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</si>
  <si>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</si>
  <si>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</si>
  <si>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</si>
  <si>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</si>
  <si>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</si>
  <si>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</si>
  <si>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</si>
  <si>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</si>
  <si>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</si>
  <si>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</si>
  <si>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</si>
  <si>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</si>
  <si>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</si>
  <si>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</si>
  <si>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</si>
  <si>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</si>
  <si>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</si>
  <si>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</si>
  <si>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</si>
  <si>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</si>
  <si>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</si>
  <si>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</si>
  <si>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</si>
  <si>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</si>
  <si>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</si>
  <si>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</si>
  <si>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</si>
  <si>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</si>
  <si>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</si>
  <si>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</si>
  <si>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</si>
  <si>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</si>
  <si>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</si>
  <si>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</si>
  <si>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</si>
  <si>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</si>
  <si>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</si>
  <si>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</si>
  <si>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</si>
  <si>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</si>
  <si>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</si>
  <si>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</si>
  <si>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</si>
  <si>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</si>
  <si>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</si>
  <si>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</si>
  <si>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</si>
  <si>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</si>
  <si>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</si>
  <si>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</si>
  <si>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</si>
  <si>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</si>
  <si>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</si>
  <si>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</si>
  <si>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</si>
  <si>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</si>
  <si>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</si>
  <si>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</si>
  <si>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</si>
  <si>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</si>
  <si>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</si>
  <si>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</si>
  <si>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</si>
  <si>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</si>
  <si>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</si>
  <si>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</si>
  <si>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</si>
  <si>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</si>
  <si>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</si>
  <si>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</si>
  <si>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</si>
  <si>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</si>
  <si>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</si>
  <si>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</si>
  <si>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</si>
  <si>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</si>
  <si>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</si>
  <si>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</si>
  <si>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</si>
  <si>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</si>
  <si>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</si>
  <si>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</si>
  <si>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</si>
  <si>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</si>
  <si>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</si>
  <si>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</si>
  <si>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</si>
  <si>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</si>
  <si>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</si>
  <si>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</si>
  <si>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</si>
  <si>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</si>
  <si>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</si>
  <si>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</si>
  <si>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</si>
  <si>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</si>
  <si>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</si>
  <si>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</si>
  <si>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</si>
  <si>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</si>
  <si>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</si>
  <si>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</si>
  <si>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</si>
  <si>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</si>
  <si>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</si>
  <si>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</si>
  <si>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</si>
  <si>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</si>
  <si>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</si>
  <si>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</si>
  <si>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</si>
  <si>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</si>
  <si>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</si>
  <si>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</si>
  <si>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</si>
  <si>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</si>
  <si>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</si>
  <si>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</si>
  <si>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</si>
  <si>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</si>
  <si>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</si>
  <si>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</si>
  <si>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</si>
  <si>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</si>
  <si>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</si>
  <si>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</si>
  <si>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</si>
  <si>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</si>
  <si>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</si>
  <si>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</si>
  <si>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</si>
  <si>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</si>
  <si>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</si>
  <si>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</si>
  <si>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</si>
  <si>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</si>
  <si>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</si>
  <si>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</si>
  <si>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</si>
  <si>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</si>
  <si>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</si>
  <si>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</si>
  <si>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</si>
  <si>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</si>
  <si>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</si>
  <si>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</si>
  <si>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</si>
  <si>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</si>
  <si>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</si>
  <si>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</si>
  <si>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</si>
  <si>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</si>
  <si>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</si>
  <si>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</si>
  <si>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</si>
  <si>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</si>
  <si>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</si>
  <si>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</si>
  <si>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</si>
  <si>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</si>
  <si>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</si>
  <si>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</si>
  <si>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</si>
  <si>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</si>
  <si>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</si>
  <si>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</si>
  <si>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</si>
  <si>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</si>
  <si>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</si>
  <si>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</si>
  <si>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</si>
  <si>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</si>
  <si>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</si>
  <si>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</si>
  <si>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</si>
  <si>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</si>
  <si>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</si>
  <si>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</si>
  <si>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</si>
  <si>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</si>
  <si>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</si>
  <si>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</si>
  <si>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</si>
  <si>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</si>
  <si>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</si>
  <si>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</si>
  <si>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</si>
  <si>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</si>
  <si>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</si>
  <si>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</si>
  <si>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</si>
  <si>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</si>
  <si>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</si>
  <si>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</si>
  <si>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</si>
  <si>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</si>
  <si>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</si>
  <si>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</si>
  <si>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</si>
  <si>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</si>
  <si>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</si>
  <si>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</si>
  <si>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</si>
  <si>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</si>
  <si>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</si>
  <si>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</si>
  <si>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</si>
  <si>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</si>
  <si>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</si>
  <si>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</si>
  <si>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</si>
  <si>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</si>
  <si>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</si>
  <si>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</si>
  <si>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</si>
  <si>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</si>
  <si>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</si>
  <si>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</si>
  <si>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</si>
  <si>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</si>
  <si>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</si>
  <si>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</si>
  <si>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</si>
  <si>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</si>
  <si>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</si>
  <si>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</si>
  <si>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</si>
  <si>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</si>
  <si>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</si>
  <si>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</si>
  <si>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</si>
  <si>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</si>
  <si>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</si>
  <si>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</si>
  <si>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</si>
  <si>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</si>
  <si>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</si>
  <si>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</si>
  <si>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</si>
  <si>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</si>
  <si>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</si>
  <si>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</si>
  <si>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</si>
  <si>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</si>
  <si>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</si>
  <si>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</si>
  <si>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</si>
  <si>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</si>
  <si>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</si>
  <si>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</si>
  <si>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</si>
  <si>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</si>
  <si>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</si>
  <si>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</si>
  <si>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</si>
  <si>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</si>
  <si>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</si>
  <si>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</si>
  <si>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</si>
  <si>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</si>
  <si>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</si>
  <si>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4L.1</t>
  </si>
  <si>
    <t>B0210EIC_WR</t>
  </si>
  <si>
    <t>B0210EIC_RWT</t>
  </si>
  <si>
    <t>B0210EIC_RWS</t>
  </si>
  <si>
    <t>B0210EIC_WT</t>
  </si>
  <si>
    <t>B0210EIC_TWD</t>
  </si>
  <si>
    <t>B0210EIC_TOT</t>
  </si>
  <si>
    <t>4L.2</t>
  </si>
  <si>
    <t>B0211EIO_WR</t>
  </si>
  <si>
    <t>B0211EIO_RWT</t>
  </si>
  <si>
    <t>B0211EIO_RWS</t>
  </si>
  <si>
    <t>B0211EIO_WT</t>
  </si>
  <si>
    <t>B0211EIO_TWD</t>
  </si>
  <si>
    <t>B0211EIO_TOT</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</si>
  <si>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</si>
  <si>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</si>
  <si>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</si>
  <si>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</si>
  <si>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</si>
  <si>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</si>
  <si>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</si>
  <si>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</si>
  <si>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</si>
  <si>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</si>
  <si>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</si>
  <si>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</si>
  <si>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</si>
  <si>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</si>
  <si>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</si>
  <si>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</si>
  <si>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</si>
  <si>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</si>
  <si>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</si>
  <si>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</si>
  <si>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</si>
  <si>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</si>
  <si>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</si>
  <si>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</si>
  <si>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</si>
  <si>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</si>
  <si>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</si>
  <si>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</si>
  <si>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</si>
  <si>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</si>
  <si>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</si>
  <si>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</si>
  <si>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</si>
  <si>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</si>
  <si>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</si>
  <si>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</si>
  <si>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</si>
  <si>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</si>
  <si>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</si>
  <si>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</si>
  <si>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</si>
  <si>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</si>
  <si>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</si>
  <si>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</si>
  <si>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</si>
  <si>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</si>
  <si>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</si>
  <si>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</si>
  <si>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</si>
  <si>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</si>
  <si>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</si>
  <si>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</si>
  <si>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</si>
  <si>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</si>
  <si>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</si>
  <si>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</si>
  <si>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</si>
  <si>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</si>
  <si>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</si>
  <si>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</si>
  <si>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</si>
  <si>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</si>
  <si>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</si>
  <si>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</si>
  <si>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</si>
  <si>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</si>
  <si>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</si>
  <si>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</si>
  <si>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</si>
  <si>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</si>
  <si>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</si>
  <si>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</si>
  <si>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</si>
  <si>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</si>
  <si>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</si>
  <si>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</si>
  <si>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</si>
  <si>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</si>
  <si>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</si>
  <si>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</si>
  <si>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</si>
  <si>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</si>
  <si>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</si>
  <si>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</si>
  <si>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</si>
  <si>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</si>
  <si>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</si>
  <si>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</si>
  <si>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</si>
  <si>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</si>
  <si>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</si>
  <si>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</si>
  <si>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</si>
  <si>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</si>
  <si>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</si>
  <si>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</si>
  <si>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</si>
  <si>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</si>
  <si>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</si>
  <si>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</si>
  <si>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</si>
  <si>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</si>
  <si>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</si>
  <si>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</si>
  <si>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</si>
  <si>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</si>
  <si>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</si>
  <si>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</si>
  <si>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</si>
  <si>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</si>
  <si>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</si>
  <si>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</si>
  <si>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</si>
  <si>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</si>
  <si>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</si>
  <si>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</si>
  <si>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</si>
  <si>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</si>
  <si>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</si>
  <si>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</si>
  <si>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</si>
  <si>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</si>
  <si>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</si>
  <si>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</si>
  <si>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</si>
  <si>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</si>
  <si>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</si>
  <si>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</si>
  <si>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</si>
  <si>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</si>
  <si>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</si>
  <si>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</si>
  <si>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</si>
  <si>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</si>
  <si>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</si>
  <si>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</si>
  <si>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</si>
  <si>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</si>
  <si>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</si>
  <si>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</si>
  <si>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</si>
  <si>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</si>
  <si>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</si>
  <si>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</si>
  <si>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</si>
  <si>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</si>
  <si>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</si>
  <si>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</si>
  <si>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</si>
  <si>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</si>
  <si>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</si>
  <si>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</si>
  <si>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</si>
  <si>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</si>
  <si>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</si>
  <si>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</si>
  <si>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</si>
  <si>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</si>
  <si>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</si>
  <si>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</si>
  <si>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</si>
  <si>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</si>
  <si>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</si>
  <si>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</si>
  <si>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</si>
  <si>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</si>
  <si>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</si>
  <si>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</si>
  <si>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</si>
  <si>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</si>
  <si>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</si>
  <si>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</si>
  <si>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</si>
  <si>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</si>
  <si>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</si>
  <si>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</si>
  <si>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</si>
  <si>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</si>
  <si>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</si>
  <si>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</si>
  <si>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</si>
  <si>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</si>
  <si>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</si>
  <si>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</si>
  <si>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</si>
  <si>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</si>
  <si>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</si>
  <si>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</si>
  <si>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</si>
  <si>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</si>
  <si>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</si>
  <si>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</si>
  <si>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</si>
  <si>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</si>
  <si>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</si>
  <si>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</si>
  <si>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</si>
  <si>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</si>
  <si>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</si>
  <si>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</si>
  <si>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</si>
  <si>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</si>
  <si>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</si>
  <si>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</si>
  <si>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</si>
  <si>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</si>
  <si>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</si>
  <si>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</si>
  <si>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</si>
  <si>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</si>
  <si>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</si>
  <si>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</si>
  <si>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</si>
  <si>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</si>
  <si>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</si>
  <si>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</si>
  <si>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</si>
  <si>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</si>
  <si>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</si>
  <si>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</si>
  <si>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</si>
  <si>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</si>
  <si>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</si>
  <si>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</si>
  <si>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</si>
  <si>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</si>
  <si>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</si>
  <si>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</si>
  <si>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</si>
  <si>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</si>
  <si>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</si>
  <si>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</si>
  <si>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</si>
  <si>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</si>
  <si>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</si>
  <si>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</si>
  <si>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</si>
  <si>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</si>
  <si>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</si>
  <si>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</si>
  <si>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</si>
  <si>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</si>
  <si>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</si>
  <si>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</si>
  <si>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</si>
  <si>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</si>
  <si>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</si>
  <si>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</si>
  <si>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</si>
  <si>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</si>
  <si>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</si>
  <si>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</si>
  <si>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</si>
  <si>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</si>
  <si>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</si>
  <si>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</si>
  <si>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</si>
  <si>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</si>
  <si>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</si>
  <si>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</si>
  <si>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</si>
  <si>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</si>
  <si>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</si>
  <si>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</si>
  <si>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</si>
  <si>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</si>
  <si>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</si>
  <si>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</si>
  <si>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</si>
  <si>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</si>
  <si>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</si>
  <si>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</si>
  <si>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</si>
  <si>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</si>
  <si>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</si>
  <si>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</si>
  <si>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</si>
  <si>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</si>
  <si>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</si>
  <si>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</si>
  <si>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</si>
  <si>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</si>
  <si>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</si>
  <si>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</si>
  <si>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</si>
  <si>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</si>
  <si>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</si>
  <si>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</si>
  <si>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</si>
  <si>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</si>
  <si>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</si>
  <si>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</si>
  <si>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</si>
  <si>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</si>
  <si>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</si>
  <si>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</si>
  <si>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</si>
  <si>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</si>
  <si>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</si>
  <si>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</si>
  <si>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</si>
  <si>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</si>
  <si>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</si>
  <si>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</si>
  <si>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</si>
  <si>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</si>
  <si>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</si>
  <si>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</si>
  <si>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</si>
  <si>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</si>
  <si>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</si>
  <si>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</si>
  <si>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</si>
  <si>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</si>
  <si>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</si>
  <si>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</si>
  <si>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</si>
  <si>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</si>
  <si>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</si>
  <si>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</si>
  <si>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</si>
  <si>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</si>
  <si>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</si>
  <si>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</si>
  <si>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</si>
  <si>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</si>
  <si>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</si>
  <si>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</si>
  <si>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</si>
  <si>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</si>
  <si>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</si>
  <si>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</si>
  <si>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</si>
  <si>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</si>
  <si>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</si>
  <si>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</si>
  <si>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</si>
  <si>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</si>
  <si>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</si>
  <si>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</si>
  <si>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</si>
  <si>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</si>
  <si>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</si>
  <si>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</si>
  <si>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</si>
  <si>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</si>
  <si>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</si>
  <si>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</si>
  <si>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</si>
  <si>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</si>
  <si>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</si>
  <si>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</si>
  <si>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</si>
  <si>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</si>
  <si>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</si>
  <si>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AMR or AMI meters for household customers</t>
  </si>
  <si>
    <t>4L.48</t>
  </si>
  <si>
    <t>Replacement of existing basic meters with smart meters</t>
  </si>
  <si>
    <t>4L.49</t>
  </si>
  <si>
    <t>4L.50</t>
  </si>
  <si>
    <t>Replacement of existing AMR meters with AMI meters for household customers</t>
  </si>
  <si>
    <t>4L.51</t>
  </si>
  <si>
    <t>4L.52</t>
  </si>
  <si>
    <t>4L.53</t>
  </si>
  <si>
    <t>Replacement of existing basic meters with AMR or AMI meters for business customers</t>
  </si>
  <si>
    <t>4L.54</t>
  </si>
  <si>
    <t>B0375RBMSM_TWD</t>
  </si>
  <si>
    <t>B0375RBMSM_TOT</t>
  </si>
  <si>
    <t>4L.55</t>
  </si>
  <si>
    <t>B0376RBMSM_TWD</t>
  </si>
  <si>
    <t>B0376RBMSM_TOT</t>
  </si>
  <si>
    <t>4L.56</t>
  </si>
  <si>
    <t>B0377RBMSM_TWD</t>
  </si>
  <si>
    <t>B0377RBMSM_TOT</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</si>
  <si>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</si>
  <si>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</si>
  <si>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</si>
  <si>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</si>
  <si>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</si>
  <si>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</si>
  <si>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</si>
  <si>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</si>
  <si>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</si>
  <si>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</si>
  <si>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</si>
  <si>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</si>
  <si>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</si>
  <si>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</si>
  <si>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</si>
  <si>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</si>
  <si>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</si>
  <si>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</si>
  <si>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</si>
  <si>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</si>
  <si>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</si>
  <si>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</si>
  <si>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</si>
  <si>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</si>
  <si>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</si>
  <si>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</si>
  <si>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</si>
  <si>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</si>
  <si>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</si>
  <si>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</si>
  <si>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</si>
  <si>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</si>
  <si>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</si>
  <si>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</si>
  <si>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</si>
  <si>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</si>
  <si>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</si>
  <si>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</si>
  <si>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4L.66</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</si>
  <si>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</si>
  <si>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</si>
  <si>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</si>
  <si>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</si>
  <si>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</si>
  <si>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</si>
  <si>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</si>
  <si>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</si>
  <si>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</si>
  <si>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</si>
  <si>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</si>
  <si>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</si>
  <si>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B0264ARCT_TOT</t>
  </si>
  <si>
    <t>4L.68</t>
  </si>
  <si>
    <t>B0265AROT_TOT</t>
  </si>
  <si>
    <t>4L.69</t>
  </si>
  <si>
    <t>B0266ARTT_TOT</t>
  </si>
  <si>
    <t>B0397ARWD_CUMME</t>
  </si>
  <si>
    <t>B0397ARWD_CUMMA</t>
  </si>
  <si>
    <t>B0397ARWD_CUMMT</t>
  </si>
  <si>
    <t>Addressing raw water deterioration (green solutions)</t>
  </si>
  <si>
    <t>4L.70</t>
  </si>
  <si>
    <t>Addressing raw water deterioration, non-water treatment (green solution) expenditure</t>
  </si>
  <si>
    <t>B0264ARCN_TOT</t>
  </si>
  <si>
    <t>4L.71</t>
  </si>
  <si>
    <t>B0265ARON_TOT</t>
  </si>
  <si>
    <t>4L.72</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</si>
  <si>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</si>
  <si>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</si>
  <si>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</si>
  <si>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</si>
  <si>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</si>
  <si>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</si>
  <si>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</si>
  <si>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</si>
  <si>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</si>
  <si>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</si>
  <si>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</si>
  <si>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</si>
  <si>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</si>
  <si>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</si>
  <si>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</si>
  <si>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</si>
  <si>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</si>
  <si>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</si>
  <si>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</si>
  <si>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</si>
  <si>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</si>
  <si>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</si>
  <si>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</si>
  <si>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</si>
  <si>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</si>
  <si>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</si>
  <si>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</si>
  <si>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</si>
  <si>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</si>
  <si>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</si>
  <si>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</si>
  <si>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</si>
  <si>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</si>
  <si>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</si>
  <si>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</si>
  <si>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</si>
  <si>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</si>
  <si>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</si>
  <si>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</si>
  <si>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</si>
  <si>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</si>
  <si>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</si>
  <si>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</si>
  <si>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</si>
  <si>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</si>
  <si>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</si>
  <si>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</si>
  <si>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</si>
  <si>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</si>
  <si>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</si>
  <si>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</si>
  <si>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</si>
  <si>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</si>
  <si>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</si>
  <si>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</si>
  <si>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</si>
  <si>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</si>
  <si>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</si>
  <si>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</si>
  <si>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</si>
  <si>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</si>
  <si>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</si>
  <si>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</si>
  <si>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</si>
  <si>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</si>
  <si>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</si>
  <si>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</si>
  <si>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</si>
  <si>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</si>
  <si>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</si>
  <si>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</si>
  <si>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</si>
  <si>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</si>
  <si>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</si>
  <si>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</si>
  <si>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B0261MLCC_TOT</t>
  </si>
  <si>
    <t>4L.83</t>
  </si>
  <si>
    <t>B0262MLOC_TOT</t>
  </si>
  <si>
    <t>4L.84</t>
  </si>
  <si>
    <t>B0263MLTC_TOT</t>
  </si>
  <si>
    <t>Lead communication pipes replaced or relined for water quality</t>
  </si>
  <si>
    <t>4L.85</t>
  </si>
  <si>
    <t>B0261MLCCP_TOT</t>
  </si>
  <si>
    <t>4L.86</t>
  </si>
  <si>
    <t>B0262MLOCP_TOT</t>
  </si>
  <si>
    <t>4L.87</t>
  </si>
  <si>
    <t>B0263MLTCP_TOT</t>
  </si>
  <si>
    <t>Other lead reduction related activity</t>
  </si>
  <si>
    <t>4L.88</t>
  </si>
  <si>
    <t>B0261MLCI_TOT</t>
  </si>
  <si>
    <t>4L.89</t>
  </si>
  <si>
    <t>B0262MLOI_TOT</t>
  </si>
  <si>
    <t>4L.90</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</si>
  <si>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</si>
  <si>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</si>
  <si>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</si>
  <si>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</si>
  <si>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</si>
  <si>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</si>
  <si>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</si>
  <si>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</si>
  <si>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</si>
  <si>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</si>
  <si>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</si>
  <si>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</si>
  <si>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</si>
  <si>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</si>
  <si>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</si>
  <si>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</si>
  <si>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</si>
  <si>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</si>
  <si>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</si>
  <si>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</si>
  <si>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</si>
  <si>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</si>
  <si>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</si>
  <si>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</si>
  <si>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</si>
  <si>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</si>
  <si>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</si>
  <si>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</si>
  <si>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</si>
  <si>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</si>
  <si>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</si>
  <si>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</si>
  <si>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</si>
  <si>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</si>
  <si>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</si>
  <si>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</si>
  <si>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</si>
  <si>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</si>
  <si>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</si>
  <si>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</si>
  <si>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</si>
  <si>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</si>
  <si>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</si>
  <si>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</si>
  <si>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</si>
  <si>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</si>
  <si>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</si>
  <si>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</si>
  <si>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</si>
  <si>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</si>
  <si>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</si>
  <si>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</si>
  <si>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</si>
  <si>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</si>
  <si>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</si>
  <si>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</si>
  <si>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</si>
  <si>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</si>
  <si>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</si>
  <si>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</si>
  <si>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</si>
  <si>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</si>
  <si>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</si>
  <si>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</si>
  <si>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</si>
  <si>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</si>
  <si>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</si>
  <si>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</si>
  <si>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</si>
  <si>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</si>
  <si>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</si>
  <si>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</si>
  <si>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</si>
  <si>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</si>
  <si>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</si>
  <si>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</si>
  <si>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Atypical Expenditure - COVID</t>
  </si>
  <si>
    <t>4L.100</t>
  </si>
  <si>
    <t>Additional line 1</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</si>
  <si>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</si>
  <si>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</si>
  <si>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</si>
  <si>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</si>
  <si>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</si>
  <si>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</si>
  <si>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</si>
  <si>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</si>
  <si>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</si>
  <si>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</si>
  <si>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</si>
  <si>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</si>
  <si>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</si>
  <si>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</si>
  <si>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</si>
  <si>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</si>
  <si>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</si>
  <si>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</si>
  <si>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</si>
  <si>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</si>
  <si>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</si>
  <si>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</si>
  <si>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</si>
  <si>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</si>
  <si>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</si>
  <si>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</si>
  <si>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</si>
  <si>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</si>
  <si>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</si>
  <si>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</si>
  <si>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</si>
  <si>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</si>
  <si>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</si>
  <si>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</si>
  <si>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</si>
  <si>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</si>
  <si>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</si>
  <si>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</si>
  <si>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</si>
  <si>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</si>
  <si>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</si>
  <si>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</si>
  <si>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</si>
  <si>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</si>
  <si>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</si>
  <si>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</si>
  <si>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</si>
  <si>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</si>
  <si>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</si>
  <si>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</si>
  <si>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</si>
  <si>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</si>
  <si>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</si>
  <si>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</si>
  <si>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</si>
  <si>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</si>
  <si>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</si>
  <si>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</si>
  <si>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</si>
  <si>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</si>
  <si>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</si>
  <si>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</si>
  <si>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</si>
  <si>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</si>
  <si>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</si>
  <si>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</si>
  <si>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</si>
  <si>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</si>
  <si>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</si>
  <si>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</si>
  <si>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</si>
  <si>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</si>
  <si>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</si>
  <si>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</si>
  <si>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</si>
  <si>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</si>
  <si>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</si>
  <si>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</si>
  <si>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</si>
  <si>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</si>
  <si>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</si>
  <si>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</si>
  <si>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</si>
  <si>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</si>
  <si>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</si>
  <si>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</si>
  <si>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</si>
  <si>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</si>
  <si>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</si>
  <si>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</si>
  <si>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</si>
  <si>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</si>
  <si>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</si>
  <si>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</si>
  <si>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</si>
  <si>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</si>
  <si>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</si>
  <si>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</si>
  <si>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</si>
  <si>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</si>
  <si>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</si>
  <si>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</si>
  <si>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</si>
  <si>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</si>
  <si>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</si>
  <si>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</si>
  <si>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</si>
  <si>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</si>
  <si>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</si>
  <si>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</si>
  <si>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</si>
  <si>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</si>
  <si>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</si>
  <si>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</si>
  <si>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</si>
  <si>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</si>
  <si>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</si>
  <si>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</si>
  <si>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</si>
  <si>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</si>
  <si>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</si>
  <si>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</si>
  <si>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</si>
  <si>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</si>
  <si>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</si>
  <si>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</si>
  <si>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</si>
  <si>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</si>
  <si>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</si>
  <si>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</si>
  <si>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</si>
  <si>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</si>
  <si>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</si>
  <si>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</si>
  <si>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</si>
  <si>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</si>
  <si>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</si>
  <si>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</si>
  <si>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</si>
  <si>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</si>
  <si>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</si>
  <si>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</si>
  <si>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</si>
  <si>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</si>
  <si>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</si>
  <si>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</si>
  <si>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</si>
  <si>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</si>
  <si>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</si>
  <si>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</si>
  <si>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</si>
  <si>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</si>
  <si>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</si>
  <si>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</si>
  <si>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</si>
  <si>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</si>
  <si>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</si>
  <si>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</si>
  <si>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</si>
  <si>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</si>
  <si>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</si>
  <si>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</si>
  <si>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</si>
  <si>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</si>
  <si>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</si>
  <si>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</si>
  <si>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</si>
  <si>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</si>
  <si>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</si>
  <si>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</si>
  <si>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</si>
  <si>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</si>
  <si>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</si>
  <si>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</si>
  <si>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</si>
  <si>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</si>
  <si>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</si>
  <si>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</si>
  <si>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</si>
  <si>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</si>
  <si>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</si>
  <si>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</si>
  <si>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</si>
  <si>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</si>
  <si>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</si>
  <si>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</si>
  <si>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</si>
  <si>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</si>
  <si>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</si>
  <si>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</si>
  <si>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</si>
  <si>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</si>
  <si>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</si>
  <si>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</si>
  <si>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</si>
  <si>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</si>
  <si>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</si>
  <si>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</si>
  <si>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</si>
  <si>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</si>
  <si>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</si>
  <si>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</si>
  <si>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</si>
  <si>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</si>
  <si>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</si>
  <si>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</si>
  <si>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</si>
  <si>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</si>
  <si>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</si>
  <si>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</si>
  <si>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</si>
  <si>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</si>
  <si>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</si>
  <si>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</si>
  <si>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</si>
  <si>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</si>
  <si>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</si>
  <si>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</si>
  <si>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</si>
  <si>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</si>
  <si>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</si>
  <si>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</si>
  <si>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</si>
  <si>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</si>
  <si>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</si>
  <si>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</si>
  <si>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</si>
  <si>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</si>
  <si>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</si>
  <si>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</si>
  <si>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</si>
  <si>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</si>
  <si>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</si>
  <si>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</si>
  <si>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</si>
  <si>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</si>
  <si>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</si>
  <si>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</si>
  <si>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</si>
  <si>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</si>
  <si>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</si>
  <si>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</si>
  <si>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</si>
  <si>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</si>
  <si>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</si>
  <si>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</si>
  <si>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</si>
  <si>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</si>
  <si>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</si>
  <si>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</si>
  <si>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</si>
  <si>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</si>
  <si>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</si>
  <si>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</si>
  <si>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</si>
  <si>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</si>
  <si>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</si>
  <si>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</si>
  <si>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</si>
  <si>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</si>
  <si>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</si>
  <si>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</si>
  <si>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</si>
  <si>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</si>
  <si>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</si>
  <si>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</si>
  <si>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</si>
  <si>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</si>
  <si>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</si>
  <si>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</si>
  <si>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</si>
  <si>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</si>
  <si>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</si>
  <si>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</si>
  <si>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</si>
  <si>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</si>
  <si>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</si>
  <si>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</si>
  <si>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</si>
  <si>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</si>
  <si>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</si>
  <si>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</si>
  <si>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</si>
  <si>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</si>
  <si>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</si>
  <si>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</si>
  <si>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</si>
  <si>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</si>
  <si>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</si>
  <si>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</si>
  <si>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</si>
  <si>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</si>
  <si>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</si>
  <si>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</si>
  <si>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</si>
  <si>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</si>
  <si>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</si>
  <si>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</si>
  <si>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</si>
  <si>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</si>
  <si>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</si>
  <si>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</si>
  <si>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</si>
  <si>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</si>
  <si>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</si>
  <si>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</si>
  <si>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</si>
  <si>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</si>
  <si>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</si>
  <si>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</si>
  <si>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</si>
  <si>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</si>
  <si>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</si>
  <si>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</si>
  <si>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</si>
  <si>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</si>
  <si>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</si>
  <si>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</si>
  <si>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</si>
  <si>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</si>
  <si>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</si>
  <si>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</si>
  <si>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</si>
  <si>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</si>
  <si>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</si>
  <si>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</si>
  <si>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</si>
  <si>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</si>
  <si>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</si>
  <si>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</si>
  <si>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</si>
  <si>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</si>
  <si>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</si>
  <si>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</si>
  <si>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</si>
  <si>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</si>
  <si>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</si>
  <si>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</si>
  <si>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</si>
  <si>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</si>
  <si>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</si>
  <si>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</si>
  <si>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</si>
  <si>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</si>
  <si>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</si>
  <si>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</si>
  <si>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</si>
  <si>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</si>
  <si>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</si>
  <si>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</si>
  <si>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</si>
  <si>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</si>
  <si>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</si>
  <si>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</si>
  <si>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</si>
  <si>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</si>
  <si>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</si>
  <si>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</si>
  <si>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</si>
  <si>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</si>
  <si>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</si>
  <si>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</si>
  <si>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</si>
  <si>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</si>
  <si>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</si>
  <si>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</si>
  <si>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</si>
  <si>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</si>
  <si>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</si>
  <si>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</si>
  <si>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</si>
  <si>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</si>
  <si>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</si>
  <si>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</si>
  <si>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</si>
  <si>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</si>
  <si>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</si>
  <si>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</si>
  <si>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</si>
  <si>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</si>
  <si>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</si>
  <si>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</si>
  <si>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</si>
  <si>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</si>
  <si>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</si>
  <si>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</si>
  <si>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</si>
  <si>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</si>
  <si>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</si>
  <si>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</si>
  <si>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</si>
  <si>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</si>
  <si>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</si>
  <si>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</si>
  <si>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</si>
  <si>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</si>
  <si>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</si>
  <si>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</si>
  <si>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</si>
  <si>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</si>
  <si>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</si>
  <si>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</si>
  <si>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</si>
  <si>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</si>
  <si>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</si>
  <si>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</si>
  <si>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</si>
  <si>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</si>
  <si>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</si>
  <si>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</si>
  <si>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</si>
  <si>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</si>
  <si>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</si>
  <si>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</si>
  <si>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</si>
  <si>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</si>
  <si>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</si>
  <si>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</si>
  <si>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</si>
  <si>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</si>
  <si>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</si>
  <si>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</si>
  <si>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</si>
  <si>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</si>
  <si>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</si>
  <si>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</si>
  <si>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</si>
  <si>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</si>
  <si>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</si>
  <si>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</si>
  <si>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</si>
  <si>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</si>
  <si>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</si>
  <si>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</si>
  <si>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</si>
  <si>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</si>
  <si>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</si>
  <si>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</si>
  <si>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</si>
  <si>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</si>
  <si>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</si>
  <si>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</si>
  <si>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</si>
  <si>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</si>
  <si>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</si>
  <si>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</si>
  <si>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</si>
  <si>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</si>
  <si>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</si>
  <si>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</si>
  <si>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</si>
  <si>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</si>
  <si>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</si>
  <si>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</si>
  <si>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</si>
  <si>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</si>
  <si>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</si>
  <si>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</si>
  <si>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</si>
  <si>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</si>
  <si>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</si>
  <si>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</si>
  <si>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</si>
  <si>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</si>
  <si>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</si>
  <si>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</si>
  <si>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</si>
  <si>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</si>
  <si>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</si>
  <si>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</si>
  <si>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</si>
  <si>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</si>
  <si>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</si>
  <si>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</si>
  <si>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</si>
  <si>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</si>
  <si>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</si>
  <si>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</si>
  <si>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</si>
  <si>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</si>
  <si>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</si>
  <si>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</si>
  <si>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</si>
  <si>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</si>
  <si>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</si>
  <si>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</si>
  <si>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</si>
  <si>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</si>
  <si>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</si>
  <si>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</si>
  <si>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</si>
  <si>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</si>
  <si>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</si>
  <si>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</si>
  <si>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</si>
  <si>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</si>
  <si>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</si>
  <si>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</si>
  <si>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</si>
  <si>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</si>
  <si>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</si>
  <si>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</si>
  <si>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</si>
  <si>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</si>
  <si>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</si>
  <si>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</si>
  <si>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</si>
  <si>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</si>
  <si>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</si>
  <si>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</si>
  <si>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</si>
  <si>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</si>
  <si>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</si>
  <si>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</si>
  <si>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</si>
  <si>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</si>
  <si>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</si>
  <si>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</si>
  <si>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</si>
  <si>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</si>
  <si>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</si>
  <si>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</si>
  <si>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</si>
  <si>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</si>
  <si>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</si>
  <si>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</si>
  <si>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</si>
  <si>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</si>
  <si>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</si>
  <si>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</si>
  <si>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</si>
  <si>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</si>
  <si>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</si>
  <si>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</si>
  <si>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</si>
  <si>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</si>
  <si>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</si>
  <si>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</si>
  <si>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</si>
  <si>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</si>
  <si>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</si>
  <si>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</si>
  <si>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</si>
  <si>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</si>
  <si>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</si>
  <si>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</si>
  <si>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</si>
  <si>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</si>
  <si>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</si>
  <si>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</si>
  <si>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</si>
  <si>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</si>
  <si>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</si>
  <si>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</si>
  <si>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</si>
  <si>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</si>
  <si>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</si>
  <si>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</si>
  <si>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</si>
  <si>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</si>
  <si>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</si>
  <si>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</si>
  <si>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</si>
  <si>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</si>
  <si>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</si>
  <si>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</si>
  <si>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</si>
  <si>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</si>
  <si>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</si>
  <si>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</si>
  <si>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</si>
  <si>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</si>
  <si>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</si>
  <si>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</si>
  <si>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</si>
  <si>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</si>
  <si>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</si>
  <si>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</si>
  <si>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</si>
  <si>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</si>
  <si>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</si>
  <si>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</si>
  <si>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</si>
  <si>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</si>
  <si>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</si>
  <si>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</si>
  <si>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</si>
  <si>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</si>
  <si>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</si>
  <si>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</si>
  <si>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</si>
  <si>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</si>
  <si>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</si>
  <si>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</si>
  <si>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</si>
  <si>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</si>
  <si>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</si>
  <si>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</si>
  <si>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</si>
  <si>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</si>
  <si>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</si>
  <si>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</si>
  <si>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</si>
  <si>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</si>
  <si>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</si>
  <si>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</si>
  <si>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</si>
  <si>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</si>
  <si>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</si>
  <si>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</si>
  <si>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</si>
  <si>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</si>
  <si>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</si>
  <si>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</si>
  <si>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</si>
  <si>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</si>
  <si>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</si>
  <si>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</si>
  <si>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</si>
  <si>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</si>
  <si>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</si>
  <si>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</si>
  <si>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</si>
  <si>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</si>
  <si>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</si>
  <si>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</si>
  <si>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</si>
  <si>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</si>
  <si>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</si>
  <si>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</si>
  <si>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</si>
  <si>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</si>
  <si>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</si>
  <si>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</si>
  <si>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</si>
  <si>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</si>
  <si>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</si>
  <si>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</si>
  <si>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</si>
  <si>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</si>
  <si>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</si>
  <si>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</si>
  <si>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</si>
  <si>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</si>
  <si>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</si>
  <si>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</si>
  <si>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</si>
  <si>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</si>
  <si>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</si>
  <si>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</si>
  <si>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</si>
  <si>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</si>
  <si>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</si>
  <si>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</si>
  <si>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</si>
  <si>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</si>
  <si>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</si>
  <si>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</si>
  <si>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</si>
  <si>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</si>
  <si>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</si>
  <si>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</si>
  <si>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</si>
  <si>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</si>
  <si>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</si>
  <si>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</si>
  <si>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</si>
  <si>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</si>
  <si>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</si>
  <si>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</si>
  <si>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</si>
  <si>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</si>
  <si>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</si>
  <si>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</si>
  <si>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</si>
  <si>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</si>
  <si>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</si>
  <si>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</si>
  <si>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</si>
  <si>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</si>
  <si>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</si>
  <si>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</si>
  <si>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</si>
  <si>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</si>
  <si>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</si>
  <si>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</si>
  <si>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</si>
  <si>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</si>
  <si>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</si>
  <si>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</si>
  <si>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</si>
  <si>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</si>
  <si>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</si>
  <si>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</si>
  <si>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</si>
  <si>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</si>
  <si>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</si>
  <si>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</si>
  <si>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</si>
  <si>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</si>
  <si>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</si>
  <si>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</si>
  <si>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</si>
  <si>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</si>
  <si>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</si>
  <si>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</si>
  <si>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</si>
  <si>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</si>
  <si>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</si>
  <si>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</si>
  <si>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</si>
  <si>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</si>
  <si>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</si>
  <si>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</si>
  <si>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</si>
  <si>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</si>
  <si>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</si>
  <si>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</si>
  <si>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</si>
  <si>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</si>
  <si>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</si>
  <si>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</si>
  <si>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</si>
  <si>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</si>
  <si>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</si>
  <si>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</si>
  <si>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</si>
  <si>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</si>
  <si>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</si>
  <si>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</si>
  <si>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</si>
  <si>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</si>
  <si>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</si>
  <si>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</si>
  <si>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</si>
  <si>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</si>
  <si>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</si>
  <si>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</si>
  <si>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</si>
  <si>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</si>
  <si>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</si>
  <si>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</si>
  <si>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</si>
  <si>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</si>
  <si>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</si>
  <si>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</si>
  <si>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</si>
  <si>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</si>
  <si>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</si>
  <si>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</si>
  <si>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</si>
  <si>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</si>
  <si>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</si>
  <si>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</si>
  <si>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</si>
  <si>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</si>
  <si>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</si>
  <si>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</si>
  <si>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</si>
  <si>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</si>
  <si>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</si>
  <si>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</si>
  <si>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</si>
  <si>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</si>
  <si>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</si>
  <si>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</si>
  <si>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</si>
  <si>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</si>
  <si>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</si>
  <si>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</si>
  <si>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</si>
  <si>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</si>
  <si>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</si>
  <si>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</si>
  <si>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</si>
  <si>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</si>
  <si>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</si>
  <si>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</si>
  <si>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</si>
  <si>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</si>
  <si>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</si>
  <si>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</si>
  <si>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</si>
  <si>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</si>
  <si>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</si>
  <si>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</si>
  <si>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</si>
  <si>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</si>
  <si>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</si>
  <si>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</si>
  <si>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</si>
  <si>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</si>
  <si>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</si>
  <si>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</si>
  <si>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</si>
  <si>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</si>
  <si>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</si>
  <si>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</si>
  <si>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</si>
  <si>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</si>
  <si>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</si>
  <si>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</si>
  <si>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</si>
  <si>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</si>
  <si>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</si>
  <si>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</si>
  <si>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</si>
  <si>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</si>
  <si>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</si>
  <si>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</si>
  <si>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</si>
  <si>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</si>
  <si>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</si>
  <si>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</si>
  <si>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</si>
  <si>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</si>
  <si>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</si>
  <si>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</si>
  <si>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</si>
  <si>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</si>
  <si>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</si>
  <si>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</si>
  <si>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</si>
  <si>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</si>
  <si>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</si>
  <si>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</si>
  <si>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</si>
  <si>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</si>
  <si>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</si>
  <si>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</si>
  <si>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</si>
  <si>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</si>
  <si>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</si>
  <si>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</si>
  <si>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</si>
  <si>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</si>
  <si>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</si>
  <si>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</si>
  <si>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</si>
  <si>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</si>
  <si>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</si>
  <si>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</si>
  <si>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</si>
  <si>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</si>
  <si>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</si>
  <si>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</si>
  <si>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</si>
  <si>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</si>
  <si>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</si>
  <si>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</si>
  <si>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</si>
  <si>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</si>
  <si>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</si>
  <si>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</si>
  <si>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</si>
  <si>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</si>
  <si>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</si>
  <si>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</si>
  <si>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</si>
  <si>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</si>
  <si>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</si>
  <si>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</si>
  <si>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</si>
  <si>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</si>
  <si>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</si>
  <si>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</si>
  <si>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</si>
  <si>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</si>
  <si>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</si>
  <si>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</si>
  <si>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</si>
  <si>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</si>
  <si>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</si>
  <si>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</si>
  <si>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</si>
  <si>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</si>
  <si>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</si>
  <si>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</si>
  <si>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</si>
  <si>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</si>
  <si>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</si>
  <si>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</si>
  <si>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</si>
  <si>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</si>
  <si>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</si>
  <si>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</si>
  <si>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</si>
  <si>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</si>
  <si>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</si>
  <si>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</si>
  <si>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</si>
  <si>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</si>
  <si>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</si>
  <si>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</si>
  <si>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</si>
  <si>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</si>
  <si>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</si>
  <si>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</si>
  <si>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</si>
  <si>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</si>
  <si>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</si>
  <si>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</si>
  <si>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</si>
  <si>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</si>
  <si>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</si>
  <si>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</si>
  <si>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</si>
  <si>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</si>
  <si>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</si>
  <si>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</si>
  <si>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</si>
  <si>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</si>
  <si>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</si>
  <si>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</si>
  <si>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</si>
  <si>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</si>
  <si>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</si>
  <si>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</si>
  <si>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</si>
  <si>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</si>
  <si>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</si>
  <si>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</si>
  <si>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</si>
  <si>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</si>
  <si>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</si>
  <si>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</si>
  <si>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</si>
  <si>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</si>
  <si>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</si>
  <si>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</si>
  <si>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</si>
  <si>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</si>
  <si>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</si>
  <si>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</si>
  <si>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</si>
  <si>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</si>
  <si>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</si>
  <si>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</si>
  <si>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</si>
  <si>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</si>
  <si>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</si>
  <si>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</si>
  <si>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</si>
  <si>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</si>
  <si>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</si>
  <si>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</si>
  <si>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</si>
  <si>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</si>
  <si>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</si>
  <si>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</si>
  <si>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</si>
  <si>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</si>
  <si>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</si>
  <si>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</si>
  <si>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</si>
  <si>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</si>
  <si>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</si>
  <si>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</si>
  <si>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</si>
  <si>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</si>
  <si>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</si>
  <si>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</si>
  <si>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</si>
  <si>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</si>
  <si>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</si>
  <si>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</si>
  <si>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</si>
  <si>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</si>
  <si>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</si>
  <si>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</si>
  <si>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</si>
  <si>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</si>
  <si>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</si>
  <si>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</si>
  <si>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</si>
  <si>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</si>
  <si>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</si>
  <si>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</si>
  <si>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</si>
  <si>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</si>
  <si>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</si>
  <si>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</si>
  <si>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</si>
  <si>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</si>
  <si>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</si>
  <si>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</si>
  <si>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</si>
  <si>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</si>
  <si>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</si>
  <si>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</si>
  <si>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</si>
  <si>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</si>
  <si>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</si>
  <si>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</si>
  <si>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</si>
  <si>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</si>
  <si>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</si>
  <si>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</si>
  <si>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</si>
  <si>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</si>
  <si>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</si>
  <si>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</si>
  <si>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</si>
  <si>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</si>
  <si>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</si>
  <si>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</si>
  <si>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</si>
  <si>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</si>
  <si>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</si>
  <si>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</si>
  <si>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</si>
  <si>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</si>
  <si>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</si>
  <si>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</si>
  <si>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</si>
  <si>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</si>
  <si>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</si>
  <si>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</si>
  <si>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</si>
  <si>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</si>
  <si>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</si>
  <si>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</si>
  <si>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</si>
  <si>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</si>
  <si>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</si>
  <si>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</si>
  <si>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</si>
  <si>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</si>
  <si>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</si>
  <si>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</si>
  <si>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</si>
  <si>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</si>
  <si>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</si>
  <si>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</si>
  <si>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</si>
  <si>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</si>
  <si>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</si>
  <si>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</si>
  <si>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</si>
  <si>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</si>
  <si>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</si>
  <si>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</si>
  <si>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</si>
  <si>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</si>
  <si>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</si>
  <si>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</si>
  <si>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</si>
  <si>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</si>
  <si>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</si>
  <si>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</si>
  <si>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</si>
  <si>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</si>
  <si>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</si>
  <si>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</si>
  <si>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</si>
  <si>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</si>
  <si>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</si>
  <si>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</si>
  <si>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</si>
  <si>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</si>
  <si>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</si>
  <si>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</si>
  <si>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</si>
  <si>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</si>
  <si>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</si>
  <si>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</si>
  <si>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</si>
  <si>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</si>
  <si>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</si>
  <si>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</si>
  <si>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</si>
  <si>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</si>
  <si>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</si>
  <si>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</si>
  <si>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</si>
  <si>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</si>
  <si>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</si>
  <si>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</si>
  <si>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</si>
  <si>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</si>
  <si>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</si>
  <si>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</si>
  <si>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</si>
  <si>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</si>
  <si>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</si>
  <si>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</si>
  <si>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</si>
  <si>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</si>
  <si>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</si>
  <si>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</si>
  <si>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</si>
  <si>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</si>
  <si>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</si>
  <si>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</si>
  <si>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</si>
  <si>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</si>
  <si>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</si>
  <si>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</si>
  <si>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</si>
  <si>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</si>
  <si>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</si>
  <si>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</si>
  <si>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</si>
  <si>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</si>
  <si>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</si>
  <si>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</si>
  <si>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</si>
  <si>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</si>
  <si>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</si>
  <si>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</si>
  <si>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</si>
  <si>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</si>
  <si>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</si>
  <si>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</si>
  <si>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</si>
  <si>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</si>
  <si>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</si>
  <si>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</si>
  <si>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</si>
  <si>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</si>
  <si>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</si>
  <si>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</si>
  <si>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</si>
  <si>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</si>
  <si>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</si>
  <si>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</si>
  <si>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</si>
  <si>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</si>
  <si>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</si>
  <si>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</si>
  <si>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</si>
  <si>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</si>
  <si>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</si>
  <si>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</si>
  <si>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</si>
  <si>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</si>
  <si>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</si>
  <si>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</si>
  <si>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</si>
  <si>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</si>
  <si>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</si>
  <si>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</si>
  <si>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</si>
  <si>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</si>
  <si>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</si>
  <si>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</si>
  <si>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</si>
  <si>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</si>
  <si>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</si>
  <si>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</si>
  <si>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</si>
  <si>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</si>
  <si>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</si>
  <si>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</si>
  <si>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</si>
  <si>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</si>
  <si>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</si>
  <si>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</si>
  <si>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</si>
  <si>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</si>
  <si>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</si>
  <si>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</si>
  <si>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</si>
  <si>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</si>
  <si>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</si>
  <si>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</si>
  <si>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</si>
  <si>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</si>
  <si>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</si>
  <si>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</si>
  <si>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</si>
  <si>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</si>
  <si>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</si>
  <si>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</si>
  <si>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</si>
  <si>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</si>
  <si>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</si>
  <si>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</si>
  <si>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</si>
  <si>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</si>
  <si>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</si>
  <si>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</si>
  <si>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</si>
  <si>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</si>
  <si>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</si>
  <si>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</si>
  <si>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</si>
  <si>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</si>
  <si>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</si>
  <si>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</si>
  <si>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</si>
  <si>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</si>
  <si>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</si>
  <si>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</si>
  <si>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</si>
  <si>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</si>
  <si>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</si>
  <si>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</si>
  <si>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</si>
  <si>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</si>
  <si>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</si>
  <si>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</si>
  <si>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</si>
  <si>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</si>
  <si>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</si>
  <si>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</si>
  <si>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</si>
  <si>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</si>
  <si>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</si>
  <si>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</si>
  <si>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WINEP / NEP  Investigations (Frequently Spilling Storm Overflows)</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</si>
  <si>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</si>
  <si>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</si>
  <si>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</si>
  <si>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</si>
  <si>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</si>
  <si>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</si>
  <si>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</si>
  <si>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</si>
  <si>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</si>
  <si>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</si>
  <si>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</si>
  <si>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</si>
  <si>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</si>
  <si>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</si>
  <si>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</si>
  <si>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</si>
  <si>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</si>
  <si>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</si>
  <si>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</si>
  <si>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</si>
  <si>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</si>
  <si>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</si>
  <si>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</si>
  <si>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</si>
  <si>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</si>
  <si>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</si>
  <si>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</si>
  <si>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</si>
  <si>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</si>
  <si>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</si>
  <si>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</si>
  <si>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</si>
  <si>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</si>
  <si>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</si>
  <si>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</si>
  <si>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</si>
  <si>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</si>
  <si>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</si>
  <si>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</si>
  <si>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</si>
  <si>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</si>
  <si>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</si>
  <si>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</si>
  <si>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</si>
  <si>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</si>
  <si>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</si>
  <si>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</si>
  <si>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</si>
  <si>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</si>
  <si>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</si>
  <si>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</si>
  <si>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</si>
  <si>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Living with Water</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</si>
  <si>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</si>
  <si>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</si>
  <si>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</si>
  <si>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</si>
  <si>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</si>
  <si>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</si>
  <si>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</si>
  <si>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</si>
  <si>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</si>
  <si>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</si>
  <si>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</si>
  <si>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</si>
  <si>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</si>
  <si>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</si>
  <si>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</si>
  <si>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</si>
  <si>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</si>
  <si>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</si>
  <si>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</si>
  <si>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</si>
  <si>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</si>
  <si>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</si>
  <si>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</si>
  <si>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</si>
  <si>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</si>
  <si>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</si>
  <si>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</si>
  <si>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</si>
  <si>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</si>
  <si>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</si>
  <si>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</si>
  <si>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</si>
  <si>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</si>
  <si>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</si>
  <si>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</si>
  <si>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</si>
  <si>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</si>
  <si>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</si>
  <si>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</si>
  <si>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</si>
  <si>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</si>
  <si>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</si>
  <si>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</si>
  <si>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</si>
  <si>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</si>
  <si>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</si>
  <si>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</si>
  <si>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</si>
  <si>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</si>
  <si>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</si>
  <si>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</si>
  <si>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</si>
  <si>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</si>
  <si>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</si>
  <si>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</si>
  <si>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</si>
  <si>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</si>
  <si>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</si>
  <si>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</si>
  <si>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</si>
  <si>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</si>
  <si>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</si>
  <si>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</si>
  <si>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</si>
  <si>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</si>
  <si>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</si>
  <si>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</si>
  <si>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</si>
  <si>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</si>
  <si>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</si>
  <si>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</si>
  <si>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</si>
  <si>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</si>
  <si>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</si>
  <si>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</si>
  <si>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</si>
  <si>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</si>
  <si>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</si>
  <si>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</si>
  <si>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</si>
  <si>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</si>
  <si>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</si>
  <si>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</si>
  <si>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</si>
  <si>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</si>
  <si>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</si>
  <si>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</si>
  <si>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</si>
  <si>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</si>
  <si>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</si>
  <si>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</si>
  <si>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</si>
  <si>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</si>
  <si>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</si>
  <si>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</si>
  <si>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</si>
  <si>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</si>
  <si>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</si>
  <si>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</si>
  <si>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</si>
  <si>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</si>
  <si>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</si>
  <si>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</si>
  <si>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</si>
  <si>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</si>
  <si>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</si>
  <si>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</si>
  <si>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</si>
  <si>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</si>
  <si>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</si>
  <si>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</si>
  <si>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</si>
  <si>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</si>
  <si>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</si>
  <si>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</si>
  <si>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</si>
  <si>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</si>
  <si>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</si>
  <si>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</si>
  <si>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</si>
  <si>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</si>
  <si>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</si>
  <si>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</si>
  <si>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</si>
  <si>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</si>
  <si>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</si>
  <si>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</si>
  <si>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</si>
  <si>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</si>
  <si>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</si>
  <si>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</si>
  <si>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</si>
  <si>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</si>
  <si>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</si>
  <si>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</si>
  <si>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</si>
  <si>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</si>
  <si>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</si>
  <si>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</si>
  <si>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</si>
  <si>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</si>
  <si>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</si>
  <si>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</si>
  <si>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</si>
  <si>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</si>
  <si>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</si>
  <si>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</si>
  <si>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</si>
  <si>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</si>
  <si>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</si>
  <si>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</si>
  <si>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</si>
  <si>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</si>
  <si>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</si>
  <si>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</si>
  <si>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</si>
  <si>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</si>
  <si>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</si>
  <si>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</si>
  <si>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</si>
  <si>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</si>
  <si>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</si>
  <si>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</si>
  <si>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</si>
  <si>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</si>
  <si>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</si>
  <si>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</si>
  <si>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</si>
  <si>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</si>
  <si>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</si>
  <si>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</si>
  <si>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</si>
  <si>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</si>
  <si>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</si>
  <si>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</si>
  <si>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</si>
  <si>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</si>
  <si>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</si>
  <si>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</si>
  <si>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</si>
  <si>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</si>
  <si>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</si>
  <si>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</si>
  <si>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</si>
  <si>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</si>
  <si>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</si>
  <si>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</si>
  <si>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</si>
  <si>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</si>
  <si>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</si>
  <si>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</si>
  <si>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</si>
  <si>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</si>
  <si>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</si>
  <si>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</si>
  <si>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</si>
  <si>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</si>
  <si>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</si>
  <si>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</si>
  <si>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</si>
  <si>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</si>
  <si>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</si>
  <si>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</si>
  <si>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</si>
  <si>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</si>
  <si>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</si>
  <si>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</si>
  <si>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</si>
  <si>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</si>
  <si>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</si>
  <si>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</si>
  <si>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</si>
  <si>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</si>
  <si>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</si>
  <si>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</si>
  <si>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</si>
  <si>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</si>
  <si>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</si>
  <si>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</si>
  <si>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</si>
  <si>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</si>
  <si>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</si>
  <si>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</si>
  <si>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</si>
  <si>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</si>
  <si>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</si>
  <si>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</si>
  <si>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</si>
  <si>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</si>
  <si>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</si>
  <si>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</si>
  <si>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</si>
  <si>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</si>
  <si>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</si>
  <si>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</si>
  <si>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</si>
  <si>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</si>
  <si>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</si>
  <si>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</si>
  <si>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</si>
  <si>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</si>
  <si>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</si>
  <si>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</si>
  <si>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</si>
  <si>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</si>
  <si>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</si>
  <si>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</si>
  <si>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</si>
  <si>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</si>
  <si>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</si>
  <si>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</si>
  <si>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</si>
  <si>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</si>
  <si>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</si>
  <si>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</si>
  <si>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</si>
  <si>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</si>
  <si>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</si>
  <si>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</si>
  <si>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</si>
  <si>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</si>
  <si>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</si>
  <si>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</si>
  <si>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</si>
  <si>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</si>
  <si>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</si>
  <si>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</si>
  <si>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</si>
  <si>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</si>
  <si>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</si>
  <si>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</si>
  <si>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</si>
  <si>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</si>
  <si>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</si>
  <si>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</si>
  <si>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</si>
  <si>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</si>
  <si>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</si>
  <si>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</si>
  <si>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</si>
  <si>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</si>
  <si>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</si>
  <si>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</si>
  <si>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</si>
  <si>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</si>
  <si>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</si>
  <si>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</si>
  <si>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</si>
  <si>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</si>
  <si>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</si>
  <si>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</si>
  <si>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</si>
  <si>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</si>
  <si>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</si>
  <si>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</si>
  <si>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</si>
  <si>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</si>
  <si>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</si>
  <si>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</si>
  <si>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</si>
  <si>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</si>
  <si>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</si>
  <si>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</si>
  <si>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</si>
  <si>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</si>
  <si>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</si>
  <si>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</si>
  <si>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</si>
  <si>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</si>
  <si>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</si>
  <si>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</si>
  <si>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</si>
  <si>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</si>
  <si>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</si>
  <si>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</si>
  <si>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</si>
  <si>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</si>
  <si>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</si>
  <si>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</si>
  <si>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</si>
  <si>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</si>
  <si>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</si>
  <si>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</si>
  <si>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</si>
  <si>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</si>
  <si>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</si>
  <si>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</si>
  <si>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</si>
  <si>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</si>
  <si>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</si>
  <si>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</si>
  <si>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</si>
  <si>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</si>
  <si>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</si>
  <si>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</si>
  <si>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</si>
  <si>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</si>
  <si>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</si>
  <si>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</si>
  <si>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</si>
  <si>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</si>
  <si>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</si>
  <si>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</si>
  <si>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</si>
  <si>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</si>
  <si>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</si>
  <si>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</si>
  <si>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</si>
  <si>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</si>
  <si>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</si>
  <si>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</si>
  <si>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</si>
  <si>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</si>
  <si>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</si>
  <si>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</si>
  <si>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</si>
  <si>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</si>
  <si>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</si>
  <si>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</si>
  <si>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</si>
  <si>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</si>
  <si>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</si>
  <si>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</si>
  <si>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</si>
  <si>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</si>
  <si>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</si>
  <si>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</si>
  <si>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</si>
  <si>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</si>
  <si>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</si>
  <si>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</si>
  <si>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</si>
  <si>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</si>
  <si>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</si>
  <si>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</si>
  <si>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</si>
  <si>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</si>
  <si>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</si>
  <si>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</si>
  <si>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</si>
  <si>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</si>
  <si>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</si>
  <si>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</si>
  <si>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</si>
  <si>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</si>
  <si>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</si>
  <si>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</si>
  <si>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</si>
  <si>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</si>
  <si>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</si>
  <si>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</si>
  <si>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</si>
  <si>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</si>
  <si>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</si>
  <si>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</si>
  <si>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</si>
  <si>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</si>
  <si>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</si>
  <si>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</si>
  <si>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</si>
  <si>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</si>
  <si>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</si>
  <si>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</si>
  <si>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</si>
  <si>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</si>
  <si>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</si>
  <si>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</si>
  <si>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</si>
  <si>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</si>
  <si>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</si>
  <si>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</si>
  <si>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</si>
  <si>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</si>
  <si>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</si>
  <si>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</si>
  <si>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</si>
  <si>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</si>
  <si>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</si>
  <si>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</si>
  <si>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</si>
  <si>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</si>
  <si>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</si>
  <si>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</si>
  <si>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</si>
  <si>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</si>
  <si>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</si>
  <si>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</si>
  <si>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</si>
  <si>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</si>
  <si>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</si>
  <si>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</si>
  <si>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</si>
  <si>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</si>
  <si>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</si>
  <si>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</si>
  <si>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</si>
  <si>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</si>
  <si>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</si>
  <si>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</si>
  <si>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</si>
  <si>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</si>
  <si>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</si>
  <si>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</si>
  <si>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</si>
  <si>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</si>
  <si>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</si>
  <si>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</si>
  <si>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</si>
  <si>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</si>
  <si>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</si>
  <si>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</si>
  <si>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</si>
  <si>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</si>
  <si>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</si>
  <si>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</si>
  <si>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</si>
  <si>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</si>
  <si>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</si>
  <si>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</si>
  <si>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</si>
  <si>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</si>
  <si>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</si>
  <si>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</si>
  <si>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</si>
  <si>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</si>
  <si>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</si>
  <si>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</si>
  <si>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</si>
  <si>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</si>
  <si>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</si>
  <si>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</si>
  <si>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</si>
  <si>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</si>
  <si>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</si>
  <si>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</si>
  <si>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</si>
  <si>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</si>
  <si>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</si>
  <si>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</si>
  <si>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</si>
  <si>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</si>
  <si>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</si>
  <si>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</si>
  <si>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</si>
  <si>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</si>
  <si>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</si>
  <si>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</si>
  <si>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</si>
  <si>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</si>
  <si>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</si>
  <si>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</si>
  <si>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</si>
  <si>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</si>
  <si>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</si>
  <si>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</si>
  <si>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</si>
  <si>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</si>
  <si>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</si>
  <si>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</si>
  <si>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</si>
  <si>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</si>
  <si>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</si>
  <si>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</si>
  <si>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</si>
  <si>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</si>
  <si>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</si>
  <si>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</si>
  <si>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</si>
  <si>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</si>
  <si>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</si>
  <si>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</si>
  <si>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</si>
  <si>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</si>
  <si>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</si>
  <si>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</si>
  <si>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</si>
  <si>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</si>
  <si>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</si>
  <si>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</si>
  <si>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</si>
  <si>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</si>
  <si>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</si>
  <si>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</si>
  <si>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</si>
  <si>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</si>
  <si>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</si>
  <si>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</si>
  <si>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</si>
  <si>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</si>
  <si>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</si>
  <si>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</si>
  <si>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</si>
  <si>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</si>
  <si>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</si>
  <si>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</si>
  <si>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</si>
  <si>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</si>
  <si>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</si>
  <si>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</si>
  <si>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</si>
  <si>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</si>
  <si>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</si>
  <si>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</si>
  <si>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</si>
  <si>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</si>
  <si>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</si>
  <si>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</si>
  <si>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</si>
  <si>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</si>
  <si>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</si>
  <si>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</si>
  <si>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</si>
  <si>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</si>
  <si>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</si>
  <si>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</si>
  <si>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</si>
  <si>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</si>
  <si>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</si>
  <si>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</si>
  <si>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</si>
  <si>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</si>
  <si>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</si>
  <si>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</si>
  <si>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</si>
  <si>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</si>
  <si>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</si>
  <si>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</si>
  <si>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</si>
  <si>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</si>
  <si>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</si>
  <si>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</si>
  <si>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</si>
  <si>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</si>
  <si>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</si>
  <si>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</si>
  <si>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</si>
  <si>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</si>
  <si>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</si>
  <si>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</si>
  <si>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</si>
  <si>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</si>
  <si>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</si>
  <si>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</si>
  <si>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</si>
  <si>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</si>
  <si>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</si>
  <si>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</si>
  <si>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</si>
  <si>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</si>
  <si>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</si>
  <si>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</si>
  <si>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</si>
  <si>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</si>
  <si>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</si>
  <si>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</si>
  <si>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</si>
  <si>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</si>
  <si>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</si>
  <si>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</si>
  <si>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</si>
  <si>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</si>
  <si>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</si>
  <si>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</si>
  <si>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</si>
  <si>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</si>
  <si>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</si>
  <si>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</si>
  <si>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</si>
  <si>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</si>
  <si>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</si>
  <si>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</si>
  <si>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</si>
  <si>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</si>
  <si>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</si>
  <si>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</si>
  <si>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</si>
  <si>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</si>
  <si>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</si>
  <si>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</si>
  <si>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</si>
  <si>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</si>
  <si>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</si>
  <si>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</si>
  <si>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</si>
  <si>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</si>
  <si>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</si>
  <si>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</si>
  <si>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</si>
  <si>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</si>
  <si>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</si>
  <si>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</si>
  <si>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</si>
  <si>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</si>
  <si>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</si>
  <si>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</si>
  <si>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</si>
  <si>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</si>
  <si>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</si>
  <si>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</si>
  <si>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</si>
  <si>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</si>
  <si>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</si>
  <si>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</si>
  <si>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</si>
  <si>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</si>
  <si>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</si>
  <si>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</si>
  <si>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</si>
  <si>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</si>
  <si>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</si>
  <si>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</si>
  <si>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</si>
  <si>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</si>
  <si>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</si>
  <si>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</si>
  <si>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</si>
  <si>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</si>
  <si>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</si>
  <si>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</si>
  <si>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</si>
  <si>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</si>
  <si>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</si>
  <si>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</si>
  <si>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</si>
  <si>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</si>
  <si>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</si>
  <si>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</si>
  <si>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</si>
  <si>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</si>
  <si>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</si>
  <si>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</si>
  <si>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</si>
  <si>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</si>
  <si>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</si>
  <si>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</si>
  <si>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</si>
  <si>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</si>
  <si>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</si>
  <si>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</si>
  <si>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</si>
  <si>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</si>
  <si>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</si>
  <si>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</si>
  <si>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</si>
  <si>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</si>
  <si>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</si>
  <si>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</si>
  <si>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</si>
  <si>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</si>
  <si>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</si>
  <si>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</si>
  <si>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</si>
  <si>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</si>
  <si>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</si>
  <si>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</si>
  <si>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</si>
  <si>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</si>
  <si>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</si>
  <si>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</si>
  <si>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</si>
  <si>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</si>
  <si>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</si>
  <si>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</si>
  <si>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</si>
  <si>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</si>
  <si>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</si>
  <si>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</si>
  <si>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</si>
  <si>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</si>
  <si>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</si>
  <si>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</si>
  <si>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</si>
  <si>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</si>
  <si>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</si>
  <si>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</si>
  <si>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</si>
  <si>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</si>
  <si>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</si>
  <si>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</si>
  <si>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</si>
  <si>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</si>
  <si>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</si>
  <si>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</si>
  <si>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</si>
  <si>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</si>
  <si>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</si>
  <si>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</si>
  <si>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</si>
  <si>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</si>
  <si>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</si>
  <si>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</si>
  <si>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</si>
  <si>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</si>
  <si>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</si>
  <si>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</si>
  <si>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</si>
  <si>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</si>
  <si>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</si>
  <si>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</si>
  <si>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</si>
  <si>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</si>
  <si>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</si>
  <si>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</si>
  <si>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</si>
  <si>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</si>
  <si>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</si>
  <si>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</si>
  <si>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</si>
  <si>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</si>
  <si>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</si>
  <si>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</si>
  <si>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</si>
  <si>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</si>
  <si>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</si>
  <si>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</si>
  <si>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</si>
  <si>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</si>
  <si>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</si>
  <si>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</si>
  <si>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</si>
  <si>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</si>
  <si>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</si>
  <si>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</si>
  <si>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</si>
  <si>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</si>
  <si>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</si>
  <si>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</si>
  <si>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</si>
  <si>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</si>
  <si>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</si>
  <si>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</si>
  <si>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</si>
  <si>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</si>
  <si>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</si>
  <si>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</si>
  <si>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</si>
  <si>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</si>
  <si>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</si>
  <si>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</si>
  <si>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</si>
  <si>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</si>
  <si>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</si>
  <si>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</si>
  <si>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</si>
  <si>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</si>
  <si>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</si>
  <si>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</si>
  <si>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</si>
  <si>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</si>
  <si>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</si>
  <si>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</si>
  <si>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</si>
  <si>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</si>
  <si>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</si>
  <si>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</si>
  <si>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</si>
  <si>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</si>
  <si>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</si>
  <si>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</si>
  <si>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</si>
  <si>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</si>
  <si>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</si>
  <si>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</si>
  <si>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</si>
  <si>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</si>
  <si>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</si>
  <si>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</si>
  <si>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</si>
  <si>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</si>
  <si>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</si>
  <si>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</si>
  <si>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</si>
  <si>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</si>
  <si>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</si>
  <si>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</si>
  <si>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</si>
  <si>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</si>
  <si>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</si>
  <si>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</si>
  <si>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</si>
  <si>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</si>
  <si>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</si>
  <si>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</si>
  <si>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</si>
  <si>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</si>
  <si>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</si>
  <si>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</si>
  <si>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</si>
  <si>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</si>
  <si>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</si>
  <si>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</si>
  <si>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</si>
  <si>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</si>
  <si>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</si>
  <si>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</si>
  <si>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</si>
  <si>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</si>
  <si>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</si>
  <si>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</si>
  <si>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</si>
  <si>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</si>
  <si>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</si>
  <si>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</si>
  <si>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</si>
  <si>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</si>
  <si>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</si>
  <si>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</si>
  <si>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</si>
  <si>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</si>
  <si>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</si>
  <si>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</si>
  <si>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</si>
  <si>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</si>
  <si>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</si>
  <si>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</si>
  <si>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</si>
  <si>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</si>
  <si>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</si>
  <si>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</si>
  <si>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</si>
  <si>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</si>
  <si>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</si>
  <si>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</si>
  <si>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</si>
  <si>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</si>
  <si>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</si>
  <si>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</si>
  <si>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</si>
  <si>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</si>
  <si>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</si>
  <si>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</si>
  <si>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</si>
  <si>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</si>
  <si>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</si>
  <si>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</si>
  <si>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</si>
  <si>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</si>
  <si>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</si>
  <si>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</si>
  <si>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</si>
  <si>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</si>
  <si>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</si>
  <si>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</si>
  <si>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</si>
  <si>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</si>
  <si>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</si>
  <si>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</si>
  <si>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</si>
  <si>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</si>
  <si>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</si>
  <si>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</si>
  <si>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</si>
  <si>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</si>
  <si>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</si>
  <si>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</si>
  <si>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</si>
  <si>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</si>
  <si>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</si>
  <si>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</si>
  <si>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</si>
  <si>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</si>
  <si>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</si>
  <si>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</si>
  <si>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</si>
  <si>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</si>
  <si>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</si>
  <si>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</si>
  <si>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</si>
  <si>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</si>
  <si>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</si>
  <si>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</si>
  <si>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</si>
  <si>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</si>
  <si>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</si>
  <si>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</si>
  <si>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</si>
  <si>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</si>
  <si>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</si>
  <si>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</si>
  <si>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</si>
  <si>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</si>
  <si>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</si>
  <si>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</si>
  <si>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</si>
  <si>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</si>
  <si>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</si>
  <si>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</si>
  <si>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</si>
  <si>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</si>
  <si>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</si>
  <si>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</si>
  <si>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</si>
  <si>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</si>
  <si>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</si>
  <si>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</si>
  <si>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</si>
  <si>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</si>
  <si>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</si>
  <si>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</si>
  <si>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</si>
  <si>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</si>
  <si>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</si>
  <si>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</si>
  <si>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</si>
  <si>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</si>
  <si>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</si>
  <si>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</si>
  <si>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</si>
  <si>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</si>
  <si>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</si>
  <si>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</si>
  <si>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</si>
  <si>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</si>
  <si>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</si>
  <si>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</si>
  <si>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</si>
  <si>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</si>
  <si>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</si>
  <si>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</si>
  <si>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</si>
  <si>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</si>
  <si>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</si>
  <si>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</si>
  <si>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</si>
  <si>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</si>
  <si>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</si>
  <si>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</si>
  <si>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</si>
  <si>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</si>
  <si>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</si>
  <si>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</si>
  <si>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</si>
  <si>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</si>
  <si>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</si>
  <si>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</si>
  <si>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</si>
  <si>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</si>
  <si>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</si>
  <si>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</si>
  <si>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</si>
  <si>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</si>
  <si>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</si>
  <si>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</si>
  <si>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</si>
  <si>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</si>
  <si>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</si>
  <si>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</si>
  <si>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</si>
  <si>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</si>
  <si>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</si>
  <si>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</si>
  <si>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</si>
  <si>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</si>
  <si>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</si>
  <si>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</si>
  <si>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</si>
  <si>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</si>
  <si>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</si>
  <si>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</si>
  <si>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</si>
  <si>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</si>
  <si>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</si>
  <si>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</si>
  <si>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</si>
  <si>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</si>
  <si>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</si>
  <si>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</si>
  <si>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</si>
  <si>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</si>
  <si>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</si>
  <si>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</si>
  <si>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</si>
  <si>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</si>
  <si>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</si>
  <si>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</si>
  <si>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</si>
  <si>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</si>
  <si>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</si>
  <si>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</si>
  <si>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</si>
  <si>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</si>
  <si>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</si>
  <si>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</si>
  <si>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</si>
  <si>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</si>
  <si>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</si>
  <si>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</si>
  <si>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</si>
  <si>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</si>
  <si>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</si>
  <si>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</si>
  <si>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</si>
  <si>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</si>
  <si>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</si>
  <si>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</si>
  <si>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</si>
  <si>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</si>
  <si>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</si>
  <si>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</si>
  <si>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</si>
  <si>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</si>
  <si>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</si>
  <si>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</si>
  <si>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</si>
  <si>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</si>
  <si>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</si>
  <si>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</si>
  <si>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</si>
  <si>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</si>
  <si>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</si>
  <si>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</si>
  <si>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</si>
  <si>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</si>
  <si>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</si>
  <si>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</si>
  <si>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</si>
  <si>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</si>
  <si>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</si>
  <si>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</si>
  <si>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</si>
  <si>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</si>
  <si>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</si>
  <si>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</si>
  <si>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</si>
  <si>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</si>
  <si>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</si>
  <si>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</si>
  <si>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</si>
  <si>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</si>
  <si>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</si>
  <si>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</si>
  <si>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</si>
  <si>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</si>
  <si>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</si>
  <si>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</si>
  <si>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</si>
  <si>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</si>
  <si>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</si>
  <si>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</si>
  <si>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</si>
  <si>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</si>
  <si>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</si>
  <si>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</si>
  <si>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</si>
  <si>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</si>
  <si>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</si>
  <si>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</si>
  <si>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</si>
  <si>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</si>
  <si>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</si>
  <si>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</si>
  <si>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</si>
  <si>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</si>
  <si>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</si>
  <si>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</si>
  <si>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</si>
  <si>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</si>
  <si>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</si>
  <si>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</si>
  <si>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</si>
  <si>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</si>
  <si>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</si>
  <si>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</si>
  <si>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</si>
  <si>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</si>
  <si>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</si>
  <si>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</si>
  <si>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</si>
  <si>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</si>
  <si>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</si>
  <si>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</si>
  <si>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</si>
  <si>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</si>
  <si>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</si>
  <si>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</si>
  <si>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</si>
  <si>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</si>
  <si>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</si>
  <si>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</si>
  <si>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</si>
  <si>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</si>
  <si>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</si>
  <si>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</si>
  <si>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</si>
  <si>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</si>
  <si>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</si>
  <si>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</si>
  <si>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</si>
  <si>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</si>
  <si>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</si>
  <si>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</si>
  <si>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</si>
  <si>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</si>
  <si>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</si>
  <si>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</si>
  <si>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</si>
  <si>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</si>
  <si>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</si>
  <si>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</si>
  <si>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</si>
  <si>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</si>
  <si>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</si>
  <si>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</si>
  <si>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</si>
  <si>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</si>
  <si>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</si>
  <si>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</si>
  <si>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</si>
  <si>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</si>
  <si>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</si>
  <si>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</si>
  <si>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</si>
  <si>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</si>
  <si>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</si>
  <si>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</si>
  <si>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</si>
  <si>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</si>
  <si>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</si>
  <si>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</si>
  <si>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</si>
  <si>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</si>
  <si>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</si>
  <si>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</si>
  <si>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</si>
  <si>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</si>
  <si>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</si>
  <si>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</si>
  <si>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</si>
  <si>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</si>
  <si>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</si>
  <si>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</si>
  <si>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</si>
  <si>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</si>
  <si>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</si>
  <si>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</si>
  <si>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</si>
  <si>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</si>
  <si>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</si>
  <si>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</si>
  <si>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</si>
  <si>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</si>
  <si>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</si>
  <si>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</si>
  <si>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</si>
  <si>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</si>
  <si>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</si>
  <si>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</si>
  <si>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</si>
  <si>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</si>
  <si>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</si>
  <si>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</si>
  <si>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</si>
  <si>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</si>
  <si>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</si>
  <si>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</si>
  <si>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</si>
  <si>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</si>
  <si>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</si>
  <si>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</si>
  <si>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</si>
  <si>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</si>
  <si>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</si>
  <si>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</si>
  <si>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</si>
  <si>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</si>
  <si>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</si>
  <si>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</si>
  <si>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</si>
  <si>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</si>
  <si>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</si>
  <si>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</si>
  <si>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</si>
  <si>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</si>
  <si>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</si>
  <si>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</si>
  <si>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</si>
  <si>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</si>
  <si>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</si>
  <si>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</si>
  <si>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</si>
  <si>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</si>
  <si>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</si>
  <si>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</si>
  <si>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</si>
  <si>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</si>
  <si>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</si>
  <si>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</si>
  <si>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</si>
  <si>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</si>
  <si>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</si>
  <si>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</si>
  <si>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</si>
  <si>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</si>
  <si>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</si>
  <si>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</si>
  <si>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</si>
  <si>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Kelda Group Pension Plan (KGPP)</t>
  </si>
  <si>
    <t>4W.1</t>
  </si>
  <si>
    <t>TEMP_BON_642718</t>
  </si>
  <si>
    <t>TEMP_BON_8783761</t>
  </si>
  <si>
    <t>TEMP_BON_5124913</t>
  </si>
  <si>
    <t>Scheme status</t>
  </si>
  <si>
    <t>Closed to new members - Yes
Closed to the accrual of future defined benefits - No</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</si>
  <si>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</si>
  <si>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</si>
  <si>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</si>
  <si>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</si>
  <si>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</si>
  <si>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</si>
  <si>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</si>
  <si>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</si>
  <si>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</si>
  <si>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</si>
  <si>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</si>
  <si>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</si>
  <si>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</si>
  <si>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</si>
  <si>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</si>
  <si>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</si>
  <si>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</si>
  <si>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</si>
  <si>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</si>
  <si>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</si>
  <si>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</si>
  <si>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Nil - see notes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</si>
  <si>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</si>
  <si>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</si>
  <si>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</si>
  <si>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</si>
  <si>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</si>
  <si>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</si>
  <si>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</si>
  <si>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</si>
  <si>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</si>
  <si>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</si>
  <si>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</si>
  <si>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</si>
  <si>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</si>
  <si>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</si>
  <si>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</si>
  <si>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</si>
  <si>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</si>
  <si>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</si>
  <si>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</si>
  <si>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</si>
  <si>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</si>
  <si>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</si>
  <si>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</si>
  <si>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</si>
  <si>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</si>
  <si>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</si>
  <si>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</si>
  <si>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</si>
  <si>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</si>
  <si>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</si>
  <si>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Pre-retirement: Based on full gilt yield curve + 0.5% p.a.
Post-retirement: Based on full gilt yield curve + 0.5% p.a.</t>
  </si>
  <si>
    <t>4W.12</t>
  </si>
  <si>
    <t>TEMP_BON_958514</t>
  </si>
  <si>
    <t>TEMP_BON_2390837</t>
  </si>
  <si>
    <t>TEMP_BON_4133138</t>
  </si>
  <si>
    <t>Recovery plan (where applicable)</t>
  </si>
  <si>
    <t>Recovery Plan Structure</t>
  </si>
  <si>
    <t>n/a for this valuation period</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</si>
  <si>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</si>
  <si>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</si>
  <si>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</si>
  <si>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</si>
  <si>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</si>
  <si>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</si>
  <si>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</si>
  <si>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</si>
  <si>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</si>
  <si>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</si>
  <si>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</si>
  <si>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</si>
  <si>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</si>
  <si>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</si>
  <si>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</si>
  <si>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</si>
  <si>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</si>
  <si>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</si>
  <si>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</si>
  <si>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</si>
  <si>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</si>
  <si>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</si>
  <si>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</si>
  <si>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</si>
  <si>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</si>
  <si>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</si>
  <si>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</si>
  <si>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</si>
  <si>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</si>
  <si>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</si>
  <si>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</si>
  <si>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</si>
  <si>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</si>
  <si>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</si>
  <si>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</si>
  <si>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</si>
  <si>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</si>
  <si>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</si>
  <si>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</si>
  <si>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</si>
  <si>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</si>
  <si>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</si>
  <si>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</si>
  <si>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</si>
  <si>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</si>
  <si>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</si>
  <si>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</si>
  <si>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</si>
  <si>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</si>
  <si>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</si>
  <si>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</si>
  <si>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</si>
  <si>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</si>
  <si>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</si>
  <si>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</si>
  <si>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</si>
  <si>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</si>
  <si>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</si>
  <si>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</si>
  <si>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</si>
  <si>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</si>
  <si>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</si>
  <si>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</si>
  <si>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</si>
  <si>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</si>
  <si>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</si>
  <si>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</si>
  <si>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</si>
  <si>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</si>
  <si>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</si>
  <si>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</si>
  <si>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</si>
  <si>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</si>
  <si>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</si>
  <si>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</si>
  <si>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</si>
  <si>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</si>
  <si>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</si>
  <si>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</si>
  <si>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</si>
  <si>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</si>
  <si>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</si>
  <si>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</si>
  <si>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</si>
  <si>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</si>
  <si>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</si>
  <si>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</si>
  <si>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</si>
  <si>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</si>
  <si>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</si>
  <si>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</si>
  <si>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</si>
  <si>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</si>
  <si>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</si>
  <si>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</si>
  <si>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</si>
  <si>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5A.24</t>
  </si>
  <si>
    <t>Energy consumption - raw water abstraction</t>
  </si>
  <si>
    <t>B0009WRAVEC</t>
  </si>
  <si>
    <t>Total number of raw water abstraction imports</t>
  </si>
  <si>
    <t>5A.25</t>
  </si>
  <si>
    <t>Scammonden Agreement</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</si>
  <si>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</si>
  <si>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</si>
  <si>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</si>
  <si>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</si>
  <si>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</si>
  <si>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</si>
  <si>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</si>
  <si>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</si>
  <si>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</si>
  <si>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</si>
  <si>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</si>
  <si>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</si>
  <si>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</si>
  <si>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</si>
  <si>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</si>
  <si>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</si>
  <si>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</si>
  <si>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</si>
  <si>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</si>
  <si>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</si>
  <si>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</si>
  <si>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</si>
  <si>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</si>
  <si>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</si>
  <si>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</si>
  <si>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</si>
  <si>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</si>
  <si>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</si>
  <si>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</si>
  <si>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</si>
  <si>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</si>
  <si>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</si>
  <si>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</si>
  <si>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</si>
  <si>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</si>
  <si>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</si>
  <si>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</si>
  <si>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</si>
  <si>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</si>
  <si>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</si>
  <si>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</si>
  <si>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</si>
  <si>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</si>
  <si>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</si>
  <si>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</si>
  <si>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</si>
  <si>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</si>
  <si>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</si>
  <si>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</si>
  <si>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</si>
  <si>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</si>
  <si>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</si>
  <si>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</si>
  <si>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</si>
  <si>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</si>
  <si>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</si>
  <si>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</si>
  <si>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</si>
  <si>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</si>
  <si>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</si>
  <si>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</si>
  <si>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</si>
  <si>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</si>
  <si>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</si>
  <si>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</si>
  <si>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</si>
  <si>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</si>
  <si>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</si>
  <si>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</si>
  <si>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</si>
  <si>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</si>
  <si>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</si>
  <si>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</si>
  <si>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</si>
  <si>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</si>
  <si>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</si>
  <si>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</si>
  <si>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</si>
  <si>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</si>
  <si>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</si>
  <si>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</si>
  <si>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</si>
  <si>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</si>
  <si>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</si>
  <si>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</si>
  <si>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</si>
  <si>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</si>
  <si>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</si>
  <si>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</si>
  <si>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</si>
  <si>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</si>
  <si>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</si>
  <si>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</si>
  <si>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</si>
  <si>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</si>
  <si>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</si>
  <si>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</si>
  <si>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</si>
  <si>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</si>
  <si>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</si>
  <si>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</si>
  <si>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</si>
  <si>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</si>
  <si>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</si>
  <si>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</si>
  <si>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</si>
  <si>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</si>
  <si>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</si>
  <si>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</si>
  <si>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</si>
  <si>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</si>
  <si>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</si>
  <si>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</si>
  <si>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</si>
  <si>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</si>
  <si>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</si>
  <si>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</si>
  <si>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</si>
  <si>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</si>
  <si>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</si>
  <si>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</si>
  <si>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</si>
  <si>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</si>
  <si>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</si>
  <si>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</si>
  <si>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</si>
  <si>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</si>
  <si>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</si>
  <si>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</si>
  <si>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</si>
  <si>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</si>
  <si>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</si>
  <si>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</si>
  <si>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</si>
  <si>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</si>
  <si>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</si>
  <si>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</si>
  <si>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Ladybower</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</si>
  <si>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</si>
  <si>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</si>
  <si>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</si>
  <si>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</si>
  <si>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</si>
  <si>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</si>
  <si>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</si>
  <si>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</si>
  <si>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</si>
  <si>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</si>
  <si>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</si>
  <si>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</si>
  <si>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</si>
  <si>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</si>
  <si>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</si>
  <si>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</si>
  <si>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</si>
  <si>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</si>
  <si>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</si>
  <si>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</si>
  <si>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</si>
  <si>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</si>
  <si>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</si>
  <si>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</si>
  <si>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</si>
  <si>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</si>
  <si>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</si>
  <si>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</si>
  <si>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</si>
  <si>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</si>
  <si>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</si>
  <si>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</si>
  <si>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</si>
  <si>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</si>
  <si>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</si>
  <si>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</si>
  <si>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</si>
  <si>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</si>
  <si>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</si>
  <si>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</si>
  <si>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</si>
  <si>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</si>
  <si>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</si>
  <si>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</si>
  <si>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</si>
  <si>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</si>
  <si>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</si>
  <si>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</si>
  <si>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</si>
  <si>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</si>
  <si>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</si>
  <si>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</si>
  <si>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</si>
  <si>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</si>
  <si>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</si>
  <si>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</si>
  <si>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</si>
  <si>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</si>
  <si>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</si>
  <si>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</si>
  <si>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</si>
  <si>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</si>
  <si>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</si>
  <si>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</si>
  <si>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</si>
  <si>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</si>
  <si>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</si>
  <si>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</si>
  <si>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</si>
  <si>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</si>
  <si>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</si>
  <si>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</si>
  <si>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</si>
  <si>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</si>
  <si>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</si>
  <si>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</si>
  <si>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</si>
  <si>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</si>
  <si>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</si>
  <si>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</si>
  <si>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</si>
  <si>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</si>
  <si>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</si>
  <si>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</si>
  <si>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</si>
  <si>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</si>
  <si>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</si>
  <si>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</si>
  <si>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</si>
  <si>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</si>
  <si>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</si>
  <si>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</si>
  <si>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</si>
  <si>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</si>
  <si>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</si>
  <si>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</si>
  <si>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</si>
  <si>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</si>
  <si>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</si>
  <si>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</si>
  <si>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</si>
  <si>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</si>
  <si>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</si>
  <si>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</si>
  <si>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</si>
  <si>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</si>
  <si>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</si>
  <si>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</si>
  <si>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</si>
  <si>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</si>
  <si>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</si>
  <si>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</si>
  <si>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</si>
  <si>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</si>
  <si>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</si>
  <si>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</si>
  <si>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Scheme delivered on-target = Sladen Valley WTW</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</si>
  <si>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</si>
  <si>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</si>
  <si>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</si>
  <si>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</si>
  <si>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</si>
  <si>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</si>
  <si>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</si>
  <si>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</si>
  <si>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</si>
  <si>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</si>
  <si>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</si>
  <si>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</si>
  <si>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</si>
  <si>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</si>
  <si>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</si>
  <si>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</si>
  <si>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</si>
  <si>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</si>
  <si>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</si>
  <si>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</si>
  <si>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</si>
  <si>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</si>
  <si>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</si>
  <si>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</si>
  <si>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</si>
  <si>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</si>
  <si>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</si>
  <si>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</si>
  <si>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</si>
  <si>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</si>
  <si>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</si>
  <si>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</si>
  <si>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</si>
  <si>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</si>
  <si>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</si>
  <si>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</si>
  <si>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</si>
  <si>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</si>
  <si>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</si>
  <si>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</si>
  <si>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</si>
  <si>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</si>
  <si>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</si>
  <si>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</si>
  <si>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</si>
  <si>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</si>
  <si>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</si>
  <si>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</si>
  <si>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</si>
  <si>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</si>
  <si>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</si>
  <si>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</si>
  <si>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</si>
  <si>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</si>
  <si>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</si>
  <si>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</si>
  <si>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</si>
  <si>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</si>
  <si>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</si>
  <si>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</si>
  <si>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</si>
  <si>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</si>
  <si>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</si>
  <si>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</si>
  <si>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</si>
  <si>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</si>
  <si>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</si>
  <si>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</si>
  <si>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</si>
  <si>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</si>
  <si>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</si>
  <si>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</si>
  <si>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</si>
  <si>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</si>
  <si>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</si>
  <si>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</si>
  <si>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</si>
  <si>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</si>
  <si>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</si>
  <si>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</si>
  <si>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</si>
  <si>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</si>
  <si>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</si>
  <si>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</si>
  <si>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</si>
  <si>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</si>
  <si>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</si>
  <si>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</si>
  <si>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</si>
  <si>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</si>
  <si>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</si>
  <si>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</si>
  <si>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</si>
  <si>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</si>
  <si>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</si>
  <si>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</si>
  <si>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</si>
  <si>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</si>
  <si>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</si>
  <si>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</si>
  <si>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</si>
  <si>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</si>
  <si>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</si>
  <si>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</si>
  <si>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</si>
  <si>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</si>
  <si>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</si>
  <si>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</si>
  <si>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</si>
  <si>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</si>
  <si>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</si>
  <si>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</si>
  <si>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</si>
  <si>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</si>
  <si>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</si>
  <si>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</si>
  <si>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</si>
  <si>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</si>
  <si>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6B.30</t>
  </si>
  <si>
    <t>Water balance - company level</t>
  </si>
  <si>
    <t>Measured household consumption (excluding supply pipe leakage)</t>
  </si>
  <si>
    <t>6B.31</t>
  </si>
  <si>
    <t>Measured residential consumption (excluding supply pipe leakage)</t>
  </si>
  <si>
    <t>Unmeasured household consumption (excluding supply pipe leakage)</t>
  </si>
  <si>
    <t>6B.32</t>
  </si>
  <si>
    <t>Unmeasured residential consumption (excluding supply pipe leakage)</t>
  </si>
  <si>
    <t>Measured non-household consumption (excluding supply pipe leakage)</t>
  </si>
  <si>
    <t>6B.33</t>
  </si>
  <si>
    <t>Measured business consumption (excluding supply pipe leakage)</t>
  </si>
  <si>
    <t>Unmeasured non-household consumption (excluding supply pipe leakage)</t>
  </si>
  <si>
    <t>6B.34</t>
  </si>
  <si>
    <t>Unmeasured business consumption (excluding supply pipe leakage)</t>
  </si>
  <si>
    <t>Total annual leakage</t>
  </si>
  <si>
    <t>6B.35</t>
  </si>
  <si>
    <t>BN2345A</t>
  </si>
  <si>
    <t>Distribution system operational use</t>
  </si>
  <si>
    <t>6B.36</t>
  </si>
  <si>
    <t>Water taken unbilled</t>
  </si>
  <si>
    <t>6B.37</t>
  </si>
  <si>
    <t>Distribution input</t>
  </si>
  <si>
    <t>6B.38</t>
  </si>
  <si>
    <t>Distribution input (pre-MLE)</t>
  </si>
  <si>
    <t>6B.39</t>
  </si>
  <si>
    <t>Water balance - region 1</t>
  </si>
  <si>
    <t>6B.40</t>
  </si>
  <si>
    <t>6B.41</t>
  </si>
  <si>
    <t>6B.42</t>
  </si>
  <si>
    <t>6B.43</t>
  </si>
  <si>
    <t>6B.44</t>
  </si>
  <si>
    <t>6B.45</t>
  </si>
  <si>
    <t>6B.46</t>
  </si>
  <si>
    <t>6B.47</t>
  </si>
  <si>
    <t>6B.48</t>
  </si>
  <si>
    <t>Water balance - region 2</t>
  </si>
  <si>
    <t>6B.49</t>
  </si>
  <si>
    <t>6B.50</t>
  </si>
  <si>
    <t>6B.51</t>
  </si>
  <si>
    <t>6B.52</t>
  </si>
  <si>
    <t>6B.53</t>
  </si>
  <si>
    <t>6B.54</t>
  </si>
  <si>
    <t>6B.55</t>
  </si>
  <si>
    <t>6B.56</t>
  </si>
  <si>
    <t>6B.57</t>
  </si>
  <si>
    <t>Components of total leakage (post MLE) - company level</t>
  </si>
  <si>
    <t>Leakage upstream of DMA</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</si>
  <si>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</si>
  <si>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</si>
  <si>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</si>
  <si>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</si>
  <si>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</si>
  <si>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</si>
  <si>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</si>
  <si>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</si>
  <si>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</si>
  <si>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</si>
  <si>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</si>
  <si>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</si>
  <si>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</si>
  <si>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</si>
  <si>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</si>
  <si>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</si>
  <si>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</si>
  <si>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</si>
  <si>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</si>
  <si>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</si>
  <si>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</si>
  <si>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</si>
  <si>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</si>
  <si>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Customer supply pipe losses – void unmeasured households</t>
  </si>
  <si>
    <t>6B.65</t>
  </si>
  <si>
    <t>Customer supply pipe losses – void measured non-households</t>
  </si>
  <si>
    <t>6B.66</t>
  </si>
  <si>
    <t>Customer supply pipe losses – void unmeasured non-households</t>
  </si>
  <si>
    <t>6B.67</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</si>
  <si>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</si>
  <si>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</si>
  <si>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</si>
  <si>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</si>
  <si>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</si>
  <si>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</si>
  <si>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</si>
  <si>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</si>
  <si>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</si>
  <si>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</si>
  <si>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</si>
  <si>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</si>
  <si>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</si>
  <si>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</si>
  <si>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</si>
  <si>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6B.75</t>
  </si>
  <si>
    <t>6B.76</t>
  </si>
  <si>
    <t>6B.77</t>
  </si>
  <si>
    <t>Components of total leakage (post MLE) - region 2</t>
  </si>
  <si>
    <t>6B.78</t>
  </si>
  <si>
    <t>BN20020_B</t>
  </si>
  <si>
    <t>6B.79</t>
  </si>
  <si>
    <t>BN20030_B</t>
  </si>
  <si>
    <t>6B.80</t>
  </si>
  <si>
    <t>BN20040_B</t>
  </si>
  <si>
    <t>6B.81</t>
  </si>
  <si>
    <t>BN20050_B</t>
  </si>
  <si>
    <t>6B.82</t>
  </si>
  <si>
    <t>BN20060_B</t>
  </si>
  <si>
    <t>6B.83</t>
  </si>
  <si>
    <t>BN20070_B</t>
  </si>
  <si>
    <t>6B.84</t>
  </si>
  <si>
    <t>6B.85</t>
  </si>
  <si>
    <t>6B.86</t>
  </si>
  <si>
    <t>6B.87</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</si>
  <si>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</si>
  <si>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</si>
  <si>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</si>
  <si>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</si>
  <si>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</si>
  <si>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</si>
  <si>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</si>
  <si>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</si>
  <si>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</si>
  <si>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</si>
  <si>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</si>
  <si>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</si>
  <si>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</si>
  <si>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</si>
  <si>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86.15 req/self-lay 19.4 other projects</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</si>
  <si>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</si>
  <si>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</si>
  <si>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</si>
  <si>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</si>
  <si>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</si>
  <si>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</si>
  <si>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</si>
  <si>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</si>
  <si>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</si>
  <si>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</si>
  <si>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</si>
  <si>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</si>
  <si>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</si>
  <si>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</si>
  <si>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</si>
  <si>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</si>
  <si>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</si>
  <si>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</si>
  <si>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</si>
  <si>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</si>
  <si>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</si>
  <si>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</si>
  <si>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</si>
  <si>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</si>
  <si>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</si>
  <si>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</si>
  <si>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</si>
  <si>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</si>
  <si>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</si>
  <si>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</si>
  <si>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</si>
  <si>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</si>
  <si>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</si>
  <si>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</si>
  <si>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</si>
  <si>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</si>
  <si>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</si>
  <si>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</si>
  <si>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</si>
  <si>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</si>
  <si>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</si>
  <si>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</si>
  <si>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</si>
  <si>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</si>
  <si>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</si>
  <si>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</si>
  <si>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</si>
  <si>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</si>
  <si>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</si>
  <si>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</si>
  <si>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</si>
  <si>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</si>
  <si>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</si>
  <si>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</si>
  <si>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</si>
  <si>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</si>
  <si>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</si>
  <si>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</si>
  <si>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</si>
  <si>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</si>
  <si>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</si>
  <si>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</si>
  <si>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</si>
  <si>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</si>
  <si>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</si>
  <si>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</si>
  <si>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</si>
  <si>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</si>
  <si>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</si>
  <si>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</si>
  <si>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</si>
  <si>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</si>
  <si>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</si>
  <si>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</si>
  <si>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</si>
  <si>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</si>
  <si>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</si>
  <si>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</si>
  <si>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</si>
  <si>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</si>
  <si>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</si>
  <si>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</si>
  <si>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</si>
  <si>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</si>
  <si>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</si>
  <si>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</si>
  <si>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</si>
  <si>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</si>
  <si>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</si>
  <si>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</si>
  <si>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</si>
  <si>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</si>
  <si>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</si>
  <si>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</si>
  <si>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</si>
  <si>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</si>
  <si>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</si>
  <si>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</si>
  <si>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</si>
  <si>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</si>
  <si>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</si>
  <si>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</si>
  <si>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</si>
  <si>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</si>
  <si>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</si>
  <si>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</si>
  <si>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</si>
  <si>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</si>
  <si>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</si>
  <si>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</si>
  <si>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</si>
  <si>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</si>
  <si>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</si>
  <si>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</si>
  <si>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</si>
  <si>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</si>
  <si>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</si>
  <si>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</si>
  <si>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</si>
  <si>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</si>
  <si>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</si>
  <si>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</si>
  <si>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</si>
  <si>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</si>
  <si>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</si>
  <si>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</si>
  <si>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</si>
  <si>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</si>
  <si>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</si>
  <si>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</si>
  <si>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</si>
  <si>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</si>
  <si>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</si>
  <si>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</si>
  <si>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</si>
  <si>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</si>
  <si>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</si>
  <si>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</si>
  <si>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</si>
  <si>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</si>
  <si>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</si>
  <si>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</si>
  <si>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</si>
  <si>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</si>
  <si>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</si>
  <si>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</si>
  <si>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</si>
  <si>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</si>
  <si>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</si>
  <si>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</si>
  <si>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</si>
  <si>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</si>
  <si>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</si>
  <si>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</si>
  <si>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</si>
  <si>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</si>
  <si>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</si>
  <si>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</si>
  <si>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</si>
  <si>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</si>
  <si>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</si>
  <si>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</si>
  <si>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</si>
  <si>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</si>
  <si>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</si>
  <si>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</si>
  <si>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Capex Maintain: 10.889
Capex Reducing: 11.615
Opex Maintain: 13.288
Opex Reducing: 22.314</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</si>
  <si>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</si>
  <si>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</si>
  <si>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</si>
  <si>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</si>
  <si>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</si>
  <si>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</si>
  <si>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</si>
  <si>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</si>
  <si>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</si>
  <si>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</si>
  <si>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</si>
  <si>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</si>
  <si>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</si>
  <si>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</si>
  <si>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</si>
  <si>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</si>
  <si>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</si>
  <si>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</si>
  <si>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</si>
  <si>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</si>
  <si>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</si>
  <si>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</si>
  <si>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</si>
  <si>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</si>
  <si>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</si>
  <si>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</si>
  <si>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2023-24</t>
  </si>
  <si>
    <t>2024-25</t>
  </si>
  <si>
    <t>After 2024-25</t>
  </si>
  <si>
    <t>Length</t>
  </si>
  <si>
    <t>Diameter</t>
  </si>
  <si>
    <t>Pipe material</t>
  </si>
  <si>
    <t>Pumping capacity installed</t>
  </si>
  <si>
    <t>Storage capacity installed</t>
  </si>
  <si>
    <t>Year</t>
  </si>
  <si>
    <t>mm</t>
  </si>
  <si>
    <t>Activity</t>
  </si>
  <si>
    <t>Catterick Borehole</t>
  </si>
  <si>
    <t>6F.1</t>
  </si>
  <si>
    <t>Brayton Borehole</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</si>
  <si>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</si>
  <si>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</si>
  <si>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</si>
  <si>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</si>
  <si>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</si>
  <si>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</si>
  <si>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</si>
  <si>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</si>
  <si>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</si>
  <si>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</si>
  <si>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</si>
  <si>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</si>
  <si>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</si>
  <si>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</si>
  <si>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</si>
  <si>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</si>
  <si>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</si>
  <si>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</si>
  <si>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</si>
  <si>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</si>
  <si>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</si>
  <si>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</si>
  <si>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</si>
  <si>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</si>
  <si>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</si>
  <si>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</si>
  <si>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</si>
  <si>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</si>
  <si>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</si>
  <si>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</si>
  <si>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</si>
  <si>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</si>
  <si>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</si>
  <si>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</si>
  <si>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</si>
  <si>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</si>
  <si>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</si>
  <si>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</si>
  <si>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</si>
  <si>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</si>
  <si>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</si>
  <si>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</si>
  <si>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</si>
  <si>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</si>
  <si>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</si>
  <si>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</si>
  <si>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</si>
  <si>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</si>
  <si>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</si>
  <si>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</si>
  <si>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</si>
  <si>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</si>
  <si>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</si>
  <si>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</si>
  <si>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</si>
  <si>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</si>
  <si>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</si>
  <si>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</si>
  <si>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</si>
  <si>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</si>
  <si>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</si>
  <si>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</si>
  <si>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</si>
  <si>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</si>
  <si>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</si>
  <si>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</si>
  <si>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</si>
  <si>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</si>
  <si>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</si>
  <si>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</si>
  <si>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</si>
  <si>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</si>
  <si>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</si>
  <si>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</si>
  <si>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</si>
  <si>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</si>
  <si>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</si>
  <si>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</si>
  <si>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</si>
  <si>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</si>
  <si>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</si>
  <si>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</si>
  <si>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</si>
  <si>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</si>
  <si>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</si>
  <si>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</si>
  <si>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</si>
  <si>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</si>
  <si>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</si>
  <si>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</si>
  <si>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</si>
  <si>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</si>
  <si>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</si>
  <si>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</si>
  <si>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</si>
  <si>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</si>
  <si>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</si>
  <si>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</si>
  <si>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</si>
  <si>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</si>
  <si>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</si>
  <si>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</si>
  <si>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</si>
  <si>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</si>
  <si>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</si>
  <si>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</si>
  <si>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</si>
  <si>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</si>
  <si>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</si>
  <si>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</si>
  <si>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</si>
  <si>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</si>
  <si>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</si>
  <si>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</si>
  <si>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</si>
  <si>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</si>
  <si>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</si>
  <si>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</si>
  <si>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</si>
  <si>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</si>
  <si>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</si>
  <si>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</si>
  <si>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</si>
  <si>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</si>
  <si>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</si>
  <si>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</si>
  <si>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</si>
  <si>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</si>
  <si>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</si>
  <si>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</si>
  <si>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</si>
  <si>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</si>
  <si>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</si>
  <si>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</si>
  <si>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</si>
  <si>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</si>
  <si>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</si>
  <si>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</si>
  <si>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</si>
  <si>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</si>
  <si>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</si>
  <si>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</si>
  <si>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</si>
  <si>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</si>
  <si>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</si>
  <si>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</si>
  <si>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</si>
  <si>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</si>
  <si>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</si>
  <si>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</si>
  <si>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</si>
  <si>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</si>
  <si>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</si>
  <si>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</si>
  <si>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</si>
  <si>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</si>
  <si>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</si>
  <si>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</si>
  <si>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</si>
  <si>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</si>
  <si>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</si>
  <si>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</si>
  <si>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</si>
  <si>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</si>
  <si>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</si>
  <si>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</si>
  <si>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</si>
  <si>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</si>
  <si>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</si>
  <si>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</si>
  <si>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</si>
  <si>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</si>
  <si>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</si>
  <si>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</si>
  <si>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</si>
  <si>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</si>
  <si>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</si>
  <si>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</si>
  <si>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</si>
  <si>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</si>
  <si>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</si>
  <si>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</si>
  <si>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</si>
  <si>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</si>
  <si>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</si>
  <si>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</si>
  <si>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</si>
  <si>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</si>
  <si>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</si>
  <si>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</si>
  <si>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</si>
  <si>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</si>
  <si>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</si>
  <si>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</si>
  <si>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</si>
  <si>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</si>
  <si>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</si>
  <si>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</si>
  <si>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</si>
  <si>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</si>
  <si>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</si>
  <si>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</si>
  <si>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</si>
  <si>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</si>
  <si>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</si>
  <si>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</si>
  <si>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</si>
  <si>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</si>
  <si>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</si>
  <si>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</si>
  <si>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</si>
  <si>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</si>
  <si>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</si>
  <si>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</si>
  <si>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</si>
  <si>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</si>
  <si>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</si>
  <si>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</si>
  <si>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</si>
  <si>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</si>
  <si>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</si>
  <si>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</si>
  <si>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</si>
  <si>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</si>
  <si>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</si>
  <si>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</si>
  <si>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</si>
  <si>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</si>
  <si>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</si>
  <si>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</si>
  <si>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</si>
  <si>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</si>
  <si>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</si>
  <si>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</si>
  <si>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</si>
  <si>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</si>
  <si>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</si>
  <si>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</si>
  <si>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</si>
  <si>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</si>
  <si>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</si>
  <si>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</si>
  <si>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</si>
  <si>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</si>
  <si>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</si>
  <si>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</si>
  <si>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</si>
  <si>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</si>
  <si>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</si>
  <si>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</si>
  <si>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</si>
  <si>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</si>
  <si>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</si>
  <si>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</si>
  <si>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</si>
  <si>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</si>
  <si>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</si>
  <si>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</si>
  <si>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</si>
  <si>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</si>
  <si>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</si>
  <si>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</si>
  <si>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</si>
  <si>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</si>
  <si>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</si>
  <si>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</si>
  <si>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</si>
  <si>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</si>
  <si>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</si>
  <si>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</si>
  <si>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</si>
  <si>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</si>
  <si>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</si>
  <si>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</si>
  <si>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</si>
  <si>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</si>
  <si>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</si>
  <si>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</si>
  <si>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</si>
  <si>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</si>
  <si>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</si>
  <si>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</si>
  <si>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</si>
  <si>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</si>
  <si>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</si>
  <si>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</si>
  <si>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</si>
  <si>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</si>
  <si>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</si>
  <si>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</si>
  <si>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</si>
  <si>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</si>
  <si>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</si>
  <si>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</si>
  <si>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</si>
  <si>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</si>
  <si>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</si>
  <si>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</si>
  <si>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</si>
  <si>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</si>
  <si>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</si>
  <si>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</si>
  <si>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</si>
  <si>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</si>
  <si>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</si>
  <si>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</si>
  <si>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</si>
  <si>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</si>
  <si>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</si>
  <si>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</si>
  <si>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</si>
  <si>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</si>
  <si>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</si>
  <si>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</si>
  <si>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</si>
  <si>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</si>
  <si>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</si>
  <si>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</si>
  <si>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</si>
  <si>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</si>
  <si>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</si>
  <si>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</si>
  <si>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</si>
  <si>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</si>
  <si>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</si>
  <si>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</si>
  <si>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</si>
  <si>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</si>
  <si>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</si>
  <si>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</si>
  <si>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</si>
  <si>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</si>
  <si>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</si>
  <si>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</si>
  <si>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</si>
  <si>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</si>
  <si>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</si>
  <si>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</si>
  <si>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</si>
  <si>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</si>
  <si>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</si>
  <si>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</si>
  <si>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</si>
  <si>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</si>
  <si>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</si>
  <si>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</si>
  <si>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</si>
  <si>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</si>
  <si>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</si>
  <si>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</si>
  <si>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</si>
  <si>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</si>
  <si>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</si>
  <si>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</si>
  <si>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</si>
  <si>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</si>
  <si>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</si>
  <si>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</si>
  <si>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</si>
  <si>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</si>
  <si>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</si>
  <si>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</si>
  <si>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</si>
  <si>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</si>
  <si>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</si>
  <si>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</si>
  <si>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</si>
  <si>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</si>
  <si>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</si>
  <si>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</si>
  <si>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</si>
  <si>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</si>
  <si>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</si>
  <si>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</si>
  <si>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</si>
  <si>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</si>
  <si>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</si>
  <si>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</si>
  <si>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</si>
  <si>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</si>
  <si>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</si>
  <si>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</si>
  <si>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</si>
  <si>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</si>
  <si>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</si>
  <si>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</si>
  <si>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</si>
  <si>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</si>
  <si>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</si>
  <si>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</si>
  <si>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</si>
  <si>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</si>
  <si>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</si>
  <si>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</si>
  <si>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</si>
  <si>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</si>
  <si>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</si>
  <si>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</si>
  <si>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</si>
  <si>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</si>
  <si>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</si>
  <si>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</si>
  <si>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</si>
  <si>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</si>
  <si>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</si>
  <si>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</si>
  <si>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</si>
  <si>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</si>
  <si>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</si>
  <si>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</si>
  <si>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</si>
  <si>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</si>
  <si>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</si>
  <si>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</si>
  <si>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</si>
  <si>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</si>
  <si>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</si>
  <si>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</si>
  <si>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</si>
  <si>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</si>
  <si>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</si>
  <si>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</si>
  <si>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</si>
  <si>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</si>
  <si>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</si>
  <si>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</si>
  <si>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</si>
  <si>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</si>
  <si>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</si>
  <si>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</si>
  <si>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</si>
  <si>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</si>
  <si>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</si>
  <si>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</si>
  <si>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</si>
  <si>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</si>
  <si>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</si>
  <si>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</si>
  <si>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</si>
  <si>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</si>
  <si>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</si>
  <si>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</si>
  <si>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</si>
  <si>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</si>
  <si>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</si>
  <si>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</si>
  <si>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</si>
  <si>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</si>
  <si>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</si>
  <si>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</si>
  <si>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</si>
  <si>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</si>
  <si>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</si>
  <si>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</si>
  <si>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</si>
  <si>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</si>
  <si>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</si>
  <si>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</si>
  <si>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</si>
  <si>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</si>
  <si>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</si>
  <si>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</si>
  <si>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</si>
  <si>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</si>
  <si>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</si>
  <si>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</si>
  <si>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</si>
  <si>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</si>
  <si>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</si>
  <si>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</si>
  <si>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</si>
  <si>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</si>
  <si>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</si>
  <si>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</si>
  <si>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</si>
  <si>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</si>
  <si>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</si>
  <si>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</si>
  <si>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</si>
  <si>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</si>
  <si>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</si>
  <si>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</si>
  <si>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</si>
  <si>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</si>
  <si>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</si>
  <si>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</si>
  <si>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</si>
  <si>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</si>
  <si>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</si>
  <si>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</si>
  <si>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</si>
  <si>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</si>
  <si>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</si>
  <si>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</si>
  <si>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</si>
  <si>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</si>
  <si>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</si>
  <si>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</si>
  <si>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</si>
  <si>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</si>
  <si>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</si>
  <si>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</si>
  <si>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</si>
  <si>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</si>
  <si>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</si>
  <si>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</si>
  <si>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</si>
  <si>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</si>
  <si>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</si>
  <si>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</si>
  <si>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</si>
  <si>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</si>
  <si>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</si>
  <si>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</si>
  <si>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</si>
  <si>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</si>
  <si>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</si>
  <si>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</si>
  <si>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</si>
  <si>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</si>
  <si>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</si>
  <si>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</si>
  <si>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</si>
  <si>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</si>
  <si>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</si>
  <si>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</si>
  <si>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</si>
  <si>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</si>
  <si>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</si>
  <si>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</si>
  <si>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</si>
  <si>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</si>
  <si>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</si>
  <si>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</si>
  <si>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</si>
  <si>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</si>
  <si>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</si>
  <si>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</si>
  <si>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</si>
  <si>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</si>
  <si>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</si>
  <si>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</si>
  <si>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</si>
  <si>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</si>
  <si>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</si>
  <si>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</si>
  <si>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</si>
  <si>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</si>
  <si>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</si>
  <si>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</si>
  <si>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</si>
  <si>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</si>
  <si>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</si>
  <si>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</si>
  <si>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</si>
  <si>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</si>
  <si>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</si>
  <si>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</si>
  <si>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</si>
  <si>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</si>
  <si>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</si>
  <si>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</si>
  <si>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</si>
  <si>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</si>
  <si>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</si>
  <si>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</si>
  <si>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</si>
  <si>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</si>
  <si>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</si>
  <si>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</si>
  <si>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</si>
  <si>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</si>
  <si>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</si>
  <si>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</si>
  <si>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</si>
  <si>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</si>
  <si>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</si>
  <si>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</si>
  <si>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</si>
  <si>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</si>
  <si>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</si>
  <si>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</si>
  <si>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</si>
  <si>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</si>
  <si>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</si>
  <si>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</si>
  <si>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</si>
  <si>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</si>
  <si>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</si>
  <si>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</si>
  <si>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</si>
  <si>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</si>
  <si>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</si>
  <si>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</si>
  <si>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</si>
  <si>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</si>
  <si>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</si>
  <si>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</si>
  <si>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</si>
  <si>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</si>
  <si>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</si>
  <si>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</si>
  <si>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</si>
  <si>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</si>
  <si>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</si>
  <si>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</si>
  <si>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</si>
  <si>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</si>
  <si>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</si>
  <si>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</si>
  <si>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</si>
  <si>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</si>
  <si>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</si>
  <si>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</si>
  <si>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</si>
  <si>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</si>
  <si>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</si>
  <si>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</si>
  <si>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</si>
  <si>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</si>
  <si>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</si>
  <si>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</si>
  <si>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</si>
  <si>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</si>
  <si>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</si>
  <si>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</si>
  <si>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</si>
  <si>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</si>
  <si>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</si>
  <si>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</si>
  <si>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</si>
  <si>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</si>
  <si>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</si>
  <si>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</si>
  <si>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</si>
  <si>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</si>
  <si>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</si>
  <si>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</si>
  <si>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</si>
  <si>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</si>
  <si>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</si>
  <si>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</si>
  <si>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</si>
  <si>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</si>
  <si>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</si>
  <si>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</si>
  <si>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</si>
  <si>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</si>
  <si>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</si>
  <si>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</si>
  <si>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</si>
  <si>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</si>
  <si>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</si>
  <si>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</si>
  <si>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</si>
  <si>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</si>
  <si>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</si>
  <si>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</si>
  <si>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</si>
  <si>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</si>
  <si>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</si>
  <si>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</si>
  <si>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</si>
  <si>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</si>
  <si>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</si>
  <si>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</si>
  <si>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</si>
  <si>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</si>
  <si>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</si>
  <si>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</si>
  <si>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</si>
  <si>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</si>
  <si>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</si>
  <si>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</si>
  <si>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</si>
  <si>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</si>
  <si>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</si>
  <si>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</si>
  <si>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</si>
  <si>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</si>
  <si>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</si>
  <si>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</si>
  <si>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</si>
  <si>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</si>
  <si>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</si>
  <si>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</si>
  <si>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</si>
  <si>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</si>
  <si>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</si>
  <si>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</si>
  <si>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</si>
  <si>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</si>
  <si>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</si>
  <si>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</si>
  <si>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</si>
  <si>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</si>
  <si>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</si>
  <si>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</si>
  <si>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</si>
  <si>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</si>
  <si>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</si>
  <si>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</si>
  <si>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</si>
  <si>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</si>
  <si>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</si>
  <si>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</si>
  <si>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</si>
  <si>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</si>
  <si>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</si>
  <si>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</si>
  <si>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</si>
  <si>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</si>
  <si>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</si>
  <si>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</si>
  <si>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</si>
  <si>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</si>
  <si>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</si>
  <si>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</si>
  <si>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</si>
  <si>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</si>
  <si>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</si>
  <si>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</si>
  <si>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</si>
  <si>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</si>
  <si>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</si>
  <si>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</si>
  <si>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</si>
  <si>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</si>
  <si>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</si>
  <si>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</si>
  <si>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</si>
  <si>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</si>
  <si>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</si>
  <si>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</si>
  <si>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</si>
  <si>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</si>
  <si>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</si>
  <si>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</si>
  <si>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</si>
  <si>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</si>
  <si>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S4033</t>
  </si>
  <si>
    <t>Additional effective storm storage capacity at sewage treatment works (green infrastructure)</t>
  </si>
  <si>
    <t>7E.12</t>
  </si>
  <si>
    <t>S4033N</t>
  </si>
  <si>
    <t>Additional volume of network storage at CSOs etc to reduce spill frequency (grey infrastructure)</t>
  </si>
  <si>
    <t>7E.13</t>
  </si>
  <si>
    <t>S4034</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</si>
  <si>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</si>
  <si>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</si>
  <si>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</si>
  <si>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</si>
  <si>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</si>
  <si>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</si>
  <si>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</si>
  <si>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</si>
  <si>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</si>
  <si>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</si>
  <si>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</si>
  <si>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</si>
  <si>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</si>
  <si>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</si>
  <si>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</si>
  <si>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</si>
  <si>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</si>
  <si>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</si>
  <si>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</si>
  <si>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</si>
  <si>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</si>
  <si>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</si>
  <si>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</si>
  <si>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</si>
  <si>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</si>
  <si>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</si>
  <si>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</si>
  <si>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</si>
  <si>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</si>
  <si>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</si>
  <si>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</si>
  <si>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</si>
  <si>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</si>
  <si>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</si>
  <si>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</si>
  <si>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</si>
  <si>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</si>
  <si>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</si>
  <si>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</si>
  <si>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</si>
  <si>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</si>
  <si>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</si>
  <si>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</si>
  <si>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</si>
  <si>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</si>
  <si>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</si>
  <si>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</si>
  <si>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</si>
  <si>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</si>
  <si>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</si>
  <si>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</si>
  <si>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</si>
  <si>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</si>
  <si>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</si>
  <si>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</si>
  <si>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</si>
  <si>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Leeming Bar</t>
  </si>
  <si>
    <t>7F.1</t>
  </si>
  <si>
    <t>Ackworth WwTW</t>
  </si>
  <si>
    <t>Ackworth</t>
  </si>
  <si>
    <t>7F.2</t>
  </si>
  <si>
    <t>Adwick No 2 STW</t>
  </si>
  <si>
    <t>Adwick No2</t>
  </si>
  <si>
    <t>7F.3</t>
  </si>
  <si>
    <t>Aldwarke WwTW</t>
  </si>
  <si>
    <t>Aldwarke</t>
  </si>
  <si>
    <t>7F.4</t>
  </si>
  <si>
    <t>BALBY STW</t>
  </si>
  <si>
    <t>Balby</t>
  </si>
  <si>
    <t>7F.5</t>
  </si>
  <si>
    <t>Bentley STW</t>
  </si>
  <si>
    <t>Bentley</t>
  </si>
  <si>
    <t>7F.6</t>
  </si>
  <si>
    <t>Bishop Wilton WwTW</t>
  </si>
  <si>
    <t>Bishop Wilton</t>
  </si>
  <si>
    <t>7F.7</t>
  </si>
  <si>
    <t>Blackburn Meadows</t>
  </si>
  <si>
    <t>7F.8</t>
  </si>
  <si>
    <t>Bolsover STW</t>
  </si>
  <si>
    <t>Bolsover</t>
  </si>
  <si>
    <t>7F.9</t>
  </si>
  <si>
    <t>BOLTON ON DEARNE</t>
  </si>
  <si>
    <t>Bolton on Dearne</t>
  </si>
  <si>
    <t>7F.10</t>
  </si>
  <si>
    <t>Bradford Esholt WwTW</t>
  </si>
  <si>
    <t>Bradford Esholt</t>
  </si>
  <si>
    <t>7F.11</t>
  </si>
  <si>
    <t>Caldervale</t>
  </si>
  <si>
    <t>7F.12</t>
  </si>
  <si>
    <t>Carleton STW</t>
  </si>
  <si>
    <t>Carleton</t>
  </si>
  <si>
    <t>7F.13</t>
  </si>
  <si>
    <t>Carthorpe WwTW</t>
  </si>
  <si>
    <t>Carthorpe</t>
  </si>
  <si>
    <t>7F.14</t>
  </si>
  <si>
    <t>Castleford WwTW</t>
  </si>
  <si>
    <t>Castleford</t>
  </si>
  <si>
    <t>7F.15</t>
  </si>
  <si>
    <t>Cheesebottom WwTW</t>
  </si>
  <si>
    <t>Cheesebottom</t>
  </si>
  <si>
    <t>7F.16</t>
  </si>
  <si>
    <t>Clayton West WwTW</t>
  </si>
  <si>
    <t>Clayton West</t>
  </si>
  <si>
    <t>7F.17</t>
  </si>
  <si>
    <t>Clifton STW</t>
  </si>
  <si>
    <t>Clifton</t>
  </si>
  <si>
    <t>7F.18</t>
  </si>
  <si>
    <t>Crofton STW</t>
  </si>
  <si>
    <t>Crofton</t>
  </si>
  <si>
    <t>7F.19</t>
  </si>
  <si>
    <t>Danesmoor STW</t>
  </si>
  <si>
    <t>Danesmoor</t>
  </si>
  <si>
    <t>7F.20</t>
  </si>
  <si>
    <t>Darton WwTW</t>
  </si>
  <si>
    <t>Darton</t>
  </si>
  <si>
    <t>7F.21</t>
  </si>
  <si>
    <t>Denaby WwTW</t>
  </si>
  <si>
    <t>Denaby</t>
  </si>
  <si>
    <t>7F.22</t>
  </si>
  <si>
    <t>Dewsbury WwTW</t>
  </si>
  <si>
    <t>Dewsbury</t>
  </si>
  <si>
    <t>7F.23</t>
  </si>
  <si>
    <t>Dishforth WwTW</t>
  </si>
  <si>
    <t>Dishforth</t>
  </si>
  <si>
    <t>7F.24</t>
  </si>
  <si>
    <t>Dowley Gap WwTW</t>
  </si>
  <si>
    <t>Dowley Gap</t>
  </si>
  <si>
    <t>7F.25</t>
  </si>
  <si>
    <t>Draughton WwTW</t>
  </si>
  <si>
    <t>Draughton</t>
  </si>
  <si>
    <t>7F.26</t>
  </si>
  <si>
    <t>Dronfield WwTW</t>
  </si>
  <si>
    <t>Dronfield</t>
  </si>
  <si>
    <t>7F.27</t>
  </si>
  <si>
    <t>East Marton WwTW</t>
  </si>
  <si>
    <t xml:space="preserve">East Marton </t>
  </si>
  <si>
    <t>7F.28</t>
  </si>
  <si>
    <t>Eastwood WwTW</t>
  </si>
  <si>
    <t>Eastwood</t>
  </si>
  <si>
    <t>7F.29</t>
  </si>
  <si>
    <t>Elmsall STW</t>
  </si>
  <si>
    <t>Elmsall</t>
  </si>
  <si>
    <t>7F.30</t>
  </si>
  <si>
    <t>EMBSAY STW</t>
  </si>
  <si>
    <t>Embsay</t>
  </si>
  <si>
    <t>7F.31</t>
  </si>
  <si>
    <t>Ewden (stocksbridge) WwTW</t>
  </si>
  <si>
    <t>Ewden (Stocksbridge)</t>
  </si>
  <si>
    <t>7F.32</t>
  </si>
  <si>
    <t>Garforth STW</t>
  </si>
  <si>
    <t>Garforth</t>
  </si>
  <si>
    <t>7F.33</t>
  </si>
  <si>
    <t>Grimethorpe STW</t>
  </si>
  <si>
    <t>Grimethorpe</t>
  </si>
  <si>
    <t>7F.34</t>
  </si>
  <si>
    <t>Halifax Copley WwTW</t>
  </si>
  <si>
    <t>Halifax Copley</t>
  </si>
  <si>
    <t>7F.35</t>
  </si>
  <si>
    <t>Harome WwTW -</t>
  </si>
  <si>
    <t>Harome</t>
  </si>
  <si>
    <t>7F.36</t>
  </si>
  <si>
    <t>Harrogate South WwTW</t>
  </si>
  <si>
    <t>Harrogate South</t>
  </si>
  <si>
    <t>7F.37</t>
  </si>
  <si>
    <t>HATFIELD WOODHOUSE STW</t>
  </si>
  <si>
    <t>Hatfield Woodhouse</t>
  </si>
  <si>
    <t>0 (transfer)</t>
  </si>
  <si>
    <t>7F.38</t>
  </si>
  <si>
    <t>High Royd STW</t>
  </si>
  <si>
    <t>High Royd</t>
  </si>
  <si>
    <t>7F.39</t>
  </si>
  <si>
    <t>Horbury WwTW</t>
  </si>
  <si>
    <t>Horbury</t>
  </si>
  <si>
    <t>7F.40</t>
  </si>
  <si>
    <t>Hoylandswaine WwTW</t>
  </si>
  <si>
    <t>Hoylandswaine</t>
  </si>
  <si>
    <t>7F.41</t>
  </si>
  <si>
    <t>Huddersfield Complex</t>
  </si>
  <si>
    <t>7F.42</t>
  </si>
  <si>
    <t>Ingbirchworth No2 WwTW</t>
  </si>
  <si>
    <t>Ingbirchworth no2</t>
  </si>
  <si>
    <t>7F.43</t>
  </si>
  <si>
    <t>KEIGHLEY MARLEY STW</t>
  </si>
  <si>
    <t>Keighley Marley</t>
  </si>
  <si>
    <t>7F.44</t>
  </si>
  <si>
    <t>Killinghall STW</t>
  </si>
  <si>
    <t>Killinghall</t>
  </si>
  <si>
    <t>7F.45</t>
  </si>
  <si>
    <t>KIRK SMEATON WwTW Transfer to Norton</t>
  </si>
  <si>
    <t>Kirk Smeaton</t>
  </si>
  <si>
    <t>7F.46</t>
  </si>
  <si>
    <t>Kirkby Malzeard WwTW</t>
  </si>
  <si>
    <t>Kirkby Malzeard</t>
  </si>
  <si>
    <t>7F.47</t>
  </si>
  <si>
    <t>Knostrop WwTW</t>
  </si>
  <si>
    <t>Knostrop</t>
  </si>
  <si>
    <t>7F.48</t>
  </si>
  <si>
    <t xml:space="preserve">Lemonroyd WwTW </t>
  </si>
  <si>
    <t>Lemonroyd</t>
  </si>
  <si>
    <t>7F.49</t>
  </si>
  <si>
    <t>Long Lane WwTW</t>
  </si>
  <si>
    <t>Long Lane</t>
  </si>
  <si>
    <t>7F.50</t>
  </si>
  <si>
    <t>Lundwood WwTW</t>
  </si>
  <si>
    <t>Lundwood</t>
  </si>
  <si>
    <t>7F.51</t>
  </si>
  <si>
    <t>Meltham WwTW</t>
  </si>
  <si>
    <t>Meltham</t>
  </si>
  <si>
    <t>7F.52</t>
  </si>
  <si>
    <t>Mexborough Swinton WwTW</t>
  </si>
  <si>
    <t>Mexborough Swinton</t>
  </si>
  <si>
    <t>7F.53</t>
  </si>
  <si>
    <t>Neiley</t>
  </si>
  <si>
    <t>7F.54</t>
  </si>
  <si>
    <t>Normanton WwTW</t>
  </si>
  <si>
    <t>Normanton</t>
  </si>
  <si>
    <t>7F.55</t>
  </si>
  <si>
    <t>Norton STW</t>
  </si>
  <si>
    <t>Norton</t>
  </si>
  <si>
    <t>7F.56</t>
  </si>
  <si>
    <t>Old Whittington WwTW</t>
  </si>
  <si>
    <t>Old Whittington</t>
  </si>
  <si>
    <t>7F.57</t>
  </si>
  <si>
    <t>Oxenhope WwTW</t>
  </si>
  <si>
    <t>Oxenhope</t>
  </si>
  <si>
    <t>7F.58</t>
  </si>
  <si>
    <t>POCKLINGTON STW P</t>
  </si>
  <si>
    <t>Pocklington</t>
  </si>
  <si>
    <t>7F.59</t>
  </si>
  <si>
    <t>Rainton WwTW</t>
  </si>
  <si>
    <t>Rainton</t>
  </si>
  <si>
    <t>7F.60</t>
  </si>
  <si>
    <t>Redacre STW</t>
  </si>
  <si>
    <t>Redacre</t>
  </si>
  <si>
    <t>7F.61</t>
  </si>
  <si>
    <t>Ripponden Wood WwTW</t>
  </si>
  <si>
    <t>Ripponden Wood</t>
  </si>
  <si>
    <t>7F.62</t>
  </si>
  <si>
    <t>Sandall WwTW</t>
  </si>
  <si>
    <t>Sandall</t>
  </si>
  <si>
    <t>7F.63</t>
  </si>
  <si>
    <t>Shaw Mills WwTW</t>
  </si>
  <si>
    <t>Shaw Mills</t>
  </si>
  <si>
    <t>7F.64</t>
  </si>
  <si>
    <t>SHERBURN IN ELMET</t>
  </si>
  <si>
    <t>Sherburn in Elmet</t>
  </si>
  <si>
    <t>7F.65</t>
  </si>
  <si>
    <t>Sheriff Hutton STW</t>
  </si>
  <si>
    <t>Sheriff Hutton</t>
  </si>
  <si>
    <t>7F.66</t>
  </si>
  <si>
    <t xml:space="preserve">Skipton UWWTD </t>
  </si>
  <si>
    <t>Skipton</t>
  </si>
  <si>
    <t>7F.67</t>
  </si>
  <si>
    <t>Snaith WwTW</t>
  </si>
  <si>
    <t>Snaith</t>
  </si>
  <si>
    <t>7F.68</t>
  </si>
  <si>
    <t>STANLEY STW</t>
  </si>
  <si>
    <t>Stanley</t>
  </si>
  <si>
    <t>7F.69</t>
  </si>
  <si>
    <t>Staveley WwTW</t>
  </si>
  <si>
    <t>Staveley</t>
  </si>
  <si>
    <t>7F.70</t>
  </si>
  <si>
    <t>Stillington WwTW</t>
  </si>
  <si>
    <t>Stillington</t>
  </si>
  <si>
    <t>7F.71</t>
  </si>
  <si>
    <t>Stockley STW</t>
  </si>
  <si>
    <t>Stockley</t>
  </si>
  <si>
    <t>7F.72</t>
  </si>
  <si>
    <t>Sutton on the Forest</t>
  </si>
  <si>
    <t>7F.73</t>
  </si>
  <si>
    <t>Sutton STW</t>
  </si>
  <si>
    <t xml:space="preserve">Sutton </t>
  </si>
  <si>
    <t>7F.74</t>
  </si>
  <si>
    <t>THORNE STW</t>
  </si>
  <si>
    <t>Thorne</t>
  </si>
  <si>
    <t>7F.75</t>
  </si>
  <si>
    <t>Thornton le Beans WwTW</t>
  </si>
  <si>
    <t>Thornton le Beans</t>
  </si>
  <si>
    <t>7F.76</t>
  </si>
  <si>
    <t>Tupton WwTW</t>
  </si>
  <si>
    <t>Tupton</t>
  </si>
  <si>
    <t>7F.77</t>
  </si>
  <si>
    <t>Upton Wrangbrook WFD</t>
  </si>
  <si>
    <t>Upton Wrangebrook</t>
  </si>
  <si>
    <t>7F.78</t>
  </si>
  <si>
    <t>Wath on Dearne STW</t>
  </si>
  <si>
    <t>Wath on Dearne</t>
  </si>
  <si>
    <t>7F.79</t>
  </si>
  <si>
    <t>Wombwell STW</t>
  </si>
  <si>
    <t>Wombwell</t>
  </si>
  <si>
    <t>7F.80</t>
  </si>
  <si>
    <t>Woodhouse Mill WwTW</t>
  </si>
  <si>
    <t>Woodhouse Mill</t>
  </si>
  <si>
    <t>7F.81</t>
  </si>
  <si>
    <t>Worsbrough</t>
  </si>
  <si>
    <t>Worsborough</t>
  </si>
  <si>
    <t>7F.82</t>
  </si>
  <si>
    <t>Scheme 83 - WINEPID</t>
  </si>
  <si>
    <t>See column heading</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</si>
  <si>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</si>
  <si>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</si>
  <si>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</si>
  <si>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</si>
  <si>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</si>
  <si>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</si>
  <si>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</si>
  <si>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</si>
  <si>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</si>
  <si>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</si>
  <si>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</si>
  <si>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</si>
  <si>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</si>
  <si>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</si>
  <si>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</si>
  <si>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</si>
  <si>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</si>
  <si>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</si>
  <si>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</si>
  <si>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</si>
  <si>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</si>
  <si>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</si>
  <si>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</si>
  <si>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</si>
  <si>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</si>
  <si>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</si>
  <si>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</si>
  <si>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</si>
  <si>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</si>
  <si>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</si>
  <si>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</si>
  <si>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</si>
  <si>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</si>
  <si>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</si>
  <si>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</si>
  <si>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</si>
  <si>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</si>
  <si>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</si>
  <si>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</si>
  <si>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</si>
  <si>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</si>
  <si>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</si>
  <si>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</si>
  <si>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</si>
  <si>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</si>
  <si>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</si>
  <si>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</si>
  <si>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</si>
  <si>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</si>
  <si>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</si>
  <si>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</si>
  <si>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</si>
  <si>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</si>
  <si>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</si>
  <si>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</si>
  <si>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</si>
  <si>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</si>
  <si>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</si>
  <si>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</si>
  <si>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</si>
  <si>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</si>
  <si>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</si>
  <si>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</si>
  <si>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</si>
  <si>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</si>
  <si>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</si>
  <si>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</si>
  <si>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</si>
  <si>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</si>
  <si>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</si>
  <si>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</si>
  <si>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</si>
  <si>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</si>
  <si>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</si>
  <si>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</si>
  <si>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</si>
  <si>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</si>
  <si>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</si>
  <si>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</si>
  <si>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</si>
  <si>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</si>
  <si>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</si>
  <si>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</si>
  <si>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</si>
  <si>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</si>
  <si>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</si>
  <si>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</si>
  <si>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</si>
  <si>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</si>
  <si>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</si>
  <si>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</si>
  <si>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</si>
  <si>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</si>
  <si>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</si>
  <si>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</si>
  <si>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</si>
  <si>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</si>
  <si>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</si>
  <si>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</si>
  <si>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</si>
  <si>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</si>
  <si>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</si>
  <si>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</si>
  <si>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</si>
  <si>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</si>
  <si>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</si>
  <si>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</si>
  <si>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</si>
  <si>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</si>
  <si>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</si>
  <si>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</si>
  <si>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</si>
  <si>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</si>
  <si>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</si>
  <si>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</si>
  <si>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</si>
  <si>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</si>
  <si>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</si>
  <si>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</si>
  <si>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</si>
  <si>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</si>
  <si>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</si>
  <si>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</si>
  <si>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</si>
  <si>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</si>
  <si>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</si>
  <si>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</si>
  <si>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</si>
  <si>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</si>
  <si>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</si>
  <si>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</si>
  <si>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</si>
  <si>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</si>
  <si>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</si>
  <si>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</si>
  <si>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</si>
  <si>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</si>
  <si>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</si>
  <si>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</si>
  <si>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</si>
  <si>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</si>
  <si>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</si>
  <si>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</si>
  <si>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</si>
  <si>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</si>
  <si>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</si>
  <si>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</si>
  <si>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</si>
  <si>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</si>
  <si>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</si>
  <si>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</si>
  <si>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</si>
  <si>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</si>
  <si>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</si>
  <si>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</si>
  <si>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</si>
  <si>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</si>
  <si>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</si>
  <si>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</si>
  <si>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</si>
  <si>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</si>
  <si>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</si>
  <si>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</si>
  <si>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</si>
  <si>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</si>
  <si>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</si>
  <si>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</si>
  <si>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</si>
  <si>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</si>
  <si>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</si>
  <si>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</si>
  <si>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</si>
  <si>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</si>
  <si>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</si>
  <si>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</si>
  <si>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</si>
  <si>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</si>
  <si>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</si>
  <si>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</si>
  <si>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</si>
  <si>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</si>
  <si>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</si>
  <si>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</si>
  <si>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</si>
  <si>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</si>
  <si>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</si>
  <si>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</si>
  <si>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</si>
  <si>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</si>
  <si>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</si>
  <si>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</si>
  <si>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</si>
  <si>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</si>
  <si>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</si>
  <si>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</si>
  <si>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</si>
  <si>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</si>
  <si>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</si>
  <si>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</si>
  <si>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</si>
  <si>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</si>
  <si>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</si>
  <si>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</si>
  <si>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</si>
  <si>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</si>
  <si>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</si>
  <si>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</si>
  <si>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</si>
  <si>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</si>
  <si>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</si>
  <si>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</si>
  <si>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</si>
  <si>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</si>
  <si>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</si>
  <si>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</si>
  <si>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</si>
  <si>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</si>
  <si>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</si>
  <si>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</si>
  <si>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</si>
  <si>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</si>
  <si>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</si>
  <si>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</si>
  <si>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</si>
  <si>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</si>
  <si>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</si>
  <si>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</si>
  <si>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</si>
  <si>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</si>
  <si>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</si>
  <si>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</si>
  <si>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</si>
  <si>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</si>
  <si>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</si>
  <si>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</si>
  <si>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</si>
  <si>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</si>
  <si>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</si>
  <si>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</si>
  <si>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</si>
  <si>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</si>
  <si>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</si>
  <si>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</si>
  <si>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</si>
  <si>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</si>
  <si>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</si>
  <si>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</si>
  <si>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</si>
  <si>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</si>
  <si>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</si>
  <si>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</si>
  <si>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</si>
  <si>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</si>
  <si>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</si>
  <si>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</si>
  <si>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</si>
  <si>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</si>
  <si>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</si>
  <si>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</si>
  <si>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</si>
  <si>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</si>
  <si>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</si>
  <si>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</si>
  <si>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</si>
  <si>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</si>
  <si>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</si>
  <si>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</si>
  <si>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</si>
  <si>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</si>
  <si>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</si>
  <si>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</si>
  <si>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</si>
  <si>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</si>
  <si>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</si>
  <si>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</si>
  <si>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</si>
  <si>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</si>
  <si>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</si>
  <si>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</si>
  <si>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</si>
  <si>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</si>
  <si>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</si>
  <si>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</si>
  <si>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</si>
  <si>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</si>
  <si>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</si>
  <si>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</si>
  <si>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</si>
  <si>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</si>
  <si>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</si>
  <si>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</si>
  <si>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</si>
  <si>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</si>
  <si>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</si>
  <si>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</si>
  <si>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</si>
  <si>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</si>
  <si>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</si>
  <si>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</si>
  <si>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</si>
  <si>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</si>
  <si>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</si>
  <si>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</si>
  <si>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</si>
  <si>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</si>
  <si>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</si>
  <si>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</si>
  <si>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</si>
  <si>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</si>
  <si>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</si>
  <si>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</si>
  <si>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</si>
  <si>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</si>
  <si>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</si>
  <si>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</si>
  <si>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</si>
  <si>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</si>
  <si>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</si>
  <si>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</si>
  <si>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</si>
  <si>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</si>
  <si>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</si>
  <si>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</si>
  <si>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</si>
  <si>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</si>
  <si>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</si>
  <si>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</si>
  <si>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</si>
  <si>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</si>
  <si>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</si>
  <si>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</si>
  <si>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</si>
  <si>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</si>
  <si>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</si>
  <si>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</si>
  <si>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</si>
  <si>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</si>
  <si>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</si>
  <si>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</si>
  <si>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</si>
  <si>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</si>
  <si>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</si>
  <si>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</si>
  <si>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</si>
  <si>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</si>
  <si>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</si>
  <si>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</si>
  <si>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</si>
  <si>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</si>
  <si>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</si>
  <si>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</si>
  <si>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</si>
  <si>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</si>
  <si>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</si>
  <si>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</si>
  <si>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</si>
  <si>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</si>
  <si>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</si>
  <si>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</si>
  <si>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</si>
  <si>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</si>
  <si>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</si>
  <si>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</si>
  <si>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</si>
  <si>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</si>
  <si>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</si>
  <si>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</si>
  <si>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</si>
  <si>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</si>
  <si>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</si>
  <si>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</si>
  <si>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</si>
  <si>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</si>
  <si>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</si>
  <si>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</si>
  <si>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</si>
  <si>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</si>
  <si>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</si>
  <si>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</si>
  <si>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</si>
  <si>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</si>
  <si>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</si>
  <si>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</si>
  <si>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</si>
  <si>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</si>
  <si>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</si>
  <si>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</si>
  <si>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</si>
  <si>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</si>
  <si>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</si>
  <si>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</si>
  <si>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</si>
  <si>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</si>
  <si>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</si>
  <si>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</si>
  <si>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</si>
  <si>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</si>
  <si>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</si>
  <si>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</si>
  <si>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</si>
  <si>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</si>
  <si>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</si>
  <si>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</si>
  <si>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</si>
  <si>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</si>
  <si>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</si>
  <si>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</si>
  <si>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</si>
  <si>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</si>
  <si>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</si>
  <si>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</si>
  <si>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</si>
  <si>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</si>
  <si>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</si>
  <si>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</si>
  <si>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</si>
  <si>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</si>
  <si>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</si>
  <si>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</si>
  <si>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</si>
  <si>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</si>
  <si>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</si>
  <si>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</si>
  <si>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</si>
  <si>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</si>
  <si>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</si>
  <si>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</si>
  <si>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</si>
  <si>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</si>
  <si>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</si>
  <si>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</si>
  <si>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</si>
  <si>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</si>
  <si>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</si>
  <si>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</si>
  <si>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</si>
  <si>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</si>
  <si>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</si>
  <si>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</si>
  <si>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</si>
  <si>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</si>
  <si>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</si>
  <si>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</si>
  <si>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</si>
  <si>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</si>
  <si>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</si>
  <si>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</si>
  <si>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</si>
  <si>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</si>
  <si>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</si>
  <si>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</si>
  <si>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</si>
  <si>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</si>
  <si>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</si>
  <si>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</si>
  <si>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</si>
  <si>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</si>
  <si>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</si>
  <si>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</si>
  <si>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</si>
  <si>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</si>
  <si>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</si>
  <si>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</si>
  <si>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</si>
  <si>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</si>
  <si>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</si>
  <si>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</si>
  <si>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</si>
  <si>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</si>
  <si>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</si>
  <si>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</si>
  <si>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</si>
  <si>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</si>
  <si>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</si>
  <si>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</si>
  <si>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</si>
  <si>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</si>
  <si>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</si>
  <si>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</si>
  <si>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</si>
  <si>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</si>
  <si>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</si>
  <si>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</si>
  <si>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</si>
  <si>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</si>
  <si>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</si>
  <si>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</si>
  <si>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</si>
  <si>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</si>
  <si>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</si>
  <si>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</si>
  <si>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</si>
  <si>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</si>
  <si>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</si>
  <si>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</si>
  <si>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</si>
  <si>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</si>
  <si>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</si>
  <si>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</si>
  <si>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</si>
  <si>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</si>
  <si>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</si>
  <si>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</si>
  <si>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</si>
  <si>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</si>
  <si>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</si>
  <si>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</si>
  <si>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</si>
  <si>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</si>
  <si>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</si>
  <si>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</si>
  <si>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</si>
  <si>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</si>
  <si>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</si>
  <si>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</si>
  <si>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</si>
  <si>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</si>
  <si>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</si>
  <si>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</si>
  <si>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</si>
  <si>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</si>
  <si>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</si>
  <si>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</si>
  <si>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</si>
  <si>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</si>
  <si>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</si>
  <si>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</si>
  <si>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</si>
  <si>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</si>
  <si>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</si>
  <si>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</si>
  <si>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</si>
  <si>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</si>
  <si>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</si>
  <si>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</si>
  <si>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</si>
  <si>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</si>
  <si>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</si>
  <si>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</si>
  <si>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</si>
  <si>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</si>
  <si>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</si>
  <si>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</si>
  <si>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</si>
  <si>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</si>
  <si>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</si>
  <si>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</si>
  <si>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</si>
  <si>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</si>
  <si>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</si>
  <si>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</si>
  <si>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</si>
  <si>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</si>
  <si>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</si>
  <si>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</si>
  <si>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</si>
  <si>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</si>
  <si>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</si>
  <si>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</si>
  <si>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</si>
  <si>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</si>
  <si>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</si>
  <si>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</si>
  <si>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</si>
  <si>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</si>
  <si>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</si>
  <si>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</si>
  <si>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</si>
  <si>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</si>
  <si>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</si>
  <si>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</si>
  <si>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</si>
  <si>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</si>
  <si>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</si>
  <si>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</si>
  <si>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</si>
  <si>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</si>
  <si>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</si>
  <si>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</si>
  <si>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</si>
  <si>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</si>
  <si>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</si>
  <si>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</si>
  <si>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</si>
  <si>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</si>
  <si>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</si>
  <si>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</si>
  <si>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</si>
  <si>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</si>
  <si>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</si>
  <si>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</si>
  <si>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</si>
  <si>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</si>
  <si>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</si>
  <si>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</si>
  <si>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</si>
  <si>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</si>
  <si>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</si>
  <si>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</si>
  <si>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</si>
  <si>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</si>
  <si>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</si>
  <si>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</si>
  <si>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</si>
  <si>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</si>
  <si>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</si>
  <si>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</si>
  <si>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</si>
  <si>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</si>
  <si>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</si>
  <si>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</si>
  <si>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</si>
  <si>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</si>
  <si>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</si>
  <si>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</si>
  <si>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</si>
  <si>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</si>
  <si>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</si>
  <si>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</si>
  <si>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</si>
  <si>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</si>
  <si>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</si>
  <si>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</si>
  <si>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</si>
  <si>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</si>
  <si>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</si>
  <si>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</si>
  <si>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</si>
  <si>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</si>
  <si>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</si>
  <si>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</si>
  <si>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</si>
  <si>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</si>
  <si>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</si>
  <si>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</si>
  <si>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</si>
  <si>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</si>
  <si>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</si>
  <si>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</si>
  <si>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</si>
  <si>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</si>
  <si>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</si>
  <si>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</si>
  <si>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</si>
  <si>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</si>
  <si>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</si>
  <si>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</si>
  <si>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</si>
  <si>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</si>
  <si>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</si>
  <si>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</si>
  <si>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</si>
  <si>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</si>
  <si>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</si>
  <si>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</si>
  <si>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</si>
  <si>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</si>
  <si>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</si>
  <si>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</si>
  <si>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</si>
  <si>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</si>
  <si>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</si>
  <si>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</si>
  <si>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</si>
  <si>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</si>
  <si>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</si>
  <si>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</si>
  <si>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</si>
  <si>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</si>
  <si>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</si>
  <si>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</si>
  <si>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</si>
  <si>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</si>
  <si>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</si>
  <si>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</si>
  <si>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</si>
  <si>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</si>
  <si>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</si>
  <si>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</si>
  <si>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</si>
  <si>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</si>
  <si>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</si>
  <si>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</si>
  <si>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</si>
  <si>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</si>
  <si>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</si>
  <si>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</si>
  <si>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</si>
  <si>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</si>
  <si>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</si>
  <si>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</si>
  <si>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</si>
  <si>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</si>
  <si>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</si>
  <si>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</si>
  <si>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</si>
  <si>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</si>
  <si>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</si>
  <si>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</si>
  <si>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</si>
  <si>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</si>
  <si>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</si>
  <si>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</si>
  <si>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</si>
  <si>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</si>
  <si>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</si>
  <si>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</si>
  <si>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</si>
  <si>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</si>
  <si>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</si>
  <si>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</si>
  <si>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</si>
  <si>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</si>
  <si>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</si>
  <si>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</si>
  <si>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</si>
  <si>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</si>
  <si>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</si>
  <si>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</si>
  <si>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</si>
  <si>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</si>
  <si>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</si>
  <si>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</si>
  <si>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</si>
  <si>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</si>
  <si>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</si>
  <si>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</si>
  <si>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</si>
  <si>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</si>
  <si>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</si>
  <si>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</si>
  <si>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</si>
  <si>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</si>
  <si>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</si>
  <si>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</si>
  <si>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</si>
  <si>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</si>
  <si>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</si>
  <si>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</si>
  <si>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</si>
  <si>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</si>
  <si>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The Data does add up to 100% and not 99.9%, the rounding to 1DP elsewhere causes this.</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</si>
  <si>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</si>
  <si>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</si>
  <si>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</si>
  <si>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</si>
  <si>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</si>
  <si>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</si>
  <si>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</si>
  <si>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</si>
  <si>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</si>
  <si>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</si>
  <si>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</si>
  <si>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</si>
  <si>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</si>
  <si>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</si>
  <si>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</si>
  <si>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</si>
  <si>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</si>
  <si>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</si>
  <si>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</si>
  <si>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</si>
  <si>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</si>
  <si>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</si>
  <si>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</si>
  <si>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</si>
  <si>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</si>
  <si>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</si>
  <si>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</si>
  <si>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</si>
  <si>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</si>
  <si>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</si>
  <si>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</si>
  <si>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</si>
  <si>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</si>
  <si>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</si>
  <si>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</si>
  <si>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</si>
  <si>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</si>
  <si>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</si>
  <si>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</si>
  <si>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</si>
  <si>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</si>
  <si>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 year expenditure on innovation projects funded by shareholders of the lead water company</t>
  </si>
  <si>
    <t>Designer Liner - Phase 1</t>
  </si>
  <si>
    <t>9A.9</t>
  </si>
  <si>
    <t>Innovation project 1 &lt;please insert project name&gt;</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</si>
  <si>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</si>
  <si>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</si>
  <si>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</si>
  <si>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</si>
  <si>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</si>
  <si>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</si>
  <si>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</si>
  <si>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</si>
  <si>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</si>
  <si>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</si>
  <si>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</si>
  <si>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</si>
  <si>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</si>
  <si>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</si>
  <si>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</si>
  <si>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</si>
  <si>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</si>
  <si>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</si>
  <si>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</si>
  <si>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</si>
  <si>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</si>
  <si>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</si>
  <si>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</si>
  <si>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</si>
  <si>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</si>
  <si>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</si>
  <si>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</si>
  <si>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</si>
  <si>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</si>
  <si>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</si>
  <si>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</si>
  <si>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</si>
  <si>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</si>
  <si>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</si>
  <si>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</si>
  <si>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</si>
  <si>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</si>
  <si>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</si>
  <si>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</si>
  <si>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</si>
  <si>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</si>
  <si>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</si>
  <si>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</si>
  <si>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</si>
  <si>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</si>
  <si>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</si>
  <si>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</si>
  <si>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</si>
  <si>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</si>
  <si>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</si>
  <si>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</si>
  <si>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</si>
  <si>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</si>
  <si>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</si>
  <si>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</si>
  <si>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</si>
  <si>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</si>
  <si>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</si>
  <si>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</si>
  <si>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</si>
  <si>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</si>
  <si>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</si>
  <si>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</si>
  <si>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</si>
  <si>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</si>
  <si>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</si>
  <si>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</si>
  <si>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</si>
  <si>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</si>
  <si>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</si>
  <si>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</si>
  <si>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</si>
  <si>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</si>
  <si>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</si>
  <si>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</si>
  <si>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</si>
  <si>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</si>
  <si>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</si>
  <si>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</si>
  <si>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</si>
  <si>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</si>
  <si>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</si>
  <si>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</si>
  <si>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</si>
  <si>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</si>
  <si>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</si>
  <si>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</si>
  <si>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</si>
  <si>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</si>
  <si>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</si>
  <si>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</si>
  <si>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</si>
  <si>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</si>
  <si>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</si>
  <si>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</si>
  <si>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</si>
  <si>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</si>
  <si>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</si>
  <si>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</si>
  <si>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</si>
  <si>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</si>
  <si>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</si>
  <si>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</si>
  <si>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</si>
  <si>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</si>
  <si>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</si>
  <si>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</si>
  <si>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</si>
  <si>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</si>
  <si>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</si>
  <si>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</si>
  <si>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</si>
  <si>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</si>
  <si>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</si>
  <si>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</si>
  <si>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</si>
  <si>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</si>
  <si>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</si>
  <si>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</si>
  <si>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</si>
  <si>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</si>
  <si>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</si>
  <si>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</si>
  <si>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</si>
  <si>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</si>
  <si>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</si>
  <si>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</si>
  <si>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</si>
  <si>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</si>
  <si>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</si>
  <si>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</si>
  <si>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</si>
  <si>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</si>
  <si>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</si>
  <si>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</si>
  <si>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</si>
  <si>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</si>
  <si>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</si>
  <si>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</si>
  <si>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</si>
  <si>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</si>
  <si>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</si>
  <si>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</si>
  <si>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</si>
  <si>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</si>
  <si>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</si>
  <si>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</si>
  <si>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</si>
  <si>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</si>
  <si>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</si>
  <si>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</si>
  <si>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</si>
  <si>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</si>
  <si>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</si>
  <si>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</si>
  <si>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</si>
  <si>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</si>
  <si>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</si>
  <si>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</si>
  <si>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</si>
  <si>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</si>
  <si>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</si>
  <si>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</si>
  <si>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</si>
  <si>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</si>
  <si>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</si>
  <si>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</si>
  <si>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</si>
  <si>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</si>
  <si>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</si>
  <si>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</si>
  <si>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</si>
  <si>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</si>
  <si>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</si>
  <si>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</si>
  <si>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</si>
  <si>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</si>
  <si>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</si>
  <si>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</si>
  <si>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</si>
  <si>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</si>
  <si>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</si>
  <si>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</si>
  <si>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</si>
  <si>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</si>
  <si>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</si>
  <si>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</si>
  <si>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</si>
  <si>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</si>
  <si>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</si>
  <si>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</si>
  <si>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</si>
  <si>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</si>
  <si>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</si>
  <si>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</si>
  <si>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</si>
  <si>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</si>
  <si>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</si>
  <si>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</si>
  <si>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</si>
  <si>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</si>
  <si>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</si>
  <si>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</si>
  <si>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</si>
  <si>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</si>
  <si>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</si>
  <si>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</si>
  <si>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</si>
  <si>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</si>
  <si>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</si>
  <si>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</si>
  <si>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</si>
  <si>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</si>
  <si>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</si>
  <si>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</si>
  <si>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</si>
  <si>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</si>
  <si>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</si>
  <si>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</si>
  <si>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</si>
  <si>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</si>
  <si>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</si>
  <si>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</si>
  <si>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</si>
  <si>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</si>
  <si>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</si>
  <si>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</si>
  <si>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</si>
  <si>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</si>
  <si>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</si>
  <si>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</si>
  <si>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</si>
  <si>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</si>
  <si>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</si>
  <si>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</si>
  <si>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</si>
  <si>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</si>
  <si>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</si>
  <si>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</si>
  <si>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</si>
  <si>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</si>
  <si>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</si>
  <si>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</si>
  <si>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</si>
  <si>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</si>
  <si>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</si>
  <si>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</si>
  <si>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</si>
  <si>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</si>
  <si>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</si>
  <si>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</si>
  <si>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</si>
  <si>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</si>
  <si>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</si>
  <si>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</si>
  <si>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</si>
  <si>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</si>
  <si>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</si>
  <si>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</si>
  <si>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</si>
  <si>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</si>
  <si>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</si>
  <si>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</si>
  <si>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</si>
  <si>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</si>
  <si>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</si>
  <si>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</si>
  <si>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</si>
  <si>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</si>
  <si>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</si>
  <si>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</si>
  <si>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</si>
  <si>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</si>
  <si>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</si>
  <si>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</si>
  <si>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</si>
  <si>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</si>
  <si>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</si>
  <si>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</si>
  <si>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</si>
  <si>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</si>
  <si>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</si>
  <si>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</si>
  <si>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</si>
  <si>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</si>
  <si>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</si>
  <si>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</si>
  <si>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</si>
  <si>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</si>
  <si>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</si>
  <si>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</si>
  <si>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</si>
  <si>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</si>
  <si>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</si>
  <si>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</si>
  <si>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</si>
  <si>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</si>
  <si>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</si>
  <si>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</si>
  <si>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</si>
  <si>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</si>
  <si>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</si>
  <si>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</si>
  <si>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</si>
  <si>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</si>
  <si>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</si>
  <si>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</si>
  <si>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</si>
  <si>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</si>
  <si>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</si>
  <si>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</si>
  <si>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</si>
  <si>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</si>
  <si>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</si>
  <si>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</si>
  <si>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</si>
  <si>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</si>
  <si>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</si>
  <si>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</si>
  <si>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</si>
  <si>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</si>
  <si>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</si>
  <si>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</si>
  <si>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</si>
  <si>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</si>
  <si>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</si>
  <si>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</si>
  <si>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</si>
  <si>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</si>
  <si>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</si>
  <si>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</si>
  <si>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</si>
  <si>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</si>
  <si>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</si>
  <si>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</si>
  <si>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</si>
  <si>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</si>
  <si>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</si>
  <si>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</si>
  <si>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</si>
  <si>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</si>
  <si>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</si>
  <si>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</si>
  <si>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</si>
  <si>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</si>
  <si>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</si>
  <si>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</si>
  <si>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</si>
  <si>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</si>
  <si>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</si>
  <si>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</si>
  <si>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</si>
  <si>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</si>
  <si>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</si>
  <si>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</si>
  <si>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</si>
  <si>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</si>
  <si>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</si>
  <si>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</si>
  <si>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</si>
  <si>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</si>
  <si>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</si>
  <si>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</si>
  <si>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</si>
  <si>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</si>
  <si>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</si>
  <si>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</si>
  <si>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</si>
  <si>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</si>
  <si>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</si>
  <si>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</si>
  <si>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</si>
  <si>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</si>
  <si>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</si>
  <si>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</si>
  <si>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</si>
  <si>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</si>
  <si>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</si>
  <si>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</si>
  <si>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</si>
  <si>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</si>
  <si>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</si>
  <si>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</si>
  <si>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</si>
  <si>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</si>
  <si>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</si>
  <si>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</si>
  <si>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</si>
  <si>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</si>
  <si>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</si>
  <si>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</si>
  <si>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</si>
  <si>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</si>
  <si>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</si>
  <si>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</si>
  <si>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</si>
  <si>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</si>
  <si>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</si>
  <si>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</si>
  <si>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</si>
  <si>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</si>
  <si>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</si>
  <si>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</si>
  <si>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</si>
  <si>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</si>
  <si>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</si>
  <si>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</si>
  <si>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</si>
  <si>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</si>
  <si>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</si>
  <si>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</si>
  <si>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</si>
  <si>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</si>
  <si>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</si>
  <si>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</si>
  <si>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</si>
  <si>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</si>
  <si>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</si>
  <si>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</si>
  <si>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</si>
  <si>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</si>
  <si>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</si>
  <si>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</si>
  <si>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</si>
  <si>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</si>
  <si>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</si>
  <si>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</si>
  <si>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</si>
  <si>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</si>
  <si>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</si>
  <si>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</si>
  <si>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</si>
  <si>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</si>
  <si>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</si>
  <si>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</si>
  <si>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</si>
  <si>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</si>
  <si>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</si>
  <si>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</si>
  <si>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</si>
  <si>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</si>
  <si>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</si>
  <si>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</si>
  <si>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</si>
  <si>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</si>
  <si>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</si>
  <si>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</si>
  <si>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</si>
  <si>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</si>
  <si>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</si>
  <si>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</si>
  <si>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</si>
  <si>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</si>
  <si>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</si>
  <si>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</si>
  <si>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</si>
  <si>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</si>
  <si>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</si>
  <si>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</si>
  <si>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</si>
  <si>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</si>
  <si>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</si>
  <si>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</si>
  <si>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</si>
  <si>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</si>
  <si>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</si>
  <si>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</si>
  <si>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</si>
  <si>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</si>
  <si>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</si>
  <si>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</si>
  <si>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</si>
  <si>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</si>
  <si>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</si>
  <si>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</si>
  <si>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</si>
  <si>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</si>
  <si>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</si>
  <si>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</si>
  <si>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</si>
  <si>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</si>
  <si>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</si>
  <si>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</si>
  <si>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</si>
  <si>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</si>
  <si>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</si>
  <si>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</si>
  <si>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</si>
  <si>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</si>
  <si>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</si>
  <si>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</si>
  <si>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</si>
  <si>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</si>
  <si>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</si>
  <si>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</si>
  <si>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</si>
  <si>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</si>
  <si>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</si>
  <si>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</si>
  <si>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</si>
  <si>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</si>
  <si>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</si>
  <si>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</si>
  <si>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</si>
  <si>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11A.28</t>
  </si>
  <si>
    <t>Chemicals</t>
  </si>
  <si>
    <t>11A.29</t>
  </si>
  <si>
    <t>Use of chemicals</t>
  </si>
  <si>
    <t>Disposal of waste</t>
  </si>
  <si>
    <t>11A.30</t>
  </si>
  <si>
    <t>Disposal and treatment of waste</t>
  </si>
  <si>
    <t>Total scope three emissions (location-based)</t>
  </si>
  <si>
    <t>11A.31</t>
  </si>
  <si>
    <t>Total scope three emissions (market-based)</t>
  </si>
  <si>
    <t>11A.32</t>
  </si>
  <si>
    <r>
      <t>Scope three emissions; GHG type CO</t>
    </r>
    <r>
      <rPr>
        <vertAlign val="subscript"/>
        <sz val="12"/>
        <color rgb="FF000000"/>
        <rFont val="Arial"/>
        <family val="2"/>
        <scheme val="minor"/>
      </rPr>
      <t>2</t>
    </r>
  </si>
  <si>
    <t>11A.33</t>
  </si>
  <si>
    <t>BR034_S3WCO</t>
  </si>
  <si>
    <t>BR035_S3WWCO</t>
  </si>
  <si>
    <t>BR036_S3TOCO</t>
  </si>
  <si>
    <r>
      <t>Scope three emissions; GHG type CH</t>
    </r>
    <r>
      <rPr>
        <vertAlign val="subscript"/>
        <sz val="12"/>
        <color rgb="FF000000"/>
        <rFont val="Arial"/>
        <family val="2"/>
        <scheme val="minor"/>
      </rPr>
      <t>4</t>
    </r>
  </si>
  <si>
    <t>11A.34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</si>
  <si>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</si>
  <si>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</si>
  <si>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</si>
  <si>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</si>
  <si>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11A.35</t>
  </si>
  <si>
    <t>BR040_S3WNO</t>
  </si>
  <si>
    <t>BR041_S3WWNO</t>
  </si>
  <si>
    <t>BR042_S3TONO</t>
  </si>
  <si>
    <t>Scope three emissions: GHG other types</t>
  </si>
  <si>
    <t>11A.36</t>
  </si>
  <si>
    <t>Gross operational emissions (Scopes 1,2 and 3)</t>
  </si>
  <si>
    <t>Gross operational emissions (location-based)</t>
  </si>
  <si>
    <t>11A.37</t>
  </si>
  <si>
    <t>BR073_GEWLB</t>
  </si>
  <si>
    <t>BR074_GEWWLB</t>
  </si>
  <si>
    <t>BR075_GETOLB</t>
  </si>
  <si>
    <t>Gross operational emissions (market-based)</t>
  </si>
  <si>
    <t>11A.38</t>
  </si>
  <si>
    <t>BR076_GEWMB</t>
  </si>
  <si>
    <t>BR077_GEWWMB</t>
  </si>
  <si>
    <t>BR078_GETOMB</t>
  </si>
  <si>
    <t>Emissions reductions</t>
  </si>
  <si>
    <t>Exported renewables</t>
  </si>
  <si>
    <t>11A.39</t>
  </si>
  <si>
    <t>BR079_ERWER</t>
  </si>
  <si>
    <t>BR080_ERWWER</t>
  </si>
  <si>
    <t>BR081_ERTOER</t>
  </si>
  <si>
    <t>Exported biomethane</t>
  </si>
  <si>
    <t>11A.40</t>
  </si>
  <si>
    <t>BR082_ERWEB</t>
  </si>
  <si>
    <t>BR083_ERWWEB</t>
  </si>
  <si>
    <t>BR084_ERTOEB</t>
  </si>
  <si>
    <t>Insets</t>
  </si>
  <si>
    <t>11A.41</t>
  </si>
  <si>
    <t>Other emissions reductions</t>
  </si>
  <si>
    <t>11A.42</t>
  </si>
  <si>
    <t>BR088_ERWOR</t>
  </si>
  <si>
    <t>BR089_ERWWOR</t>
  </si>
  <si>
    <t>BR090_ERTOOR</t>
  </si>
  <si>
    <t>Total emissions reductions</t>
  </si>
  <si>
    <t>11A.43</t>
  </si>
  <si>
    <t>BR091_ERWTR</t>
  </si>
  <si>
    <t>BR092_ERWWTR</t>
  </si>
  <si>
    <t>BR093_ERTOTR</t>
  </si>
  <si>
    <t>Net annual emissions</t>
  </si>
  <si>
    <t>Net annual emissions (location-based)</t>
  </si>
  <si>
    <t>11A.44</t>
  </si>
  <si>
    <t>BR094_NEWLB</t>
  </si>
  <si>
    <t>BR095_NEWWLB</t>
  </si>
  <si>
    <t>BR096_NETOLB</t>
  </si>
  <si>
    <t>Net annual emissions (market-based)</t>
  </si>
  <si>
    <t>11A.45</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</si>
  <si>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</si>
  <si>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</si>
  <si>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</si>
  <si>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</si>
  <si>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</si>
  <si>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</si>
  <si>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11A.46</t>
  </si>
  <si>
    <t>BR103_IRWTW</t>
  </si>
  <si>
    <t>Emissions per Ml of sewage treated</t>
  </si>
  <si>
    <t>11A.47</t>
  </si>
  <si>
    <t>BR104_IRWWSF</t>
  </si>
  <si>
    <t>Green tariff electricity</t>
  </si>
  <si>
    <t>11A.48</t>
  </si>
  <si>
    <t>BR085_ERWGO</t>
  </si>
  <si>
    <t>BR086_ERWWGO</t>
  </si>
  <si>
    <t>BR087_ERTOGO</t>
  </si>
  <si>
    <t>Embedded emissions</t>
  </si>
  <si>
    <t>Capital projects</t>
  </si>
  <si>
    <t>Capital projects (cradle-to-gate)</t>
  </si>
  <si>
    <t>11A.49</t>
  </si>
  <si>
    <t>Capital projects (cradle-to-build)</t>
  </si>
  <si>
    <t>11A.50</t>
  </si>
  <si>
    <t>Purchased goods and services</t>
  </si>
  <si>
    <t>11A.51</t>
  </si>
  <si>
    <t>Purchased goods and services (please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</si>
</sst>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_(* #,##0.000_);_(* \(#,##0.000\);_(* &quot;-&quot;??_);_(@_)"/>
  </numFmts>
  <fonts count="151">
    <font>
      <sz val="11"/>
      <color theme="1"/>
      <name val="Arial"/>
      <family val="2"/>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62">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top/>
      <bottom/>
      <diagonal/>
    </border>
    <border>
      <left style="thin">
        <color rgb="FF808080"/>
      </left>
      <right style="thin">
        <color rgb="FF808080"/>
      </right>
      <top style="thin">
        <color rgb="FF808080"/>
      </top>
      <bottom style="thin">
        <color rgb="FF80808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
      <left style="thin">
        <color rgb="FF808080"/>
      </left>
      <right/>
      <top style="thin">
        <color rgb="FF808080"/>
      </top>
      <bottom/>
      <diagonal/>
    </border>
    <border>
      <left style="thin">
        <color indexed="64"/>
      </left>
      <right/>
      <top style="thin">
        <color rgb="FF808080"/>
      </top>
      <bottom style="thin">
        <color rgb="FF808080"/>
      </bottom>
      <diagonal/>
    </border>
    <border>
      <left/>
      <right style="thick">
        <color rgb="FF808080"/>
      </right>
      <top/>
      <bottom style="thin">
        <color rgb="FF808080"/>
      </bottom>
      <diagonal/>
    </border>
  </borders>
  <cellStyleXfs count="59">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164"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164" fontId="6" fillId="0" borderId="0" applyFont="0" applyFill="0" applyBorder="0" applyAlignment="0" applyProtection="0"/>
    <xf numFmtId="0" fontId="6" fillId="0" borderId="0"/>
    <xf numFmtId="9" fontId="23"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0" fontId="23"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0" fontId="33" fillId="16" borderId="0" applyBorder="0"/>
    <xf numFmtId="170" fontId="31" fillId="9" borderId="0" applyNumberFormat="0">
      <alignment horizontal="left"/>
    </xf>
    <xf numFmtId="0" fontId="32" fillId="10" borderId="0" applyNumberFormat="0"/>
    <xf numFmtId="0" fontId="6" fillId="0" borderId="0"/>
    <xf numFmtId="0" fontId="12" fillId="0" borderId="0"/>
    <xf numFmtId="164" fontId="23" fillId="0" borderId="0" applyFont="0" applyFill="0" applyBorder="0" applyAlignment="0" applyProtection="0"/>
    <xf numFmtId="0" fontId="34" fillId="0" borderId="0"/>
    <xf numFmtId="0" fontId="35" fillId="0" borderId="0"/>
    <xf numFmtId="0" fontId="20" fillId="0" borderId="8" applyNumberFormat="0" applyFill="0" applyAlignment="0" applyProtection="0"/>
    <xf numFmtId="43" fontId="6" fillId="0" borderId="0" applyFont="0" applyFill="0" applyBorder="0" applyAlignment="0" applyProtection="0"/>
    <xf numFmtId="0" fontId="149" fillId="0" borderId="0" applyNumberFormat="0" applyFill="0" applyBorder="0" applyAlignment="0" applyProtection="0"/>
  </cellStyleXfs>
  <cellXfs count="2926">
    <xf numFmtId="0" fontId="0" fillId="0" borderId="0" xfId="0"/>
    <xf numFmtId="0" fontId="27" fillId="0" borderId="0" xfId="30" applyFont="1" applyBorder="1" applyAlignment="1">
      <alignment vertical="center" wrapText="1"/>
    </xf>
    <xf numFmtId="0" fontId="27" fillId="0" borderId="0" xfId="30" applyFont="1" applyFill="1" applyBorder="1" applyAlignment="1">
      <alignment vertical="center" wrapText="1"/>
    </xf>
    <xf numFmtId="0" fontId="25" fillId="6" borderId="0" xfId="0" applyFont="1" applyFill="1" applyAlignment="1">
      <alignment vertical="center"/>
    </xf>
    <xf numFmtId="0" fontId="25" fillId="0" borderId="0" xfId="0" applyFont="1" applyAlignment="1">
      <alignment vertical="center"/>
    </xf>
    <xf numFmtId="0" fontId="26" fillId="0" borderId="0" xfId="0" applyFont="1"/>
    <xf numFmtId="0" fontId="29" fillId="0" borderId="0" xfId="30" applyFont="1" applyBorder="1" applyAlignment="1">
      <alignment vertical="center"/>
    </xf>
    <xf numFmtId="0" fontId="29" fillId="0" borderId="0" xfId="30" applyFont="1" applyFill="1" applyBorder="1" applyAlignment="1">
      <alignment vertical="center"/>
    </xf>
    <xf numFmtId="0" fontId="28" fillId="0" borderId="0" xfId="0" applyFont="1" applyAlignment="1">
      <alignment vertical="center"/>
    </xf>
    <xf numFmtId="0" fontId="25" fillId="0" borderId="0" xfId="0" applyFont="1"/>
    <xf numFmtId="0" fontId="30" fillId="0" borderId="0" xfId="0" applyFont="1" applyAlignment="1">
      <alignment vertical="center"/>
    </xf>
    <xf numFmtId="0" fontId="24" fillId="0" borderId="0" xfId="0" applyFont="1" applyAlignment="1">
      <alignment vertical="center"/>
    </xf>
    <xf numFmtId="0" fontId="27" fillId="0" borderId="0" xfId="30" applyFont="1" applyBorder="1" applyAlignment="1">
      <alignment vertical="center"/>
    </xf>
    <xf numFmtId="0" fontId="28" fillId="6" borderId="0" xfId="0" applyFont="1" applyFill="1" applyAlignment="1">
      <alignment vertical="center"/>
    </xf>
    <xf numFmtId="0" fontId="27" fillId="0" borderId="0" xfId="37" applyFont="1" applyFill="1" applyBorder="1" applyAlignment="1">
      <alignment vertical="center" wrapText="1"/>
    </xf>
    <xf numFmtId="0" fontId="25" fillId="0" borderId="0" xfId="0" applyFont="1" applyAlignment="1">
      <alignment vertical="center" wrapText="1"/>
    </xf>
    <xf numFmtId="0" fontId="3" fillId="0" borderId="0" xfId="0" applyFont="1"/>
    <xf numFmtId="0" fontId="3" fillId="0" borderId="0" xfId="0" applyFont="1" applyAlignment="1">
      <alignment vertical="center"/>
    </xf>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xf>
    <xf numFmtId="0" fontId="3" fillId="0" borderId="0" xfId="15" applyFont="1" applyAlignment="1">
      <alignment vertical="center"/>
    </xf>
    <xf numFmtId="169" fontId="3" fillId="5" borderId="0" xfId="46" applyFont="1" applyFill="1">
      <alignment vertical="top"/>
    </xf>
    <xf numFmtId="0" fontId="3" fillId="6" borderId="0" xfId="0" applyFont="1" applyFill="1" applyAlignment="1">
      <alignment vertical="center"/>
    </xf>
    <xf numFmtId="169" fontId="6" fillId="5" borderId="0" xfId="46" applyFill="1">
      <alignment vertical="top"/>
    </xf>
    <xf numFmtId="0" fontId="39" fillId="10" borderId="73" xfId="3" applyFont="1" applyFill="1" applyBorder="1" applyAlignment="1">
      <alignment horizontal="center" vertical="center" wrapText="1"/>
    </xf>
    <xf numFmtId="0" fontId="39" fillId="10" borderId="74" xfId="3" applyFont="1" applyFill="1" applyBorder="1" applyAlignment="1">
      <alignment horizontal="center" vertical="center" wrapText="1"/>
    </xf>
    <xf numFmtId="0" fontId="39" fillId="10" borderId="75" xfId="3" applyFont="1" applyFill="1" applyBorder="1" applyAlignment="1">
      <alignment horizontal="center" vertical="center" wrapText="1"/>
    </xf>
    <xf numFmtId="169" fontId="40" fillId="5" borderId="0" xfId="46" applyFont="1" applyFill="1">
      <alignment vertical="top"/>
    </xf>
    <xf numFmtId="0" fontId="39" fillId="10" borderId="76" xfId="3" applyFont="1" applyFill="1" applyBorder="1" applyAlignment="1">
      <alignment horizontal="center" vertical="center" wrapText="1"/>
    </xf>
    <xf numFmtId="0" fontId="39" fillId="10" borderId="77" xfId="3" applyFont="1" applyFill="1" applyBorder="1" applyAlignment="1">
      <alignment horizontal="center" vertical="center" wrapText="1"/>
    </xf>
    <xf numFmtId="0" fontId="39" fillId="10" borderId="78" xfId="3" applyFont="1" applyFill="1" applyBorder="1" applyAlignment="1">
      <alignment horizontal="center" vertical="center" wrapText="1"/>
    </xf>
    <xf numFmtId="0" fontId="40" fillId="5" borderId="0" xfId="40" applyFont="1" applyFill="1"/>
    <xf numFmtId="0" fontId="41" fillId="10" borderId="81" xfId="0" applyFont="1" applyFill="1" applyBorder="1" applyAlignment="1">
      <alignment horizontal="left" vertical="center" wrapText="1"/>
    </xf>
    <xf numFmtId="0" fontId="42" fillId="5" borderId="0" xfId="40" applyFont="1" applyFill="1" applyAlignment="1">
      <alignment horizontal="left" vertical="center"/>
    </xf>
    <xf numFmtId="0" fontId="43" fillId="0" borderId="73" xfId="3" applyFont="1" applyBorder="1" applyAlignment="1" applyProtection="1">
      <alignment vertical="center"/>
      <protection locked="0"/>
    </xf>
    <xf numFmtId="49" fontId="43" fillId="12" borderId="74" xfId="3" applyNumberFormat="1" applyFont="1" applyFill="1" applyBorder="1" applyAlignment="1" applyProtection="1">
      <alignment horizontal="left" vertical="top"/>
      <protection locked="0"/>
    </xf>
    <xf numFmtId="49" fontId="43" fillId="12" borderId="74" xfId="3" quotePrefix="1" applyNumberFormat="1" applyFont="1" applyFill="1" applyBorder="1" applyAlignment="1" applyProtection="1">
      <alignment horizontal="left" vertical="top"/>
      <protection locked="0"/>
    </xf>
    <xf numFmtId="14" fontId="43" fillId="12" borderId="74" xfId="3" applyNumberFormat="1" applyFont="1" applyFill="1" applyBorder="1" applyAlignment="1" applyProtection="1">
      <alignment horizontal="left" vertical="top"/>
      <protection locked="0"/>
    </xf>
    <xf numFmtId="166" fontId="43" fillId="12" borderId="74" xfId="3" applyNumberFormat="1" applyFont="1" applyFill="1" applyBorder="1" applyAlignment="1" applyProtection="1">
      <alignment horizontal="left" vertical="top"/>
      <protection locked="0"/>
    </xf>
    <xf numFmtId="10" fontId="43" fillId="12" borderId="74" xfId="47" applyNumberFormat="1" applyFont="1" applyFill="1" applyBorder="1" applyAlignment="1" applyProtection="1">
      <alignment horizontal="left" vertical="top"/>
      <protection locked="0"/>
    </xf>
    <xf numFmtId="167" fontId="43" fillId="12" borderId="75" xfId="3" applyNumberFormat="1" applyFont="1" applyFill="1" applyBorder="1" applyAlignment="1" applyProtection="1">
      <alignment horizontal="left" vertical="top"/>
      <protection locked="0"/>
    </xf>
    <xf numFmtId="169" fontId="40" fillId="5" borderId="0" xfId="46" applyFont="1" applyFill="1" applyAlignment="1">
      <alignment horizontal="left" vertical="top"/>
    </xf>
    <xf numFmtId="0" fontId="44" fillId="0" borderId="79" xfId="30" applyFont="1" applyBorder="1" applyAlignment="1">
      <alignment horizontal="center" vertical="center" wrapText="1"/>
    </xf>
    <xf numFmtId="0" fontId="43" fillId="0" borderId="82" xfId="3" applyFont="1" applyBorder="1" applyAlignment="1" applyProtection="1">
      <alignment vertical="center"/>
      <protection locked="0"/>
    </xf>
    <xf numFmtId="49" fontId="43" fillId="12" borderId="20" xfId="3" applyNumberFormat="1" applyFont="1" applyFill="1" applyBorder="1" applyAlignment="1" applyProtection="1">
      <alignment horizontal="left" vertical="top"/>
      <protection locked="0"/>
    </xf>
    <xf numFmtId="49" fontId="43" fillId="12" borderId="20" xfId="3" quotePrefix="1" applyNumberFormat="1" applyFont="1" applyFill="1" applyBorder="1" applyAlignment="1" applyProtection="1">
      <alignment horizontal="left" vertical="top"/>
      <protection locked="0"/>
    </xf>
    <xf numFmtId="14" fontId="43" fillId="12" borderId="20" xfId="3" applyNumberFormat="1" applyFont="1" applyFill="1" applyBorder="1" applyAlignment="1" applyProtection="1">
      <alignment horizontal="left" vertical="top"/>
      <protection locked="0"/>
    </xf>
    <xf numFmtId="166" fontId="43" fillId="12" borderId="20" xfId="3" applyNumberFormat="1" applyFont="1" applyFill="1" applyBorder="1" applyAlignment="1" applyProtection="1">
      <alignment horizontal="left" vertical="top"/>
      <protection locked="0"/>
    </xf>
    <xf numFmtId="166" fontId="43" fillId="12" borderId="20" xfId="47" applyNumberFormat="1" applyFont="1" applyFill="1" applyBorder="1" applyAlignment="1" applyProtection="1">
      <alignment horizontal="left" vertical="top"/>
      <protection locked="0"/>
    </xf>
    <xf numFmtId="10" fontId="43" fillId="12" borderId="20" xfId="47" applyNumberFormat="1" applyFont="1" applyFill="1" applyBorder="1" applyAlignment="1" applyProtection="1">
      <alignment horizontal="left" vertical="top"/>
      <protection locked="0"/>
    </xf>
    <xf numFmtId="167" fontId="43" fillId="12" borderId="83" xfId="3" applyNumberFormat="1" applyFont="1" applyFill="1" applyBorder="1" applyAlignment="1" applyProtection="1">
      <alignment horizontal="left" vertical="top"/>
      <protection locked="0"/>
    </xf>
    <xf numFmtId="0" fontId="44" fillId="0" borderId="84" xfId="30" applyFont="1" applyBorder="1" applyAlignment="1">
      <alignment horizontal="center" vertical="center" wrapText="1"/>
    </xf>
    <xf numFmtId="0" fontId="43" fillId="2" borderId="76" xfId="3" applyFont="1" applyFill="1" applyBorder="1" applyAlignment="1">
      <alignment vertical="center"/>
    </xf>
    <xf numFmtId="0" fontId="44" fillId="0" borderId="80" xfId="30" applyFont="1" applyBorder="1" applyAlignment="1">
      <alignment horizontal="center" vertical="center" wrapText="1"/>
    </xf>
    <xf numFmtId="0" fontId="42" fillId="5" borderId="0" xfId="3" applyFont="1" applyFill="1" applyAlignment="1">
      <alignment vertical="center"/>
    </xf>
    <xf numFmtId="0" fontId="42" fillId="2" borderId="0" xfId="3" applyFont="1" applyFill="1" applyAlignment="1">
      <alignment vertical="center"/>
    </xf>
    <xf numFmtId="0" fontId="43" fillId="5" borderId="0" xfId="3" applyFont="1" applyFill="1" applyAlignment="1">
      <alignment vertical="center"/>
    </xf>
    <xf numFmtId="0" fontId="43" fillId="2" borderId="85" xfId="3" applyFont="1" applyFill="1" applyBorder="1" applyAlignment="1">
      <alignment vertical="center"/>
    </xf>
    <xf numFmtId="0" fontId="44" fillId="0" borderId="72" xfId="30" applyFont="1" applyBorder="1" applyAlignment="1">
      <alignment horizontal="center" vertical="center" wrapText="1"/>
    </xf>
    <xf numFmtId="0" fontId="42" fillId="5" borderId="0" xfId="40" applyFont="1" applyFill="1" applyAlignment="1">
      <alignment vertical="center"/>
    </xf>
    <xf numFmtId="0" fontId="42" fillId="5" borderId="0" xfId="40" applyFont="1" applyFill="1"/>
    <xf numFmtId="0" fontId="43" fillId="5" borderId="85" xfId="40" applyFont="1" applyFill="1" applyBorder="1" applyAlignment="1">
      <alignment horizontal="left"/>
    </xf>
    <xf numFmtId="14" fontId="43" fillId="0" borderId="87" xfId="47" applyNumberFormat="1" applyFont="1" applyFill="1" applyBorder="1" applyAlignment="1" applyProtection="1">
      <alignment horizontal="right"/>
      <protection locked="0"/>
    </xf>
    <xf numFmtId="0" fontId="43" fillId="5" borderId="73" xfId="40" applyFont="1" applyFill="1" applyBorder="1" applyAlignment="1">
      <alignment horizontal="left"/>
    </xf>
    <xf numFmtId="10" fontId="43" fillId="12" borderId="74" xfId="47" applyNumberFormat="1" applyFont="1" applyFill="1" applyBorder="1" applyAlignment="1" applyProtection="1">
      <alignment horizontal="right"/>
      <protection locked="0"/>
    </xf>
    <xf numFmtId="0" fontId="43" fillId="5" borderId="76" xfId="40" applyFont="1" applyFill="1" applyBorder="1" applyAlignment="1">
      <alignment horizontal="left"/>
    </xf>
    <xf numFmtId="10" fontId="43" fillId="12" borderId="77" xfId="47" applyNumberFormat="1" applyFont="1" applyFill="1" applyBorder="1" applyAlignment="1" applyProtection="1">
      <alignment horizontal="right"/>
      <protection locked="0"/>
    </xf>
    <xf numFmtId="0" fontId="40" fillId="5" borderId="73" xfId="40" applyFont="1" applyFill="1" applyBorder="1" applyAlignment="1">
      <alignment vertical="center"/>
    </xf>
    <xf numFmtId="169" fontId="40" fillId="5" borderId="0" xfId="46" applyFont="1" applyFill="1" applyAlignment="1">
      <alignment vertical="center"/>
    </xf>
    <xf numFmtId="0" fontId="40" fillId="5" borderId="82" xfId="40" applyFont="1" applyFill="1" applyBorder="1" applyAlignment="1">
      <alignment vertical="center"/>
    </xf>
    <xf numFmtId="0" fontId="40" fillId="5" borderId="82" xfId="40" applyFont="1" applyFill="1" applyBorder="1" applyAlignment="1">
      <alignment vertical="center" wrapText="1"/>
    </xf>
    <xf numFmtId="0" fontId="40" fillId="5" borderId="76" xfId="40" applyFont="1" applyFill="1" applyBorder="1" applyAlignment="1">
      <alignment vertical="center"/>
    </xf>
    <xf numFmtId="0" fontId="42" fillId="5" borderId="0" xfId="40" applyFont="1" applyFill="1" applyAlignment="1">
      <alignment horizontal="left"/>
    </xf>
    <xf numFmtId="0" fontId="40" fillId="0" borderId="0" xfId="55" applyFont="1"/>
    <xf numFmtId="0" fontId="39" fillId="0" borderId="0" xfId="35" applyFont="1" applyAlignment="1">
      <alignment horizontal="left" vertical="center" wrapText="1"/>
    </xf>
    <xf numFmtId="0" fontId="45" fillId="0" borderId="0" xfId="35" applyFont="1" applyAlignment="1">
      <alignment vertical="center" wrapText="1"/>
    </xf>
    <xf numFmtId="0" fontId="45" fillId="0" borderId="0" xfId="45" applyFont="1" applyAlignment="1">
      <alignment vertical="center" wrapText="1"/>
    </xf>
    <xf numFmtId="0" fontId="45" fillId="0" borderId="79" xfId="45" applyFont="1" applyBorder="1" applyAlignment="1">
      <alignment vertical="center" wrapText="1"/>
    </xf>
    <xf numFmtId="0" fontId="45" fillId="0" borderId="84" xfId="35" applyFont="1" applyBorder="1" applyAlignment="1">
      <alignment vertical="center" wrapText="1"/>
    </xf>
    <xf numFmtId="0" fontId="45" fillId="0" borderId="80" xfId="35" applyFont="1" applyBorder="1" applyAlignment="1">
      <alignment vertical="center" wrapText="1"/>
    </xf>
    <xf numFmtId="0" fontId="46" fillId="0" borderId="0" xfId="0" applyFont="1" applyAlignment="1">
      <alignment vertical="center"/>
    </xf>
    <xf numFmtId="0" fontId="45" fillId="0" borderId="0" xfId="0" applyFont="1" applyAlignment="1">
      <alignment horizontal="center" vertical="center" textRotation="90" wrapText="1"/>
    </xf>
    <xf numFmtId="0" fontId="45" fillId="0" borderId="0" xfId="0" applyFont="1" applyAlignment="1">
      <alignment horizontal="center" vertical="center" wrapText="1"/>
    </xf>
    <xf numFmtId="0" fontId="46" fillId="0" borderId="0" xfId="0" applyFont="1" applyAlignment="1">
      <alignment horizontal="left" vertical="center" textRotation="90"/>
    </xf>
    <xf numFmtId="0" fontId="45" fillId="0" borderId="0" xfId="0" applyFont="1" applyAlignment="1">
      <alignment horizontal="center" vertical="center"/>
    </xf>
    <xf numFmtId="0" fontId="43" fillId="0" borderId="0" xfId="0" applyFont="1" applyAlignment="1">
      <alignment horizontal="center" vertical="center"/>
    </xf>
    <xf numFmtId="0" fontId="47" fillId="0" borderId="0" xfId="0" applyFont="1" applyAlignment="1">
      <alignment horizontal="center" vertical="center" wrapText="1"/>
    </xf>
    <xf numFmtId="0" fontId="45" fillId="0" borderId="0" xfId="0" applyFont="1"/>
    <xf numFmtId="0" fontId="39" fillId="23" borderId="76" xfId="0" applyFont="1" applyFill="1" applyBorder="1" applyAlignment="1">
      <alignment horizontal="center" vertical="center" textRotation="90" wrapText="1"/>
    </xf>
    <xf numFmtId="0" fontId="39" fillId="23" borderId="77" xfId="0" applyFont="1" applyFill="1" applyBorder="1" applyAlignment="1">
      <alignment horizontal="center" vertical="center" textRotation="90" wrapText="1"/>
    </xf>
    <xf numFmtId="0" fontId="39" fillId="23" borderId="78" xfId="0" applyFont="1" applyFill="1" applyBorder="1" applyAlignment="1">
      <alignment horizontal="center" vertical="center" textRotation="90" wrapText="1"/>
    </xf>
    <xf numFmtId="0" fontId="39" fillId="0" borderId="0" xfId="0" applyFont="1" applyAlignment="1">
      <alignment horizontal="center" vertical="center" wrapText="1"/>
    </xf>
    <xf numFmtId="0" fontId="45" fillId="0" borderId="73" xfId="0" applyFont="1" applyBorder="1" applyAlignment="1">
      <alignment horizontal="left" vertical="center" wrapText="1"/>
    </xf>
    <xf numFmtId="0" fontId="45" fillId="0" borderId="74" xfId="0" applyFont="1" applyBorder="1" applyAlignment="1">
      <alignment horizontal="center" vertical="center" wrapText="1"/>
    </xf>
    <xf numFmtId="0" fontId="47" fillId="0" borderId="79" xfId="0" applyFont="1" applyBorder="1" applyAlignment="1">
      <alignment horizontal="center" vertical="center" wrapText="1"/>
    </xf>
    <xf numFmtId="0" fontId="45" fillId="0" borderId="82" xfId="0" applyFont="1" applyBorder="1" applyAlignment="1">
      <alignment horizontal="left" vertical="center" wrapText="1"/>
    </xf>
    <xf numFmtId="0" fontId="45" fillId="0" borderId="20" xfId="0" applyFont="1" applyBorder="1" applyAlignment="1">
      <alignment horizontal="center" vertical="center" wrapText="1"/>
    </xf>
    <xf numFmtId="0" fontId="47" fillId="0" borderId="84" xfId="0" applyFont="1" applyBorder="1" applyAlignment="1">
      <alignment horizontal="center" vertical="center" wrapText="1"/>
    </xf>
    <xf numFmtId="0" fontId="45" fillId="12" borderId="78" xfId="0" applyFont="1" applyFill="1" applyBorder="1" applyAlignment="1">
      <alignment horizontal="center" vertical="center" wrapText="1"/>
    </xf>
    <xf numFmtId="0" fontId="45" fillId="0" borderId="76" xfId="0" applyFont="1" applyBorder="1" applyAlignment="1">
      <alignment horizontal="left" vertical="center" wrapText="1"/>
    </xf>
    <xf numFmtId="0" fontId="45" fillId="0" borderId="77" xfId="0" applyFont="1" applyBorder="1" applyAlignment="1">
      <alignment horizontal="center" vertical="center" wrapText="1"/>
    </xf>
    <xf numFmtId="0" fontId="47" fillId="0" borderId="80" xfId="0" applyFont="1" applyBorder="1" applyAlignment="1">
      <alignment horizontal="center" vertical="center" wrapText="1"/>
    </xf>
    <xf numFmtId="0" fontId="42" fillId="0" borderId="0" xfId="55" applyFont="1" applyAlignment="1">
      <alignment vertical="center"/>
    </xf>
    <xf numFmtId="0" fontId="48" fillId="0" borderId="0" xfId="55" applyFont="1" applyAlignment="1">
      <alignment vertical="center"/>
    </xf>
    <xf numFmtId="0" fontId="49" fillId="0" borderId="0" xfId="37" applyFont="1" applyFill="1" applyBorder="1" applyAlignment="1">
      <alignment vertical="center" wrapText="1"/>
    </xf>
    <xf numFmtId="0" fontId="43" fillId="0" borderId="0" xfId="0" applyFont="1" applyAlignment="1">
      <alignment vertical="center"/>
    </xf>
    <xf numFmtId="0" fontId="43" fillId="0" borderId="0" xfId="45" applyFont="1" applyAlignment="1">
      <alignment vertical="center" wrapText="1"/>
    </xf>
    <xf numFmtId="0" fontId="40" fillId="0" borderId="0" xfId="45" applyFont="1"/>
    <xf numFmtId="0" fontId="43" fillId="0" borderId="0" xfId="45" applyFont="1" applyAlignment="1">
      <alignment horizontal="left" vertical="center" wrapText="1"/>
    </xf>
    <xf numFmtId="0" fontId="45" fillId="8" borderId="0" xfId="45" applyFont="1" applyFill="1" applyAlignment="1">
      <alignment vertical="center" wrapText="1"/>
    </xf>
    <xf numFmtId="0" fontId="43" fillId="0" borderId="0" xfId="3" applyFont="1" applyAlignment="1">
      <alignment horizontal="center" vertical="center"/>
    </xf>
    <xf numFmtId="0" fontId="45" fillId="0" borderId="0" xfId="45" applyFont="1" applyAlignment="1">
      <alignment horizontal="center" vertical="center" wrapText="1"/>
    </xf>
    <xf numFmtId="0" fontId="50" fillId="0" borderId="0" xfId="45" applyFont="1" applyAlignment="1">
      <alignment horizontal="center" vertical="center"/>
    </xf>
    <xf numFmtId="0" fontId="40" fillId="0" borderId="0" xfId="15" applyFont="1" applyAlignment="1">
      <alignment horizontal="center" vertical="center"/>
    </xf>
    <xf numFmtId="0" fontId="40" fillId="0" borderId="82" xfId="55" applyFont="1" applyBorder="1" applyAlignment="1">
      <alignment horizontal="left" vertical="center" wrapText="1"/>
    </xf>
    <xf numFmtId="0" fontId="40" fillId="0" borderId="20" xfId="55" applyFont="1" applyBorder="1" applyAlignment="1">
      <alignment horizontal="center" vertical="center" wrapText="1"/>
    </xf>
    <xf numFmtId="166" fontId="40" fillId="12" borderId="83" xfId="55" applyNumberFormat="1" applyFont="1" applyFill="1" applyBorder="1" applyAlignment="1">
      <alignment horizontal="center" vertical="center" wrapText="1"/>
    </xf>
    <xf numFmtId="0" fontId="41" fillId="10" borderId="85" xfId="45" applyFont="1" applyFill="1" applyBorder="1" applyAlignment="1">
      <alignment horizontal="center" vertical="center" wrapText="1"/>
    </xf>
    <xf numFmtId="0" fontId="41" fillId="10" borderId="86" xfId="45" applyFont="1" applyFill="1" applyBorder="1" applyAlignment="1">
      <alignment horizontal="center" vertical="center" wrapText="1"/>
    </xf>
    <xf numFmtId="0" fontId="41" fillId="10" borderId="86"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39" fillId="10" borderId="81" xfId="45" applyFont="1" applyFill="1" applyBorder="1" applyAlignment="1">
      <alignment horizontal="left" vertical="center" wrapText="1"/>
    </xf>
    <xf numFmtId="0" fontId="41" fillId="0" borderId="0" xfId="45" applyFont="1" applyAlignment="1">
      <alignment horizontal="center" vertical="center" wrapText="1"/>
    </xf>
    <xf numFmtId="0" fontId="45" fillId="0" borderId="73" xfId="45" applyFont="1" applyBorder="1" applyAlignment="1">
      <alignment horizontal="left" vertical="center" wrapText="1"/>
    </xf>
    <xf numFmtId="0" fontId="45" fillId="0" borderId="74" xfId="45" applyFont="1" applyBorder="1" applyAlignment="1">
      <alignment horizontal="center" vertical="center" wrapText="1"/>
    </xf>
    <xf numFmtId="0" fontId="45" fillId="7" borderId="74" xfId="45" applyFont="1" applyFill="1" applyBorder="1" applyAlignment="1">
      <alignment horizontal="center" vertical="center" wrapText="1"/>
    </xf>
    <xf numFmtId="167" fontId="45" fillId="12" borderId="75" xfId="45" applyNumberFormat="1" applyFont="1" applyFill="1" applyBorder="1" applyAlignment="1">
      <alignment horizontal="center" vertical="center" wrapText="1"/>
    </xf>
    <xf numFmtId="0" fontId="44" fillId="0" borderId="79" xfId="37" applyFont="1" applyFill="1" applyBorder="1" applyAlignment="1">
      <alignment horizontal="center" vertical="center" wrapText="1"/>
    </xf>
    <xf numFmtId="0" fontId="45" fillId="0" borderId="82" xfId="45" applyFont="1" applyBorder="1" applyAlignment="1">
      <alignment horizontal="left" vertical="center" wrapText="1"/>
    </xf>
    <xf numFmtId="0" fontId="45" fillId="0" borderId="20" xfId="45" applyFont="1" applyBorder="1" applyAlignment="1">
      <alignment horizontal="center" vertical="center" wrapText="1"/>
    </xf>
    <xf numFmtId="0" fontId="45" fillId="7" borderId="20" xfId="45" applyFont="1" applyFill="1" applyBorder="1" applyAlignment="1">
      <alignment horizontal="center" vertical="center" wrapText="1"/>
    </xf>
    <xf numFmtId="167" fontId="45" fillId="12" borderId="83" xfId="45" applyNumberFormat="1" applyFont="1" applyFill="1" applyBorder="1" applyAlignment="1">
      <alignment horizontal="center" vertical="center" wrapText="1"/>
    </xf>
    <xf numFmtId="0" fontId="44" fillId="0" borderId="84" xfId="37" applyFont="1" applyFill="1" applyBorder="1" applyAlignment="1">
      <alignment horizontal="center" vertical="center" wrapText="1"/>
    </xf>
    <xf numFmtId="0" fontId="45" fillId="0" borderId="76" xfId="45" applyFont="1" applyBorder="1" applyAlignment="1">
      <alignment horizontal="left" vertical="center" wrapText="1"/>
    </xf>
    <xf numFmtId="0" fontId="45" fillId="0" borderId="77" xfId="45" applyFont="1" applyBorder="1" applyAlignment="1">
      <alignment horizontal="center" vertical="center" wrapText="1"/>
    </xf>
    <xf numFmtId="0" fontId="45" fillId="7" borderId="77" xfId="45" applyFont="1" applyFill="1" applyBorder="1" applyAlignment="1">
      <alignment horizontal="center" vertical="center" wrapText="1"/>
    </xf>
    <xf numFmtId="167" fontId="45" fillId="12" borderId="78" xfId="45" applyNumberFormat="1" applyFont="1" applyFill="1" applyBorder="1" applyAlignment="1">
      <alignment horizontal="center" vertical="center" wrapText="1"/>
    </xf>
    <xf numFmtId="0" fontId="44" fillId="0" borderId="80" xfId="37" applyFont="1" applyFill="1" applyBorder="1" applyAlignment="1">
      <alignment horizontal="center" vertical="center" wrapText="1"/>
    </xf>
    <xf numFmtId="0" fontId="41" fillId="10" borderId="88" xfId="45" applyFont="1" applyFill="1" applyBorder="1" applyAlignment="1">
      <alignment horizontal="center" vertical="center" wrapText="1"/>
    </xf>
    <xf numFmtId="0" fontId="41" fillId="10" borderId="89" xfId="0"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5" fillId="0" borderId="85" xfId="45" applyFont="1" applyBorder="1" applyAlignment="1">
      <alignment horizontal="left" vertical="center" wrapText="1"/>
    </xf>
    <xf numFmtId="0" fontId="43" fillId="0" borderId="86" xfId="37" applyFont="1" applyFill="1" applyBorder="1" applyAlignment="1">
      <alignment horizontal="center" vertical="center" wrapText="1"/>
    </xf>
    <xf numFmtId="2" fontId="43" fillId="12" borderId="87" xfId="37" applyNumberFormat="1" applyFont="1" applyFill="1" applyBorder="1" applyAlignment="1">
      <alignment horizontal="center" vertical="center" wrapText="1"/>
    </xf>
    <xf numFmtId="0" fontId="41" fillId="10" borderId="72" xfId="45" applyFont="1" applyFill="1" applyBorder="1" applyAlignment="1">
      <alignment horizontal="center" vertical="center" wrapText="1"/>
    </xf>
    <xf numFmtId="0" fontId="51" fillId="0" borderId="0" xfId="16" applyFont="1" applyAlignment="1">
      <alignment horizontal="center" vertical="center" wrapText="1"/>
    </xf>
    <xf numFmtId="0" fontId="41" fillId="10" borderId="85" xfId="15" applyFont="1" applyFill="1" applyBorder="1" applyAlignment="1">
      <alignment vertical="center" wrapText="1"/>
    </xf>
    <xf numFmtId="0" fontId="41" fillId="10" borderId="86" xfId="15" applyFont="1" applyFill="1" applyBorder="1" applyAlignment="1">
      <alignment horizontal="center" vertical="center" wrapText="1"/>
    </xf>
    <xf numFmtId="0" fontId="41" fillId="10" borderId="87" xfId="15" applyFont="1" applyFill="1" applyBorder="1" applyAlignment="1">
      <alignment horizontal="center" vertical="center" wrapText="1"/>
    </xf>
    <xf numFmtId="0" fontId="52" fillId="0" borderId="0" xfId="55" applyFont="1" applyAlignment="1">
      <alignment vertical="center"/>
    </xf>
    <xf numFmtId="0" fontId="40" fillId="0" borderId="0" xfId="55" applyFont="1" applyAlignment="1">
      <alignment vertical="center"/>
    </xf>
    <xf numFmtId="0" fontId="39" fillId="10" borderId="72" xfId="45" applyFont="1" applyFill="1" applyBorder="1" applyAlignment="1">
      <alignment horizontal="left" vertical="center" wrapText="1"/>
    </xf>
    <xf numFmtId="0" fontId="52" fillId="0" borderId="0" xfId="55" applyFont="1"/>
    <xf numFmtId="0" fontId="45" fillId="0" borderId="85" xfId="15" applyFont="1" applyBorder="1" applyAlignment="1">
      <alignment horizontal="left" vertical="center" wrapText="1"/>
    </xf>
    <xf numFmtId="0" fontId="45" fillId="0" borderId="86" xfId="15" applyFont="1" applyBorder="1" applyAlignment="1">
      <alignment horizontal="center" vertical="center" wrapText="1"/>
    </xf>
    <xf numFmtId="0" fontId="45" fillId="17" borderId="86" xfId="15" applyFont="1" applyFill="1" applyBorder="1" applyAlignment="1">
      <alignment horizontal="center" vertical="center" wrapText="1"/>
    </xf>
    <xf numFmtId="0" fontId="45" fillId="12" borderId="86" xfId="15" applyFont="1" applyFill="1" applyBorder="1" applyAlignment="1">
      <alignment horizontal="center" vertical="center" wrapText="1"/>
    </xf>
    <xf numFmtId="0" fontId="45" fillId="13" borderId="87" xfId="15" applyFont="1" applyFill="1" applyBorder="1" applyAlignment="1">
      <alignment horizontal="center" vertical="center" wrapText="1"/>
    </xf>
    <xf numFmtId="0" fontId="45" fillId="0" borderId="0" xfId="55" applyFont="1" applyAlignment="1">
      <alignment vertical="center" wrapText="1"/>
    </xf>
    <xf numFmtId="0" fontId="45" fillId="0" borderId="0" xfId="55" applyFont="1" applyAlignment="1">
      <alignment horizontal="center" vertical="center" wrapText="1"/>
    </xf>
    <xf numFmtId="0" fontId="41" fillId="0" borderId="0" xfId="15" applyFont="1" applyAlignment="1">
      <alignment horizontal="center" vertical="center" wrapText="1"/>
    </xf>
    <xf numFmtId="0" fontId="43" fillId="0" borderId="0" xfId="16" applyFont="1" applyAlignment="1">
      <alignment horizontal="left" vertical="center"/>
    </xf>
    <xf numFmtId="0" fontId="45" fillId="0" borderId="0" xfId="15" applyFont="1" applyAlignment="1">
      <alignment horizontal="center" vertical="center" wrapText="1"/>
    </xf>
    <xf numFmtId="0" fontId="45" fillId="0" borderId="73" xfId="15" applyFont="1" applyBorder="1" applyAlignment="1">
      <alignment horizontal="left" vertical="center" wrapText="1"/>
    </xf>
    <xf numFmtId="0" fontId="53" fillId="0" borderId="74" xfId="15" applyFont="1" applyBorder="1" applyAlignment="1">
      <alignment horizontal="center" vertical="center" wrapText="1"/>
    </xf>
    <xf numFmtId="0" fontId="45" fillId="0" borderId="74" xfId="15" applyFont="1" applyBorder="1" applyAlignment="1">
      <alignment horizontal="center" vertical="center" wrapText="1"/>
    </xf>
    <xf numFmtId="0" fontId="45" fillId="12" borderId="74" xfId="15" applyFont="1" applyFill="1" applyBorder="1" applyAlignment="1">
      <alignment horizontal="center" vertical="center" wrapText="1"/>
    </xf>
    <xf numFmtId="0" fontId="45" fillId="12" borderId="75" xfId="15" applyFont="1" applyFill="1" applyBorder="1" applyAlignment="1">
      <alignment horizontal="center" vertical="center" wrapText="1"/>
    </xf>
    <xf numFmtId="0" fontId="45" fillId="0" borderId="76" xfId="15" applyFont="1" applyBorder="1" applyAlignment="1">
      <alignment horizontal="left" vertical="center" wrapText="1"/>
    </xf>
    <xf numFmtId="0" fontId="53" fillId="0" borderId="77" xfId="15" applyFont="1" applyBorder="1" applyAlignment="1">
      <alignment horizontal="center" vertical="center" wrapText="1"/>
    </xf>
    <xf numFmtId="0" fontId="45" fillId="0" borderId="77" xfId="15" applyFont="1" applyBorder="1" applyAlignment="1">
      <alignment horizontal="center" vertical="center" wrapText="1"/>
    </xf>
    <xf numFmtId="0" fontId="45" fillId="12" borderId="77" xfId="15" applyFont="1" applyFill="1" applyBorder="1" applyAlignment="1">
      <alignment horizontal="center" vertical="center" wrapText="1"/>
    </xf>
    <xf numFmtId="0" fontId="45" fillId="12" borderId="78" xfId="15" applyFont="1" applyFill="1" applyBorder="1" applyAlignment="1">
      <alignment horizontal="center" vertical="center" wrapText="1"/>
    </xf>
    <xf numFmtId="0" fontId="44" fillId="0" borderId="0" xfId="30" applyFont="1" applyFill="1" applyBorder="1" applyAlignment="1">
      <alignment horizontal="center" vertical="center" wrapText="1"/>
    </xf>
    <xf numFmtId="0" fontId="40" fillId="0" borderId="0" xfId="55" applyFont="1" applyAlignment="1">
      <alignment vertical="center" wrapText="1"/>
    </xf>
    <xf numFmtId="0" fontId="54" fillId="0" borderId="0" xfId="55" applyFont="1" applyAlignment="1">
      <alignment horizontal="center"/>
    </xf>
    <xf numFmtId="0" fontId="40" fillId="5" borderId="0" xfId="55" applyFont="1" applyFill="1" applyAlignment="1">
      <alignment vertical="center"/>
    </xf>
    <xf numFmtId="0" fontId="40" fillId="0" borderId="0" xfId="0" applyFont="1" applyAlignment="1">
      <alignment horizontal="center" vertical="center"/>
    </xf>
    <xf numFmtId="0" fontId="41" fillId="10" borderId="85" xfId="15" applyFont="1" applyFill="1" applyBorder="1" applyAlignment="1">
      <alignment horizontal="center" vertical="center" wrapText="1"/>
    </xf>
    <xf numFmtId="0" fontId="55" fillId="5" borderId="0" xfId="55" applyFont="1" applyFill="1" applyAlignment="1">
      <alignment vertical="center"/>
    </xf>
    <xf numFmtId="0" fontId="45" fillId="17" borderId="74" xfId="15" applyFont="1" applyFill="1" applyBorder="1" applyAlignment="1">
      <alignment horizontal="center" vertical="center" wrapText="1"/>
    </xf>
    <xf numFmtId="0" fontId="45" fillId="13" borderId="75" xfId="15" applyFont="1" applyFill="1" applyBorder="1" applyAlignment="1">
      <alignment horizontal="center" vertical="center" wrapText="1"/>
    </xf>
    <xf numFmtId="0" fontId="45" fillId="0" borderId="82" xfId="15" applyFont="1" applyBorder="1" applyAlignment="1">
      <alignment horizontal="left" vertical="center" wrapText="1"/>
    </xf>
    <xf numFmtId="0" fontId="53" fillId="0" borderId="20" xfId="15" applyFont="1" applyBorder="1" applyAlignment="1">
      <alignment horizontal="center" vertical="center" wrapText="1"/>
    </xf>
    <xf numFmtId="0" fontId="45" fillId="0" borderId="20" xfId="15" applyFont="1" applyBorder="1" applyAlignment="1">
      <alignment horizontal="center" vertical="center" wrapText="1"/>
    </xf>
    <xf numFmtId="0" fontId="45" fillId="17" borderId="20" xfId="15" applyFont="1" applyFill="1" applyBorder="1" applyAlignment="1">
      <alignment horizontal="center" vertical="center" wrapText="1"/>
    </xf>
    <xf numFmtId="0" fontId="45" fillId="12" borderId="20" xfId="15" applyFont="1" applyFill="1" applyBorder="1" applyAlignment="1">
      <alignment horizontal="center" vertical="center" wrapText="1"/>
    </xf>
    <xf numFmtId="0" fontId="45" fillId="13" borderId="83" xfId="15" applyFont="1" applyFill="1" applyBorder="1" applyAlignment="1">
      <alignment horizontal="center" vertical="center" wrapText="1"/>
    </xf>
    <xf numFmtId="0" fontId="45" fillId="17" borderId="77" xfId="15" applyFont="1" applyFill="1" applyBorder="1" applyAlignment="1">
      <alignment horizontal="center" vertical="center" wrapText="1"/>
    </xf>
    <xf numFmtId="0" fontId="45" fillId="13" borderId="78" xfId="15" applyFont="1" applyFill="1" applyBorder="1" applyAlignment="1">
      <alignment horizontal="center" vertical="center" wrapText="1"/>
    </xf>
    <xf numFmtId="0" fontId="41" fillId="10" borderId="85" xfId="0" applyFont="1" applyFill="1" applyBorder="1" applyAlignment="1">
      <alignment vertical="center" wrapText="1"/>
    </xf>
    <xf numFmtId="0" fontId="45" fillId="0" borderId="85" xfId="0" applyFont="1" applyBorder="1" applyAlignment="1">
      <alignment horizontal="left" vertical="center" wrapText="1"/>
    </xf>
    <xf numFmtId="2" fontId="45" fillId="12" borderId="87" xfId="0" applyNumberFormat="1" applyFont="1" applyFill="1" applyBorder="1" applyAlignment="1">
      <alignment horizontal="center" vertical="center" wrapText="1"/>
    </xf>
    <xf numFmtId="0" fontId="44" fillId="0" borderId="30" xfId="30" applyFont="1" applyBorder="1" applyAlignment="1">
      <alignment horizontal="center" vertical="center" wrapText="1"/>
    </xf>
    <xf numFmtId="0" fontId="40" fillId="0" borderId="0" xfId="0" applyFont="1" applyAlignment="1">
      <alignment vertical="center" wrapText="1"/>
    </xf>
    <xf numFmtId="0" fontId="54" fillId="0" borderId="0" xfId="0" applyFont="1" applyAlignment="1">
      <alignment horizontal="center"/>
    </xf>
    <xf numFmtId="0" fontId="40" fillId="0" borderId="0" xfId="0" applyFont="1" applyAlignment="1">
      <alignment vertical="center"/>
    </xf>
    <xf numFmtId="0" fontId="45" fillId="0" borderId="85" xfId="0" applyFont="1" applyBorder="1" applyAlignment="1">
      <alignment vertical="center" wrapText="1"/>
    </xf>
    <xf numFmtId="0" fontId="45" fillId="17" borderId="87" xfId="15" applyFont="1" applyFill="1" applyBorder="1" applyAlignment="1">
      <alignment horizontal="center" vertical="center" wrapText="1"/>
    </xf>
    <xf numFmtId="0" fontId="52" fillId="0" borderId="0" xfId="0" applyFont="1" applyAlignment="1">
      <alignment vertical="center"/>
    </xf>
    <xf numFmtId="0" fontId="45" fillId="12" borderId="85" xfId="0" applyFont="1" applyFill="1" applyBorder="1" applyAlignment="1">
      <alignment horizontal="center" vertical="center" wrapText="1"/>
    </xf>
    <xf numFmtId="0" fontId="45" fillId="13" borderId="86" xfId="0" applyFont="1" applyFill="1" applyBorder="1" applyAlignment="1">
      <alignment horizontal="center" vertical="center" wrapText="1"/>
    </xf>
    <xf numFmtId="0" fontId="45" fillId="12" borderId="86" xfId="0" applyFont="1" applyFill="1" applyBorder="1" applyAlignment="1">
      <alignment horizontal="center" vertical="center" wrapText="1"/>
    </xf>
    <xf numFmtId="10" fontId="45" fillId="12" borderId="86" xfId="0" applyNumberFormat="1" applyFont="1" applyFill="1" applyBorder="1" applyAlignment="1">
      <alignment horizontal="center" vertical="center" wrapText="1"/>
    </xf>
    <xf numFmtId="10" fontId="45" fillId="12" borderId="87" xfId="0" applyNumberFormat="1" applyFont="1" applyFill="1" applyBorder="1" applyAlignment="1">
      <alignment horizontal="center" vertical="center" wrapText="1"/>
    </xf>
    <xf numFmtId="0" fontId="40" fillId="0" borderId="0" xfId="15" applyFont="1" applyAlignment="1">
      <alignment vertical="center"/>
    </xf>
    <xf numFmtId="0" fontId="41" fillId="10" borderId="77" xfId="15" applyFont="1" applyFill="1" applyBorder="1" applyAlignment="1">
      <alignment horizontal="center" vertical="center" wrapText="1"/>
    </xf>
    <xf numFmtId="0" fontId="41" fillId="10" borderId="78" xfId="15" applyFont="1" applyFill="1" applyBorder="1" applyAlignment="1">
      <alignment horizontal="center" vertical="center" wrapText="1"/>
    </xf>
    <xf numFmtId="0" fontId="45" fillId="12" borderId="83" xfId="15" applyFont="1" applyFill="1" applyBorder="1" applyAlignment="1">
      <alignment horizontal="center" vertical="center" wrapText="1"/>
    </xf>
    <xf numFmtId="10" fontId="43" fillId="18" borderId="20" xfId="47" applyNumberFormat="1" applyFont="1" applyFill="1" applyBorder="1" applyAlignment="1" applyProtection="1">
      <alignment horizontal="left" vertical="top"/>
      <protection locked="0"/>
    </xf>
    <xf numFmtId="0" fontId="45" fillId="0" borderId="0" xfId="0" applyFont="1" applyAlignment="1">
      <alignment vertical="center" textRotation="90"/>
    </xf>
    <xf numFmtId="0" fontId="48" fillId="0" borderId="0" xfId="56" applyFont="1" applyBorder="1" applyAlignment="1">
      <alignment horizontal="left" vertical="center" wrapText="1"/>
    </xf>
    <xf numFmtId="0" fontId="41" fillId="10" borderId="20" xfId="0" applyFont="1" applyFill="1" applyBorder="1" applyAlignment="1">
      <alignment horizontal="center" vertical="center" wrapText="1"/>
    </xf>
    <xf numFmtId="0" fontId="41" fillId="10" borderId="83" xfId="0" applyFont="1" applyFill="1" applyBorder="1" applyAlignment="1">
      <alignment horizontal="center" vertical="center" wrapText="1"/>
    </xf>
    <xf numFmtId="0" fontId="41" fillId="10" borderId="73" xfId="0" applyFont="1" applyFill="1" applyBorder="1" applyAlignment="1">
      <alignment horizontal="center" vertical="center" wrapText="1"/>
    </xf>
    <xf numFmtId="0" fontId="41" fillId="10" borderId="74" xfId="0" applyFont="1" applyFill="1" applyBorder="1" applyAlignment="1">
      <alignment horizontal="center" vertical="center" wrapText="1"/>
    </xf>
    <xf numFmtId="0" fontId="41" fillId="10" borderId="75" xfId="0" applyFont="1" applyFill="1" applyBorder="1" applyAlignment="1">
      <alignment horizontal="center" vertical="center" wrapText="1"/>
    </xf>
    <xf numFmtId="0" fontId="35" fillId="0" borderId="0" xfId="0" applyFont="1" applyAlignment="1">
      <alignment horizontal="left"/>
    </xf>
    <xf numFmtId="0" fontId="35" fillId="0" borderId="0" xfId="0" applyFont="1"/>
    <xf numFmtId="0" fontId="35" fillId="0" borderId="0" xfId="0" applyFont="1" applyAlignment="1">
      <alignment vertical="center"/>
    </xf>
    <xf numFmtId="0" fontId="36" fillId="0" borderId="0" xfId="0" applyFont="1"/>
    <xf numFmtId="0" fontId="40" fillId="0" borderId="0" xfId="0" applyFont="1"/>
    <xf numFmtId="0" fontId="57" fillId="0" borderId="0" xfId="15" applyFont="1" applyAlignment="1">
      <alignment vertical="center"/>
    </xf>
    <xf numFmtId="0" fontId="35" fillId="0" borderId="0" xfId="0" applyFont="1" applyAlignment="1">
      <alignment wrapText="1"/>
    </xf>
    <xf numFmtId="0" fontId="35" fillId="0" borderId="0" xfId="0" applyFont="1" applyAlignment="1">
      <alignment vertical="center" wrapText="1"/>
    </xf>
    <xf numFmtId="0" fontId="35" fillId="0" borderId="0" xfId="0" applyFont="1" applyAlignment="1">
      <alignment horizontal="center" vertical="center"/>
    </xf>
    <xf numFmtId="0" fontId="49" fillId="0" borderId="0" xfId="30" applyFont="1" applyBorder="1" applyAlignment="1">
      <alignment vertical="center"/>
    </xf>
    <xf numFmtId="0" fontId="49" fillId="0" borderId="0" xfId="30" applyFont="1" applyBorder="1" applyAlignment="1">
      <alignment vertical="center" wrapText="1"/>
    </xf>
    <xf numFmtId="0" fontId="49" fillId="0" borderId="0" xfId="30" applyFont="1" applyFill="1" applyBorder="1" applyAlignment="1">
      <alignment vertical="center" wrapText="1"/>
    </xf>
    <xf numFmtId="0" fontId="35" fillId="0" borderId="0" xfId="15" applyFont="1" applyAlignment="1">
      <alignment vertical="center"/>
    </xf>
    <xf numFmtId="0" fontId="65" fillId="0" borderId="0" xfId="30" applyFont="1" applyBorder="1" applyAlignment="1">
      <alignment vertical="center"/>
    </xf>
    <xf numFmtId="0" fontId="66" fillId="14" borderId="0" xfId="30" applyFont="1" applyFill="1" applyBorder="1" applyAlignment="1">
      <alignment horizontal="center" vertical="center"/>
    </xf>
    <xf numFmtId="0" fontId="45" fillId="0" borderId="0" xfId="0" applyFont="1" applyAlignment="1">
      <alignment horizontal="justify" vertical="center" wrapText="1"/>
    </xf>
    <xf numFmtId="0" fontId="35" fillId="5" borderId="0" xfId="0" applyFont="1" applyFill="1" applyAlignment="1">
      <alignment vertical="center"/>
    </xf>
    <xf numFmtId="0" fontId="41" fillId="0" borderId="0" xfId="30" applyFont="1" applyFill="1" applyBorder="1" applyAlignment="1">
      <alignment horizontal="center" vertical="center" wrapText="1"/>
    </xf>
    <xf numFmtId="0" fontId="37" fillId="0" borderId="0" xfId="15" applyFont="1" applyAlignment="1">
      <alignment vertical="center"/>
    </xf>
    <xf numFmtId="0" fontId="61" fillId="0" borderId="0" xfId="15" applyFont="1" applyAlignment="1">
      <alignment horizontal="center" vertical="center"/>
    </xf>
    <xf numFmtId="0" fontId="41" fillId="10" borderId="54" xfId="0" applyFont="1" applyFill="1" applyBorder="1" applyAlignment="1">
      <alignment horizontal="center" vertical="center" wrapText="1"/>
    </xf>
    <xf numFmtId="0" fontId="40" fillId="5" borderId="0" xfId="0" applyFont="1" applyFill="1" applyAlignment="1">
      <alignment vertical="center"/>
    </xf>
    <xf numFmtId="0" fontId="41" fillId="5" borderId="0" xfId="30" applyFont="1" applyFill="1" applyBorder="1" applyAlignment="1">
      <alignment horizontal="center" vertical="center" wrapText="1"/>
    </xf>
    <xf numFmtId="0" fontId="41" fillId="5" borderId="0" xfId="0" applyFont="1" applyFill="1" applyAlignment="1">
      <alignment horizontal="center" vertical="center" wrapText="1"/>
    </xf>
    <xf numFmtId="0" fontId="68" fillId="5" borderId="0" xfId="30" applyFont="1" applyFill="1" applyBorder="1" applyAlignment="1">
      <alignment horizontal="center" vertical="center" wrapText="1"/>
    </xf>
    <xf numFmtId="0" fontId="68" fillId="5" borderId="0" xfId="0" applyFont="1" applyFill="1" applyAlignment="1">
      <alignment horizontal="center" vertical="center" wrapText="1"/>
    </xf>
    <xf numFmtId="0" fontId="45" fillId="0" borderId="51" xfId="0" applyFont="1" applyBorder="1" applyAlignment="1">
      <alignment horizontal="center" vertical="center" wrapText="1"/>
    </xf>
    <xf numFmtId="172" fontId="45" fillId="12" borderId="51" xfId="39" applyNumberFormat="1" applyFont="1" applyFill="1" applyBorder="1" applyAlignment="1" applyProtection="1">
      <alignment horizontal="center" vertical="center" wrapText="1"/>
      <protection locked="0"/>
    </xf>
    <xf numFmtId="172" fontId="45" fillId="13" borderId="51" xfId="39" applyNumberFormat="1" applyFont="1" applyFill="1" applyBorder="1" applyAlignment="1">
      <alignment horizontal="center" vertical="center" wrapText="1"/>
    </xf>
    <xf numFmtId="172" fontId="45" fillId="13" borderId="52" xfId="39" applyNumberFormat="1" applyFont="1" applyFill="1" applyBorder="1" applyAlignment="1">
      <alignment horizontal="center" vertical="center" wrapText="1"/>
    </xf>
    <xf numFmtId="0" fontId="44" fillId="0" borderId="57" xfId="30" applyFont="1" applyBorder="1" applyAlignment="1">
      <alignment horizontal="center" vertical="center" wrapText="1"/>
    </xf>
    <xf numFmtId="0" fontId="44" fillId="0" borderId="0" xfId="30" applyFont="1" applyBorder="1" applyAlignment="1">
      <alignment horizontal="center" vertical="center" wrapText="1"/>
    </xf>
    <xf numFmtId="0" fontId="44" fillId="0" borderId="57" xfId="30" applyFont="1" applyBorder="1" applyAlignment="1" applyProtection="1">
      <alignment horizontal="center" vertical="center" wrapText="1"/>
      <protection locked="0"/>
    </xf>
    <xf numFmtId="0" fontId="37" fillId="16" borderId="15" xfId="48" applyFont="1" applyBorder="1" applyAlignment="1">
      <alignment horizontal="center" vertical="center"/>
    </xf>
    <xf numFmtId="0" fontId="61" fillId="15" borderId="0" xfId="15" applyFont="1" applyFill="1" applyAlignment="1">
      <alignment horizontal="center" vertical="center"/>
    </xf>
    <xf numFmtId="0" fontId="45" fillId="0" borderId="22" xfId="0" applyFont="1" applyBorder="1" applyAlignment="1">
      <alignment horizontal="center" vertical="center" wrapText="1"/>
    </xf>
    <xf numFmtId="172" fontId="45" fillId="12" borderId="22" xfId="39" applyNumberFormat="1" applyFont="1" applyFill="1" applyBorder="1" applyAlignment="1" applyProtection="1">
      <alignment horizontal="center" vertical="center" wrapText="1"/>
      <protection locked="0"/>
    </xf>
    <xf numFmtId="172" fontId="45" fillId="13" borderId="22" xfId="39" applyNumberFormat="1" applyFont="1" applyFill="1" applyBorder="1" applyAlignment="1">
      <alignment horizontal="center" vertical="center" wrapText="1"/>
    </xf>
    <xf numFmtId="172" fontId="45" fillId="13" borderId="60" xfId="39" applyNumberFormat="1" applyFont="1" applyFill="1" applyBorder="1" applyAlignment="1">
      <alignment horizontal="center" vertical="center" wrapText="1"/>
    </xf>
    <xf numFmtId="0" fontId="44" fillId="0" borderId="61" xfId="30" applyFont="1" applyBorder="1" applyAlignment="1">
      <alignment horizontal="center" vertical="center" wrapText="1"/>
    </xf>
    <xf numFmtId="0" fontId="44" fillId="0" borderId="61" xfId="30" applyFont="1" applyBorder="1" applyAlignment="1" applyProtection="1">
      <alignment horizontal="center" vertical="center" wrapText="1"/>
      <protection locked="0"/>
    </xf>
    <xf numFmtId="0" fontId="45" fillId="0" borderId="22" xfId="0" applyFont="1" applyBorder="1" applyAlignment="1">
      <alignment horizontal="center" vertical="center"/>
    </xf>
    <xf numFmtId="0" fontId="43" fillId="2" borderId="22" xfId="2" applyFont="1" applyFill="1" applyBorder="1" applyAlignment="1">
      <alignment horizontal="center" vertical="center"/>
    </xf>
    <xf numFmtId="0" fontId="43" fillId="0" borderId="22" xfId="2" applyFont="1" applyBorder="1" applyAlignment="1">
      <alignment horizontal="center" vertical="center"/>
    </xf>
    <xf numFmtId="0" fontId="43" fillId="2" borderId="22" xfId="2" applyFont="1" applyFill="1" applyBorder="1" applyAlignment="1">
      <alignment horizontal="center" vertical="center" wrapText="1"/>
    </xf>
    <xf numFmtId="0" fontId="43" fillId="2" borderId="54" xfId="2" applyFont="1" applyFill="1" applyBorder="1" applyAlignment="1">
      <alignment horizontal="center" vertical="center"/>
    </xf>
    <xf numFmtId="172" fontId="45" fillId="12" borderId="54" xfId="39" applyNumberFormat="1" applyFont="1" applyFill="1" applyBorder="1" applyAlignment="1" applyProtection="1">
      <alignment horizontal="center" vertical="center" wrapText="1"/>
      <protection locked="0"/>
    </xf>
    <xf numFmtId="172" fontId="45" fillId="13" borderId="54" xfId="39" applyNumberFormat="1" applyFont="1" applyFill="1" applyBorder="1" applyAlignment="1">
      <alignment horizontal="center" vertical="center" wrapText="1"/>
    </xf>
    <xf numFmtId="172" fontId="45" fillId="13" borderId="55" xfId="39" applyNumberFormat="1" applyFont="1" applyFill="1" applyBorder="1" applyAlignment="1">
      <alignment horizontal="center" vertical="center" wrapText="1"/>
    </xf>
    <xf numFmtId="0" fontId="71" fillId="0" borderId="58" xfId="30" applyFont="1" applyBorder="1" applyAlignment="1">
      <alignment horizontal="center" vertical="center" wrapText="1"/>
    </xf>
    <xf numFmtId="0" fontId="71" fillId="0" borderId="0" xfId="30" applyFont="1" applyBorder="1" applyAlignment="1">
      <alignment horizontal="center" vertical="center" wrapText="1"/>
    </xf>
    <xf numFmtId="0" fontId="44" fillId="0" borderId="58" xfId="30" applyFont="1" applyBorder="1" applyAlignment="1" applyProtection="1">
      <alignment horizontal="center" vertical="center" wrapText="1"/>
      <protection locked="0"/>
    </xf>
    <xf numFmtId="0" fontId="44" fillId="0" borderId="0" xfId="30" applyFont="1" applyBorder="1" applyAlignment="1">
      <alignment vertical="center" wrapText="1"/>
    </xf>
    <xf numFmtId="172" fontId="40" fillId="0" borderId="0" xfId="39" applyNumberFormat="1" applyFont="1" applyAlignment="1">
      <alignment vertical="center"/>
    </xf>
    <xf numFmtId="0" fontId="71" fillId="0" borderId="0" xfId="0" applyFont="1" applyAlignment="1">
      <alignment horizontal="center" vertical="center"/>
    </xf>
    <xf numFmtId="0" fontId="37" fillId="10" borderId="0" xfId="35" applyFont="1" applyFill="1" applyAlignment="1">
      <alignment horizontal="center" vertical="center"/>
    </xf>
    <xf numFmtId="172" fontId="43" fillId="0" borderId="0" xfId="39" applyNumberFormat="1" applyFont="1" applyAlignment="1">
      <alignment vertical="center"/>
    </xf>
    <xf numFmtId="0" fontId="43" fillId="2" borderId="51" xfId="2" applyFont="1" applyFill="1" applyBorder="1" applyAlignment="1">
      <alignment horizontal="center" vertical="center"/>
    </xf>
    <xf numFmtId="0" fontId="43" fillId="0" borderId="22" xfId="0" applyFont="1" applyBorder="1" applyAlignment="1">
      <alignment horizontal="center" vertical="center"/>
    </xf>
    <xf numFmtId="172" fontId="43" fillId="13" borderId="22" xfId="39" applyNumberFormat="1" applyFont="1" applyFill="1" applyBorder="1" applyAlignment="1">
      <alignment horizontal="center" vertical="center" wrapText="1"/>
    </xf>
    <xf numFmtId="172" fontId="43" fillId="13" borderId="60" xfId="39" applyNumberFormat="1" applyFont="1" applyFill="1" applyBorder="1" applyAlignment="1">
      <alignment horizontal="center" vertical="center" wrapText="1"/>
    </xf>
    <xf numFmtId="172" fontId="43" fillId="13" borderId="54" xfId="39" applyNumberFormat="1" applyFont="1" applyFill="1" applyBorder="1" applyAlignment="1">
      <alignment horizontal="center" vertical="center" wrapText="1"/>
    </xf>
    <xf numFmtId="172" fontId="43" fillId="13" borderId="55" xfId="39" applyNumberFormat="1" applyFont="1" applyFill="1" applyBorder="1" applyAlignment="1">
      <alignment horizontal="center" vertical="center" wrapText="1"/>
    </xf>
    <xf numFmtId="172" fontId="41" fillId="0" borderId="0" xfId="39" applyNumberFormat="1" applyFont="1" applyAlignment="1">
      <alignment horizontal="center" vertical="center" wrapText="1"/>
    </xf>
    <xf numFmtId="0" fontId="68" fillId="0" borderId="0" xfId="0" applyFont="1" applyAlignment="1">
      <alignment horizontal="center" vertical="center" wrapText="1"/>
    </xf>
    <xf numFmtId="0" fontId="43" fillId="0" borderId="51" xfId="0" applyFont="1" applyBorder="1" applyAlignment="1">
      <alignment horizontal="center" vertical="center" wrapText="1"/>
    </xf>
    <xf numFmtId="172" fontId="43" fillId="18" borderId="51" xfId="39" applyNumberFormat="1" applyFont="1" applyFill="1" applyBorder="1" applyAlignment="1">
      <alignment horizontal="center" vertical="center" wrapText="1"/>
    </xf>
    <xf numFmtId="172" fontId="43" fillId="10" borderId="51" xfId="39" applyNumberFormat="1" applyFont="1" applyFill="1" applyBorder="1" applyAlignment="1">
      <alignment vertical="center"/>
    </xf>
    <xf numFmtId="172" fontId="43" fillId="12" borderId="51" xfId="39" applyNumberFormat="1" applyFont="1" applyFill="1" applyBorder="1" applyAlignment="1">
      <alignment vertical="center"/>
    </xf>
    <xf numFmtId="172" fontId="43" fillId="10" borderId="52" xfId="39" applyNumberFormat="1" applyFont="1" applyFill="1" applyBorder="1" applyAlignment="1">
      <alignment vertical="center"/>
    </xf>
    <xf numFmtId="0" fontId="71" fillId="0" borderId="57" xfId="30" applyFont="1" applyBorder="1" applyAlignment="1">
      <alignment horizontal="center" vertical="center" wrapText="1"/>
    </xf>
    <xf numFmtId="0" fontId="71" fillId="0" borderId="57" xfId="30" applyFont="1" applyBorder="1" applyAlignment="1" applyProtection="1">
      <alignment horizontal="center" vertical="center" wrapText="1"/>
      <protection locked="0"/>
    </xf>
    <xf numFmtId="0" fontId="43" fillId="0" borderId="22" xfId="0" applyFont="1" applyBorder="1" applyAlignment="1">
      <alignment horizontal="center" vertical="center" wrapText="1"/>
    </xf>
    <xf numFmtId="172" fontId="43" fillId="18" borderId="22" xfId="39" applyNumberFormat="1" applyFont="1" applyFill="1" applyBorder="1" applyAlignment="1">
      <alignment horizontal="center" vertical="center" wrapText="1"/>
    </xf>
    <xf numFmtId="172" fontId="43" fillId="10" borderId="22" xfId="39" applyNumberFormat="1" applyFont="1" applyFill="1" applyBorder="1" applyAlignment="1">
      <alignment vertical="center"/>
    </xf>
    <xf numFmtId="172" fontId="43" fillId="12" borderId="22" xfId="39" applyNumberFormat="1" applyFont="1" applyFill="1" applyBorder="1" applyAlignment="1">
      <alignment vertical="center"/>
    </xf>
    <xf numFmtId="172" fontId="43" fillId="10" borderId="60" xfId="39" applyNumberFormat="1" applyFont="1" applyFill="1" applyBorder="1" applyAlignment="1">
      <alignment vertical="center"/>
    </xf>
    <xf numFmtId="0" fontId="71" fillId="0" borderId="61" xfId="30" applyFont="1" applyBorder="1" applyAlignment="1">
      <alignment horizontal="center" vertical="center" wrapText="1"/>
    </xf>
    <xf numFmtId="0" fontId="71" fillId="0" borderId="61" xfId="30" applyFont="1" applyBorder="1" applyAlignment="1" applyProtection="1">
      <alignment horizontal="center" vertical="center" wrapText="1"/>
      <protection locked="0"/>
    </xf>
    <xf numFmtId="0" fontId="43" fillId="0" borderId="54" xfId="0" applyFont="1" applyBorder="1" applyAlignment="1">
      <alignment horizontal="center" vertical="center" wrapText="1"/>
    </xf>
    <xf numFmtId="172" fontId="43" fillId="18" borderId="54" xfId="39" applyNumberFormat="1" applyFont="1" applyFill="1" applyBorder="1" applyAlignment="1">
      <alignment horizontal="center" vertical="center" wrapText="1"/>
    </xf>
    <xf numFmtId="172" fontId="43" fillId="10" borderId="54" xfId="39" applyNumberFormat="1" applyFont="1" applyFill="1" applyBorder="1" applyAlignment="1">
      <alignment vertical="center"/>
    </xf>
    <xf numFmtId="172" fontId="43" fillId="13" borderId="54" xfId="39" applyNumberFormat="1" applyFont="1" applyFill="1" applyBorder="1" applyAlignment="1">
      <alignment vertical="center"/>
    </xf>
    <xf numFmtId="172" fontId="43" fillId="10" borderId="55"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2" fillId="0" borderId="0" xfId="29" applyFont="1" applyBorder="1" applyAlignment="1">
      <alignment horizontal="left" vertical="center" wrapText="1"/>
    </xf>
    <xf numFmtId="0" fontId="49" fillId="10" borderId="0" xfId="30" applyFont="1" applyFill="1" applyBorder="1" applyAlignment="1">
      <alignment vertical="center"/>
    </xf>
    <xf numFmtId="0" fontId="42" fillId="0" borderId="0" xfId="29" applyFont="1" applyFill="1" applyBorder="1" applyAlignment="1">
      <alignment horizontal="left" vertical="center" wrapText="1"/>
    </xf>
    <xf numFmtId="0" fontId="65" fillId="10" borderId="0" xfId="30" applyFont="1" applyFill="1" applyBorder="1" applyAlignment="1">
      <alignment vertical="center"/>
    </xf>
    <xf numFmtId="0" fontId="73" fillId="0" borderId="0" xfId="15" applyFont="1" applyAlignment="1">
      <alignment horizontal="center" vertical="center" wrapText="1"/>
    </xf>
    <xf numFmtId="0" fontId="42" fillId="0" borderId="0" xfId="31" applyFont="1" applyBorder="1" applyAlignment="1">
      <alignment horizontal="center" vertical="center" wrapText="1"/>
    </xf>
    <xf numFmtId="0" fontId="42" fillId="0" borderId="0" xfId="31" applyFont="1" applyFill="1" applyBorder="1" applyAlignment="1">
      <alignment horizontal="center" vertical="center" wrapText="1"/>
    </xf>
    <xf numFmtId="0" fontId="41" fillId="0" borderId="0" xfId="0" applyFont="1" applyAlignment="1">
      <alignment vertical="center" wrapText="1"/>
    </xf>
    <xf numFmtId="0" fontId="46" fillId="0" borderId="0" xfId="0" applyFont="1" applyAlignment="1">
      <alignment vertical="center" wrapText="1"/>
    </xf>
    <xf numFmtId="0" fontId="43" fillId="0" borderId="0" xfId="0" applyFont="1" applyAlignment="1">
      <alignment horizontal="center" vertical="center" wrapText="1"/>
    </xf>
    <xf numFmtId="172" fontId="45" fillId="17" borderId="51" xfId="39" applyNumberFormat="1" applyFont="1" applyFill="1" applyBorder="1" applyAlignment="1">
      <alignment horizontal="center" vertical="center" wrapText="1"/>
    </xf>
    <xf numFmtId="172" fontId="43" fillId="13" borderId="52" xfId="39" applyNumberFormat="1" applyFont="1" applyFill="1" applyBorder="1" applyAlignment="1">
      <alignment horizontal="center" vertical="center" wrapText="1"/>
    </xf>
    <xf numFmtId="0" fontId="70" fillId="0" borderId="0" xfId="0" applyFont="1" applyAlignment="1">
      <alignment horizontal="center" vertical="center" wrapText="1"/>
    </xf>
    <xf numFmtId="0" fontId="45" fillId="0" borderId="59" xfId="0" applyFont="1" applyBorder="1" applyAlignment="1">
      <alignment horizontal="left" vertical="center"/>
    </xf>
    <xf numFmtId="0" fontId="45" fillId="0" borderId="22" xfId="0" applyFont="1" applyBorder="1" applyAlignment="1">
      <alignment horizontal="left" vertical="center" wrapText="1"/>
    </xf>
    <xf numFmtId="0" fontId="45" fillId="0" borderId="54" xfId="0" applyFont="1" applyBorder="1" applyAlignment="1">
      <alignment horizontal="center" vertical="center" wrapText="1"/>
    </xf>
    <xf numFmtId="0" fontId="44" fillId="0" borderId="58" xfId="30" applyFont="1" applyBorder="1" applyAlignment="1">
      <alignment horizontal="center" vertical="center" wrapText="1"/>
    </xf>
    <xf numFmtId="0" fontId="42" fillId="2" borderId="0" xfId="2" applyFont="1" applyFill="1" applyAlignment="1">
      <alignment horizontal="left" vertical="center"/>
    </xf>
    <xf numFmtId="0" fontId="45" fillId="0" borderId="0" xfId="0" applyFont="1" applyAlignment="1">
      <alignment vertical="center" wrapText="1"/>
    </xf>
    <xf numFmtId="0" fontId="37" fillId="0" borderId="0" xfId="35" applyFont="1" applyAlignment="1">
      <alignment horizontal="center" vertical="center"/>
    </xf>
    <xf numFmtId="0" fontId="59" fillId="0" borderId="0" xfId="0" applyFont="1" applyAlignment="1">
      <alignment vertical="center"/>
    </xf>
    <xf numFmtId="0" fontId="41" fillId="0" borderId="0" xfId="30" applyFont="1" applyFill="1" applyBorder="1" applyAlignment="1">
      <alignment horizontal="left" vertical="center" wrapText="1"/>
    </xf>
    <xf numFmtId="0" fontId="45" fillId="0" borderId="54" xfId="0" applyFont="1" applyBorder="1" applyAlignment="1">
      <alignment horizontal="center" vertical="center"/>
    </xf>
    <xf numFmtId="0" fontId="45" fillId="0" borderId="0" xfId="0" applyFont="1" applyAlignment="1">
      <alignment horizontal="left" vertical="center" wrapText="1"/>
    </xf>
    <xf numFmtId="172" fontId="45" fillId="0" borderId="0" xfId="39" applyNumberFormat="1" applyFont="1" applyAlignment="1">
      <alignment horizontal="center" vertical="center" wrapText="1"/>
    </xf>
    <xf numFmtId="172" fontId="43" fillId="0" borderId="0" xfId="39" applyNumberFormat="1" applyFont="1" applyAlignment="1">
      <alignment horizontal="center" vertical="center" wrapText="1"/>
    </xf>
    <xf numFmtId="0" fontId="49" fillId="0" borderId="0" xfId="30" applyFont="1" applyBorder="1" applyAlignment="1">
      <alignment horizontal="center" vertical="center" wrapText="1"/>
    </xf>
    <xf numFmtId="0" fontId="43" fillId="2" borderId="0" xfId="2" applyFont="1" applyFill="1" applyAlignment="1">
      <alignment horizontal="left" vertical="center" wrapText="1"/>
    </xf>
    <xf numFmtId="0" fontId="37" fillId="7" borderId="0" xfId="35" applyFont="1" applyFill="1" applyAlignment="1">
      <alignment horizontal="center" vertical="center"/>
    </xf>
    <xf numFmtId="0" fontId="45" fillId="0" borderId="64" xfId="0" applyFont="1" applyBorder="1" applyAlignment="1">
      <alignment horizontal="center" vertical="center" wrapText="1"/>
    </xf>
    <xf numFmtId="167" fontId="45" fillId="13" borderId="64" xfId="0" applyNumberFormat="1" applyFont="1" applyFill="1" applyBorder="1" applyAlignment="1">
      <alignment horizontal="center" vertical="center" wrapText="1"/>
    </xf>
    <xf numFmtId="167" fontId="43" fillId="13" borderId="63" xfId="0" applyNumberFormat="1" applyFont="1" applyFill="1" applyBorder="1" applyAlignment="1">
      <alignment horizontal="center" vertical="center" wrapText="1"/>
    </xf>
    <xf numFmtId="0" fontId="44" fillId="0" borderId="46" xfId="30" applyFont="1" applyBorder="1" applyAlignment="1">
      <alignment horizontal="center" vertical="center" wrapText="1"/>
    </xf>
    <xf numFmtId="0" fontId="44" fillId="0" borderId="46" xfId="30" applyFont="1" applyBorder="1" applyAlignment="1" applyProtection="1">
      <alignment horizontal="center" vertical="center" wrapText="1"/>
      <protection locked="0"/>
    </xf>
    <xf numFmtId="0" fontId="43" fillId="2" borderId="0" xfId="2" applyFont="1" applyFill="1" applyAlignment="1">
      <alignment horizontal="left" vertical="center"/>
    </xf>
    <xf numFmtId="0" fontId="61" fillId="7" borderId="0" xfId="35" applyFont="1" applyFill="1" applyAlignment="1">
      <alignment horizontal="center" vertical="center"/>
    </xf>
    <xf numFmtId="0" fontId="43" fillId="0" borderId="0" xfId="0" applyFont="1" applyAlignment="1">
      <alignment horizontal="justify" vertical="center" wrapText="1"/>
    </xf>
    <xf numFmtId="0" fontId="74" fillId="0" borderId="0" xfId="30" applyFont="1" applyBorder="1" applyAlignment="1">
      <alignment horizontal="center" vertical="center" wrapText="1"/>
    </xf>
    <xf numFmtId="0" fontId="43" fillId="0" borderId="0" xfId="2" applyFont="1" applyAlignment="1">
      <alignment horizontal="left" vertical="center"/>
    </xf>
    <xf numFmtId="172" fontId="45" fillId="17" borderId="22" xfId="39" applyNumberFormat="1" applyFont="1" applyFill="1" applyBorder="1" applyAlignment="1">
      <alignment horizontal="center" vertical="center" wrapText="1"/>
    </xf>
    <xf numFmtId="0" fontId="43" fillId="0" borderId="54" xfId="2" applyFont="1" applyBorder="1" applyAlignment="1">
      <alignment horizontal="center" vertical="center" wrapText="1"/>
    </xf>
    <xf numFmtId="0" fontId="69" fillId="0" borderId="0" xfId="0" applyFont="1" applyAlignment="1">
      <alignment horizontal="center" vertical="center" wrapText="1"/>
    </xf>
    <xf numFmtId="0" fontId="43" fillId="0" borderId="64" xfId="0" applyFont="1" applyBorder="1" applyAlignment="1">
      <alignment horizontal="center" vertical="center" wrapText="1"/>
    </xf>
    <xf numFmtId="172" fontId="45" fillId="13" borderId="64" xfId="39" applyNumberFormat="1" applyFont="1" applyFill="1" applyBorder="1" applyAlignment="1">
      <alignment horizontal="center" vertical="center" wrapText="1"/>
    </xf>
    <xf numFmtId="172" fontId="43" fillId="13" borderId="63" xfId="39" applyNumberFormat="1" applyFont="1" applyFill="1" applyBorder="1" applyAlignment="1">
      <alignment horizontal="center" vertical="center" wrapText="1"/>
    </xf>
    <xf numFmtId="0" fontId="45" fillId="0" borderId="0" xfId="0" applyFont="1" applyAlignment="1">
      <alignment vertical="center"/>
    </xf>
    <xf numFmtId="0" fontId="37" fillId="0" borderId="15" xfId="48" applyFont="1" applyFill="1" applyBorder="1" applyAlignment="1">
      <alignment horizontal="center" vertical="center"/>
    </xf>
    <xf numFmtId="0" fontId="48" fillId="0" borderId="0" xfId="0" applyFont="1" applyAlignment="1">
      <alignment vertical="center"/>
    </xf>
    <xf numFmtId="0" fontId="49" fillId="0" borderId="0" xfId="29" applyFont="1" applyBorder="1" applyAlignment="1">
      <alignment horizontal="left" vertical="center" wrapText="1"/>
    </xf>
    <xf numFmtId="0" fontId="75" fillId="10" borderId="54" xfId="0" applyFont="1" applyFill="1" applyBorder="1" applyAlignment="1">
      <alignment horizontal="center" vertical="center" wrapText="1"/>
    </xf>
    <xf numFmtId="0" fontId="69" fillId="0" borderId="0" xfId="0" applyFont="1" applyAlignment="1">
      <alignment horizontal="justify" vertical="center" wrapText="1"/>
    </xf>
    <xf numFmtId="0" fontId="41" fillId="10" borderId="56" xfId="0" applyFont="1" applyFill="1" applyBorder="1" applyAlignment="1">
      <alignment horizontal="left" vertical="center" wrapText="1"/>
    </xf>
    <xf numFmtId="0" fontId="41" fillId="0" borderId="0" xfId="0" applyFont="1" applyAlignment="1">
      <alignment horizontal="left" vertical="center" wrapText="1"/>
    </xf>
    <xf numFmtId="0" fontId="74" fillId="0" borderId="0" xfId="0" applyFont="1" applyAlignment="1">
      <alignment vertical="center" wrapText="1"/>
    </xf>
    <xf numFmtId="0" fontId="45" fillId="0" borderId="50" xfId="0" applyFont="1" applyBorder="1" applyAlignment="1">
      <alignment vertical="center" wrapText="1"/>
    </xf>
    <xf numFmtId="0" fontId="43" fillId="0" borderId="59" xfId="0" applyFont="1" applyBorder="1" applyAlignment="1">
      <alignment vertical="center" wrapText="1"/>
    </xf>
    <xf numFmtId="172" fontId="43" fillId="10" borderId="22" xfId="39" applyNumberFormat="1" applyFont="1" applyFill="1" applyBorder="1" applyAlignment="1">
      <alignment vertical="center" wrapText="1"/>
    </xf>
    <xf numFmtId="172" fontId="45" fillId="10" borderId="22" xfId="39" applyNumberFormat="1" applyFont="1" applyFill="1" applyBorder="1" applyAlignment="1">
      <alignment horizontal="center" vertical="center" wrapText="1"/>
    </xf>
    <xf numFmtId="172" fontId="45" fillId="17" borderId="60" xfId="39" applyNumberFormat="1" applyFont="1" applyFill="1" applyBorder="1" applyAlignment="1">
      <alignment horizontal="center" vertical="center" wrapText="1"/>
    </xf>
    <xf numFmtId="0" fontId="45" fillId="0" borderId="59" xfId="0" applyFont="1" applyBorder="1" applyAlignment="1">
      <alignment vertical="center"/>
    </xf>
    <xf numFmtId="172" fontId="45" fillId="10" borderId="22" xfId="39" applyNumberFormat="1" applyFont="1" applyFill="1" applyBorder="1" applyAlignment="1">
      <alignment vertical="center"/>
    </xf>
    <xf numFmtId="0" fontId="45" fillId="0" borderId="59" xfId="0" applyFont="1" applyBorder="1" applyAlignment="1">
      <alignment vertical="center" wrapText="1"/>
    </xf>
    <xf numFmtId="172" fontId="45" fillId="10" borderId="22" xfId="39" applyNumberFormat="1" applyFont="1" applyFill="1" applyBorder="1" applyAlignment="1">
      <alignment vertical="center" wrapText="1"/>
    </xf>
    <xf numFmtId="172" fontId="45" fillId="12" borderId="60" xfId="39" applyNumberFormat="1" applyFont="1" applyFill="1" applyBorder="1" applyAlignment="1" applyProtection="1">
      <alignment horizontal="center" vertical="center" wrapText="1"/>
      <protection locked="0"/>
    </xf>
    <xf numFmtId="0" fontId="45" fillId="0" borderId="53" xfId="0" applyFont="1" applyBorder="1" applyAlignment="1">
      <alignment vertical="center" wrapText="1"/>
    </xf>
    <xf numFmtId="172" fontId="45" fillId="10" borderId="54" xfId="39" applyNumberFormat="1" applyFont="1" applyFill="1" applyBorder="1" applyAlignment="1">
      <alignment vertical="center" wrapText="1"/>
    </xf>
    <xf numFmtId="172" fontId="45" fillId="10" borderId="54" xfId="39" applyNumberFormat="1" applyFont="1" applyFill="1" applyBorder="1" applyAlignment="1">
      <alignment horizontal="center" vertical="center" wrapText="1"/>
    </xf>
    <xf numFmtId="0" fontId="45" fillId="10" borderId="51" xfId="0" applyFont="1" applyFill="1" applyBorder="1" applyAlignment="1">
      <alignment horizontal="center" vertical="center" wrapText="1"/>
    </xf>
    <xf numFmtId="10" fontId="45" fillId="13" borderId="52" xfId="38" applyNumberFormat="1" applyFont="1" applyFill="1" applyBorder="1" applyAlignment="1">
      <alignment horizontal="center" vertical="center" wrapText="1"/>
    </xf>
    <xf numFmtId="0" fontId="43" fillId="0" borderId="53" xfId="0" applyFont="1" applyBorder="1" applyAlignment="1">
      <alignment vertical="center" wrapText="1"/>
    </xf>
    <xf numFmtId="0" fontId="43" fillId="10" borderId="54" xfId="0" applyFont="1" applyFill="1" applyBorder="1" applyAlignment="1">
      <alignment vertical="center" wrapText="1"/>
    </xf>
    <xf numFmtId="0" fontId="45" fillId="10" borderId="54" xfId="0" applyFont="1" applyFill="1" applyBorder="1" applyAlignment="1">
      <alignment horizontal="center" vertical="center" wrapText="1"/>
    </xf>
    <xf numFmtId="171" fontId="45" fillId="12" borderId="55" xfId="38" applyNumberFormat="1" applyFont="1" applyFill="1" applyBorder="1" applyAlignment="1" applyProtection="1">
      <alignment horizontal="center" vertical="center" wrapText="1"/>
      <protection locked="0"/>
    </xf>
    <xf numFmtId="0" fontId="43" fillId="0" borderId="0" xfId="0" applyFont="1" applyAlignment="1">
      <alignment vertical="center" wrapText="1"/>
    </xf>
    <xf numFmtId="167" fontId="45" fillId="13" borderId="52" xfId="0" applyNumberFormat="1" applyFont="1" applyFill="1" applyBorder="1" applyAlignment="1">
      <alignment horizontal="center" vertical="center" wrapText="1"/>
    </xf>
    <xf numFmtId="167" fontId="45" fillId="13" borderId="55" xfId="0" applyNumberFormat="1" applyFont="1" applyFill="1" applyBorder="1" applyAlignment="1">
      <alignment horizontal="center" vertical="center" wrapText="1"/>
    </xf>
    <xf numFmtId="171" fontId="45" fillId="12" borderId="51" xfId="38" applyNumberFormat="1" applyFont="1" applyFill="1" applyBorder="1" applyAlignment="1" applyProtection="1">
      <alignment horizontal="center" vertical="center" wrapText="1"/>
      <protection locked="0"/>
    </xf>
    <xf numFmtId="171" fontId="45" fillId="12" borderId="54" xfId="38" applyNumberFormat="1" applyFont="1" applyFill="1" applyBorder="1" applyAlignment="1" applyProtection="1">
      <alignment horizontal="center" vertical="center" wrapText="1"/>
      <protection locked="0"/>
    </xf>
    <xf numFmtId="0" fontId="45" fillId="0" borderId="62" xfId="0" applyFont="1" applyBorder="1" applyAlignment="1">
      <alignment vertical="center" wrapText="1"/>
    </xf>
    <xf numFmtId="172" fontId="45" fillId="12" borderId="64" xfId="39" applyNumberFormat="1" applyFont="1" applyFill="1" applyBorder="1" applyAlignment="1" applyProtection="1">
      <alignment horizontal="center" vertical="center" wrapText="1"/>
      <protection locked="0"/>
    </xf>
    <xf numFmtId="172" fontId="45" fillId="13" borderId="63" xfId="39" applyNumberFormat="1" applyFont="1" applyFill="1" applyBorder="1" applyAlignment="1" applyProtection="1">
      <alignment horizontal="center" vertical="center" wrapText="1"/>
      <protection locked="0"/>
    </xf>
    <xf numFmtId="0" fontId="76" fillId="0" borderId="0" xfId="0" applyFont="1"/>
    <xf numFmtId="0" fontId="64" fillId="0" borderId="0" xfId="29" applyFont="1" applyBorder="1" applyAlignment="1">
      <alignment horizontal="left" vertical="center" wrapText="1"/>
    </xf>
    <xf numFmtId="0" fontId="77" fillId="14" borderId="0" xfId="30" applyFont="1" applyFill="1" applyBorder="1" applyAlignment="1">
      <alignment horizontal="center" vertical="center"/>
    </xf>
    <xf numFmtId="0" fontId="52" fillId="0" borderId="0" xfId="0" applyFont="1"/>
    <xf numFmtId="0" fontId="41" fillId="10" borderId="22" xfId="0" applyFont="1" applyFill="1" applyBorder="1" applyAlignment="1">
      <alignment horizontal="center" vertical="center" wrapText="1"/>
    </xf>
    <xf numFmtId="0" fontId="41" fillId="10" borderId="60" xfId="0" applyFont="1" applyFill="1" applyBorder="1" applyAlignment="1">
      <alignment horizontal="center" vertical="center" wrapText="1"/>
    </xf>
    <xf numFmtId="0" fontId="41" fillId="10" borderId="59" xfId="0" applyFont="1" applyFill="1" applyBorder="1" applyAlignment="1">
      <alignment horizontal="center" vertical="center" wrapText="1"/>
    </xf>
    <xf numFmtId="0" fontId="41" fillId="10" borderId="53" xfId="0" applyFont="1" applyFill="1" applyBorder="1" applyAlignment="1">
      <alignment horizontal="center" vertical="center" wrapText="1"/>
    </xf>
    <xf numFmtId="0" fontId="43" fillId="0" borderId="0" xfId="15" applyFont="1" applyAlignment="1">
      <alignment vertical="center"/>
    </xf>
    <xf numFmtId="0" fontId="43" fillId="0" borderId="0" xfId="15" applyFont="1" applyAlignment="1">
      <alignment horizontal="center" vertical="center"/>
    </xf>
    <xf numFmtId="0" fontId="43" fillId="0" borderId="57" xfId="0" applyFont="1" applyBorder="1" applyProtection="1">
      <protection locked="0"/>
    </xf>
    <xf numFmtId="0" fontId="43" fillId="0" borderId="58" xfId="0" applyFont="1" applyBorder="1" applyProtection="1">
      <protection locked="0"/>
    </xf>
    <xf numFmtId="172" fontId="43" fillId="0" borderId="0" xfId="39" applyNumberFormat="1" applyFont="1" applyAlignment="1">
      <alignment horizontal="center" vertical="center"/>
    </xf>
    <xf numFmtId="0" fontId="43" fillId="0" borderId="0" xfId="0" applyFont="1"/>
    <xf numFmtId="0" fontId="43" fillId="0" borderId="61" xfId="0" applyFont="1" applyBorder="1" applyProtection="1">
      <protection locked="0"/>
    </xf>
    <xf numFmtId="172" fontId="43" fillId="13" borderId="64" xfId="39" applyNumberFormat="1" applyFont="1" applyFill="1" applyBorder="1" applyAlignment="1">
      <alignment horizontal="center" vertical="center"/>
    </xf>
    <xf numFmtId="172" fontId="43" fillId="13" borderId="63" xfId="39" applyNumberFormat="1" applyFont="1" applyFill="1" applyBorder="1" applyAlignment="1">
      <alignment horizontal="center" vertical="center"/>
    </xf>
    <xf numFmtId="0" fontId="43" fillId="0" borderId="46" xfId="0" applyFont="1" applyBorder="1" applyProtection="1">
      <protection locked="0"/>
    </xf>
    <xf numFmtId="172" fontId="52" fillId="0" borderId="0" xfId="39" applyNumberFormat="1" applyFont="1" applyAlignment="1">
      <alignment horizontal="center" vertical="center"/>
    </xf>
    <xf numFmtId="172" fontId="43" fillId="0" borderId="0" xfId="39" applyNumberFormat="1" applyFont="1" applyFill="1" applyBorder="1" applyAlignment="1">
      <alignment horizontal="center" vertical="center"/>
    </xf>
    <xf numFmtId="0" fontId="78" fillId="0" borderId="0" xfId="29" applyFont="1" applyBorder="1" applyAlignment="1">
      <alignment horizontal="left" vertical="center" wrapText="1"/>
    </xf>
    <xf numFmtId="0" fontId="42" fillId="0" borderId="0" xfId="0" applyFont="1" applyAlignment="1">
      <alignment horizontal="center" vertical="center" wrapText="1"/>
    </xf>
    <xf numFmtId="0" fontId="41" fillId="10" borderId="62" xfId="0" applyFont="1" applyFill="1" applyBorder="1" applyAlignment="1">
      <alignment horizontal="center" vertical="center" wrapText="1"/>
    </xf>
    <xf numFmtId="0" fontId="41" fillId="10" borderId="64" xfId="0" applyFont="1" applyFill="1" applyBorder="1" applyAlignment="1">
      <alignment horizontal="center" vertical="center" wrapText="1"/>
    </xf>
    <xf numFmtId="0" fontId="41" fillId="10" borderId="63" xfId="0" applyFont="1" applyFill="1" applyBorder="1" applyAlignment="1">
      <alignment horizontal="center" vertical="center" wrapText="1"/>
    </xf>
    <xf numFmtId="0" fontId="41" fillId="10" borderId="46" xfId="30" applyFont="1" applyFill="1" applyBorder="1" applyAlignment="1">
      <alignment horizontal="center" vertical="center" wrapText="1"/>
    </xf>
    <xf numFmtId="0" fontId="41" fillId="10" borderId="46" xfId="0" applyFont="1" applyFill="1" applyBorder="1" applyAlignment="1">
      <alignment horizontal="center" vertical="center" wrapText="1"/>
    </xf>
    <xf numFmtId="0" fontId="41" fillId="0" borderId="0" xfId="30" applyFont="1" applyFill="1" applyBorder="1" applyAlignment="1">
      <alignment vertical="center" wrapText="1"/>
    </xf>
    <xf numFmtId="0" fontId="45" fillId="0" borderId="50" xfId="0" applyFont="1" applyBorder="1" applyAlignment="1">
      <alignment horizontal="left" vertical="center" wrapText="1"/>
    </xf>
    <xf numFmtId="172" fontId="43" fillId="17" borderId="51" xfId="39" applyNumberFormat="1" applyFont="1" applyFill="1" applyBorder="1" applyAlignment="1">
      <alignment horizontal="center" vertical="center" wrapText="1"/>
    </xf>
    <xf numFmtId="0" fontId="43" fillId="0" borderId="53" xfId="0" applyFont="1" applyBorder="1" applyAlignment="1">
      <alignment horizontal="left" vertical="center" wrapText="1"/>
    </xf>
    <xf numFmtId="172" fontId="43" fillId="12" borderId="54" xfId="39" applyNumberFormat="1" applyFont="1" applyFill="1" applyBorder="1" applyAlignment="1" applyProtection="1">
      <alignment horizontal="center" vertical="center" wrapText="1"/>
      <protection locked="0"/>
    </xf>
    <xf numFmtId="0" fontId="43" fillId="0" borderId="0" xfId="0" applyFont="1" applyAlignment="1">
      <alignment horizontal="left" vertical="center" wrapText="1"/>
    </xf>
    <xf numFmtId="172" fontId="45" fillId="13" borderId="51" xfId="39" applyNumberFormat="1" applyFont="1" applyFill="1" applyBorder="1" applyAlignment="1">
      <alignment horizontal="center" vertical="center"/>
    </xf>
    <xf numFmtId="172" fontId="45" fillId="12" borderId="51" xfId="39" applyNumberFormat="1" applyFont="1" applyFill="1" applyBorder="1" applyAlignment="1">
      <alignment horizontal="center" vertical="center" wrapText="1"/>
    </xf>
    <xf numFmtId="172" fontId="43" fillId="12" borderId="51" xfId="39" applyNumberFormat="1" applyFont="1" applyFill="1" applyBorder="1" applyAlignment="1">
      <alignment horizontal="center" vertical="center" wrapText="1"/>
    </xf>
    <xf numFmtId="172" fontId="45" fillId="13" borderId="52" xfId="39" applyNumberFormat="1" applyFont="1" applyFill="1" applyBorder="1" applyAlignment="1">
      <alignment horizontal="center" vertical="center"/>
    </xf>
    <xf numFmtId="0" fontId="45" fillId="0" borderId="59" xfId="0" applyFont="1" applyBorder="1" applyAlignment="1">
      <alignment horizontal="left" vertical="center" wrapText="1"/>
    </xf>
    <xf numFmtId="172" fontId="45" fillId="13" borderId="22" xfId="39" applyNumberFormat="1" applyFont="1" applyFill="1" applyBorder="1" applyAlignment="1">
      <alignment horizontal="center" vertical="center"/>
    </xf>
    <xf numFmtId="172" fontId="45" fillId="13" borderId="60" xfId="39" applyNumberFormat="1" applyFont="1" applyFill="1" applyBorder="1" applyAlignment="1">
      <alignment horizontal="center" vertical="center"/>
    </xf>
    <xf numFmtId="0" fontId="45" fillId="0" borderId="53" xfId="0" applyFont="1" applyBorder="1" applyAlignment="1">
      <alignment horizontal="left" vertical="center" wrapText="1"/>
    </xf>
    <xf numFmtId="172" fontId="45" fillId="13" borderId="54" xfId="39" applyNumberFormat="1" applyFont="1" applyFill="1" applyBorder="1" applyAlignment="1">
      <alignment horizontal="center" vertical="center"/>
    </xf>
    <xf numFmtId="172" fontId="45" fillId="13" borderId="55" xfId="39" applyNumberFormat="1" applyFont="1" applyFill="1" applyBorder="1" applyAlignment="1">
      <alignment horizontal="center" vertical="center"/>
    </xf>
    <xf numFmtId="172" fontId="45" fillId="0" borderId="0" xfId="39" applyNumberFormat="1" applyFont="1" applyAlignment="1">
      <alignment horizontal="center" vertical="center"/>
    </xf>
    <xf numFmtId="0" fontId="69" fillId="0" borderId="0" xfId="0" applyFont="1" applyAlignment="1">
      <alignment horizontal="left" vertical="center" wrapText="1"/>
    </xf>
    <xf numFmtId="172" fontId="45" fillId="17" borderId="54" xfId="39" applyNumberFormat="1" applyFont="1" applyFill="1" applyBorder="1" applyAlignment="1">
      <alignment horizontal="center" vertical="center" wrapText="1"/>
    </xf>
    <xf numFmtId="0" fontId="45" fillId="0" borderId="62" xfId="0" applyFont="1" applyBorder="1" applyAlignment="1">
      <alignment horizontal="left" vertical="center" wrapText="1"/>
    </xf>
    <xf numFmtId="172" fontId="43" fillId="12" borderId="64" xfId="39" applyNumberFormat="1" applyFont="1" applyFill="1" applyBorder="1" applyAlignment="1" applyProtection="1">
      <alignment horizontal="center" vertical="center" wrapText="1"/>
      <protection locked="0"/>
    </xf>
    <xf numFmtId="172" fontId="45" fillId="13" borderId="63" xfId="39" applyNumberFormat="1" applyFont="1" applyFill="1" applyBorder="1" applyAlignment="1">
      <alignment horizontal="center" vertical="center" wrapText="1"/>
    </xf>
    <xf numFmtId="173" fontId="35" fillId="0" borderId="0" xfId="39" applyNumberFormat="1" applyFont="1" applyAlignment="1">
      <alignment vertical="center"/>
    </xf>
    <xf numFmtId="172" fontId="40" fillId="0" borderId="0" xfId="39" applyNumberFormat="1" applyFont="1" applyAlignment="1">
      <alignment horizontal="center" vertical="center"/>
    </xf>
    <xf numFmtId="172" fontId="45" fillId="7" borderId="64" xfId="39" applyNumberFormat="1" applyFont="1" applyFill="1" applyBorder="1" applyAlignment="1">
      <alignment horizontal="center" vertical="center" wrapText="1"/>
    </xf>
    <xf numFmtId="172" fontId="45" fillId="7" borderId="64" xfId="39" applyNumberFormat="1" applyFont="1" applyFill="1" applyBorder="1" applyAlignment="1">
      <alignment vertical="center" wrapText="1"/>
    </xf>
    <xf numFmtId="172" fontId="43" fillId="12" borderId="63" xfId="39" applyNumberFormat="1" applyFont="1" applyFill="1" applyBorder="1" applyAlignment="1" applyProtection="1">
      <alignment horizontal="center" vertical="center" wrapText="1"/>
      <protection locked="0"/>
    </xf>
    <xf numFmtId="0" fontId="40" fillId="0" borderId="46" xfId="0" applyFont="1" applyBorder="1" applyAlignment="1" applyProtection="1">
      <alignment vertical="center"/>
      <protection locked="0"/>
    </xf>
    <xf numFmtId="172" fontId="40" fillId="0" borderId="0" xfId="0" applyNumberFormat="1" applyFont="1" applyAlignment="1">
      <alignment vertical="center"/>
    </xf>
    <xf numFmtId="0" fontId="64" fillId="0" borderId="0" xfId="0" applyFont="1" applyAlignment="1">
      <alignment vertical="center" wrapText="1"/>
    </xf>
    <xf numFmtId="0" fontId="73" fillId="0" borderId="0" xfId="29" applyFont="1" applyFill="1" applyBorder="1" applyAlignment="1">
      <alignment horizontal="center" vertical="center" wrapText="1"/>
    </xf>
    <xf numFmtId="0" fontId="49" fillId="0" borderId="0" xfId="0" applyFont="1" applyAlignment="1">
      <alignment vertical="center" wrapText="1"/>
    </xf>
    <xf numFmtId="0" fontId="41" fillId="0" borderId="0" xfId="0" applyFont="1" applyAlignment="1">
      <alignment horizontal="center" vertical="center" wrapText="1"/>
    </xf>
    <xf numFmtId="0" fontId="79" fillId="0" borderId="50" xfId="0" applyFont="1" applyBorder="1" applyAlignment="1">
      <alignment horizontal="left" vertical="center" wrapText="1"/>
    </xf>
    <xf numFmtId="165" fontId="79" fillId="0" borderId="51" xfId="0" applyNumberFormat="1" applyFont="1" applyBorder="1" applyAlignment="1">
      <alignment horizontal="center" vertical="center" wrapText="1"/>
    </xf>
    <xf numFmtId="0" fontId="79" fillId="0" borderId="51" xfId="0" applyFont="1" applyBorder="1" applyAlignment="1">
      <alignment horizontal="center" vertical="center" wrapText="1"/>
    </xf>
    <xf numFmtId="172" fontId="79" fillId="17" borderId="51" xfId="39" applyNumberFormat="1" applyFont="1" applyFill="1" applyBorder="1" applyAlignment="1">
      <alignment horizontal="center" vertical="center" wrapText="1"/>
    </xf>
    <xf numFmtId="172" fontId="79" fillId="13" borderId="51" xfId="39" applyNumberFormat="1" applyFont="1" applyFill="1" applyBorder="1" applyAlignment="1">
      <alignment horizontal="center" vertical="center" wrapText="1"/>
    </xf>
    <xf numFmtId="172" fontId="79" fillId="12" borderId="51" xfId="39" applyNumberFormat="1" applyFont="1" applyFill="1" applyBorder="1" applyAlignment="1" applyProtection="1">
      <alignment horizontal="center" vertical="center" wrapText="1"/>
      <protection locked="0"/>
    </xf>
    <xf numFmtId="172" fontId="79" fillId="13" borderId="52" xfId="39" applyNumberFormat="1" applyFont="1" applyFill="1" applyBorder="1" applyAlignment="1">
      <alignment horizontal="center" vertical="center" wrapText="1"/>
    </xf>
    <xf numFmtId="0" fontId="79" fillId="0" borderId="0" xfId="0" applyFont="1" applyAlignment="1">
      <alignment horizontal="center" vertical="center" wrapText="1"/>
    </xf>
    <xf numFmtId="0" fontId="39" fillId="0" borderId="57" xfId="0" applyFont="1" applyBorder="1" applyAlignment="1">
      <alignment horizontal="center" vertical="center" wrapText="1"/>
    </xf>
    <xf numFmtId="0" fontId="79" fillId="0" borderId="59" xfId="0" applyFont="1" applyBorder="1" applyAlignment="1">
      <alignment horizontal="left" vertical="center" wrapText="1"/>
    </xf>
    <xf numFmtId="0" fontId="79" fillId="0" borderId="22" xfId="0" applyFont="1" applyBorder="1" applyAlignment="1">
      <alignment horizontal="center" vertical="center" wrapText="1"/>
    </xf>
    <xf numFmtId="172" fontId="79" fillId="17" borderId="22" xfId="39" applyNumberFormat="1" applyFont="1" applyFill="1" applyBorder="1" applyAlignment="1">
      <alignment horizontal="center" vertical="center" wrapText="1"/>
    </xf>
    <xf numFmtId="172" fontId="79" fillId="13" borderId="22" xfId="39" applyNumberFormat="1" applyFont="1" applyFill="1" applyBorder="1" applyAlignment="1">
      <alignment horizontal="center" vertical="center" wrapText="1"/>
    </xf>
    <xf numFmtId="172" fontId="79" fillId="12" borderId="22" xfId="39" applyNumberFormat="1" applyFont="1" applyFill="1" applyBorder="1" applyAlignment="1" applyProtection="1">
      <alignment horizontal="center" vertical="center" wrapText="1"/>
      <protection locked="0"/>
    </xf>
    <xf numFmtId="172" fontId="79" fillId="13" borderId="60" xfId="39" applyNumberFormat="1" applyFont="1" applyFill="1" applyBorder="1" applyAlignment="1">
      <alignment horizontal="center" vertical="center" wrapText="1"/>
    </xf>
    <xf numFmtId="0" fontId="39" fillId="0" borderId="61" xfId="0" applyFont="1" applyBorder="1" applyAlignment="1">
      <alignment horizontal="center" vertical="center" wrapText="1"/>
    </xf>
    <xf numFmtId="0" fontId="79" fillId="0" borderId="22" xfId="0" applyFont="1" applyBorder="1" applyAlignment="1">
      <alignment horizontal="center" vertical="center"/>
    </xf>
    <xf numFmtId="172" fontId="79" fillId="17" borderId="22" xfId="39" applyNumberFormat="1" applyFont="1" applyFill="1" applyBorder="1" applyAlignment="1">
      <alignment horizontal="center" vertical="center"/>
    </xf>
    <xf numFmtId="0" fontId="79" fillId="0" borderId="0" xfId="0" applyFont="1" applyAlignment="1">
      <alignment vertical="center"/>
    </xf>
    <xf numFmtId="172" fontId="79" fillId="13" borderId="22" xfId="39" applyNumberFormat="1" applyFont="1" applyFill="1" applyBorder="1" applyAlignment="1">
      <alignment horizontal="center" vertical="center"/>
    </xf>
    <xf numFmtId="0" fontId="39" fillId="0" borderId="61" xfId="0" applyFont="1" applyBorder="1" applyAlignment="1">
      <alignment horizontal="center" vertical="center"/>
    </xf>
    <xf numFmtId="0" fontId="79" fillId="0" borderId="53" xfId="0" applyFont="1" applyBorder="1" applyAlignment="1">
      <alignment horizontal="left" vertical="center" wrapText="1"/>
    </xf>
    <xf numFmtId="0" fontId="79" fillId="0" borderId="54" xfId="0" applyFont="1" applyBorder="1" applyAlignment="1">
      <alignment horizontal="center" vertical="center"/>
    </xf>
    <xf numFmtId="172" fontId="79" fillId="13" borderId="54" xfId="39" applyNumberFormat="1" applyFont="1" applyFill="1" applyBorder="1" applyAlignment="1">
      <alignment horizontal="center" vertical="center"/>
    </xf>
    <xf numFmtId="172" fontId="79" fillId="13" borderId="54" xfId="39" applyNumberFormat="1" applyFont="1" applyFill="1" applyBorder="1" applyAlignment="1">
      <alignment horizontal="center" vertical="center" wrapText="1"/>
    </xf>
    <xf numFmtId="172" fontId="79" fillId="13" borderId="55" xfId="39" applyNumberFormat="1" applyFont="1" applyFill="1" applyBorder="1" applyAlignment="1">
      <alignment horizontal="center" vertical="center" wrapText="1"/>
    </xf>
    <xf numFmtId="0" fontId="39" fillId="0" borderId="58" xfId="0" applyFont="1" applyBorder="1" applyAlignment="1">
      <alignment horizontal="center" vertical="center"/>
    </xf>
    <xf numFmtId="0" fontId="80" fillId="0" borderId="0" xfId="30" applyFont="1" applyBorder="1" applyAlignment="1">
      <alignment horizontal="left" vertical="center" wrapText="1"/>
    </xf>
    <xf numFmtId="172" fontId="79" fillId="17" borderId="22" xfId="39" applyNumberFormat="1" applyFont="1" applyFill="1" applyBorder="1" applyAlignment="1" applyProtection="1">
      <alignment horizontal="center" vertical="center" wrapText="1"/>
      <protection locked="0"/>
    </xf>
    <xf numFmtId="172" fontId="79" fillId="13" borderId="22" xfId="39" applyNumberFormat="1" applyFont="1" applyFill="1" applyBorder="1" applyAlignment="1" applyProtection="1">
      <alignment horizontal="center" vertical="center" wrapText="1"/>
      <protection locked="0"/>
    </xf>
    <xf numFmtId="0" fontId="79" fillId="0" borderId="54" xfId="0" applyFont="1" applyBorder="1" applyAlignment="1">
      <alignment horizontal="center" vertical="center" wrapText="1"/>
    </xf>
    <xf numFmtId="0" fontId="39" fillId="0" borderId="58" xfId="0" applyFont="1" applyBorder="1" applyAlignment="1">
      <alignment horizontal="center" vertical="center" wrapText="1"/>
    </xf>
    <xf numFmtId="0" fontId="79" fillId="0" borderId="62" xfId="0" applyFont="1" applyBorder="1" applyAlignment="1">
      <alignment vertical="center" wrapText="1"/>
    </xf>
    <xf numFmtId="0" fontId="79" fillId="0" borderId="64" xfId="0" applyFont="1" applyBorder="1" applyAlignment="1">
      <alignment horizontal="center" vertical="center" wrapText="1"/>
    </xf>
    <xf numFmtId="172" fontId="79" fillId="17" borderId="64" xfId="39" applyNumberFormat="1" applyFont="1" applyFill="1" applyBorder="1" applyAlignment="1" applyProtection="1">
      <alignment horizontal="center" vertical="center" wrapText="1"/>
      <protection locked="0"/>
    </xf>
    <xf numFmtId="172" fontId="79" fillId="13" borderId="64" xfId="39" applyNumberFormat="1" applyFont="1" applyFill="1" applyBorder="1" applyAlignment="1" applyProtection="1">
      <alignment horizontal="center" vertical="center" wrapText="1"/>
      <protection locked="0"/>
    </xf>
    <xf numFmtId="172" fontId="79" fillId="12" borderId="64" xfId="39" applyNumberFormat="1" applyFont="1" applyFill="1" applyBorder="1" applyAlignment="1" applyProtection="1">
      <alignment horizontal="center" vertical="center" wrapText="1"/>
      <protection locked="0"/>
    </xf>
    <xf numFmtId="172" fontId="79" fillId="13" borderId="63" xfId="39" applyNumberFormat="1" applyFont="1" applyFill="1" applyBorder="1" applyAlignment="1">
      <alignment horizontal="center" vertical="center" wrapText="1"/>
    </xf>
    <xf numFmtId="0" fontId="39" fillId="0" borderId="46" xfId="0" applyFont="1" applyBorder="1" applyAlignment="1">
      <alignment horizontal="center" vertical="center" wrapText="1"/>
    </xf>
    <xf numFmtId="0" fontId="52" fillId="0" borderId="0" xfId="0" applyFont="1" applyAlignment="1">
      <alignment vertical="center" wrapText="1"/>
    </xf>
    <xf numFmtId="0" fontId="59" fillId="0" borderId="0" xfId="0" applyFont="1" applyAlignment="1">
      <alignment vertical="center" wrapText="1"/>
    </xf>
    <xf numFmtId="172" fontId="79" fillId="17" borderId="51" xfId="39" applyNumberFormat="1" applyFont="1" applyFill="1" applyBorder="1" applyAlignment="1" applyProtection="1">
      <alignment horizontal="center" vertical="center" wrapText="1"/>
      <protection locked="0"/>
    </xf>
    <xf numFmtId="172" fontId="79" fillId="13" borderId="51" xfId="39" applyNumberFormat="1" applyFont="1" applyFill="1" applyBorder="1" applyAlignment="1" applyProtection="1">
      <alignment horizontal="center" vertical="center" wrapText="1"/>
      <protection locked="0"/>
    </xf>
    <xf numFmtId="0" fontId="71" fillId="0" borderId="0" xfId="0" applyFont="1" applyAlignment="1">
      <alignment horizontal="left" vertical="center"/>
    </xf>
    <xf numFmtId="0" fontId="82" fillId="0" borderId="0" xfId="0" applyFont="1" applyAlignment="1">
      <alignment horizontal="left" vertical="center"/>
    </xf>
    <xf numFmtId="0" fontId="49" fillId="0" borderId="0" xfId="0" applyFont="1" applyAlignment="1">
      <alignment horizontal="left" vertical="center"/>
    </xf>
    <xf numFmtId="0" fontId="49" fillId="0" borderId="0" xfId="0" applyFont="1" applyAlignment="1">
      <alignment horizontal="left" vertical="center" wrapText="1"/>
    </xf>
    <xf numFmtId="0" fontId="83" fillId="0" borderId="0" xfId="0" applyFont="1" applyAlignment="1">
      <alignment horizontal="center" vertical="center" wrapText="1"/>
    </xf>
    <xf numFmtId="0" fontId="75" fillId="0" borderId="0" xfId="0" applyFont="1" applyAlignment="1">
      <alignment vertical="center"/>
    </xf>
    <xf numFmtId="0" fontId="75" fillId="0" borderId="0" xfId="0" applyFont="1" applyAlignment="1">
      <alignment vertical="center" wrapText="1"/>
    </xf>
    <xf numFmtId="0" fontId="75" fillId="0" borderId="0" xfId="30" applyFont="1" applyFill="1" applyBorder="1" applyAlignment="1">
      <alignment horizontal="center" vertical="center" textRotation="90" wrapText="1"/>
    </xf>
    <xf numFmtId="0" fontId="75" fillId="0" borderId="0" xfId="30" applyFont="1" applyFill="1" applyBorder="1" applyAlignment="1">
      <alignment horizontal="center" vertical="center" wrapText="1"/>
    </xf>
    <xf numFmtId="172" fontId="79" fillId="10" borderId="22" xfId="39" applyNumberFormat="1" applyFont="1" applyFill="1" applyBorder="1" applyAlignment="1">
      <alignment horizontal="center" vertical="center" wrapText="1"/>
    </xf>
    <xf numFmtId="172" fontId="79" fillId="12" borderId="54" xfId="39" applyNumberFormat="1" applyFont="1" applyFill="1" applyBorder="1" applyAlignment="1" applyProtection="1">
      <alignment horizontal="center" vertical="center" wrapText="1"/>
      <protection locked="0"/>
    </xf>
    <xf numFmtId="0" fontId="79" fillId="0" borderId="53" xfId="0" applyFont="1" applyBorder="1" applyAlignment="1">
      <alignment vertical="center" wrapText="1"/>
    </xf>
    <xf numFmtId="0" fontId="79" fillId="0" borderId="11" xfId="0" applyFont="1" applyBorder="1" applyAlignment="1">
      <alignment vertical="center" wrapText="1"/>
    </xf>
    <xf numFmtId="0" fontId="79" fillId="0" borderId="0" xfId="0" applyFont="1" applyAlignment="1">
      <alignment vertical="center" wrapText="1"/>
    </xf>
    <xf numFmtId="172" fontId="79" fillId="0" borderId="0" xfId="39" applyNumberFormat="1" applyFont="1" applyAlignment="1">
      <alignment horizontal="center" vertical="center"/>
    </xf>
    <xf numFmtId="172" fontId="79" fillId="13" borderId="64" xfId="39" applyNumberFormat="1" applyFont="1" applyFill="1" applyBorder="1" applyAlignment="1">
      <alignment horizontal="center" vertical="center"/>
    </xf>
    <xf numFmtId="172" fontId="79" fillId="13" borderId="63" xfId="39" applyNumberFormat="1" applyFont="1" applyFill="1" applyBorder="1" applyAlignment="1">
      <alignment horizontal="center" vertical="center"/>
    </xf>
    <xf numFmtId="0" fontId="79" fillId="0" borderId="0" xfId="0" applyFont="1" applyAlignment="1">
      <alignment horizontal="left" vertical="center" wrapText="1"/>
    </xf>
    <xf numFmtId="172" fontId="79" fillId="0" borderId="0" xfId="39" applyNumberFormat="1" applyFont="1" applyAlignment="1">
      <alignment horizontal="center" vertical="center" wrapText="1"/>
    </xf>
    <xf numFmtId="0" fontId="79" fillId="0" borderId="62" xfId="0" applyFont="1" applyBorder="1" applyAlignment="1">
      <alignment horizontal="left" vertical="center" wrapText="1"/>
    </xf>
    <xf numFmtId="172" fontId="79" fillId="13" borderId="64" xfId="39" applyNumberFormat="1" applyFont="1" applyFill="1" applyBorder="1" applyAlignment="1">
      <alignment horizontal="center" vertical="center" wrapText="1"/>
    </xf>
    <xf numFmtId="0" fontId="79" fillId="10" borderId="56" xfId="0" applyFont="1" applyFill="1" applyBorder="1" applyAlignment="1">
      <alignment horizontal="left" vertical="center" wrapText="1"/>
    </xf>
    <xf numFmtId="172" fontId="84" fillId="0" borderId="0" xfId="39" applyNumberFormat="1" applyFont="1" applyAlignment="1">
      <alignment horizontal="left" vertical="center" wrapText="1"/>
    </xf>
    <xf numFmtId="172" fontId="84" fillId="0" borderId="0" xfId="39" applyNumberFormat="1" applyFont="1" applyBorder="1" applyAlignment="1">
      <alignment vertical="center" wrapText="1"/>
    </xf>
    <xf numFmtId="172" fontId="84" fillId="0" borderId="0" xfId="39" applyNumberFormat="1" applyFont="1" applyAlignment="1">
      <alignment horizontal="center" vertical="center"/>
    </xf>
    <xf numFmtId="172" fontId="79" fillId="12" borderId="52" xfId="39" applyNumberFormat="1" applyFont="1" applyFill="1" applyBorder="1" applyAlignment="1" applyProtection="1">
      <alignment horizontal="center" vertical="center" wrapText="1"/>
      <protection locked="0"/>
    </xf>
    <xf numFmtId="172" fontId="45" fillId="0" borderId="0" xfId="39" applyNumberFormat="1" applyFont="1" applyFill="1" applyBorder="1" applyAlignment="1">
      <alignment horizontal="center" vertical="center" wrapText="1"/>
    </xf>
    <xf numFmtId="172" fontId="79" fillId="12" borderId="60" xfId="39" applyNumberFormat="1" applyFont="1" applyFill="1" applyBorder="1" applyAlignment="1" applyProtection="1">
      <alignment horizontal="center" vertical="center" wrapText="1"/>
      <protection locked="0"/>
    </xf>
    <xf numFmtId="172" fontId="79" fillId="13" borderId="55" xfId="39" applyNumberFormat="1" applyFont="1" applyFill="1" applyBorder="1" applyAlignment="1">
      <alignment horizontal="center" vertical="center"/>
    </xf>
    <xf numFmtId="172" fontId="79" fillId="0" borderId="0" xfId="39" applyNumberFormat="1" applyFont="1" applyAlignment="1">
      <alignment vertical="center"/>
    </xf>
    <xf numFmtId="0" fontId="43" fillId="0" borderId="0" xfId="0" quotePrefix="1" applyFont="1" applyAlignment="1">
      <alignment horizontal="left" vertical="center" wrapText="1"/>
    </xf>
    <xf numFmtId="0" fontId="44" fillId="0" borderId="57" xfId="30" applyFont="1" applyFill="1" applyBorder="1" applyAlignment="1" applyProtection="1">
      <alignment horizontal="center" vertical="center" wrapText="1"/>
      <protection locked="0"/>
    </xf>
    <xf numFmtId="0" fontId="44" fillId="0" borderId="61" xfId="30" applyFont="1" applyFill="1" applyBorder="1" applyAlignment="1" applyProtection="1">
      <alignment horizontal="center" vertical="center" wrapText="1"/>
      <protection locked="0"/>
    </xf>
    <xf numFmtId="172" fontId="79" fillId="12" borderId="55" xfId="39" applyNumberFormat="1" applyFont="1" applyFill="1" applyBorder="1" applyAlignment="1" applyProtection="1">
      <alignment horizontal="center" vertical="center" wrapText="1"/>
      <protection locked="0"/>
    </xf>
    <xf numFmtId="0" fontId="44" fillId="0" borderId="58" xfId="30" applyFont="1" applyFill="1" applyBorder="1" applyAlignment="1" applyProtection="1">
      <alignment horizontal="center" vertical="center" wrapText="1"/>
      <protection locked="0"/>
    </xf>
    <xf numFmtId="0" fontId="64" fillId="0" borderId="0" xfId="29" applyFont="1" applyBorder="1" applyAlignment="1">
      <alignment vertical="center" wrapText="1"/>
    </xf>
    <xf numFmtId="164" fontId="64" fillId="0" borderId="0" xfId="39" applyFont="1" applyBorder="1" applyAlignment="1">
      <alignment vertical="center" wrapText="1"/>
    </xf>
    <xf numFmtId="164" fontId="49" fillId="0" borderId="0" xfId="39" applyFont="1" applyAlignment="1">
      <alignment horizontal="left" vertical="center" wrapText="1"/>
    </xf>
    <xf numFmtId="164" fontId="83" fillId="0" borderId="0" xfId="39" applyFont="1" applyAlignment="1">
      <alignment horizontal="center" vertical="center" wrapText="1"/>
    </xf>
    <xf numFmtId="0" fontId="74" fillId="0" borderId="0" xfId="30" applyFont="1" applyBorder="1" applyAlignment="1">
      <alignment vertical="center" wrapText="1"/>
    </xf>
    <xf numFmtId="0" fontId="75" fillId="10" borderId="64" xfId="0" applyFont="1" applyFill="1" applyBorder="1" applyAlignment="1">
      <alignment horizontal="center" vertical="center" wrapText="1"/>
    </xf>
    <xf numFmtId="164" fontId="75" fillId="10" borderId="64" xfId="39" applyFont="1" applyFill="1" applyBorder="1" applyAlignment="1">
      <alignment horizontal="center" vertical="center" wrapText="1"/>
    </xf>
    <xf numFmtId="164" fontId="75" fillId="10" borderId="63" xfId="39" applyFont="1" applyFill="1" applyBorder="1" applyAlignment="1">
      <alignment horizontal="center" vertical="center" wrapText="1"/>
    </xf>
    <xf numFmtId="0" fontId="75" fillId="10" borderId="46" xfId="30" applyFont="1" applyFill="1" applyBorder="1" applyAlignment="1">
      <alignment horizontal="center" vertical="center" wrapText="1"/>
    </xf>
    <xf numFmtId="164" fontId="75" fillId="0" borderId="0" xfId="39" applyFont="1" applyAlignment="1">
      <alignment horizontal="center" vertical="center" textRotation="90" wrapText="1"/>
    </xf>
    <xf numFmtId="164" fontId="43" fillId="0" borderId="0" xfId="39" applyFont="1" applyAlignment="1">
      <alignment vertical="center"/>
    </xf>
    <xf numFmtId="0" fontId="45" fillId="0" borderId="57" xfId="0" applyFont="1" applyBorder="1" applyAlignment="1">
      <alignment horizontal="center" vertical="center" wrapText="1"/>
    </xf>
    <xf numFmtId="0" fontId="45" fillId="0" borderId="61" xfId="0" applyFont="1" applyBorder="1" applyAlignment="1">
      <alignment horizontal="center" vertical="center" wrapText="1"/>
    </xf>
    <xf numFmtId="0" fontId="43" fillId="0" borderId="61" xfId="0" applyFont="1" applyBorder="1" applyAlignment="1">
      <alignment horizontal="center" vertical="center" wrapText="1"/>
    </xf>
    <xf numFmtId="0" fontId="45" fillId="0" borderId="61" xfId="0" applyFont="1" applyBorder="1" applyAlignment="1">
      <alignment horizontal="center" vertical="center"/>
    </xf>
    <xf numFmtId="0" fontId="45" fillId="0" borderId="58" xfId="0" applyFont="1" applyBorder="1" applyAlignment="1">
      <alignment horizontal="center" vertical="center" wrapText="1"/>
    </xf>
    <xf numFmtId="0" fontId="43" fillId="0" borderId="0" xfId="32" applyFont="1" applyAlignment="1">
      <alignment horizontal="center" vertical="center"/>
    </xf>
    <xf numFmtId="172" fontId="43" fillId="0" borderId="0" xfId="39" applyNumberFormat="1" applyFont="1" applyBorder="1" applyAlignment="1">
      <alignment vertical="center"/>
    </xf>
    <xf numFmtId="0" fontId="43" fillId="0" borderId="62" xfId="0" applyFont="1" applyBorder="1" applyAlignment="1">
      <alignment vertical="center" wrapText="1"/>
    </xf>
    <xf numFmtId="0" fontId="43" fillId="0" borderId="0" xfId="32" applyFont="1" applyAlignment="1">
      <alignment vertical="center"/>
    </xf>
    <xf numFmtId="0" fontId="71" fillId="0" borderId="0" xfId="0" applyFont="1" applyAlignment="1">
      <alignment vertical="center"/>
    </xf>
    <xf numFmtId="0" fontId="42" fillId="0" borderId="0" xfId="30" applyFont="1" applyBorder="1" applyAlignment="1">
      <alignment vertical="center" wrapText="1"/>
    </xf>
    <xf numFmtId="164" fontId="40" fillId="0" borderId="0" xfId="39" applyFont="1" applyAlignment="1">
      <alignment vertical="center"/>
    </xf>
    <xf numFmtId="164" fontId="35" fillId="0" borderId="0" xfId="39" applyFont="1" applyAlignment="1">
      <alignment vertical="center"/>
    </xf>
    <xf numFmtId="0" fontId="82" fillId="0" borderId="0" xfId="0" applyFont="1" applyAlignment="1">
      <alignment vertical="center"/>
    </xf>
    <xf numFmtId="173" fontId="64" fillId="0" borderId="0" xfId="39" applyNumberFormat="1" applyFont="1" applyBorder="1" applyAlignment="1">
      <alignment vertical="center" wrapText="1"/>
    </xf>
    <xf numFmtId="173" fontId="49" fillId="0" borderId="0" xfId="39" applyNumberFormat="1" applyFont="1" applyAlignment="1">
      <alignment horizontal="left" vertical="center" wrapText="1"/>
    </xf>
    <xf numFmtId="173" fontId="73" fillId="0" borderId="0" xfId="39" applyNumberFormat="1" applyFont="1" applyFill="1" applyBorder="1" applyAlignment="1">
      <alignment horizontal="center" vertical="center" wrapText="1"/>
    </xf>
    <xf numFmtId="172" fontId="45" fillId="20" borderId="60" xfId="39" applyNumberFormat="1" applyFont="1" applyFill="1" applyBorder="1" applyAlignment="1">
      <alignment horizontal="center" vertical="center" wrapText="1"/>
    </xf>
    <xf numFmtId="172" fontId="45" fillId="10" borderId="64" xfId="39" applyNumberFormat="1" applyFont="1" applyFill="1" applyBorder="1" applyAlignment="1">
      <alignment horizontal="center" vertical="center" wrapText="1"/>
    </xf>
    <xf numFmtId="0" fontId="49" fillId="0" borderId="0" xfId="30" applyFont="1" applyFill="1" applyBorder="1" applyAlignment="1">
      <alignment vertical="center"/>
    </xf>
    <xf numFmtId="0" fontId="66" fillId="11" borderId="0" xfId="30" applyFont="1" applyFill="1" applyBorder="1" applyAlignment="1">
      <alignment horizontal="center" vertical="center"/>
    </xf>
    <xf numFmtId="0" fontId="65" fillId="0" borderId="0" xfId="30" applyFont="1" applyFill="1" applyBorder="1" applyAlignment="1">
      <alignment vertical="center"/>
    </xf>
    <xf numFmtId="0" fontId="41" fillId="10" borderId="50" xfId="0" applyFont="1" applyFill="1" applyBorder="1" applyAlignment="1">
      <alignment horizontal="center" vertical="center" wrapText="1"/>
    </xf>
    <xf numFmtId="172" fontId="41" fillId="10" borderId="51" xfId="39" applyNumberFormat="1" applyFont="1" applyFill="1" applyBorder="1" applyAlignment="1">
      <alignment horizontal="center" vertical="center" wrapText="1"/>
    </xf>
    <xf numFmtId="172" fontId="41" fillId="10" borderId="52" xfId="39" applyNumberFormat="1" applyFont="1" applyFill="1" applyBorder="1" applyAlignment="1">
      <alignment horizontal="center" vertical="center" wrapText="1"/>
    </xf>
    <xf numFmtId="172" fontId="41" fillId="10" borderId="22" xfId="39" applyNumberFormat="1" applyFont="1" applyFill="1" applyBorder="1" applyAlignment="1">
      <alignment horizontal="center" vertical="center" wrapText="1"/>
    </xf>
    <xf numFmtId="172" fontId="41" fillId="10" borderId="60" xfId="39" applyNumberFormat="1" applyFont="1" applyFill="1" applyBorder="1" applyAlignment="1">
      <alignment horizontal="center" vertical="center" wrapText="1"/>
    </xf>
    <xf numFmtId="0" fontId="41" fillId="10" borderId="54" xfId="39" applyNumberFormat="1" applyFont="1" applyFill="1" applyBorder="1" applyAlignment="1">
      <alignment horizontal="center" vertical="center" wrapText="1"/>
    </xf>
    <xf numFmtId="0" fontId="41" fillId="10" borderId="55" xfId="39" applyNumberFormat="1" applyFont="1" applyFill="1" applyBorder="1" applyAlignment="1">
      <alignment horizontal="center" vertical="center" wrapText="1"/>
    </xf>
    <xf numFmtId="0" fontId="41" fillId="0" borderId="0" xfId="32" applyFont="1" applyAlignment="1">
      <alignment horizontal="left" vertical="center"/>
    </xf>
    <xf numFmtId="172" fontId="43" fillId="0" borderId="0" xfId="39" applyNumberFormat="1" applyFont="1" applyAlignment="1">
      <alignment horizontal="center" vertical="center" textRotation="90" wrapText="1"/>
    </xf>
    <xf numFmtId="0" fontId="43" fillId="0" borderId="0" xfId="0" applyFont="1" applyAlignment="1">
      <alignment horizontal="center" vertical="center" textRotation="90" wrapText="1"/>
    </xf>
    <xf numFmtId="172" fontId="45" fillId="10" borderId="51" xfId="39" applyNumberFormat="1" applyFont="1" applyFill="1" applyBorder="1" applyAlignment="1">
      <alignment horizontal="center" vertical="center" wrapText="1"/>
    </xf>
    <xf numFmtId="172" fontId="45" fillId="10" borderId="52" xfId="39" applyNumberFormat="1" applyFont="1" applyFill="1" applyBorder="1" applyAlignment="1">
      <alignment horizontal="center" vertical="center" wrapText="1"/>
    </xf>
    <xf numFmtId="172" fontId="52" fillId="10" borderId="22" xfId="39" applyNumberFormat="1" applyFont="1" applyFill="1" applyBorder="1" applyAlignment="1">
      <alignment horizontal="center" vertical="center" wrapText="1"/>
    </xf>
    <xf numFmtId="172" fontId="45" fillId="10" borderId="60" xfId="39" applyNumberFormat="1" applyFont="1" applyFill="1" applyBorder="1" applyAlignment="1">
      <alignment horizontal="center" vertical="center" wrapText="1"/>
    </xf>
    <xf numFmtId="172" fontId="45" fillId="10" borderId="55" xfId="39" applyNumberFormat="1" applyFont="1" applyFill="1" applyBorder="1" applyAlignment="1">
      <alignment horizontal="center" vertical="center" wrapText="1"/>
    </xf>
    <xf numFmtId="172" fontId="45" fillId="7" borderId="51" xfId="39" applyNumberFormat="1" applyFont="1" applyFill="1" applyBorder="1" applyAlignment="1">
      <alignment horizontal="center" vertical="center" wrapText="1"/>
    </xf>
    <xf numFmtId="172" fontId="45" fillId="7" borderId="54" xfId="39" applyNumberFormat="1" applyFont="1" applyFill="1" applyBorder="1" applyAlignment="1">
      <alignment horizontal="center" vertical="center" wrapText="1"/>
    </xf>
    <xf numFmtId="172" fontId="45" fillId="13" borderId="54" xfId="39" applyNumberFormat="1" applyFont="1" applyFill="1" applyBorder="1" applyAlignment="1" applyProtection="1">
      <alignment horizontal="center" vertical="center" wrapText="1"/>
      <protection locked="0"/>
    </xf>
    <xf numFmtId="0" fontId="41" fillId="10" borderId="51" xfId="0" applyFont="1" applyFill="1" applyBorder="1" applyAlignment="1">
      <alignment horizontal="center" vertical="center" wrapText="1"/>
    </xf>
    <xf numFmtId="0" fontId="41" fillId="10" borderId="52" xfId="0" applyFont="1" applyFill="1" applyBorder="1" applyAlignment="1">
      <alignment horizontal="center" vertical="center" wrapText="1"/>
    </xf>
    <xf numFmtId="0" fontId="41" fillId="10" borderId="55" xfId="0" applyFont="1" applyFill="1" applyBorder="1" applyAlignment="1">
      <alignment horizontal="center" vertical="center" wrapText="1"/>
    </xf>
    <xf numFmtId="0" fontId="43" fillId="0" borderId="0" xfId="32" applyFont="1" applyAlignment="1">
      <alignment horizontal="left" vertical="center"/>
    </xf>
    <xf numFmtId="0" fontId="42" fillId="0" borderId="0" xfId="32" applyFont="1" applyAlignment="1">
      <alignment horizontal="left" vertical="center"/>
    </xf>
    <xf numFmtId="167" fontId="45" fillId="13" borderId="51" xfId="0" applyNumberFormat="1" applyFont="1" applyFill="1" applyBorder="1" applyAlignment="1">
      <alignment horizontal="center" vertical="center" wrapText="1"/>
    </xf>
    <xf numFmtId="167" fontId="45" fillId="12" borderId="52" xfId="0" applyNumberFormat="1" applyFont="1" applyFill="1" applyBorder="1" applyAlignment="1">
      <alignment horizontal="center" vertical="center" wrapText="1"/>
    </xf>
    <xf numFmtId="167" fontId="45" fillId="13" borderId="22" xfId="0" applyNumberFormat="1" applyFont="1" applyFill="1" applyBorder="1" applyAlignment="1">
      <alignment horizontal="center" vertical="center" wrapText="1"/>
    </xf>
    <xf numFmtId="167" fontId="45" fillId="12" borderId="60" xfId="0" applyNumberFormat="1" applyFont="1" applyFill="1" applyBorder="1" applyAlignment="1">
      <alignment horizontal="center" vertical="center" wrapText="1"/>
    </xf>
    <xf numFmtId="167" fontId="45" fillId="13" borderId="54" xfId="0" applyNumberFormat="1" applyFont="1" applyFill="1" applyBorder="1" applyAlignment="1">
      <alignment horizontal="center" vertical="center" wrapText="1"/>
    </xf>
    <xf numFmtId="171" fontId="45" fillId="13" borderId="54" xfId="0" applyNumberFormat="1" applyFont="1" applyFill="1" applyBorder="1" applyAlignment="1">
      <alignment horizontal="center" vertical="center" wrapText="1"/>
    </xf>
    <xf numFmtId="171" fontId="45" fillId="13" borderId="64" xfId="0" applyNumberFormat="1" applyFont="1" applyFill="1" applyBorder="1" applyAlignment="1">
      <alignment horizontal="center" vertical="center" wrapText="1"/>
    </xf>
    <xf numFmtId="167" fontId="45" fillId="13" borderId="63" xfId="0" applyNumberFormat="1" applyFont="1" applyFill="1" applyBorder="1" applyAlignment="1" applyProtection="1">
      <alignment horizontal="center" vertical="center" wrapText="1"/>
      <protection locked="0"/>
    </xf>
    <xf numFmtId="0" fontId="85" fillId="0" borderId="0" xfId="32" applyFont="1" applyAlignment="1">
      <alignment vertical="center"/>
    </xf>
    <xf numFmtId="172" fontId="45" fillId="7" borderId="64" xfId="39" applyNumberFormat="1" applyFont="1" applyFill="1" applyBorder="1" applyAlignment="1" applyProtection="1">
      <alignment horizontal="center" vertical="center" wrapText="1"/>
      <protection locked="0"/>
    </xf>
    <xf numFmtId="172" fontId="45" fillId="7" borderId="63" xfId="39" applyNumberFormat="1" applyFont="1" applyFill="1" applyBorder="1" applyAlignment="1" applyProtection="1">
      <alignment horizontal="center" vertical="center" wrapText="1"/>
      <protection locked="0"/>
    </xf>
    <xf numFmtId="0" fontId="46" fillId="0" borderId="0" xfId="0" applyFont="1" applyAlignment="1">
      <alignment horizontal="left" vertical="center" wrapText="1"/>
    </xf>
    <xf numFmtId="167" fontId="45" fillId="13" borderId="63" xfId="0" applyNumberFormat="1" applyFont="1" applyFill="1" applyBorder="1" applyAlignment="1">
      <alignment horizontal="center" vertical="center" wrapText="1"/>
    </xf>
    <xf numFmtId="0" fontId="40" fillId="0" borderId="0" xfId="0" applyFont="1" applyAlignment="1">
      <alignment horizontal="left" vertical="center"/>
    </xf>
    <xf numFmtId="0" fontId="56" fillId="0" borderId="0" xfId="15" applyFont="1" applyAlignment="1">
      <alignment vertical="center" wrapText="1"/>
    </xf>
    <xf numFmtId="0" fontId="64" fillId="0" borderId="0" xfId="0" applyFont="1" applyAlignment="1">
      <alignment horizontal="center" vertical="center" wrapText="1"/>
    </xf>
    <xf numFmtId="0" fontId="86" fillId="0" borderId="0" xfId="0"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172" fontId="45" fillId="12" borderId="51" xfId="0" applyNumberFormat="1" applyFont="1" applyFill="1" applyBorder="1" applyAlignment="1" applyProtection="1">
      <alignment horizontal="center" vertical="center" wrapText="1"/>
      <protection locked="0"/>
    </xf>
    <xf numFmtId="172" fontId="45" fillId="12" borderId="52" xfId="0" applyNumberFormat="1" applyFont="1" applyFill="1" applyBorder="1" applyAlignment="1" applyProtection="1">
      <alignment horizontal="center" vertical="center" wrapText="1"/>
      <protection locked="0"/>
    </xf>
    <xf numFmtId="0" fontId="87" fillId="0" borderId="57" xfId="0" applyFont="1" applyBorder="1" applyAlignment="1">
      <alignment horizontal="center" vertical="center" wrapText="1"/>
    </xf>
    <xf numFmtId="172" fontId="45" fillId="12" borderId="22" xfId="0" applyNumberFormat="1" applyFont="1" applyFill="1" applyBorder="1" applyAlignment="1" applyProtection="1">
      <alignment horizontal="center" vertical="center" wrapText="1"/>
      <protection locked="0"/>
    </xf>
    <xf numFmtId="172" fontId="45" fillId="12" borderId="60" xfId="0" applyNumberFormat="1" applyFont="1" applyFill="1" applyBorder="1" applyAlignment="1" applyProtection="1">
      <alignment horizontal="center" vertical="center" wrapText="1"/>
      <protection locked="0"/>
    </xf>
    <xf numFmtId="0" fontId="87" fillId="0" borderId="61" xfId="0" applyFont="1" applyBorder="1" applyAlignment="1">
      <alignment horizontal="center" vertical="center" wrapText="1"/>
    </xf>
    <xf numFmtId="0" fontId="87" fillId="0" borderId="58" xfId="0" applyFont="1" applyBorder="1" applyAlignment="1">
      <alignment horizontal="center" vertical="center" wrapText="1"/>
    </xf>
    <xf numFmtId="172" fontId="45" fillId="12" borderId="64" xfId="0" applyNumberFormat="1" applyFont="1" applyFill="1" applyBorder="1" applyAlignment="1" applyProtection="1">
      <alignment horizontal="center" vertical="center" wrapText="1"/>
      <protection locked="0"/>
    </xf>
    <xf numFmtId="167" fontId="45" fillId="0" borderId="0" xfId="0" applyNumberFormat="1" applyFont="1" applyAlignment="1">
      <alignment horizontal="center" vertical="center" wrapText="1"/>
    </xf>
    <xf numFmtId="172" fontId="45" fillId="12" borderId="64" xfId="0" applyNumberFormat="1" applyFont="1" applyFill="1" applyBorder="1" applyAlignment="1" applyProtection="1">
      <alignment vertical="center" wrapText="1"/>
      <protection locked="0"/>
    </xf>
    <xf numFmtId="0" fontId="36" fillId="0" borderId="0" xfId="0" applyFont="1" applyAlignment="1">
      <alignment vertical="center"/>
    </xf>
    <xf numFmtId="0" fontId="81" fillId="0" borderId="0" xfId="0" applyFont="1" applyAlignment="1">
      <alignment vertical="center"/>
    </xf>
    <xf numFmtId="0" fontId="75" fillId="10" borderId="63" xfId="0" applyFont="1" applyFill="1" applyBorder="1" applyAlignment="1">
      <alignment horizontal="center" vertical="center" wrapText="1"/>
    </xf>
    <xf numFmtId="0" fontId="75" fillId="0" borderId="0" xfId="0" applyFont="1" applyAlignment="1">
      <alignment horizontal="center" vertical="center" textRotation="90" wrapText="1"/>
    </xf>
    <xf numFmtId="172" fontId="45" fillId="20" borderId="54" xfId="39" applyNumberFormat="1" applyFont="1" applyFill="1" applyBorder="1" applyAlignment="1">
      <alignment horizontal="center" vertical="center" wrapText="1"/>
    </xf>
    <xf numFmtId="172" fontId="75" fillId="10" borderId="64" xfId="39" applyNumberFormat="1" applyFont="1" applyFill="1" applyBorder="1" applyAlignment="1">
      <alignment horizontal="center" vertical="center" wrapText="1"/>
    </xf>
    <xf numFmtId="172" fontId="75" fillId="10" borderId="63" xfId="39" applyNumberFormat="1" applyFont="1" applyFill="1" applyBorder="1" applyAlignment="1">
      <alignment horizontal="center" vertical="center" wrapText="1"/>
    </xf>
    <xf numFmtId="0" fontId="42" fillId="0" borderId="0" xfId="0" applyFont="1" applyAlignment="1">
      <alignment wrapText="1"/>
    </xf>
    <xf numFmtId="172" fontId="43" fillId="0" borderId="0" xfId="39" applyNumberFormat="1" applyFont="1" applyFill="1" applyBorder="1" applyAlignment="1">
      <alignment vertical="center"/>
    </xf>
    <xf numFmtId="172" fontId="40" fillId="0" borderId="0" xfId="39" applyNumberFormat="1" applyFont="1" applyFill="1" applyBorder="1" applyAlignment="1">
      <alignment vertical="center"/>
    </xf>
    <xf numFmtId="172" fontId="45" fillId="20" borderId="55" xfId="39" applyNumberFormat="1" applyFont="1" applyFill="1" applyBorder="1" applyAlignment="1">
      <alignment horizontal="center" vertical="center" wrapText="1"/>
    </xf>
    <xf numFmtId="0" fontId="87" fillId="0" borderId="0" xfId="0" applyFont="1" applyAlignment="1">
      <alignment horizontal="center" vertical="center" wrapText="1"/>
    </xf>
    <xf numFmtId="0" fontId="87" fillId="0" borderId="46" xfId="0" applyFont="1" applyBorder="1" applyAlignment="1">
      <alignment horizontal="center" vertical="center" wrapText="1"/>
    </xf>
    <xf numFmtId="172" fontId="45" fillId="12" borderId="52" xfId="39" applyNumberFormat="1" applyFont="1" applyFill="1" applyBorder="1" applyAlignment="1" applyProtection="1">
      <alignment horizontal="center" vertical="center" wrapText="1"/>
      <protection locked="0"/>
    </xf>
    <xf numFmtId="172" fontId="45" fillId="12" borderId="55" xfId="39" applyNumberFormat="1" applyFont="1" applyFill="1" applyBorder="1" applyAlignment="1" applyProtection="1">
      <alignment horizontal="center" vertical="center" wrapText="1"/>
      <protection locked="0"/>
    </xf>
    <xf numFmtId="172" fontId="45" fillId="12" borderId="63" xfId="39" applyNumberFormat="1" applyFont="1" applyFill="1" applyBorder="1" applyAlignment="1" applyProtection="1">
      <alignment horizontal="center" vertical="center" wrapText="1"/>
      <protection locked="0"/>
    </xf>
    <xf numFmtId="174" fontId="40" fillId="0" borderId="0" xfId="0" applyNumberFormat="1" applyFont="1" applyAlignment="1">
      <alignment vertical="center"/>
    </xf>
    <xf numFmtId="164" fontId="40" fillId="0" borderId="0" xfId="0" applyNumberFormat="1" applyFont="1" applyAlignment="1">
      <alignment vertical="center"/>
    </xf>
    <xf numFmtId="0" fontId="48" fillId="0" borderId="0" xfId="0" applyFont="1"/>
    <xf numFmtId="0" fontId="64" fillId="0" borderId="0" xfId="0" applyFont="1" applyAlignment="1">
      <alignment horizontal="left" vertical="center" wrapText="1"/>
    </xf>
    <xf numFmtId="0" fontId="44" fillId="0" borderId="0" xfId="0" applyFont="1" applyAlignment="1">
      <alignment horizontal="left"/>
    </xf>
    <xf numFmtId="0" fontId="44" fillId="0" borderId="0" xfId="30" applyFont="1" applyBorder="1" applyAlignment="1">
      <alignment horizontal="left" vertical="center" wrapText="1"/>
    </xf>
    <xf numFmtId="0" fontId="41" fillId="0" borderId="0" xfId="0" applyFont="1" applyAlignment="1">
      <alignment horizontal="center" vertical="center" textRotation="90" wrapText="1"/>
    </xf>
    <xf numFmtId="0" fontId="44" fillId="0" borderId="0" xfId="30" applyFont="1" applyFill="1" applyBorder="1" applyAlignment="1">
      <alignment horizontal="left" vertical="center" wrapText="1"/>
    </xf>
    <xf numFmtId="172" fontId="43" fillId="0" borderId="0" xfId="0" applyNumberFormat="1" applyFont="1" applyAlignment="1">
      <alignment horizontal="justify" vertical="center" wrapText="1"/>
    </xf>
    <xf numFmtId="172" fontId="41" fillId="0" borderId="0" xfId="0" applyNumberFormat="1" applyFont="1" applyAlignment="1">
      <alignment horizontal="left" vertical="center" wrapText="1"/>
    </xf>
    <xf numFmtId="0" fontId="49" fillId="0" borderId="0" xfId="30" applyFont="1" applyBorder="1" applyAlignment="1">
      <alignment horizontal="left" vertical="center" wrapText="1"/>
    </xf>
    <xf numFmtId="0" fontId="74" fillId="0" borderId="0" xfId="0" applyFont="1" applyAlignment="1">
      <alignment vertical="center"/>
    </xf>
    <xf numFmtId="0" fontId="61" fillId="15" borderId="0" xfId="15" applyFont="1" applyFill="1" applyAlignment="1">
      <alignment horizontal="center" vertical="center" wrapText="1"/>
    </xf>
    <xf numFmtId="49" fontId="43" fillId="0" borderId="0" xfId="1" applyNumberFormat="1" applyFont="1" applyBorder="1" applyAlignment="1">
      <alignment vertical="center"/>
    </xf>
    <xf numFmtId="0" fontId="43" fillId="0" borderId="0" xfId="28" applyFont="1" applyAlignment="1">
      <alignment horizontal="center" vertical="center" wrapText="1"/>
    </xf>
    <xf numFmtId="0" fontId="88" fillId="0" borderId="0" xfId="0" applyFont="1"/>
    <xf numFmtId="0" fontId="60" fillId="0" borderId="0" xfId="15" applyFont="1" applyAlignment="1">
      <alignment horizontal="center" vertical="center" wrapText="1"/>
    </xf>
    <xf numFmtId="0" fontId="89" fillId="0" borderId="0" xfId="30" applyFont="1" applyBorder="1" applyAlignment="1">
      <alignment vertical="center" wrapText="1"/>
    </xf>
    <xf numFmtId="172" fontId="45" fillId="26" borderId="51" xfId="39" applyNumberFormat="1" applyFont="1" applyFill="1" applyBorder="1" applyAlignment="1">
      <alignment horizontal="center" vertical="center" wrapText="1"/>
    </xf>
    <xf numFmtId="172" fontId="45" fillId="26" borderId="22" xfId="39" applyNumberFormat="1" applyFont="1" applyFill="1" applyBorder="1" applyAlignment="1">
      <alignment horizontal="center" vertical="center" wrapText="1"/>
    </xf>
    <xf numFmtId="172" fontId="45" fillId="12" borderId="22" xfId="39" applyNumberFormat="1" applyFont="1" applyFill="1" applyBorder="1" applyAlignment="1">
      <alignment horizontal="center" vertical="center" wrapText="1"/>
    </xf>
    <xf numFmtId="172" fontId="40" fillId="0" borderId="0" xfId="39" applyNumberFormat="1" applyFont="1"/>
    <xf numFmtId="0" fontId="57" fillId="0" borderId="0" xfId="0" applyFont="1"/>
    <xf numFmtId="172" fontId="45" fillId="7" borderId="52" xfId="39" applyNumberFormat="1" applyFont="1" applyFill="1" applyBorder="1" applyAlignment="1">
      <alignment horizontal="center" vertical="center" wrapText="1"/>
    </xf>
    <xf numFmtId="172" fontId="45" fillId="7" borderId="22" xfId="39" applyNumberFormat="1" applyFont="1" applyFill="1" applyBorder="1" applyAlignment="1">
      <alignment horizontal="center" vertical="center" wrapText="1"/>
    </xf>
    <xf numFmtId="172" fontId="45" fillId="7" borderId="60" xfId="39" applyNumberFormat="1" applyFont="1" applyFill="1" applyBorder="1" applyAlignment="1">
      <alignment horizontal="center" vertical="center" wrapText="1"/>
    </xf>
    <xf numFmtId="172" fontId="45" fillId="7" borderId="55" xfId="39" applyNumberFormat="1" applyFont="1" applyFill="1" applyBorder="1" applyAlignment="1">
      <alignment horizontal="center" vertical="center" wrapText="1"/>
    </xf>
    <xf numFmtId="0" fontId="40" fillId="0" borderId="0" xfId="0" applyFont="1" applyAlignment="1">
      <alignment horizontal="left" vertical="center" wrapText="1"/>
    </xf>
    <xf numFmtId="172" fontId="43" fillId="12" borderId="51" xfId="39" applyNumberFormat="1" applyFont="1" applyFill="1" applyBorder="1" applyAlignment="1" applyProtection="1">
      <alignment horizontal="center" vertical="center" wrapText="1"/>
      <protection locked="0"/>
    </xf>
    <xf numFmtId="172" fontId="45" fillId="18" borderId="51" xfId="39" applyNumberFormat="1" applyFont="1" applyFill="1" applyBorder="1" applyAlignment="1">
      <alignment horizontal="center" vertical="center" wrapText="1"/>
    </xf>
    <xf numFmtId="172" fontId="45" fillId="18" borderId="52" xfId="39" applyNumberFormat="1" applyFont="1" applyFill="1" applyBorder="1" applyAlignment="1">
      <alignment horizontal="center" vertical="center" wrapText="1"/>
    </xf>
    <xf numFmtId="172" fontId="43" fillId="12" borderId="22" xfId="39" applyNumberFormat="1" applyFont="1" applyFill="1" applyBorder="1" applyAlignment="1" applyProtection="1">
      <alignment horizontal="center" vertical="center" wrapText="1"/>
      <protection locked="0"/>
    </xf>
    <xf numFmtId="172" fontId="45" fillId="18" borderId="22" xfId="39" applyNumberFormat="1" applyFont="1" applyFill="1" applyBorder="1" applyAlignment="1">
      <alignment horizontal="center" vertical="center" wrapText="1"/>
    </xf>
    <xf numFmtId="172" fontId="45" fillId="18" borderId="60" xfId="39" applyNumberFormat="1" applyFont="1" applyFill="1" applyBorder="1" applyAlignment="1">
      <alignment horizontal="center" vertical="center" wrapText="1"/>
    </xf>
    <xf numFmtId="172" fontId="40" fillId="10" borderId="52" xfId="39" applyNumberFormat="1" applyFont="1" applyFill="1" applyBorder="1"/>
    <xf numFmtId="172" fontId="40" fillId="10" borderId="60" xfId="39" applyNumberFormat="1" applyFont="1" applyFill="1" applyBorder="1"/>
    <xf numFmtId="0" fontId="75" fillId="18" borderId="64" xfId="0" applyFont="1" applyFill="1" applyBorder="1" applyAlignment="1">
      <alignment horizontal="center" vertical="center" wrapText="1"/>
    </xf>
    <xf numFmtId="0" fontId="49" fillId="0" borderId="0" xfId="30" applyFont="1" applyFill="1" applyBorder="1" applyAlignment="1">
      <alignment horizontal="center" vertical="center" wrapText="1"/>
    </xf>
    <xf numFmtId="0" fontId="61" fillId="7" borderId="0" xfId="15" applyFont="1" applyFill="1" applyAlignment="1">
      <alignment horizontal="center" vertical="center" wrapText="1"/>
    </xf>
    <xf numFmtId="0" fontId="42" fillId="0" borderId="0" xfId="28" applyFont="1" applyAlignment="1">
      <alignment vertical="center"/>
    </xf>
    <xf numFmtId="0" fontId="43" fillId="0" borderId="0" xfId="28" applyFont="1" applyAlignment="1">
      <alignment horizontal="center" vertical="center"/>
    </xf>
    <xf numFmtId="0" fontId="37" fillId="7" borderId="0" xfId="15" applyFont="1" applyFill="1" applyAlignment="1">
      <alignment vertical="center"/>
    </xf>
    <xf numFmtId="3" fontId="45" fillId="0" borderId="50" xfId="0" applyNumberFormat="1" applyFont="1" applyBorder="1" applyAlignment="1" applyProtection="1">
      <alignment horizontal="left" vertical="center" wrapText="1"/>
      <protection locked="0"/>
    </xf>
    <xf numFmtId="0" fontId="61" fillId="7" borderId="0" xfId="15" applyFont="1" applyFill="1" applyAlignment="1">
      <alignment horizontal="center" vertical="center"/>
    </xf>
    <xf numFmtId="3" fontId="45" fillId="0" borderId="59" xfId="0" applyNumberFormat="1" applyFont="1" applyBorder="1" applyAlignment="1" applyProtection="1">
      <alignment horizontal="left" vertical="center" wrapText="1"/>
      <protection locked="0"/>
    </xf>
    <xf numFmtId="0" fontId="90" fillId="0" borderId="0" xfId="0" applyFont="1" applyAlignment="1">
      <alignment vertical="center"/>
    </xf>
    <xf numFmtId="0" fontId="44" fillId="0" borderId="0" xfId="30" applyFont="1" applyBorder="1" applyAlignment="1" applyProtection="1">
      <alignment horizontal="center" vertical="center" wrapText="1"/>
      <protection locked="0"/>
    </xf>
    <xf numFmtId="172" fontId="41" fillId="0" borderId="0" xfId="39" applyNumberFormat="1" applyFont="1" applyFill="1" applyBorder="1" applyAlignment="1">
      <alignment horizontal="center" vertical="center" wrapText="1"/>
    </xf>
    <xf numFmtId="0" fontId="87" fillId="0" borderId="0" xfId="0" applyFont="1" applyAlignment="1">
      <alignment horizontal="center" vertical="center"/>
    </xf>
    <xf numFmtId="0" fontId="45" fillId="0" borderId="50" xfId="0" applyFont="1" applyBorder="1" applyAlignment="1" applyProtection="1">
      <alignment horizontal="left" vertical="center" wrapText="1"/>
      <protection locked="0"/>
    </xf>
    <xf numFmtId="172" fontId="43" fillId="7" borderId="52" xfId="39" applyNumberFormat="1" applyFont="1" applyFill="1" applyBorder="1" applyAlignment="1">
      <alignment horizontal="center" vertical="center"/>
    </xf>
    <xf numFmtId="0" fontId="45" fillId="0" borderId="59" xfId="0" applyFont="1" applyBorder="1" applyAlignment="1" applyProtection="1">
      <alignment horizontal="left" vertical="center" wrapText="1"/>
      <protection locked="0"/>
    </xf>
    <xf numFmtId="172" fontId="43" fillId="7" borderId="60" xfId="39" applyNumberFormat="1" applyFont="1" applyFill="1" applyBorder="1" applyAlignment="1">
      <alignment horizontal="center" vertical="center"/>
    </xf>
    <xf numFmtId="172" fontId="43" fillId="7" borderId="55" xfId="39" applyNumberFormat="1" applyFont="1" applyFill="1" applyBorder="1" applyAlignment="1">
      <alignment horizontal="center" vertical="center"/>
    </xf>
    <xf numFmtId="0" fontId="44" fillId="0" borderId="0" xfId="0" applyFont="1" applyAlignment="1">
      <alignment horizontal="center" vertical="center" wrapText="1"/>
    </xf>
    <xf numFmtId="0" fontId="39" fillId="10" borderId="54" xfId="3" applyFont="1" applyFill="1" applyBorder="1" applyAlignment="1">
      <alignment horizontal="center" vertical="center" wrapText="1"/>
    </xf>
    <xf numFmtId="0" fontId="39" fillId="10" borderId="55" xfId="3" applyFont="1" applyFill="1" applyBorder="1" applyAlignment="1">
      <alignment horizontal="center" vertical="center" wrapText="1"/>
    </xf>
    <xf numFmtId="0" fontId="39" fillId="10" borderId="56" xfId="0" applyFont="1" applyFill="1" applyBorder="1" applyAlignment="1">
      <alignment horizontal="left" vertical="center" wrapText="1"/>
    </xf>
    <xf numFmtId="0" fontId="41" fillId="0" borderId="0" xfId="0" applyFont="1" applyAlignment="1">
      <alignment horizontal="left" vertical="center"/>
    </xf>
    <xf numFmtId="0" fontId="62" fillId="5" borderId="0" xfId="40" applyFont="1" applyFill="1" applyAlignment="1">
      <alignment horizontal="left" vertical="center"/>
    </xf>
    <xf numFmtId="0" fontId="43" fillId="0" borderId="50" xfId="3" applyFont="1" applyBorder="1" applyAlignment="1" applyProtection="1">
      <alignment vertical="center" wrapText="1"/>
      <protection locked="0"/>
    </xf>
    <xf numFmtId="0" fontId="40" fillId="0" borderId="51" xfId="0" applyFont="1" applyBorder="1" applyAlignment="1">
      <alignment horizontal="center" vertical="center" wrapText="1"/>
    </xf>
    <xf numFmtId="172" fontId="43" fillId="12" borderId="51" xfId="3" applyNumberFormat="1" applyFont="1" applyFill="1" applyBorder="1" applyAlignment="1" applyProtection="1">
      <alignment horizontal="center" vertical="center"/>
      <protection locked="0"/>
    </xf>
    <xf numFmtId="172" fontId="43" fillId="12" borderId="52" xfId="3" applyNumberFormat="1" applyFont="1" applyFill="1" applyBorder="1" applyAlignment="1" applyProtection="1">
      <alignment horizontal="center" vertical="center"/>
      <protection locked="0"/>
    </xf>
    <xf numFmtId="0" fontId="43" fillId="0" borderId="57" xfId="30" applyFont="1" applyBorder="1" applyAlignment="1">
      <alignment horizontal="center" vertical="center" wrapText="1"/>
    </xf>
    <xf numFmtId="0" fontId="43" fillId="0" borderId="59" xfId="0" applyFont="1" applyBorder="1" applyAlignment="1">
      <alignment horizontal="left" vertical="center" wrapText="1"/>
    </xf>
    <xf numFmtId="172" fontId="43" fillId="12" borderId="22" xfId="0" applyNumberFormat="1" applyFont="1" applyFill="1" applyBorder="1" applyAlignment="1" applyProtection="1">
      <alignment horizontal="center" vertical="center" wrapText="1"/>
      <protection locked="0"/>
    </xf>
    <xf numFmtId="172" fontId="43" fillId="12" borderId="60" xfId="0" applyNumberFormat="1" applyFont="1" applyFill="1" applyBorder="1" applyAlignment="1" applyProtection="1">
      <alignment horizontal="center" vertical="center" wrapText="1"/>
      <protection locked="0"/>
    </xf>
    <xf numFmtId="0" fontId="43" fillId="0" borderId="61" xfId="30" applyFont="1" applyBorder="1" applyAlignment="1">
      <alignment horizontal="center" vertical="center" wrapText="1"/>
    </xf>
    <xf numFmtId="172" fontId="43" fillId="12" borderId="60" xfId="39" applyNumberFormat="1" applyFont="1" applyFill="1" applyBorder="1" applyAlignment="1" applyProtection="1">
      <alignment horizontal="center" vertical="center" wrapText="1"/>
      <protection locked="0"/>
    </xf>
    <xf numFmtId="167" fontId="43" fillId="13" borderId="22" xfId="0" applyNumberFormat="1" applyFont="1" applyFill="1" applyBorder="1" applyAlignment="1">
      <alignment horizontal="center" vertical="center" wrapText="1"/>
    </xf>
    <xf numFmtId="167" fontId="43" fillId="13" borderId="60" xfId="0" applyNumberFormat="1" applyFont="1" applyFill="1" applyBorder="1" applyAlignment="1">
      <alignment horizontal="center" vertical="center" wrapText="1"/>
    </xf>
    <xf numFmtId="167" fontId="43" fillId="12" borderId="22" xfId="0" applyNumberFormat="1" applyFont="1" applyFill="1" applyBorder="1" applyAlignment="1" applyProtection="1">
      <alignment horizontal="center" vertical="center" wrapText="1"/>
      <protection locked="0"/>
    </xf>
    <xf numFmtId="167" fontId="43" fillId="12" borderId="60" xfId="0" applyNumberFormat="1" applyFont="1" applyFill="1" applyBorder="1" applyAlignment="1" applyProtection="1">
      <alignment horizontal="center" vertical="center" wrapText="1"/>
      <protection locked="0"/>
    </xf>
    <xf numFmtId="10" fontId="43" fillId="12" borderId="22" xfId="0" applyNumberFormat="1" applyFont="1" applyFill="1" applyBorder="1" applyAlignment="1">
      <alignment horizontal="center" vertical="center" wrapText="1"/>
    </xf>
    <xf numFmtId="10" fontId="43" fillId="12" borderId="60" xfId="0" applyNumberFormat="1" applyFont="1" applyFill="1" applyBorder="1" applyAlignment="1">
      <alignment horizontal="center" vertical="center" wrapText="1"/>
    </xf>
    <xf numFmtId="0" fontId="43" fillId="0" borderId="61" xfId="30" applyFont="1" applyFill="1" applyBorder="1" applyAlignment="1">
      <alignment horizontal="center" vertical="center" wrapText="1"/>
    </xf>
    <xf numFmtId="10" fontId="43" fillId="12" borderId="22" xfId="38" applyNumberFormat="1" applyFont="1" applyFill="1" applyBorder="1" applyAlignment="1" applyProtection="1">
      <alignment horizontal="center" vertical="center" wrapText="1"/>
      <protection locked="0"/>
    </xf>
    <xf numFmtId="10" fontId="43" fillId="12" borderId="60" xfId="38" applyNumberFormat="1" applyFont="1" applyFill="1" applyBorder="1" applyAlignment="1" applyProtection="1">
      <alignment horizontal="center" vertical="center" wrapText="1"/>
      <protection locked="0"/>
    </xf>
    <xf numFmtId="167" fontId="43" fillId="13" borderId="54" xfId="0" applyNumberFormat="1" applyFont="1" applyFill="1" applyBorder="1" applyAlignment="1">
      <alignment horizontal="center" vertical="center" wrapText="1"/>
    </xf>
    <xf numFmtId="167" fontId="43" fillId="13" borderId="55" xfId="0" applyNumberFormat="1" applyFont="1" applyFill="1" applyBorder="1" applyAlignment="1">
      <alignment horizontal="center" vertical="center" wrapText="1"/>
    </xf>
    <xf numFmtId="0" fontId="43" fillId="0" borderId="58" xfId="30" applyFont="1" applyFill="1" applyBorder="1" applyAlignment="1">
      <alignment horizontal="center" vertical="center" wrapText="1"/>
    </xf>
    <xf numFmtId="167" fontId="43" fillId="12" borderId="51" xfId="0" applyNumberFormat="1" applyFont="1" applyFill="1" applyBorder="1" applyAlignment="1" applyProtection="1">
      <alignment horizontal="center" vertical="center" wrapText="1"/>
      <protection locked="0"/>
    </xf>
    <xf numFmtId="167" fontId="43" fillId="12" borderId="52" xfId="0" applyNumberFormat="1" applyFont="1" applyFill="1" applyBorder="1" applyAlignment="1" applyProtection="1">
      <alignment horizontal="center" vertical="center" wrapText="1"/>
      <protection locked="0"/>
    </xf>
    <xf numFmtId="167" fontId="43" fillId="13" borderId="22" xfId="38" applyNumberFormat="1" applyFont="1" applyFill="1" applyBorder="1" applyAlignment="1" applyProtection="1">
      <alignment horizontal="center" vertical="center" wrapText="1"/>
      <protection locked="0"/>
    </xf>
    <xf numFmtId="167" fontId="43" fillId="13" borderId="60" xfId="38" applyNumberFormat="1" applyFont="1" applyFill="1" applyBorder="1" applyAlignment="1" applyProtection="1">
      <alignment horizontal="center" vertical="center" wrapText="1"/>
      <protection locked="0"/>
    </xf>
    <xf numFmtId="0" fontId="43" fillId="0" borderId="58" xfId="30" applyFont="1" applyBorder="1" applyAlignment="1">
      <alignment horizontal="center" vertical="center" wrapText="1"/>
    </xf>
    <xf numFmtId="0" fontId="43" fillId="0" borderId="50" xfId="0" applyFont="1" applyBorder="1" applyAlignment="1">
      <alignment horizontal="left" vertical="center" wrapText="1"/>
    </xf>
    <xf numFmtId="0" fontId="43" fillId="0" borderId="62" xfId="0" applyFont="1" applyBorder="1" applyAlignment="1">
      <alignment horizontal="left" vertical="center" wrapText="1"/>
    </xf>
    <xf numFmtId="167" fontId="43" fillId="13" borderId="64" xfId="0" applyNumberFormat="1" applyFont="1" applyFill="1" applyBorder="1" applyAlignment="1">
      <alignment horizontal="center" vertical="center" wrapText="1"/>
    </xf>
    <xf numFmtId="0" fontId="43" fillId="0" borderId="46" xfId="30" applyFont="1" applyBorder="1" applyAlignment="1">
      <alignment horizontal="center" vertical="center" wrapText="1"/>
    </xf>
    <xf numFmtId="171" fontId="43" fillId="12" borderId="22" xfId="38" applyNumberFormat="1" applyFont="1" applyFill="1" applyBorder="1" applyAlignment="1" applyProtection="1">
      <alignment horizontal="center" vertical="center" wrapText="1"/>
      <protection locked="0"/>
    </xf>
    <xf numFmtId="171" fontId="43" fillId="12" borderId="60" xfId="38" applyNumberFormat="1" applyFont="1" applyFill="1" applyBorder="1" applyAlignment="1" applyProtection="1">
      <alignment horizontal="center" vertical="center" wrapText="1"/>
      <protection locked="0"/>
    </xf>
    <xf numFmtId="0" fontId="43" fillId="7" borderId="22" xfId="0" applyFont="1" applyFill="1" applyBorder="1" applyAlignment="1">
      <alignment horizontal="center" vertical="center"/>
    </xf>
    <xf numFmtId="167" fontId="43" fillId="17" borderId="22" xfId="0" applyNumberFormat="1" applyFont="1" applyFill="1" applyBorder="1" applyAlignment="1" applyProtection="1">
      <alignment horizontal="center" vertical="center" wrapText="1"/>
      <protection locked="0"/>
    </xf>
    <xf numFmtId="167" fontId="43" fillId="17" borderId="60" xfId="0" applyNumberFormat="1" applyFont="1" applyFill="1" applyBorder="1" applyAlignment="1" applyProtection="1">
      <alignment horizontal="center" vertical="center" wrapText="1"/>
      <protection locked="0"/>
    </xf>
    <xf numFmtId="0" fontId="43" fillId="7" borderId="54" xfId="0" applyFont="1" applyFill="1" applyBorder="1" applyAlignment="1">
      <alignment horizontal="center" vertical="center" wrapText="1"/>
    </xf>
    <xf numFmtId="0" fontId="74" fillId="0" borderId="0" xfId="37" applyFont="1" applyBorder="1" applyAlignment="1">
      <alignment vertical="center" wrapText="1"/>
    </xf>
    <xf numFmtId="0" fontId="48" fillId="7" borderId="0" xfId="0" applyFont="1" applyFill="1" applyAlignment="1">
      <alignment vertical="center"/>
    </xf>
    <xf numFmtId="0" fontId="64" fillId="0" borderId="0" xfId="0" applyFont="1" applyAlignment="1">
      <alignment horizontal="center" vertical="center"/>
    </xf>
    <xf numFmtId="0" fontId="94" fillId="0" borderId="0" xfId="0" applyFont="1" applyAlignment="1">
      <alignment vertical="center"/>
    </xf>
    <xf numFmtId="0" fontId="40" fillId="7" borderId="0" xfId="0" applyFont="1" applyFill="1" applyAlignment="1">
      <alignment vertical="center"/>
    </xf>
    <xf numFmtId="0" fontId="40" fillId="0" borderId="50" xfId="0" applyFont="1" applyBorder="1" applyAlignment="1">
      <alignment horizontal="left" vertical="center" wrapText="1"/>
    </xf>
    <xf numFmtId="167" fontId="40" fillId="17" borderId="51" xfId="0" applyNumberFormat="1" applyFont="1" applyFill="1" applyBorder="1" applyAlignment="1">
      <alignment horizontal="center" vertical="center" wrapText="1"/>
    </xf>
    <xf numFmtId="167" fontId="40" fillId="13" borderId="52" xfId="0" applyNumberFormat="1" applyFont="1" applyFill="1" applyBorder="1" applyAlignment="1">
      <alignment horizontal="center" vertical="center" wrapText="1"/>
    </xf>
    <xf numFmtId="0" fontId="40" fillId="0" borderId="57" xfId="30" applyFont="1" applyBorder="1" applyAlignment="1">
      <alignment horizontal="center" vertical="center" wrapText="1"/>
    </xf>
    <xf numFmtId="0" fontId="40" fillId="0" borderId="59" xfId="0" applyFont="1" applyBorder="1" applyAlignment="1">
      <alignment horizontal="left" vertical="center" wrapText="1"/>
    </xf>
    <xf numFmtId="0" fontId="40" fillId="0" borderId="22" xfId="0" applyFont="1" applyBorder="1" applyAlignment="1">
      <alignment horizontal="center" vertical="center" wrapText="1"/>
    </xf>
    <xf numFmtId="167" fontId="40" fillId="17" borderId="22" xfId="0" applyNumberFormat="1" applyFont="1" applyFill="1" applyBorder="1" applyAlignment="1">
      <alignment horizontal="center" vertical="center" wrapText="1"/>
    </xf>
    <xf numFmtId="167" fontId="40" fillId="13" borderId="60" xfId="0" applyNumberFormat="1" applyFont="1" applyFill="1" applyBorder="1" applyAlignment="1">
      <alignment horizontal="center" vertical="center" wrapText="1"/>
    </xf>
    <xf numFmtId="0" fontId="40" fillId="0" borderId="61" xfId="30" applyFont="1" applyBorder="1" applyAlignment="1">
      <alignment horizontal="center" vertical="center" wrapText="1"/>
    </xf>
    <xf numFmtId="167" fontId="40" fillId="12" borderId="22" xfId="0" applyNumberFormat="1" applyFont="1" applyFill="1" applyBorder="1" applyAlignment="1">
      <alignment horizontal="center" vertical="center" wrapText="1"/>
    </xf>
    <xf numFmtId="0" fontId="40" fillId="0" borderId="22" xfId="0" applyFont="1" applyBorder="1" applyAlignment="1">
      <alignment horizontal="center" vertical="center"/>
    </xf>
    <xf numFmtId="167" fontId="40" fillId="13" borderId="22" xfId="0" applyNumberFormat="1" applyFont="1" applyFill="1" applyBorder="1" applyAlignment="1">
      <alignment horizontal="center" vertical="center"/>
    </xf>
    <xf numFmtId="0" fontId="40" fillId="12" borderId="22" xfId="0" applyFont="1" applyFill="1" applyBorder="1" applyAlignment="1" applyProtection="1">
      <alignment horizontal="center" vertical="center" wrapText="1"/>
      <protection locked="0"/>
    </xf>
    <xf numFmtId="0" fontId="40" fillId="0" borderId="61" xfId="0" applyFont="1" applyBorder="1" applyAlignment="1" applyProtection="1">
      <alignment vertical="center"/>
      <protection locked="0"/>
    </xf>
    <xf numFmtId="0" fontId="40" fillId="0" borderId="53" xfId="0" applyFont="1" applyBorder="1" applyAlignment="1">
      <alignment vertical="center" wrapText="1"/>
    </xf>
    <xf numFmtId="0" fontId="40" fillId="0" borderId="54" xfId="0" applyFont="1" applyBorder="1" applyAlignment="1">
      <alignment horizontal="center" vertical="center" wrapText="1"/>
    </xf>
    <xf numFmtId="167" fontId="40" fillId="13" borderId="54" xfId="0" applyNumberFormat="1" applyFont="1" applyFill="1" applyBorder="1" applyAlignment="1">
      <alignment horizontal="center" vertical="center"/>
    </xf>
    <xf numFmtId="167" fontId="40" fillId="13" borderId="55" xfId="0" applyNumberFormat="1" applyFont="1" applyFill="1" applyBorder="1" applyAlignment="1">
      <alignment horizontal="center" vertical="center" wrapText="1"/>
    </xf>
    <xf numFmtId="0" fontId="40" fillId="0" borderId="58" xfId="30" applyFont="1" applyBorder="1" applyAlignment="1">
      <alignment horizontal="center" vertical="center" wrapText="1"/>
    </xf>
    <xf numFmtId="0" fontId="95" fillId="0" borderId="0" xfId="37" applyFont="1" applyBorder="1" applyAlignment="1">
      <alignment vertical="center" wrapText="1"/>
    </xf>
    <xf numFmtId="0" fontId="40" fillId="12" borderId="64" xfId="0" applyFont="1" applyFill="1" applyBorder="1" applyAlignment="1" applyProtection="1">
      <alignment horizontal="center" vertical="center" wrapText="1"/>
      <protection locked="0"/>
    </xf>
    <xf numFmtId="0" fontId="40" fillId="0" borderId="46" xfId="30" applyFont="1" applyBorder="1" applyAlignment="1">
      <alignment horizontal="center" vertical="center" wrapText="1"/>
    </xf>
    <xf numFmtId="0" fontId="89" fillId="0" borderId="0" xfId="37" applyFont="1" applyBorder="1" applyAlignment="1">
      <alignment vertical="center" wrapText="1"/>
    </xf>
    <xf numFmtId="0" fontId="59" fillId="0" borderId="0" xfId="0" applyFont="1" applyAlignment="1">
      <alignment horizontal="center" vertical="center" wrapText="1"/>
    </xf>
    <xf numFmtId="167" fontId="45" fillId="17" borderId="51" xfId="0" applyNumberFormat="1" applyFont="1" applyFill="1" applyBorder="1" applyAlignment="1">
      <alignment horizontal="center" vertical="center" wrapText="1"/>
    </xf>
    <xf numFmtId="167" fontId="43" fillId="17" borderId="22" xfId="0" applyNumberFormat="1" applyFont="1" applyFill="1" applyBorder="1" applyAlignment="1">
      <alignment horizontal="center" vertical="center" wrapText="1"/>
    </xf>
    <xf numFmtId="167" fontId="45" fillId="12" borderId="22" xfId="0" applyNumberFormat="1" applyFont="1" applyFill="1" applyBorder="1" applyAlignment="1">
      <alignment horizontal="center" vertical="center"/>
    </xf>
    <xf numFmtId="167" fontId="45" fillId="13" borderId="54" xfId="0" applyNumberFormat="1" applyFont="1" applyFill="1" applyBorder="1" applyAlignment="1">
      <alignment horizontal="center" vertical="center"/>
    </xf>
    <xf numFmtId="0" fontId="48" fillId="0" borderId="0" xfId="37" applyFont="1" applyBorder="1" applyAlignment="1">
      <alignment vertical="center" wrapText="1"/>
    </xf>
    <xf numFmtId="167" fontId="40" fillId="13" borderId="63" xfId="0" applyNumberFormat="1" applyFont="1" applyFill="1" applyBorder="1" applyAlignment="1">
      <alignment horizontal="center" vertical="center" wrapText="1"/>
    </xf>
    <xf numFmtId="0" fontId="42" fillId="0" borderId="0" xfId="0" applyFont="1" applyAlignment="1">
      <alignment vertical="center" wrapText="1"/>
    </xf>
    <xf numFmtId="0" fontId="40" fillId="12" borderId="51" xfId="0" applyFont="1" applyFill="1" applyBorder="1" applyAlignment="1" applyProtection="1">
      <alignment horizontal="center" vertical="center" wrapText="1"/>
      <protection locked="0"/>
    </xf>
    <xf numFmtId="0" fontId="40" fillId="0" borderId="57" xfId="0" applyFont="1" applyBorder="1" applyAlignment="1" applyProtection="1">
      <alignment vertical="center"/>
      <protection locked="0"/>
    </xf>
    <xf numFmtId="0" fontId="39" fillId="10" borderId="54" xfId="0" applyFont="1" applyFill="1" applyBorder="1" applyAlignment="1">
      <alignment horizontal="center" vertical="center" wrapText="1"/>
    </xf>
    <xf numFmtId="0" fontId="52" fillId="5" borderId="0" xfId="0" applyFont="1" applyFill="1" applyAlignment="1">
      <alignment horizontal="center" vertical="center" wrapText="1"/>
    </xf>
    <xf numFmtId="0" fontId="52" fillId="5" borderId="0" xfId="0" applyFont="1" applyFill="1" applyAlignment="1">
      <alignment vertical="center"/>
    </xf>
    <xf numFmtId="0" fontId="42" fillId="0" borderId="0" xfId="37" applyFont="1" applyBorder="1" applyAlignment="1">
      <alignment vertical="center" wrapText="1"/>
    </xf>
    <xf numFmtId="0" fontId="60" fillId="0" borderId="0" xfId="0" applyFont="1" applyAlignment="1">
      <alignment horizontal="center" vertical="center" wrapText="1"/>
    </xf>
    <xf numFmtId="164" fontId="40" fillId="12" borderId="22" xfId="39" applyFont="1" applyFill="1" applyBorder="1" applyAlignment="1" applyProtection="1">
      <alignment horizontal="center" vertical="center" wrapText="1"/>
      <protection locked="0"/>
    </xf>
    <xf numFmtId="0" fontId="40" fillId="0" borderId="53" xfId="0" applyFont="1" applyBorder="1" applyAlignment="1">
      <alignment horizontal="left" vertical="center" wrapText="1"/>
    </xf>
    <xf numFmtId="167" fontId="40" fillId="0" borderId="0" xfId="0" applyNumberFormat="1" applyFont="1" applyAlignment="1">
      <alignment vertical="center"/>
    </xf>
    <xf numFmtId="0" fontId="94" fillId="0" borderId="0" xfId="0" applyFont="1" applyAlignment="1">
      <alignment vertical="center" wrapText="1"/>
    </xf>
    <xf numFmtId="0" fontId="40" fillId="0" borderId="0" xfId="0" applyFont="1" applyAlignment="1">
      <alignment horizontal="center" vertical="center" wrapText="1"/>
    </xf>
    <xf numFmtId="0" fontId="40" fillId="0" borderId="59" xfId="0" applyFont="1" applyBorder="1" applyAlignment="1">
      <alignment horizontal="left" vertical="center"/>
    </xf>
    <xf numFmtId="167" fontId="40" fillId="13" borderId="54" xfId="0" applyNumberFormat="1" applyFont="1" applyFill="1" applyBorder="1" applyAlignment="1">
      <alignment horizontal="center" vertical="center" wrapText="1"/>
    </xf>
    <xf numFmtId="0" fontId="87" fillId="0" borderId="0" xfId="0" applyFont="1" applyAlignment="1">
      <alignment vertical="center"/>
    </xf>
    <xf numFmtId="167" fontId="40" fillId="12" borderId="64" xfId="0" applyNumberFormat="1" applyFont="1" applyFill="1" applyBorder="1" applyAlignment="1" applyProtection="1">
      <alignment horizontal="center" vertical="center" wrapText="1"/>
      <protection locked="0"/>
    </xf>
    <xf numFmtId="0" fontId="40" fillId="0" borderId="46" xfId="0" applyFont="1" applyBorder="1" applyAlignment="1">
      <alignment horizontal="center" vertical="center" wrapText="1"/>
    </xf>
    <xf numFmtId="167" fontId="45" fillId="13" borderId="22" xfId="0" applyNumberFormat="1" applyFont="1" applyFill="1" applyBorder="1" applyAlignment="1">
      <alignment horizontal="center" vertical="center"/>
    </xf>
    <xf numFmtId="167" fontId="40" fillId="12" borderId="22" xfId="0" applyNumberFormat="1" applyFont="1" applyFill="1" applyBorder="1" applyAlignment="1" applyProtection="1">
      <alignment horizontal="center" vertical="center" wrapText="1"/>
      <protection locked="0"/>
    </xf>
    <xf numFmtId="0" fontId="43" fillId="0" borderId="11" xfId="0" applyFont="1" applyBorder="1" applyAlignment="1">
      <alignment vertical="center" wrapText="1"/>
    </xf>
    <xf numFmtId="167" fontId="40" fillId="12" borderId="51" xfId="0" applyNumberFormat="1" applyFont="1" applyFill="1" applyBorder="1" applyAlignment="1" applyProtection="1">
      <alignment horizontal="center" vertical="center" wrapText="1"/>
      <protection locked="0"/>
    </xf>
    <xf numFmtId="0" fontId="74" fillId="7" borderId="0" xfId="37" applyFont="1" applyFill="1" applyBorder="1" applyAlignment="1">
      <alignment vertical="center" wrapText="1"/>
    </xf>
    <xf numFmtId="168" fontId="40" fillId="12" borderId="22" xfId="39" applyNumberFormat="1" applyFont="1" applyFill="1" applyBorder="1" applyAlignment="1" applyProtection="1">
      <alignment horizontal="center" vertical="center" wrapText="1"/>
      <protection locked="0"/>
    </xf>
    <xf numFmtId="0" fontId="74" fillId="0" borderId="0" xfId="37" applyFont="1" applyFill="1" applyBorder="1" applyAlignment="1">
      <alignment vertical="center" wrapText="1"/>
    </xf>
    <xf numFmtId="0" fontId="70" fillId="0" borderId="0" xfId="3" applyFont="1" applyAlignment="1">
      <alignment vertical="center"/>
    </xf>
    <xf numFmtId="0" fontId="59" fillId="0" borderId="0" xfId="3" applyFont="1" applyAlignment="1">
      <alignment vertical="center"/>
    </xf>
    <xf numFmtId="0" fontId="40" fillId="7" borderId="0" xfId="0" applyFont="1" applyFill="1"/>
    <xf numFmtId="0" fontId="39" fillId="10" borderId="54" xfId="15" applyFont="1" applyFill="1" applyBorder="1" applyAlignment="1">
      <alignment horizontal="center" vertical="center" wrapText="1"/>
    </xf>
    <xf numFmtId="0" fontId="77" fillId="0" borderId="0" xfId="30" applyFont="1" applyFill="1" applyBorder="1" applyAlignment="1">
      <alignment horizontal="center" vertical="center"/>
    </xf>
    <xf numFmtId="0" fontId="80" fillId="0" borderId="0" xfId="36" applyFont="1"/>
    <xf numFmtId="0" fontId="43" fillId="0" borderId="0" xfId="3" applyFont="1" applyAlignment="1">
      <alignment vertical="center"/>
    </xf>
    <xf numFmtId="167" fontId="45" fillId="12" borderId="51" xfId="0" applyNumberFormat="1" applyFont="1" applyFill="1" applyBorder="1" applyAlignment="1" applyProtection="1">
      <alignment horizontal="center" vertical="center" wrapText="1"/>
      <protection locked="0"/>
    </xf>
    <xf numFmtId="167" fontId="45" fillId="12" borderId="22" xfId="0" applyNumberFormat="1" applyFont="1" applyFill="1" applyBorder="1" applyAlignment="1" applyProtection="1">
      <alignment horizontal="center" vertical="center" wrapText="1"/>
      <protection locked="0"/>
    </xf>
    <xf numFmtId="167" fontId="45" fillId="13" borderId="60" xfId="0" applyNumberFormat="1" applyFont="1" applyFill="1" applyBorder="1" applyAlignment="1">
      <alignment horizontal="center" vertical="center" wrapText="1"/>
    </xf>
    <xf numFmtId="0" fontId="45" fillId="0" borderId="0" xfId="3" applyFont="1" applyAlignment="1">
      <alignment vertical="center" wrapText="1"/>
    </xf>
    <xf numFmtId="167" fontId="43" fillId="0" borderId="0" xfId="3" applyNumberFormat="1" applyFont="1" applyAlignment="1">
      <alignment horizontal="center" vertical="center"/>
    </xf>
    <xf numFmtId="167" fontId="41" fillId="0" borderId="0" xfId="0" applyNumberFormat="1" applyFont="1" applyAlignment="1">
      <alignment horizontal="center" vertical="center" wrapText="1"/>
    </xf>
    <xf numFmtId="167" fontId="43" fillId="0" borderId="0" xfId="3" applyNumberFormat="1" applyFont="1" applyAlignment="1">
      <alignment vertical="center"/>
    </xf>
    <xf numFmtId="0" fontId="40" fillId="0" borderId="0" xfId="36" applyFont="1"/>
    <xf numFmtId="0" fontId="96" fillId="0" borderId="0" xfId="3" applyFont="1" applyAlignment="1">
      <alignment horizontal="center" vertical="center"/>
    </xf>
    <xf numFmtId="0" fontId="96" fillId="0" borderId="0" xfId="36" applyFont="1"/>
    <xf numFmtId="0" fontId="42" fillId="0" borderId="0" xfId="3" applyFont="1" applyAlignment="1">
      <alignment horizontal="left" vertical="center"/>
    </xf>
    <xf numFmtId="0" fontId="64" fillId="0" borderId="0" xfId="0" applyFont="1"/>
    <xf numFmtId="0" fontId="57" fillId="0" borderId="0" xfId="36" applyFont="1"/>
    <xf numFmtId="0" fontId="45" fillId="12" borderId="51" xfId="0" applyFont="1" applyFill="1" applyBorder="1" applyAlignment="1" applyProtection="1">
      <alignment horizontal="center" vertical="center" wrapText="1"/>
      <protection locked="0"/>
    </xf>
    <xf numFmtId="0" fontId="45" fillId="12" borderId="22" xfId="0" applyFont="1" applyFill="1" applyBorder="1" applyAlignment="1" applyProtection="1">
      <alignment horizontal="center" vertical="center" wrapText="1"/>
      <protection locked="0"/>
    </xf>
    <xf numFmtId="0" fontId="49" fillId="7" borderId="0" xfId="30" applyFont="1" applyFill="1" applyBorder="1" applyAlignment="1">
      <alignment vertical="center"/>
    </xf>
    <xf numFmtId="0" fontId="65" fillId="7" borderId="0" xfId="30" applyFont="1" applyFill="1" applyBorder="1" applyAlignment="1">
      <alignment vertical="center"/>
    </xf>
    <xf numFmtId="0" fontId="41" fillId="10" borderId="85" xfId="0" applyFont="1" applyFill="1" applyBorder="1" applyAlignment="1">
      <alignment horizontal="center" vertical="center" wrapText="1"/>
    </xf>
    <xf numFmtId="0" fontId="41" fillId="10" borderId="72" xfId="0" applyFont="1" applyFill="1" applyBorder="1" applyAlignment="1">
      <alignment horizontal="center" vertical="center" wrapText="1"/>
    </xf>
    <xf numFmtId="0" fontId="49" fillId="0" borderId="0" xfId="30" applyFont="1" applyFill="1" applyBorder="1" applyAlignment="1">
      <alignment horizontal="left" vertical="center" wrapText="1"/>
    </xf>
    <xf numFmtId="0" fontId="42" fillId="0" borderId="0" xfId="30" applyFont="1" applyFill="1" applyBorder="1" applyAlignment="1">
      <alignment horizontal="left" vertical="center" wrapText="1"/>
    </xf>
    <xf numFmtId="0" fontId="61" fillId="7" borderId="0" xfId="15" applyFont="1" applyFill="1" applyAlignment="1">
      <alignment vertical="center" wrapText="1"/>
    </xf>
    <xf numFmtId="0" fontId="61" fillId="0" borderId="0" xfId="15" applyFont="1" applyAlignment="1">
      <alignment vertical="center" wrapText="1"/>
    </xf>
    <xf numFmtId="0" fontId="43" fillId="0" borderId="73" xfId="0" applyFont="1" applyBorder="1" applyAlignment="1">
      <alignment vertical="center" wrapText="1"/>
    </xf>
    <xf numFmtId="0" fontId="43" fillId="0" borderId="74" xfId="0" applyFont="1" applyBorder="1" applyAlignment="1">
      <alignment horizontal="center" vertical="center" wrapText="1"/>
    </xf>
    <xf numFmtId="167" fontId="43" fillId="17" borderId="74" xfId="0" applyNumberFormat="1" applyFont="1" applyFill="1" applyBorder="1" applyAlignment="1">
      <alignment horizontal="center" vertical="center" wrapText="1"/>
    </xf>
    <xf numFmtId="0" fontId="43" fillId="10" borderId="75" xfId="0" applyFont="1" applyFill="1" applyBorder="1" applyAlignment="1">
      <alignment horizontal="center" vertical="center" wrapText="1"/>
    </xf>
    <xf numFmtId="0" fontId="43" fillId="0" borderId="79" xfId="30" applyFont="1" applyBorder="1" applyAlignment="1">
      <alignment horizontal="center" vertical="center" wrapText="1"/>
    </xf>
    <xf numFmtId="0" fontId="44" fillId="0" borderId="79" xfId="30" applyFont="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0" borderId="82" xfId="0" applyFont="1" applyBorder="1" applyAlignment="1">
      <alignment vertical="center" wrapText="1"/>
    </xf>
    <xf numFmtId="0" fontId="43" fillId="0" borderId="20" xfId="0" applyFont="1" applyBorder="1" applyAlignment="1">
      <alignment horizontal="center" vertical="center" wrapText="1"/>
    </xf>
    <xf numFmtId="2" fontId="43" fillId="13" borderId="20" xfId="0" applyNumberFormat="1" applyFont="1" applyFill="1" applyBorder="1" applyAlignment="1">
      <alignment horizontal="center" vertical="center" wrapText="1"/>
    </xf>
    <xf numFmtId="0" fontId="43" fillId="10" borderId="83" xfId="0" applyFont="1" applyFill="1" applyBorder="1" applyAlignment="1">
      <alignment horizontal="center" vertical="center" wrapText="1"/>
    </xf>
    <xf numFmtId="0" fontId="43" fillId="0" borderId="84" xfId="30" applyFont="1" applyBorder="1" applyAlignment="1">
      <alignment horizontal="center" vertical="center" wrapText="1"/>
    </xf>
    <xf numFmtId="0" fontId="44" fillId="0" borderId="84" xfId="30" applyFont="1" applyBorder="1" applyAlignment="1" applyProtection="1">
      <alignment horizontal="center" vertical="center" wrapText="1"/>
      <protection locked="0"/>
    </xf>
    <xf numFmtId="10" fontId="43" fillId="13" borderId="20" xfId="38" applyNumberFormat="1" applyFont="1" applyFill="1" applyBorder="1" applyAlignment="1">
      <alignment horizontal="center" vertical="center" wrapText="1"/>
    </xf>
    <xf numFmtId="10" fontId="43" fillId="10" borderId="83" xfId="38" applyNumberFormat="1" applyFont="1" applyFill="1" applyBorder="1" applyAlignment="1">
      <alignment horizontal="center" vertical="center" wrapText="1"/>
    </xf>
    <xf numFmtId="10" fontId="43" fillId="12" borderId="20" xfId="38" applyNumberFormat="1" applyFont="1" applyFill="1" applyBorder="1" applyAlignment="1" applyProtection="1">
      <alignment horizontal="center" vertical="center" wrapText="1"/>
      <protection locked="0"/>
    </xf>
    <xf numFmtId="10" fontId="43" fillId="17" borderId="20" xfId="38" applyNumberFormat="1" applyFont="1" applyFill="1" applyBorder="1" applyAlignment="1">
      <alignment horizontal="center" vertical="center" wrapText="1"/>
    </xf>
    <xf numFmtId="10" fontId="43" fillId="17" borderId="83" xfId="38" applyNumberFormat="1" applyFont="1" applyFill="1" applyBorder="1" applyAlignment="1">
      <alignment horizontal="center" vertical="center" wrapText="1"/>
    </xf>
    <xf numFmtId="0" fontId="89" fillId="0" borderId="0" xfId="30" applyFont="1" applyFill="1" applyBorder="1" applyAlignment="1">
      <alignment vertical="center" wrapText="1"/>
    </xf>
    <xf numFmtId="0" fontId="43" fillId="12" borderId="20" xfId="0" applyFont="1" applyFill="1" applyBorder="1" applyAlignment="1" applyProtection="1">
      <alignment horizontal="center" vertical="center" wrapText="1"/>
      <protection locked="0"/>
    </xf>
    <xf numFmtId="0" fontId="52" fillId="7" borderId="0" xfId="0" applyFont="1" applyFill="1" applyAlignment="1">
      <alignment vertical="center"/>
    </xf>
    <xf numFmtId="164" fontId="43" fillId="12" borderId="20" xfId="39" applyFont="1" applyFill="1" applyBorder="1" applyAlignment="1" applyProtection="1">
      <alignment horizontal="center" vertical="center" wrapText="1"/>
      <protection locked="0"/>
    </xf>
    <xf numFmtId="0" fontId="43" fillId="0" borderId="76" xfId="0" applyFont="1" applyBorder="1" applyAlignment="1">
      <alignment vertical="center" wrapText="1"/>
    </xf>
    <xf numFmtId="0" fontId="43" fillId="0" borderId="77" xfId="0" applyFont="1" applyBorder="1" applyAlignment="1">
      <alignment horizontal="center" vertical="center" wrapText="1"/>
    </xf>
    <xf numFmtId="2" fontId="43" fillId="13" borderId="77" xfId="0" applyNumberFormat="1" applyFont="1" applyFill="1" applyBorder="1" applyAlignment="1">
      <alignment horizontal="center" vertical="center" wrapText="1"/>
    </xf>
    <xf numFmtId="0" fontId="43" fillId="10" borderId="78" xfId="0" applyFont="1" applyFill="1" applyBorder="1" applyAlignment="1">
      <alignment horizontal="center" vertical="center" wrapText="1"/>
    </xf>
    <xf numFmtId="0" fontId="43" fillId="0" borderId="80" xfId="30" applyFont="1" applyBorder="1" applyAlignment="1">
      <alignment horizontal="center" vertical="center" wrapText="1"/>
    </xf>
    <xf numFmtId="0" fontId="44" fillId="0" borderId="80" xfId="30" applyFont="1" applyBorder="1" applyAlignment="1" applyProtection="1">
      <alignment horizontal="center" vertical="center" wrapText="1"/>
      <protection locked="0"/>
    </xf>
    <xf numFmtId="0" fontId="40" fillId="0" borderId="0" xfId="0" applyFont="1" applyAlignment="1" applyProtection="1">
      <alignment vertical="center"/>
      <protection locked="0"/>
    </xf>
    <xf numFmtId="0" fontId="42" fillId="0" borderId="0" xfId="30" applyFont="1" applyFill="1" applyBorder="1" applyAlignment="1">
      <alignment vertical="center" wrapText="1"/>
    </xf>
    <xf numFmtId="0" fontId="45" fillId="0" borderId="73" xfId="0" applyFont="1" applyBorder="1" applyAlignment="1">
      <alignment vertical="center" wrapText="1"/>
    </xf>
    <xf numFmtId="10" fontId="43" fillId="13" borderId="74" xfId="38" applyNumberFormat="1" applyFont="1" applyFill="1" applyBorder="1" applyAlignment="1">
      <alignment horizontal="center" vertical="center" wrapText="1"/>
    </xf>
    <xf numFmtId="0" fontId="45" fillId="10" borderId="75" xfId="0" applyFont="1" applyFill="1" applyBorder="1" applyAlignment="1">
      <alignment horizontal="center" vertical="center" wrapText="1"/>
    </xf>
    <xf numFmtId="0" fontId="45" fillId="0" borderId="82" xfId="0" applyFont="1" applyBorder="1" applyAlignment="1">
      <alignment vertical="center" wrapText="1"/>
    </xf>
    <xf numFmtId="0" fontId="45" fillId="10" borderId="83" xfId="0" applyFont="1" applyFill="1" applyBorder="1" applyAlignment="1">
      <alignment horizontal="center" vertical="center" wrapText="1"/>
    </xf>
    <xf numFmtId="0" fontId="45" fillId="0" borderId="76" xfId="0" applyFont="1" applyBorder="1" applyAlignment="1">
      <alignment vertical="center" wrapText="1"/>
    </xf>
    <xf numFmtId="10" fontId="43" fillId="12" borderId="77" xfId="38" applyNumberFormat="1" applyFont="1" applyFill="1" applyBorder="1" applyAlignment="1" applyProtection="1">
      <alignment horizontal="center" vertical="center" wrapText="1"/>
      <protection locked="0"/>
    </xf>
    <xf numFmtId="0" fontId="45" fillId="10" borderId="78" xfId="0" applyFont="1" applyFill="1" applyBorder="1" applyAlignment="1">
      <alignment horizontal="center" vertical="center" wrapText="1"/>
    </xf>
    <xf numFmtId="0" fontId="98" fillId="0" borderId="0" xfId="0" applyFont="1" applyAlignment="1">
      <alignment vertical="center"/>
    </xf>
    <xf numFmtId="0" fontId="87" fillId="0" borderId="0" xfId="0" applyFont="1"/>
    <xf numFmtId="0" fontId="73" fillId="0" borderId="0" xfId="15" applyFont="1" applyAlignment="1">
      <alignment horizontal="center" vertical="center"/>
    </xf>
    <xf numFmtId="0" fontId="43" fillId="5" borderId="0" xfId="15" applyFont="1" applyFill="1" applyAlignment="1">
      <alignment vertical="center"/>
    </xf>
    <xf numFmtId="0" fontId="43" fillId="5" borderId="0" xfId="15" applyFont="1" applyFill="1" applyAlignment="1">
      <alignment horizontal="center" vertical="center"/>
    </xf>
    <xf numFmtId="0" fontId="45" fillId="12" borderId="51" xfId="0" applyFont="1" applyFill="1" applyBorder="1" applyAlignment="1">
      <alignment vertical="center" wrapText="1"/>
    </xf>
    <xf numFmtId="0" fontId="45" fillId="13" borderId="51" xfId="0" applyFont="1" applyFill="1" applyBorder="1" applyAlignment="1" applyProtection="1">
      <alignment horizontal="center" vertical="center" wrapText="1"/>
      <protection locked="0"/>
    </xf>
    <xf numFmtId="0" fontId="45" fillId="12" borderId="52" xfId="0" applyFont="1" applyFill="1" applyBorder="1" applyAlignment="1" applyProtection="1">
      <alignment horizontal="center" vertical="center" wrapText="1"/>
      <protection locked="0"/>
    </xf>
    <xf numFmtId="0" fontId="99" fillId="0" borderId="0" xfId="30" applyFont="1" applyFill="1" applyBorder="1" applyAlignment="1">
      <alignment horizontal="center" vertical="center" wrapText="1"/>
    </xf>
    <xf numFmtId="0" fontId="45" fillId="12" borderId="22" xfId="0" applyFont="1" applyFill="1" applyBorder="1" applyAlignment="1">
      <alignment vertical="center" wrapText="1"/>
    </xf>
    <xf numFmtId="0" fontId="45" fillId="13" borderId="22" xfId="0" applyFont="1" applyFill="1" applyBorder="1" applyAlignment="1" applyProtection="1">
      <alignment horizontal="center" vertical="center" wrapText="1"/>
      <protection locked="0"/>
    </xf>
    <xf numFmtId="0" fontId="45" fillId="12" borderId="60" xfId="0" applyFont="1" applyFill="1" applyBorder="1" applyAlignment="1" applyProtection="1">
      <alignment horizontal="center" vertical="center" wrapText="1"/>
      <protection locked="0"/>
    </xf>
    <xf numFmtId="0" fontId="45" fillId="13" borderId="54" xfId="0" applyFont="1" applyFill="1" applyBorder="1" applyAlignment="1">
      <alignment vertical="center" wrapText="1"/>
    </xf>
    <xf numFmtId="2" fontId="43" fillId="10" borderId="54" xfId="0" applyNumberFormat="1" applyFont="1" applyFill="1" applyBorder="1" applyAlignment="1">
      <alignment vertical="center"/>
    </xf>
    <xf numFmtId="2" fontId="43" fillId="10" borderId="55" xfId="0" applyNumberFormat="1" applyFont="1" applyFill="1" applyBorder="1" applyAlignment="1">
      <alignment vertical="center"/>
    </xf>
    <xf numFmtId="0" fontId="100" fillId="0" borderId="0" xfId="0" applyFont="1" applyAlignment="1">
      <alignment horizontal="center" vertical="center" wrapText="1"/>
    </xf>
    <xf numFmtId="0" fontId="43" fillId="5" borderId="0" xfId="0" applyFont="1" applyFill="1" applyAlignment="1">
      <alignment vertical="center"/>
    </xf>
    <xf numFmtId="167" fontId="43" fillId="5" borderId="0" xfId="35" applyNumberFormat="1" applyFont="1" applyFill="1" applyAlignment="1">
      <alignment vertical="center"/>
    </xf>
    <xf numFmtId="167" fontId="43" fillId="5" borderId="0" xfId="0" applyNumberFormat="1" applyFont="1" applyFill="1" applyAlignment="1">
      <alignment vertical="center"/>
    </xf>
    <xf numFmtId="2" fontId="43" fillId="5" borderId="0" xfId="0" applyNumberFormat="1" applyFont="1" applyFill="1" applyAlignment="1">
      <alignment vertical="center"/>
    </xf>
    <xf numFmtId="2" fontId="43" fillId="10" borderId="51" xfId="0" applyNumberFormat="1" applyFont="1" applyFill="1" applyBorder="1" applyAlignment="1">
      <alignment vertical="center"/>
    </xf>
    <xf numFmtId="2" fontId="43" fillId="10" borderId="52" xfId="0" applyNumberFormat="1" applyFont="1" applyFill="1" applyBorder="1" applyAlignment="1">
      <alignment vertical="center"/>
    </xf>
    <xf numFmtId="2" fontId="43" fillId="10" borderId="22" xfId="0" applyNumberFormat="1" applyFont="1" applyFill="1" applyBorder="1" applyAlignment="1">
      <alignment vertical="center"/>
    </xf>
    <xf numFmtId="2" fontId="43" fillId="10" borderId="60" xfId="0" applyNumberFormat="1" applyFont="1" applyFill="1" applyBorder="1" applyAlignment="1">
      <alignment vertical="center"/>
    </xf>
    <xf numFmtId="167" fontId="43" fillId="5" borderId="0" xfId="2" applyNumberFormat="1" applyFont="1" applyFill="1" applyAlignment="1" applyProtection="1">
      <alignment horizontal="center" vertical="center"/>
      <protection locked="0"/>
    </xf>
    <xf numFmtId="0" fontId="45" fillId="12" borderId="64" xfId="0" applyFont="1" applyFill="1" applyBorder="1" applyAlignment="1" applyProtection="1">
      <alignment horizontal="center" vertical="center" wrapText="1"/>
      <protection locked="0"/>
    </xf>
    <xf numFmtId="0" fontId="45" fillId="13" borderId="64" xfId="0" applyFont="1" applyFill="1" applyBorder="1" applyAlignment="1" applyProtection="1">
      <alignment horizontal="center" vertical="center" wrapText="1"/>
      <protection locked="0"/>
    </xf>
    <xf numFmtId="2" fontId="43" fillId="10" borderId="64" xfId="0" applyNumberFormat="1" applyFont="1" applyFill="1" applyBorder="1" applyAlignment="1">
      <alignment vertical="center"/>
    </xf>
    <xf numFmtId="2" fontId="43" fillId="10" borderId="63" xfId="0" applyNumberFormat="1" applyFont="1" applyFill="1" applyBorder="1" applyAlignment="1">
      <alignment vertical="center"/>
    </xf>
    <xf numFmtId="0" fontId="48" fillId="0" borderId="46" xfId="0" applyFont="1" applyBorder="1" applyAlignment="1" applyProtection="1">
      <alignment vertical="center"/>
      <protection locked="0"/>
    </xf>
    <xf numFmtId="0" fontId="40" fillId="5" borderId="0" xfId="15" applyFont="1" applyFill="1" applyAlignment="1">
      <alignment vertical="center"/>
    </xf>
    <xf numFmtId="167" fontId="40" fillId="5" borderId="0" xfId="0" applyNumberFormat="1" applyFont="1" applyFill="1" applyAlignment="1">
      <alignment vertical="center"/>
    </xf>
    <xf numFmtId="0" fontId="45" fillId="13" borderId="64" xfId="0" applyFont="1" applyFill="1" applyBorder="1" applyAlignment="1">
      <alignment vertical="center" wrapText="1"/>
    </xf>
    <xf numFmtId="2" fontId="48" fillId="10" borderId="64" xfId="0" applyNumberFormat="1" applyFont="1" applyFill="1" applyBorder="1" applyAlignment="1">
      <alignment vertical="center"/>
    </xf>
    <xf numFmtId="2" fontId="48" fillId="10" borderId="63" xfId="0" applyNumberFormat="1" applyFont="1" applyFill="1" applyBorder="1" applyAlignment="1">
      <alignment vertical="center"/>
    </xf>
    <xf numFmtId="0" fontId="40" fillId="0" borderId="0" xfId="15" applyFont="1" applyAlignment="1">
      <alignment vertical="center" wrapText="1"/>
    </xf>
    <xf numFmtId="0" fontId="64" fillId="0" borderId="0" xfId="29" applyFont="1" applyFill="1" applyBorder="1" applyAlignment="1">
      <alignment horizontal="left" vertical="center" wrapText="1"/>
    </xf>
    <xf numFmtId="0" fontId="49" fillId="7" borderId="0" xfId="37" applyFont="1" applyFill="1" applyBorder="1" applyAlignment="1">
      <alignment vertical="center" wrapText="1"/>
    </xf>
    <xf numFmtId="0" fontId="48" fillId="6" borderId="0" xfId="0" applyFont="1" applyFill="1" applyAlignment="1">
      <alignment vertical="center"/>
    </xf>
    <xf numFmtId="0" fontId="49" fillId="0" borderId="0" xfId="37" applyFont="1" applyFill="1" applyBorder="1" applyAlignment="1">
      <alignment horizontal="center" vertical="center" wrapText="1"/>
    </xf>
    <xf numFmtId="0" fontId="42" fillId="7" borderId="0" xfId="37" applyFont="1" applyFill="1" applyBorder="1" applyAlignment="1">
      <alignment vertical="center" wrapText="1"/>
    </xf>
    <xf numFmtId="0" fontId="43" fillId="7" borderId="0" xfId="0" applyFont="1" applyFill="1" applyAlignment="1">
      <alignment vertical="center"/>
    </xf>
    <xf numFmtId="0" fontId="40" fillId="6" borderId="0" xfId="0" applyFont="1" applyFill="1" applyAlignment="1">
      <alignment vertical="center"/>
    </xf>
    <xf numFmtId="0" fontId="101" fillId="5" borderId="0" xfId="0" applyFont="1" applyFill="1" applyAlignment="1">
      <alignment horizontal="center" vertical="center" wrapText="1"/>
    </xf>
    <xf numFmtId="0" fontId="43" fillId="5" borderId="0" xfId="0" applyFont="1" applyFill="1" applyAlignment="1">
      <alignment horizontal="center" vertical="center" wrapText="1"/>
    </xf>
    <xf numFmtId="0" fontId="49" fillId="5" borderId="0" xfId="37" applyFont="1" applyFill="1" applyBorder="1" applyAlignment="1">
      <alignment horizontal="center" vertical="center" wrapText="1"/>
    </xf>
    <xf numFmtId="0" fontId="39" fillId="10" borderId="77" xfId="15" applyFont="1" applyFill="1" applyBorder="1" applyAlignment="1">
      <alignment horizontal="center" vertical="center" wrapText="1"/>
    </xf>
    <xf numFmtId="0" fontId="77" fillId="7" borderId="0" xfId="30" applyFont="1" applyFill="1" applyBorder="1" applyAlignment="1">
      <alignment horizontal="center" vertical="center"/>
    </xf>
    <xf numFmtId="0" fontId="42" fillId="5" borderId="0" xfId="0" applyFont="1" applyFill="1" applyAlignment="1">
      <alignment horizontal="center" vertical="center" wrapText="1"/>
    </xf>
    <xf numFmtId="0" fontId="43" fillId="5" borderId="0" xfId="0" applyFont="1" applyFill="1" applyAlignment="1">
      <alignment horizontal="center" vertical="center"/>
    </xf>
    <xf numFmtId="0" fontId="42" fillId="0" borderId="0" xfId="30" applyFont="1" applyBorder="1" applyAlignment="1">
      <alignment horizontal="center" vertical="center" wrapText="1"/>
    </xf>
    <xf numFmtId="0" fontId="42" fillId="0" borderId="0" xfId="30" applyFont="1" applyFill="1" applyBorder="1" applyAlignment="1">
      <alignment horizontal="center" vertical="center" wrapText="1"/>
    </xf>
    <xf numFmtId="0" fontId="45" fillId="12" borderId="74" xfId="0" applyFont="1" applyFill="1" applyBorder="1" applyAlignment="1" applyProtection="1">
      <alignment horizontal="center" vertical="center" wrapText="1"/>
      <protection locked="0"/>
    </xf>
    <xf numFmtId="167" fontId="45" fillId="13" borderId="75" xfId="0" applyNumberFormat="1" applyFont="1" applyFill="1" applyBorder="1" applyAlignment="1">
      <alignment horizontal="center" vertical="center" wrapText="1"/>
    </xf>
    <xf numFmtId="0" fontId="45" fillId="12" borderId="20" xfId="0" applyFont="1" applyFill="1" applyBorder="1" applyAlignment="1" applyProtection="1">
      <alignment horizontal="center" vertical="center" wrapText="1"/>
      <protection locked="0"/>
    </xf>
    <xf numFmtId="167" fontId="45" fillId="13" borderId="83" xfId="0" applyNumberFormat="1" applyFont="1" applyFill="1" applyBorder="1" applyAlignment="1">
      <alignment horizontal="center" vertical="center" wrapText="1"/>
    </xf>
    <xf numFmtId="0" fontId="45" fillId="12" borderId="77" xfId="0" applyFont="1" applyFill="1" applyBorder="1" applyAlignment="1" applyProtection="1">
      <alignment horizontal="center" vertical="center" wrapText="1"/>
      <protection locked="0"/>
    </xf>
    <xf numFmtId="167" fontId="45" fillId="13" borderId="78" xfId="0" applyNumberFormat="1" applyFont="1" applyFill="1" applyBorder="1" applyAlignment="1">
      <alignment horizontal="center" vertical="center" wrapText="1"/>
    </xf>
    <xf numFmtId="0" fontId="43" fillId="5" borderId="0" xfId="0" applyFont="1" applyFill="1" applyAlignment="1">
      <alignment vertical="center" wrapText="1"/>
    </xf>
    <xf numFmtId="0" fontId="95" fillId="0" borderId="0" xfId="30" applyFont="1" applyBorder="1" applyAlignment="1">
      <alignment horizontal="center" vertical="center" wrapText="1"/>
    </xf>
    <xf numFmtId="0" fontId="95" fillId="0" borderId="0" xfId="30" applyFont="1" applyFill="1" applyBorder="1" applyAlignment="1">
      <alignment horizontal="center" vertical="center" wrapText="1"/>
    </xf>
    <xf numFmtId="0" fontId="45" fillId="0" borderId="86" xfId="0" applyFont="1" applyBorder="1" applyAlignment="1">
      <alignment horizontal="center" vertical="center" wrapText="1"/>
    </xf>
    <xf numFmtId="167" fontId="45" fillId="13" borderId="86" xfId="0" applyNumberFormat="1" applyFont="1" applyFill="1" applyBorder="1" applyAlignment="1">
      <alignment horizontal="center" vertical="center" wrapText="1"/>
    </xf>
    <xf numFmtId="167" fontId="45" fillId="13" borderId="87" xfId="0" applyNumberFormat="1" applyFont="1" applyFill="1" applyBorder="1" applyAlignment="1">
      <alignment horizontal="center" vertical="center" wrapText="1"/>
    </xf>
    <xf numFmtId="0" fontId="44" fillId="0" borderId="72" xfId="30" applyFont="1" applyBorder="1" applyAlignment="1" applyProtection="1">
      <alignment horizontal="center" vertical="center" wrapText="1"/>
      <protection locked="0"/>
    </xf>
    <xf numFmtId="167" fontId="45" fillId="13" borderId="77" xfId="0" applyNumberFormat="1" applyFont="1" applyFill="1" applyBorder="1" applyAlignment="1">
      <alignment horizontal="center" vertical="center" wrapText="1"/>
    </xf>
    <xf numFmtId="0" fontId="45" fillId="12" borderId="86" xfId="0" applyFont="1" applyFill="1" applyBorder="1" applyAlignment="1" applyProtection="1">
      <alignment horizontal="center" vertical="center" wrapText="1"/>
      <protection locked="0"/>
    </xf>
    <xf numFmtId="0" fontId="59" fillId="7" borderId="0" xfId="0" applyFont="1" applyFill="1" applyAlignment="1">
      <alignment vertical="center"/>
    </xf>
    <xf numFmtId="0" fontId="35" fillId="6" borderId="0" xfId="0" applyFont="1" applyFill="1" applyAlignment="1">
      <alignment vertical="center"/>
    </xf>
    <xf numFmtId="0" fontId="42" fillId="0" borderId="0" xfId="37" applyFont="1" applyFill="1" applyBorder="1" applyAlignment="1">
      <alignment vertical="center" wrapText="1"/>
    </xf>
    <xf numFmtId="0" fontId="35" fillId="6" borderId="0" xfId="0" applyFont="1" applyFill="1" applyAlignment="1">
      <alignment horizontal="center" vertical="center"/>
    </xf>
    <xf numFmtId="0" fontId="64" fillId="5" borderId="0" xfId="29" applyFont="1" applyFill="1" applyBorder="1" applyAlignment="1">
      <alignment vertical="center" wrapText="1"/>
    </xf>
    <xf numFmtId="0" fontId="64" fillId="5" borderId="0" xfId="29" applyFont="1" applyFill="1" applyBorder="1" applyAlignment="1">
      <alignment horizontal="left" vertical="center" wrapText="1"/>
    </xf>
    <xf numFmtId="0" fontId="99" fillId="5" borderId="0" xfId="30" applyFont="1" applyFill="1" applyBorder="1" applyAlignment="1">
      <alignment horizontal="center" vertical="center" wrapText="1"/>
    </xf>
    <xf numFmtId="0" fontId="49" fillId="5" borderId="0" xfId="0" applyFont="1" applyFill="1" applyAlignment="1">
      <alignment horizontal="center" vertical="center" wrapText="1"/>
    </xf>
    <xf numFmtId="0" fontId="83" fillId="5" borderId="0" xfId="0" applyFont="1" applyFill="1" applyAlignment="1">
      <alignment horizontal="center" vertical="center" wrapText="1"/>
    </xf>
    <xf numFmtId="0" fontId="59" fillId="5" borderId="0" xfId="0" applyFont="1" applyFill="1" applyAlignment="1">
      <alignment horizontal="center" vertical="center" wrapText="1"/>
    </xf>
    <xf numFmtId="0" fontId="44" fillId="5" borderId="0" xfId="30" applyFont="1" applyFill="1" applyBorder="1" applyAlignment="1">
      <alignment horizontal="center" vertical="center" wrapText="1"/>
    </xf>
    <xf numFmtId="0" fontId="42" fillId="5" borderId="0" xfId="37" applyFont="1" applyFill="1" applyBorder="1" applyAlignment="1">
      <alignment vertical="center" wrapText="1"/>
    </xf>
    <xf numFmtId="0" fontId="95" fillId="5" borderId="0" xfId="30" applyFont="1" applyFill="1" applyBorder="1" applyAlignment="1">
      <alignment horizontal="center" vertical="center" wrapText="1"/>
    </xf>
    <xf numFmtId="0" fontId="74" fillId="0" borderId="0" xfId="30" applyFont="1" applyFill="1" applyBorder="1" applyAlignment="1">
      <alignment horizontal="center" vertical="center" wrapText="1"/>
    </xf>
    <xf numFmtId="0" fontId="42" fillId="5" borderId="0" xfId="30" applyFont="1" applyFill="1" applyBorder="1" applyAlignment="1">
      <alignment horizontal="center" vertical="center" wrapText="1"/>
    </xf>
    <xf numFmtId="0" fontId="43" fillId="5" borderId="0" xfId="30" applyFont="1" applyFill="1" applyBorder="1" applyAlignment="1">
      <alignment horizontal="left" vertical="center" wrapText="1"/>
    </xf>
    <xf numFmtId="0" fontId="41" fillId="5" borderId="0" xfId="0" applyFont="1" applyFill="1" applyAlignment="1">
      <alignment horizontal="left" vertical="center" wrapText="1"/>
    </xf>
    <xf numFmtId="0" fontId="44" fillId="5" borderId="0" xfId="30" applyFont="1" applyFill="1" applyBorder="1" applyAlignment="1">
      <alignment horizontal="left" vertical="center" wrapText="1"/>
    </xf>
    <xf numFmtId="0" fontId="45" fillId="5" borderId="0" xfId="0" applyFont="1" applyFill="1" applyAlignment="1">
      <alignment horizontal="center" vertical="center" wrapText="1"/>
    </xf>
    <xf numFmtId="0" fontId="44" fillId="0" borderId="57" xfId="30" applyFont="1" applyFill="1" applyBorder="1" applyAlignment="1">
      <alignment horizontal="center" vertical="center" wrapText="1"/>
    </xf>
    <xf numFmtId="0" fontId="44" fillId="0" borderId="61" xfId="30" applyFont="1" applyFill="1" applyBorder="1" applyAlignment="1">
      <alignment horizontal="center" vertical="center" wrapText="1"/>
    </xf>
    <xf numFmtId="0" fontId="45" fillId="12" borderId="54" xfId="0" applyFont="1" applyFill="1" applyBorder="1" applyAlignment="1" applyProtection="1">
      <alignment horizontal="center" vertical="center" wrapText="1"/>
      <protection locked="0"/>
    </xf>
    <xf numFmtId="0" fontId="44" fillId="0" borderId="58" xfId="30" applyFont="1" applyFill="1" applyBorder="1" applyAlignment="1">
      <alignment horizontal="center" vertical="center" wrapText="1"/>
    </xf>
    <xf numFmtId="0" fontId="74" fillId="5" borderId="0" xfId="30" applyFont="1" applyFill="1" applyBorder="1" applyAlignment="1">
      <alignment horizontal="center" vertical="center" wrapText="1"/>
    </xf>
    <xf numFmtId="0" fontId="71" fillId="5" borderId="0" xfId="30" applyFont="1" applyFill="1" applyBorder="1" applyAlignment="1">
      <alignment horizontal="left" vertical="center" wrapText="1"/>
    </xf>
    <xf numFmtId="0" fontId="43" fillId="5" borderId="0" xfId="37" applyFont="1" applyFill="1" applyBorder="1" applyAlignment="1">
      <alignment horizontal="left" vertical="center" wrapText="1"/>
    </xf>
    <xf numFmtId="0" fontId="69" fillId="5" borderId="0" xfId="0" applyFont="1" applyFill="1" applyAlignment="1">
      <alignment horizontal="center" vertical="center" wrapText="1"/>
    </xf>
    <xf numFmtId="0" fontId="44" fillId="0" borderId="46" xfId="30" applyFont="1" applyFill="1" applyBorder="1" applyAlignment="1">
      <alignment horizontal="center" vertical="center" wrapText="1"/>
    </xf>
    <xf numFmtId="0" fontId="45" fillId="5" borderId="0" xfId="0" applyFont="1" applyFill="1" applyAlignment="1">
      <alignment horizontal="left" vertical="center" wrapText="1"/>
    </xf>
    <xf numFmtId="0" fontId="43" fillId="0" borderId="0" xfId="37" applyFont="1" applyFill="1" applyBorder="1" applyAlignment="1">
      <alignment horizontal="left" vertical="center" wrapText="1"/>
    </xf>
    <xf numFmtId="0" fontId="44" fillId="0" borderId="0" xfId="37" applyFont="1" applyFill="1" applyBorder="1" applyAlignment="1">
      <alignment horizontal="left" vertical="center" wrapText="1"/>
    </xf>
    <xf numFmtId="0" fontId="64" fillId="0" borderId="0" xfId="0" applyFont="1" applyAlignment="1">
      <alignment vertical="top" wrapText="1"/>
    </xf>
    <xf numFmtId="0" fontId="102" fillId="0" borderId="0" xfId="0" applyFont="1"/>
    <xf numFmtId="0" fontId="48" fillId="10" borderId="0" xfId="0" applyFont="1" applyFill="1" applyAlignment="1">
      <alignment vertical="center"/>
    </xf>
    <xf numFmtId="0" fontId="35" fillId="0" borderId="0" xfId="0" applyFont="1" applyAlignment="1">
      <alignment vertical="top" wrapText="1"/>
    </xf>
    <xf numFmtId="0" fontId="101" fillId="0" borderId="0" xfId="0" applyFont="1" applyAlignment="1">
      <alignment horizontal="center" vertical="center" wrapText="1"/>
    </xf>
    <xf numFmtId="0" fontId="40" fillId="10" borderId="0" xfId="0" applyFont="1" applyFill="1" applyAlignment="1">
      <alignment vertical="center"/>
    </xf>
    <xf numFmtId="0" fontId="39" fillId="10" borderId="55" xfId="0" applyFont="1" applyFill="1" applyBorder="1" applyAlignment="1">
      <alignment horizontal="center" vertical="center" wrapText="1"/>
    </xf>
    <xf numFmtId="0" fontId="40" fillId="0" borderId="0" xfId="0" applyFont="1" applyAlignment="1">
      <alignment wrapText="1"/>
    </xf>
    <xf numFmtId="0" fontId="43" fillId="5" borderId="0" xfId="0" applyFont="1" applyFill="1" applyAlignment="1">
      <alignment horizontal="center" vertical="top" wrapText="1"/>
    </xf>
    <xf numFmtId="0" fontId="41" fillId="10" borderId="56" xfId="0" applyFont="1" applyFill="1" applyBorder="1" applyAlignment="1">
      <alignment horizontal="left" vertical="top" wrapText="1"/>
    </xf>
    <xf numFmtId="0" fontId="45" fillId="0" borderId="50" xfId="0" applyFont="1" applyBorder="1" applyAlignment="1">
      <alignment horizontal="left" vertical="top" wrapText="1"/>
    </xf>
    <xf numFmtId="0" fontId="45" fillId="0" borderId="51" xfId="0" applyFont="1" applyBorder="1" applyAlignment="1">
      <alignment horizontal="left" vertical="center" wrapText="1"/>
    </xf>
    <xf numFmtId="0" fontId="43" fillId="10" borderId="51" xfId="0" applyFont="1" applyFill="1" applyBorder="1" applyAlignment="1">
      <alignment horizontal="center" vertical="center" wrapText="1"/>
    </xf>
    <xf numFmtId="0" fontId="45" fillId="10" borderId="52" xfId="0" applyFont="1" applyFill="1" applyBorder="1" applyAlignment="1">
      <alignment horizontal="center" vertical="center" wrapText="1"/>
    </xf>
    <xf numFmtId="0" fontId="47" fillId="0" borderId="57" xfId="0" applyFont="1" applyBorder="1" applyAlignment="1">
      <alignment horizontal="center" vertical="center"/>
    </xf>
    <xf numFmtId="0" fontId="45" fillId="0" borderId="59" xfId="0" applyFont="1" applyBorder="1" applyAlignment="1">
      <alignment horizontal="left" vertical="top" wrapText="1"/>
    </xf>
    <xf numFmtId="0" fontId="43" fillId="10" borderId="22" xfId="0" applyFont="1" applyFill="1" applyBorder="1" applyAlignment="1">
      <alignment horizontal="center" vertical="center" wrapText="1"/>
    </xf>
    <xf numFmtId="0" fontId="45" fillId="10" borderId="22" xfId="0" applyFont="1" applyFill="1" applyBorder="1" applyAlignment="1">
      <alignment horizontal="center" vertical="center" wrapText="1"/>
    </xf>
    <xf numFmtId="0" fontId="45" fillId="10" borderId="60" xfId="0" applyFont="1" applyFill="1" applyBorder="1" applyAlignment="1">
      <alignment horizontal="center" vertical="center" wrapText="1"/>
    </xf>
    <xf numFmtId="0" fontId="47" fillId="0" borderId="61" xfId="0" applyFont="1" applyBorder="1" applyAlignment="1">
      <alignment horizontal="center" vertical="center"/>
    </xf>
    <xf numFmtId="0" fontId="45" fillId="12" borderId="22" xfId="0" applyFont="1" applyFill="1" applyBorder="1" applyAlignment="1">
      <alignment horizontal="center" vertical="center" wrapText="1"/>
    </xf>
    <xf numFmtId="0" fontId="45" fillId="12" borderId="60" xfId="0" applyFont="1" applyFill="1" applyBorder="1" applyAlignment="1">
      <alignment horizontal="center" vertical="center" wrapText="1"/>
    </xf>
    <xf numFmtId="0" fontId="40" fillId="10" borderId="22" xfId="0" applyFont="1" applyFill="1" applyBorder="1" applyAlignment="1">
      <alignment vertical="center"/>
    </xf>
    <xf numFmtId="0" fontId="40" fillId="10" borderId="60" xfId="0" applyFont="1" applyFill="1" applyBorder="1" applyAlignment="1">
      <alignment vertical="center"/>
    </xf>
    <xf numFmtId="0" fontId="43" fillId="10" borderId="22" xfId="0" applyFont="1" applyFill="1" applyBorder="1" applyAlignment="1">
      <alignment vertical="center"/>
    </xf>
    <xf numFmtId="0" fontId="90" fillId="10" borderId="22" xfId="0" applyFont="1" applyFill="1" applyBorder="1" applyAlignment="1">
      <alignment horizontal="center" vertical="center" wrapText="1"/>
    </xf>
    <xf numFmtId="0" fontId="90" fillId="10" borderId="60" xfId="0" applyFont="1" applyFill="1" applyBorder="1" applyAlignment="1">
      <alignment horizontal="center" vertical="center" wrapText="1"/>
    </xf>
    <xf numFmtId="0" fontId="52" fillId="10" borderId="22" xfId="0" applyFont="1" applyFill="1" applyBorder="1" applyAlignment="1">
      <alignment vertical="center"/>
    </xf>
    <xf numFmtId="0" fontId="45" fillId="0" borderId="53" xfId="0" applyFont="1" applyBorder="1" applyAlignment="1">
      <alignment horizontal="left" vertical="top" wrapText="1"/>
    </xf>
    <xf numFmtId="0" fontId="45" fillId="0" borderId="54" xfId="0" applyFont="1" applyBorder="1" applyAlignment="1">
      <alignment horizontal="left" vertical="center" wrapText="1"/>
    </xf>
    <xf numFmtId="0" fontId="40" fillId="10" borderId="54" xfId="0" applyFont="1" applyFill="1" applyBorder="1" applyAlignment="1">
      <alignment vertical="center"/>
    </xf>
    <xf numFmtId="0" fontId="52" fillId="10" borderId="54" xfId="0" applyFont="1" applyFill="1" applyBorder="1" applyAlignment="1">
      <alignment vertical="center"/>
    </xf>
    <xf numFmtId="167" fontId="43" fillId="13" borderId="54" xfId="0" applyNumberFormat="1" applyFont="1" applyFill="1" applyBorder="1" applyAlignment="1">
      <alignment horizontal="center" vertical="center"/>
    </xf>
    <xf numFmtId="0" fontId="47" fillId="0" borderId="58" xfId="0" applyFont="1" applyBorder="1" applyAlignment="1">
      <alignment horizontal="center" vertical="center"/>
    </xf>
    <xf numFmtId="0" fontId="40" fillId="0" borderId="0" xfId="0" applyFont="1" applyAlignment="1">
      <alignment vertical="top" wrapText="1"/>
    </xf>
    <xf numFmtId="0" fontId="90" fillId="5" borderId="0" xfId="0" applyFont="1" applyFill="1" applyAlignment="1">
      <alignment horizontal="center" vertical="center" wrapText="1"/>
    </xf>
    <xf numFmtId="0" fontId="52" fillId="10" borderId="51" xfId="0" applyFont="1" applyFill="1" applyBorder="1" applyAlignment="1">
      <alignment vertical="center"/>
    </xf>
    <xf numFmtId="0" fontId="90" fillId="10" borderId="52" xfId="0" applyFont="1" applyFill="1" applyBorder="1" applyAlignment="1">
      <alignment horizontal="center" vertical="center" wrapText="1"/>
    </xf>
    <xf numFmtId="0" fontId="43" fillId="10" borderId="60" xfId="0" applyFont="1" applyFill="1" applyBorder="1" applyAlignment="1">
      <alignment vertical="center"/>
    </xf>
    <xf numFmtId="0" fontId="52" fillId="10" borderId="60" xfId="0" applyFont="1" applyFill="1" applyBorder="1" applyAlignment="1">
      <alignment vertical="center"/>
    </xf>
    <xf numFmtId="172" fontId="45" fillId="7" borderId="51" xfId="0" applyNumberFormat="1" applyFont="1" applyFill="1" applyBorder="1" applyAlignment="1" applyProtection="1">
      <alignment horizontal="center" vertical="center" wrapText="1"/>
      <protection locked="0"/>
    </xf>
    <xf numFmtId="0" fontId="42" fillId="10" borderId="51" xfId="0" applyFont="1" applyFill="1" applyBorder="1" applyAlignment="1">
      <alignment vertical="center" wrapText="1"/>
    </xf>
    <xf numFmtId="0" fontId="43" fillId="10" borderId="51" xfId="0" applyFont="1" applyFill="1" applyBorder="1" applyAlignment="1">
      <alignment vertical="center"/>
    </xf>
    <xf numFmtId="0" fontId="52" fillId="10" borderId="52" xfId="0" applyFont="1" applyFill="1" applyBorder="1" applyAlignment="1">
      <alignment vertical="center"/>
    </xf>
    <xf numFmtId="172" fontId="45" fillId="7" borderId="22" xfId="0" applyNumberFormat="1" applyFont="1" applyFill="1" applyBorder="1" applyAlignment="1" applyProtection="1">
      <alignment horizontal="center" vertical="center" wrapText="1"/>
      <protection locked="0"/>
    </xf>
    <xf numFmtId="167" fontId="45" fillId="7" borderId="22" xfId="0" applyNumberFormat="1" applyFont="1" applyFill="1" applyBorder="1" applyAlignment="1">
      <alignment horizontal="center" vertical="center" wrapText="1"/>
    </xf>
    <xf numFmtId="0" fontId="43" fillId="0" borderId="59" xfId="0" applyFont="1" applyBorder="1" applyAlignment="1">
      <alignment horizontal="left" vertical="top" wrapText="1"/>
    </xf>
    <xf numFmtId="167" fontId="45" fillId="7" borderId="54" xfId="0" applyNumberFormat="1" applyFont="1" applyFill="1" applyBorder="1" applyAlignment="1">
      <alignment horizontal="center" vertical="center" wrapText="1"/>
    </xf>
    <xf numFmtId="167" fontId="45" fillId="21" borderId="54" xfId="0" applyNumberFormat="1" applyFont="1" applyFill="1" applyBorder="1" applyAlignment="1">
      <alignment horizontal="center" vertical="center" wrapText="1"/>
    </xf>
    <xf numFmtId="167" fontId="45" fillId="21" borderId="55" xfId="0" applyNumberFormat="1" applyFont="1" applyFill="1" applyBorder="1" applyAlignment="1">
      <alignment horizontal="center" vertical="center" wrapText="1"/>
    </xf>
    <xf numFmtId="0" fontId="45" fillId="0" borderId="59" xfId="0" applyFont="1" applyBorder="1" applyAlignment="1" applyProtection="1">
      <alignment horizontal="left" vertical="top" wrapText="1"/>
      <protection locked="0"/>
    </xf>
    <xf numFmtId="0" fontId="48" fillId="5" borderId="0" xfId="0" applyFont="1" applyFill="1" applyAlignment="1">
      <alignment vertical="center"/>
    </xf>
    <xf numFmtId="173" fontId="49" fillId="0" borderId="0" xfId="39" applyNumberFormat="1" applyFont="1" applyBorder="1" applyAlignment="1">
      <alignment horizontal="left" vertical="center" wrapText="1"/>
    </xf>
    <xf numFmtId="0" fontId="49" fillId="10" borderId="0" xfId="30" applyFont="1" applyFill="1" applyBorder="1" applyAlignment="1">
      <alignment vertical="center" wrapText="1"/>
    </xf>
    <xf numFmtId="173" fontId="101" fillId="0" borderId="0" xfId="39" applyNumberFormat="1" applyFont="1" applyBorder="1" applyAlignment="1">
      <alignment horizontal="center" vertical="center" wrapText="1"/>
    </xf>
    <xf numFmtId="0" fontId="42" fillId="10" borderId="0" xfId="30" applyFont="1" applyFill="1" applyBorder="1" applyAlignment="1">
      <alignment vertical="center" wrapText="1"/>
    </xf>
    <xf numFmtId="172" fontId="39" fillId="10" borderId="54" xfId="39" applyNumberFormat="1" applyFont="1" applyFill="1" applyBorder="1" applyAlignment="1" applyProtection="1">
      <alignment horizontal="center" vertical="center" wrapText="1"/>
    </xf>
    <xf numFmtId="172" fontId="39" fillId="10" borderId="55" xfId="39" applyNumberFormat="1" applyFont="1" applyFill="1" applyBorder="1" applyAlignment="1" applyProtection="1">
      <alignment horizontal="center" vertical="center" wrapText="1"/>
    </xf>
    <xf numFmtId="0" fontId="52" fillId="5" borderId="0" xfId="0" applyFont="1" applyFill="1" applyAlignment="1">
      <alignment vertical="center" wrapText="1"/>
    </xf>
    <xf numFmtId="0" fontId="103" fillId="10" borderId="0" xfId="0" applyFont="1" applyFill="1" applyAlignment="1">
      <alignment vertical="center" wrapText="1"/>
    </xf>
    <xf numFmtId="172" fontId="43" fillId="5" borderId="0" xfId="39" applyNumberFormat="1" applyFont="1" applyFill="1" applyBorder="1" applyAlignment="1">
      <alignment horizontal="center" vertical="center" wrapText="1"/>
    </xf>
    <xf numFmtId="0" fontId="104" fillId="0" borderId="0" xfId="30" applyFont="1" applyBorder="1" applyAlignment="1">
      <alignment vertical="center" wrapText="1"/>
    </xf>
    <xf numFmtId="0" fontId="104" fillId="10" borderId="0" xfId="30" applyFont="1" applyFill="1" applyBorder="1" applyAlignment="1">
      <alignment vertical="center" wrapText="1"/>
    </xf>
    <xf numFmtId="0" fontId="52" fillId="10" borderId="0" xfId="0" applyFont="1" applyFill="1" applyAlignment="1">
      <alignment vertical="center"/>
    </xf>
    <xf numFmtId="172" fontId="45" fillId="12" borderId="60" xfId="39" applyNumberFormat="1" applyFont="1" applyFill="1" applyBorder="1" applyAlignment="1">
      <alignment horizontal="center" vertical="center" wrapText="1"/>
    </xf>
    <xf numFmtId="0" fontId="104" fillId="5" borderId="0" xfId="30" applyFont="1" applyFill="1" applyBorder="1" applyAlignment="1">
      <alignment vertical="center" wrapText="1"/>
    </xf>
    <xf numFmtId="172" fontId="40" fillId="0" borderId="0" xfId="39" applyNumberFormat="1" applyFont="1" applyBorder="1" applyAlignment="1">
      <alignment vertical="center"/>
    </xf>
    <xf numFmtId="173" fontId="40" fillId="0" borderId="0" xfId="39" applyNumberFormat="1" applyFont="1" applyBorder="1" applyAlignment="1">
      <alignment vertical="center"/>
    </xf>
    <xf numFmtId="0" fontId="64" fillId="0" borderId="0" xfId="0" applyFont="1" applyAlignment="1">
      <alignment vertical="center"/>
    </xf>
    <xf numFmtId="0" fontId="39" fillId="10" borderId="55" xfId="0" applyFont="1" applyFill="1" applyBorder="1" applyAlignment="1">
      <alignment horizontal="center" vertical="center"/>
    </xf>
    <xf numFmtId="0" fontId="48" fillId="19" borderId="0" xfId="0" applyFont="1" applyFill="1" applyAlignment="1">
      <alignment vertical="center"/>
    </xf>
    <xf numFmtId="0" fontId="40" fillId="19" borderId="0" xfId="0" applyFont="1" applyFill="1" applyAlignment="1">
      <alignment vertical="center"/>
    </xf>
    <xf numFmtId="0" fontId="103" fillId="19" borderId="0" xfId="0" applyFont="1" applyFill="1" applyAlignment="1">
      <alignment vertical="center" wrapText="1"/>
    </xf>
    <xf numFmtId="0" fontId="103" fillId="5" borderId="0" xfId="0" applyFont="1" applyFill="1" applyAlignment="1">
      <alignment vertical="center" wrapText="1"/>
    </xf>
    <xf numFmtId="0" fontId="105" fillId="18" borderId="46" xfId="0" applyFont="1" applyFill="1" applyBorder="1" applyAlignment="1">
      <alignment vertical="center" wrapText="1"/>
    </xf>
    <xf numFmtId="0" fontId="105" fillId="18" borderId="56" xfId="0" applyFont="1" applyFill="1" applyBorder="1" applyAlignment="1">
      <alignment vertical="center" wrapText="1"/>
    </xf>
    <xf numFmtId="167" fontId="45" fillId="13" borderId="64"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2" fillId="0" borderId="0" xfId="0" applyFont="1" applyAlignment="1">
      <alignment horizontal="left" vertical="center" wrapText="1"/>
    </xf>
    <xf numFmtId="0" fontId="45" fillId="13" borderId="52" xfId="0" applyFont="1" applyFill="1" applyBorder="1" applyAlignment="1">
      <alignment horizontal="center" vertical="center" wrapText="1"/>
    </xf>
    <xf numFmtId="0" fontId="43" fillId="0" borderId="57" xfId="0" applyFont="1" applyBorder="1" applyAlignment="1" applyProtection="1">
      <alignment vertical="center"/>
      <protection locked="0"/>
    </xf>
    <xf numFmtId="0" fontId="45" fillId="13" borderId="60" xfId="0" applyFont="1" applyFill="1" applyBorder="1" applyAlignment="1">
      <alignment horizontal="center" vertical="center" wrapText="1"/>
    </xf>
    <xf numFmtId="0" fontId="43" fillId="0" borderId="61" xfId="0" applyFont="1" applyBorder="1" applyAlignment="1" applyProtection="1">
      <alignment vertical="center" wrapText="1"/>
      <protection locked="0"/>
    </xf>
    <xf numFmtId="0" fontId="45" fillId="13" borderId="54" xfId="0" applyFont="1" applyFill="1" applyBorder="1" applyAlignment="1">
      <alignment horizontal="center" vertical="center" wrapText="1"/>
    </xf>
    <xf numFmtId="0" fontId="45" fillId="13" borderId="55" xfId="0" applyFont="1" applyFill="1" applyBorder="1" applyAlignment="1">
      <alignment horizontal="center" vertical="center" wrapText="1"/>
    </xf>
    <xf numFmtId="0" fontId="43" fillId="0" borderId="58" xfId="0" applyFont="1" applyBorder="1" applyAlignment="1" applyProtection="1">
      <alignment vertical="center"/>
      <protection locked="0"/>
    </xf>
    <xf numFmtId="0" fontId="85" fillId="0" borderId="0" xfId="0" applyFont="1" applyAlignment="1">
      <alignment wrapText="1"/>
    </xf>
    <xf numFmtId="0" fontId="85" fillId="0" borderId="0" xfId="0" applyFont="1"/>
    <xf numFmtId="0" fontId="43" fillId="0" borderId="0" xfId="0" applyFont="1" applyAlignment="1">
      <alignment horizontal="center" wrapText="1"/>
    </xf>
    <xf numFmtId="0" fontId="43" fillId="10" borderId="64" xfId="0" applyFont="1" applyFill="1" applyBorder="1" applyAlignment="1">
      <alignment horizontal="center" wrapText="1"/>
    </xf>
    <xf numFmtId="0" fontId="43" fillId="10" borderId="63" xfId="0" applyFont="1" applyFill="1" applyBorder="1" applyAlignment="1">
      <alignment horizontal="center" wrapText="1"/>
    </xf>
    <xf numFmtId="0" fontId="40" fillId="0" borderId="0" xfId="0" applyFont="1" applyAlignment="1">
      <alignment vertical="top"/>
    </xf>
    <xf numFmtId="0" fontId="43" fillId="7" borderId="0" xfId="0" applyFont="1" applyFill="1"/>
    <xf numFmtId="0" fontId="85" fillId="5" borderId="0" xfId="0" applyFont="1" applyFill="1" applyAlignment="1">
      <alignment wrapText="1"/>
    </xf>
    <xf numFmtId="0" fontId="85" fillId="5" borderId="0" xfId="0" applyFont="1" applyFill="1"/>
    <xf numFmtId="0" fontId="43" fillId="0" borderId="0" xfId="0" applyFont="1" applyAlignment="1">
      <alignment vertical="top"/>
    </xf>
    <xf numFmtId="0" fontId="43" fillId="7" borderId="0" xfId="0" applyFont="1" applyFill="1" applyAlignment="1">
      <alignment vertical="top"/>
    </xf>
    <xf numFmtId="0" fontId="43" fillId="0" borderId="57" xfId="0" applyFont="1" applyBorder="1" applyAlignment="1" applyProtection="1">
      <alignment vertical="top"/>
      <protection locked="0"/>
    </xf>
    <xf numFmtId="0" fontId="43" fillId="0" borderId="61" xfId="0" applyFont="1" applyBorder="1" applyAlignment="1" applyProtection="1">
      <alignment vertical="center"/>
      <protection locked="0"/>
    </xf>
    <xf numFmtId="0" fontId="45" fillId="13" borderId="22" xfId="0" applyFont="1" applyFill="1" applyBorder="1" applyAlignment="1">
      <alignment horizontal="center" vertical="center" wrapText="1"/>
    </xf>
    <xf numFmtId="0" fontId="43" fillId="10" borderId="64" xfId="0" applyFont="1" applyFill="1" applyBorder="1" applyAlignment="1">
      <alignment vertical="center"/>
    </xf>
    <xf numFmtId="0" fontId="43" fillId="10" borderId="63" xfId="0" applyFont="1" applyFill="1" applyBorder="1" applyAlignment="1">
      <alignment vertical="center"/>
    </xf>
    <xf numFmtId="0" fontId="43" fillId="0" borderId="46" xfId="0" applyFont="1" applyBorder="1" applyAlignment="1" applyProtection="1">
      <alignment vertical="center"/>
      <protection locked="0"/>
    </xf>
    <xf numFmtId="1" fontId="45" fillId="12" borderId="51" xfId="0" applyNumberFormat="1" applyFont="1" applyFill="1" applyBorder="1" applyAlignment="1" applyProtection="1">
      <alignment horizontal="center" vertical="center" wrapText="1"/>
      <protection locked="0"/>
    </xf>
    <xf numFmtId="0" fontId="43" fillId="10" borderId="51" xfId="0" applyFont="1" applyFill="1" applyBorder="1" applyAlignment="1">
      <alignment horizontal="center" vertical="center"/>
    </xf>
    <xf numFmtId="0" fontId="43" fillId="10" borderId="52" xfId="0" applyFont="1" applyFill="1" applyBorder="1" applyAlignment="1">
      <alignment vertical="center"/>
    </xf>
    <xf numFmtId="1" fontId="45" fillId="12" borderId="54" xfId="0" applyNumberFormat="1" applyFont="1" applyFill="1" applyBorder="1" applyAlignment="1" applyProtection="1">
      <alignment horizontal="center" vertical="center" wrapText="1"/>
      <protection locked="0"/>
    </xf>
    <xf numFmtId="0" fontId="43" fillId="10" borderId="54" xfId="0" applyFont="1" applyFill="1" applyBorder="1" applyAlignment="1">
      <alignment horizontal="center" vertical="center"/>
    </xf>
    <xf numFmtId="0" fontId="43" fillId="10" borderId="55" xfId="0" applyFont="1" applyFill="1" applyBorder="1" applyAlignment="1">
      <alignment vertical="center"/>
    </xf>
    <xf numFmtId="0" fontId="43" fillId="10" borderId="0" xfId="0" applyFont="1" applyFill="1" applyAlignment="1">
      <alignment vertical="center"/>
    </xf>
    <xf numFmtId="167" fontId="43" fillId="13" borderId="51" xfId="0" applyNumberFormat="1" applyFont="1" applyFill="1" applyBorder="1" applyAlignment="1">
      <alignment horizontal="center" vertical="center" wrapText="1"/>
    </xf>
    <xf numFmtId="0" fontId="43" fillId="10" borderId="0" xfId="0" applyFont="1" applyFill="1"/>
    <xf numFmtId="167" fontId="43" fillId="13" borderId="52" xfId="0" applyNumberFormat="1" applyFont="1" applyFill="1" applyBorder="1" applyAlignment="1">
      <alignment horizontal="center" vertical="center" wrapText="1"/>
    </xf>
    <xf numFmtId="167" fontId="106" fillId="7" borderId="22" xfId="0" applyNumberFormat="1" applyFont="1" applyFill="1" applyBorder="1" applyAlignment="1">
      <alignment horizontal="center" vertical="center" wrapText="1"/>
    </xf>
    <xf numFmtId="167" fontId="106" fillId="7" borderId="22" xfId="0" applyNumberFormat="1" applyFont="1" applyFill="1" applyBorder="1" applyAlignment="1">
      <alignment horizontal="center" wrapText="1"/>
    </xf>
    <xf numFmtId="167" fontId="43" fillId="13" borderId="60" xfId="0" applyNumberFormat="1" applyFont="1" applyFill="1" applyBorder="1" applyAlignment="1" applyProtection="1">
      <alignment horizontal="center" vertical="center" wrapText="1"/>
      <protection locked="0"/>
    </xf>
    <xf numFmtId="167" fontId="106" fillId="7" borderId="54" xfId="0" applyNumberFormat="1" applyFont="1" applyFill="1" applyBorder="1" applyAlignment="1">
      <alignment horizontal="center" vertical="center" wrapText="1"/>
    </xf>
    <xf numFmtId="167" fontId="106" fillId="7" borderId="54" xfId="0" applyNumberFormat="1" applyFont="1" applyFill="1" applyBorder="1" applyAlignment="1">
      <alignment horizontal="center" wrapText="1"/>
    </xf>
    <xf numFmtId="0" fontId="43" fillId="10" borderId="0" xfId="0" applyFont="1" applyFill="1" applyAlignment="1">
      <alignment vertical="top"/>
    </xf>
    <xf numFmtId="0" fontId="41" fillId="10" borderId="54" xfId="0" applyFont="1" applyFill="1" applyBorder="1" applyAlignment="1">
      <alignment horizontal="left" vertical="center" wrapText="1"/>
    </xf>
    <xf numFmtId="167" fontId="43" fillId="7" borderId="51" xfId="0" applyNumberFormat="1" applyFont="1" applyFill="1" applyBorder="1" applyAlignment="1">
      <alignment horizontal="center" vertical="center" wrapText="1"/>
    </xf>
    <xf numFmtId="0" fontId="45" fillId="0" borderId="57" xfId="0" applyFont="1" applyBorder="1" applyAlignment="1" applyProtection="1">
      <alignment vertical="center"/>
      <protection locked="0"/>
    </xf>
    <xf numFmtId="167" fontId="43" fillId="7" borderId="22" xfId="0" applyNumberFormat="1" applyFont="1" applyFill="1" applyBorder="1" applyAlignment="1">
      <alignment horizontal="center" vertical="center" wrapText="1"/>
    </xf>
    <xf numFmtId="0" fontId="45" fillId="0" borderId="61" xfId="0" applyFont="1" applyBorder="1" applyAlignment="1" applyProtection="1">
      <alignment vertical="center"/>
      <protection locked="0"/>
    </xf>
    <xf numFmtId="167" fontId="43" fillId="12" borderId="22" xfId="0" applyNumberFormat="1" applyFont="1" applyFill="1" applyBorder="1" applyAlignment="1">
      <alignment horizontal="center" vertical="center" wrapText="1"/>
    </xf>
    <xf numFmtId="167" fontId="43" fillId="7" borderId="22" xfId="0" applyNumberFormat="1" applyFont="1" applyFill="1" applyBorder="1" applyAlignment="1">
      <alignment vertical="center"/>
    </xf>
    <xf numFmtId="167" fontId="43" fillId="7" borderId="54" xfId="0" applyNumberFormat="1" applyFont="1" applyFill="1" applyBorder="1" applyAlignment="1">
      <alignment horizontal="center" vertical="center" wrapText="1"/>
    </xf>
    <xf numFmtId="167" fontId="43" fillId="7" borderId="54" xfId="0" applyNumberFormat="1" applyFont="1" applyFill="1" applyBorder="1" applyAlignment="1">
      <alignment vertical="center"/>
    </xf>
    <xf numFmtId="0" fontId="43" fillId="12" borderId="51" xfId="0" applyFont="1" applyFill="1" applyBorder="1" applyAlignment="1" applyProtection="1">
      <alignment horizontal="center" vertical="center" wrapText="1"/>
      <protection locked="0"/>
    </xf>
    <xf numFmtId="0" fontId="43" fillId="12" borderId="52" xfId="0" applyFont="1" applyFill="1" applyBorder="1" applyAlignment="1" applyProtection="1">
      <alignment horizontal="center" vertical="center" wrapText="1"/>
      <protection locked="0"/>
    </xf>
    <xf numFmtId="0" fontId="43" fillId="7" borderId="54" xfId="0" applyFont="1" applyFill="1" applyBorder="1" applyAlignment="1">
      <alignment horizontal="center" vertical="center"/>
    </xf>
    <xf numFmtId="0" fontId="43" fillId="12" borderId="55" xfId="0" applyFont="1" applyFill="1" applyBorder="1" applyAlignment="1" applyProtection="1">
      <alignment horizontal="center" vertical="center" wrapText="1"/>
      <protection locked="0"/>
    </xf>
    <xf numFmtId="0" fontId="41" fillId="10" borderId="47" xfId="0" applyFont="1" applyFill="1" applyBorder="1" applyAlignment="1">
      <alignment horizontal="left" vertical="center" wrapText="1"/>
    </xf>
    <xf numFmtId="0" fontId="41" fillId="10" borderId="48" xfId="0" applyFont="1" applyFill="1" applyBorder="1" applyAlignment="1">
      <alignment horizontal="center" vertical="center" wrapText="1"/>
    </xf>
    <xf numFmtId="0" fontId="41" fillId="10" borderId="66" xfId="0" applyFont="1" applyFill="1" applyBorder="1" applyAlignment="1">
      <alignment horizontal="center" vertical="center" wrapText="1"/>
    </xf>
    <xf numFmtId="0" fontId="41" fillId="10" borderId="67" xfId="0" applyFont="1" applyFill="1" applyBorder="1" applyAlignment="1">
      <alignment horizontal="center" vertical="center" wrapText="1"/>
    </xf>
    <xf numFmtId="0" fontId="43" fillId="12" borderId="51" xfId="0" applyFont="1" applyFill="1" applyBorder="1" applyAlignment="1">
      <alignment horizontal="center" vertical="center" wrapText="1"/>
    </xf>
    <xf numFmtId="0" fontId="43" fillId="13" borderId="52" xfId="0" applyFont="1" applyFill="1" applyBorder="1" applyAlignment="1">
      <alignment horizontal="center" vertical="center" wrapText="1"/>
    </xf>
    <xf numFmtId="0" fontId="43" fillId="12" borderId="22" xfId="0" applyFont="1" applyFill="1" applyBorder="1" applyAlignment="1">
      <alignment horizontal="center" vertical="center" wrapText="1"/>
    </xf>
    <xf numFmtId="0" fontId="43" fillId="13" borderId="60" xfId="0" applyFont="1" applyFill="1" applyBorder="1" applyAlignment="1">
      <alignment horizontal="center" vertical="center" wrapText="1"/>
    </xf>
    <xf numFmtId="0" fontId="43" fillId="12" borderId="54" xfId="0" applyFont="1" applyFill="1" applyBorder="1" applyAlignment="1">
      <alignment horizontal="center" vertical="center" wrapText="1"/>
    </xf>
    <xf numFmtId="0" fontId="43" fillId="13" borderId="55" xfId="0" applyFont="1" applyFill="1" applyBorder="1" applyAlignment="1">
      <alignment horizontal="center" vertical="center" wrapText="1"/>
    </xf>
    <xf numFmtId="49" fontId="45" fillId="12" borderId="51" xfId="0" applyNumberFormat="1" applyFont="1" applyFill="1" applyBorder="1" applyAlignment="1" applyProtection="1">
      <alignment horizontal="center" vertical="center" wrapText="1"/>
      <protection locked="0"/>
    </xf>
    <xf numFmtId="0" fontId="43" fillId="0" borderId="61" xfId="0" applyFont="1" applyBorder="1"/>
    <xf numFmtId="0" fontId="43" fillId="0" borderId="0" xfId="0" applyFont="1" applyProtection="1">
      <protection locked="0"/>
    </xf>
    <xf numFmtId="0" fontId="39" fillId="10" borderId="54" xfId="15" applyFont="1" applyFill="1" applyBorder="1" applyAlignment="1">
      <alignment horizontal="center" vertical="center" textRotation="90" wrapText="1"/>
    </xf>
    <xf numFmtId="0" fontId="40" fillId="0" borderId="61" xfId="0" applyFont="1" applyBorder="1"/>
    <xf numFmtId="0" fontId="39" fillId="10" borderId="54" xfId="3" applyFont="1" applyFill="1" applyBorder="1" applyAlignment="1">
      <alignment horizontal="center" vertical="center" textRotation="90" wrapText="1"/>
    </xf>
    <xf numFmtId="0" fontId="39" fillId="10" borderId="55" xfId="3" applyFont="1" applyFill="1" applyBorder="1" applyAlignment="1">
      <alignment horizontal="center" vertical="center" textRotation="90" wrapText="1"/>
    </xf>
    <xf numFmtId="0" fontId="39" fillId="0" borderId="0" xfId="0" applyFont="1" applyAlignment="1">
      <alignment horizontal="left" vertical="center" wrapText="1"/>
    </xf>
    <xf numFmtId="0" fontId="43" fillId="0" borderId="51" xfId="3" applyFont="1" applyBorder="1" applyAlignment="1" applyProtection="1">
      <alignment horizontal="center" vertical="center" wrapText="1"/>
      <protection locked="0"/>
    </xf>
    <xf numFmtId="2" fontId="43" fillId="12" borderId="51" xfId="3" applyNumberFormat="1" applyFont="1" applyFill="1" applyBorder="1" applyAlignment="1" applyProtection="1">
      <alignment horizontal="center" vertical="center"/>
      <protection locked="0"/>
    </xf>
    <xf numFmtId="2" fontId="43" fillId="7" borderId="51" xfId="0" applyNumberFormat="1" applyFont="1" applyFill="1" applyBorder="1" applyAlignment="1">
      <alignment horizontal="center" vertical="center"/>
    </xf>
    <xf numFmtId="2" fontId="43" fillId="12" borderId="52" xfId="3" applyNumberFormat="1" applyFont="1" applyFill="1" applyBorder="1" applyAlignment="1" applyProtection="1">
      <alignment horizontal="center" vertical="center"/>
      <protection locked="0"/>
    </xf>
    <xf numFmtId="2" fontId="43" fillId="12" borderId="22" xfId="3" applyNumberFormat="1" applyFont="1" applyFill="1" applyBorder="1" applyAlignment="1" applyProtection="1">
      <alignment horizontal="center" vertical="center"/>
      <protection locked="0"/>
    </xf>
    <xf numFmtId="2" fontId="43" fillId="7" borderId="22" xfId="0" applyNumberFormat="1" applyFont="1" applyFill="1" applyBorder="1" applyAlignment="1">
      <alignment horizontal="center" vertical="center"/>
    </xf>
    <xf numFmtId="2" fontId="43" fillId="12" borderId="22" xfId="0" applyNumberFormat="1" applyFont="1" applyFill="1" applyBorder="1" applyAlignment="1">
      <alignment horizontal="center" vertical="center" wrapText="1"/>
    </xf>
    <xf numFmtId="2" fontId="43" fillId="12" borderId="60" xfId="0" applyNumberFormat="1" applyFont="1" applyFill="1" applyBorder="1" applyAlignment="1">
      <alignment horizontal="center" vertical="center" wrapText="1"/>
    </xf>
    <xf numFmtId="2" fontId="43" fillId="13" borderId="22" xfId="0" applyNumberFormat="1" applyFont="1" applyFill="1" applyBorder="1" applyAlignment="1">
      <alignment horizontal="center" vertical="center" wrapText="1"/>
    </xf>
    <xf numFmtId="2" fontId="43" fillId="13" borderId="60" xfId="0" applyNumberFormat="1" applyFont="1" applyFill="1" applyBorder="1" applyAlignment="1">
      <alignment horizontal="center" vertical="center" wrapText="1"/>
    </xf>
    <xf numFmtId="9" fontId="43" fillId="12" borderId="22" xfId="38" applyFont="1" applyFill="1" applyBorder="1" applyAlignment="1" applyProtection="1">
      <alignment horizontal="center" vertical="center"/>
      <protection locked="0"/>
    </xf>
    <xf numFmtId="9" fontId="43" fillId="7" borderId="22" xfId="38" applyFont="1" applyFill="1" applyBorder="1" applyAlignment="1">
      <alignment horizontal="center" vertical="center"/>
    </xf>
    <xf numFmtId="9" fontId="43" fillId="12" borderId="22" xfId="38" applyFont="1" applyFill="1" applyBorder="1" applyAlignment="1">
      <alignment horizontal="center" vertical="center" wrapText="1"/>
    </xf>
    <xf numFmtId="9" fontId="43" fillId="12" borderId="60" xfId="38" applyFont="1" applyFill="1" applyBorder="1" applyAlignment="1">
      <alignment horizontal="center" vertical="center" wrapText="1"/>
    </xf>
    <xf numFmtId="9" fontId="43" fillId="5" borderId="0" xfId="38" applyFont="1" applyFill="1" applyAlignment="1">
      <alignment horizontal="center" vertical="center" wrapText="1"/>
    </xf>
    <xf numFmtId="2" fontId="43" fillId="13" borderId="54" xfId="0" applyNumberFormat="1" applyFont="1" applyFill="1" applyBorder="1" applyAlignment="1">
      <alignment horizontal="center" vertical="center" wrapText="1"/>
    </xf>
    <xf numFmtId="2" fontId="43" fillId="7" borderId="54" xfId="0" applyNumberFormat="1" applyFont="1" applyFill="1" applyBorder="1" applyAlignment="1">
      <alignment horizontal="center" vertical="center"/>
    </xf>
    <xf numFmtId="2" fontId="43" fillId="13" borderId="55" xfId="0" applyNumberFormat="1" applyFont="1" applyFill="1" applyBorder="1" applyAlignment="1">
      <alignment horizontal="center" vertical="center" wrapText="1"/>
    </xf>
    <xf numFmtId="2" fontId="43" fillId="0" borderId="0" xfId="0" applyNumberFormat="1" applyFont="1" applyAlignment="1">
      <alignment horizontal="center" vertical="center" wrapText="1"/>
    </xf>
    <xf numFmtId="2" fontId="43" fillId="13" borderId="51" xfId="0" applyNumberFormat="1" applyFont="1" applyFill="1" applyBorder="1" applyAlignment="1">
      <alignment horizontal="center" vertical="center" wrapText="1"/>
    </xf>
    <xf numFmtId="2" fontId="43" fillId="13" borderId="52" xfId="0" applyNumberFormat="1" applyFont="1" applyFill="1" applyBorder="1" applyAlignment="1">
      <alignment horizontal="center" vertical="center" wrapText="1"/>
    </xf>
    <xf numFmtId="0" fontId="43" fillId="0" borderId="0" xfId="30" applyFont="1" applyBorder="1" applyAlignment="1">
      <alignment horizontal="center" vertical="center" wrapText="1"/>
    </xf>
    <xf numFmtId="0" fontId="64" fillId="0" borderId="0" xfId="29" applyFont="1" applyFill="1" applyBorder="1" applyAlignment="1">
      <alignment vertical="center" wrapText="1"/>
    </xf>
    <xf numFmtId="0" fontId="40" fillId="0" borderId="57" xfId="0" applyFont="1" applyBorder="1" applyProtection="1">
      <protection locked="0"/>
    </xf>
    <xf numFmtId="0" fontId="97" fillId="16" borderId="0" xfId="48" applyFont="1" applyBorder="1" applyAlignment="1">
      <alignment horizontal="center" vertical="center"/>
    </xf>
    <xf numFmtId="0" fontId="40" fillId="0" borderId="61" xfId="0" applyFont="1" applyBorder="1" applyProtection="1">
      <protection locked="0"/>
    </xf>
    <xf numFmtId="2" fontId="45" fillId="12" borderId="60" xfId="0" applyNumberFormat="1" applyFont="1" applyFill="1" applyBorder="1" applyAlignment="1" applyProtection="1">
      <alignment horizontal="center" vertical="center" wrapText="1"/>
      <protection locked="0"/>
    </xf>
    <xf numFmtId="0" fontId="45" fillId="13" borderId="60" xfId="0" applyFont="1" applyFill="1" applyBorder="1" applyAlignment="1" applyProtection="1">
      <alignment horizontal="center" vertical="center" wrapText="1"/>
      <protection locked="0"/>
    </xf>
    <xf numFmtId="2" fontId="45" fillId="12" borderId="55" xfId="0" applyNumberFormat="1" applyFont="1" applyFill="1" applyBorder="1" applyAlignment="1" applyProtection="1">
      <alignment horizontal="center" vertical="center" wrapText="1"/>
      <protection locked="0"/>
    </xf>
    <xf numFmtId="0" fontId="40" fillId="0" borderId="58" xfId="0" applyFont="1" applyBorder="1" applyProtection="1">
      <protection locked="0"/>
    </xf>
    <xf numFmtId="0" fontId="49" fillId="5" borderId="0" xfId="37" applyFont="1" applyFill="1" applyBorder="1" applyAlignment="1">
      <alignment vertical="center" wrapText="1"/>
    </xf>
    <xf numFmtId="0" fontId="49" fillId="0" borderId="0" xfId="0" applyFont="1" applyAlignment="1">
      <alignment horizontal="center" vertical="center" wrapText="1"/>
    </xf>
    <xf numFmtId="0" fontId="108" fillId="11" borderId="0" xfId="0" applyFont="1" applyFill="1" applyAlignment="1">
      <alignment horizontal="center" vertical="center"/>
    </xf>
    <xf numFmtId="0" fontId="56" fillId="0" borderId="0" xfId="15" applyFont="1" applyAlignment="1">
      <alignment vertical="center"/>
    </xf>
    <xf numFmtId="0" fontId="42" fillId="0" borderId="0" xfId="0" applyFont="1" applyAlignment="1">
      <alignment vertical="center"/>
    </xf>
    <xf numFmtId="0" fontId="40" fillId="7" borderId="52" xfId="0" applyFont="1" applyFill="1" applyBorder="1"/>
    <xf numFmtId="0" fontId="40" fillId="7" borderId="60" xfId="0" applyFont="1" applyFill="1" applyBorder="1"/>
    <xf numFmtId="2" fontId="40" fillId="12" borderId="22" xfId="0" applyNumberFormat="1" applyFont="1" applyFill="1" applyBorder="1" applyAlignment="1" applyProtection="1">
      <alignment horizontal="center" vertical="center" wrapText="1"/>
      <protection locked="0"/>
    </xf>
    <xf numFmtId="0" fontId="40" fillId="12" borderId="54" xfId="0" applyFont="1" applyFill="1" applyBorder="1" applyAlignment="1" applyProtection="1">
      <alignment horizontal="center" vertical="center" wrapText="1"/>
      <protection locked="0"/>
    </xf>
    <xf numFmtId="0" fontId="40" fillId="7" borderId="55" xfId="0" applyFont="1" applyFill="1" applyBorder="1"/>
    <xf numFmtId="0" fontId="52" fillId="0" borderId="0" xfId="30" applyFont="1" applyBorder="1" applyAlignment="1">
      <alignment horizontal="center" vertical="center" wrapText="1"/>
    </xf>
    <xf numFmtId="0" fontId="41" fillId="10" borderId="68" xfId="0" applyFont="1" applyFill="1" applyBorder="1" applyAlignment="1">
      <alignment horizontal="center" vertical="center" wrapText="1"/>
    </xf>
    <xf numFmtId="0" fontId="41" fillId="10" borderId="69" xfId="0" applyFont="1" applyFill="1" applyBorder="1" applyAlignment="1">
      <alignment horizontal="center" vertical="center" wrapText="1"/>
    </xf>
    <xf numFmtId="0" fontId="41" fillId="10" borderId="70" xfId="0" applyFont="1" applyFill="1" applyBorder="1" applyAlignment="1">
      <alignment horizontal="center" vertical="center" wrapText="1"/>
    </xf>
    <xf numFmtId="2" fontId="40" fillId="12" borderId="51" xfId="0" applyNumberFormat="1" applyFont="1" applyFill="1" applyBorder="1" applyAlignment="1" applyProtection="1">
      <alignment horizontal="center" vertical="center" wrapText="1"/>
      <protection locked="0"/>
    </xf>
    <xf numFmtId="0" fontId="40" fillId="12" borderId="52" xfId="0" applyFont="1" applyFill="1" applyBorder="1" applyAlignment="1" applyProtection="1">
      <alignment horizontal="center" vertical="center" wrapText="1"/>
      <protection locked="0"/>
    </xf>
    <xf numFmtId="0" fontId="40" fillId="12" borderId="60" xfId="0" applyFont="1" applyFill="1" applyBorder="1" applyAlignment="1" applyProtection="1">
      <alignment horizontal="center" vertical="center" wrapText="1"/>
      <protection locked="0"/>
    </xf>
    <xf numFmtId="2" fontId="40" fillId="12" borderId="54" xfId="0" applyNumberFormat="1" applyFont="1" applyFill="1" applyBorder="1" applyAlignment="1" applyProtection="1">
      <alignment horizontal="center" vertical="center" wrapText="1"/>
      <protection locked="0"/>
    </xf>
    <xf numFmtId="0" fontId="40" fillId="12" borderId="55" xfId="0" applyFont="1" applyFill="1" applyBorder="1" applyAlignment="1" applyProtection="1">
      <alignment horizontal="center" vertical="center" wrapText="1"/>
      <protection locked="0"/>
    </xf>
    <xf numFmtId="0" fontId="41" fillId="10" borderId="50" xfId="0" applyFont="1" applyFill="1" applyBorder="1" applyAlignment="1">
      <alignment horizontal="left" vertical="center" wrapText="1"/>
    </xf>
    <xf numFmtId="0" fontId="40" fillId="7" borderId="51" xfId="0" applyFont="1" applyFill="1" applyBorder="1" applyAlignment="1">
      <alignment horizontal="center" vertical="center" wrapText="1"/>
    </xf>
    <xf numFmtId="0" fontId="40" fillId="7" borderId="52" xfId="0" applyFont="1" applyFill="1" applyBorder="1" applyAlignment="1">
      <alignment horizontal="center" vertical="center" wrapText="1"/>
    </xf>
    <xf numFmtId="0" fontId="40" fillId="7" borderId="22" xfId="0" applyFont="1" applyFill="1" applyBorder="1" applyAlignment="1">
      <alignment horizontal="center" vertical="center" wrapText="1"/>
    </xf>
    <xf numFmtId="0" fontId="40" fillId="7" borderId="60" xfId="0" applyFont="1" applyFill="1" applyBorder="1" applyAlignment="1">
      <alignment horizontal="center" vertical="center" wrapText="1"/>
    </xf>
    <xf numFmtId="0" fontId="40" fillId="7" borderId="54" xfId="0" applyFont="1" applyFill="1" applyBorder="1" applyAlignment="1">
      <alignment horizontal="center" vertical="center" wrapText="1"/>
    </xf>
    <xf numFmtId="0" fontId="40" fillId="7" borderId="55" xfId="0" applyFont="1" applyFill="1" applyBorder="1" applyAlignment="1">
      <alignment horizontal="center" vertical="center" wrapText="1"/>
    </xf>
    <xf numFmtId="0" fontId="41" fillId="10" borderId="62" xfId="0" applyFont="1" applyFill="1" applyBorder="1" applyAlignment="1">
      <alignment horizontal="left" vertical="center" wrapText="1"/>
    </xf>
    <xf numFmtId="0" fontId="74" fillId="0" borderId="0" xfId="30" applyFont="1" applyFill="1" applyBorder="1" applyAlignment="1">
      <alignment vertical="center" wrapText="1"/>
    </xf>
    <xf numFmtId="167" fontId="45" fillId="12" borderId="60" xfId="0" applyNumberFormat="1" applyFont="1" applyFill="1" applyBorder="1" applyAlignment="1" applyProtection="1">
      <alignment horizontal="center" vertical="center" wrapText="1"/>
      <protection locked="0"/>
    </xf>
    <xf numFmtId="0" fontId="45" fillId="12" borderId="55" xfId="0" applyFont="1" applyFill="1" applyBorder="1" applyAlignment="1" applyProtection="1">
      <alignment horizontal="center" vertical="center" wrapText="1"/>
      <protection locked="0"/>
    </xf>
    <xf numFmtId="166" fontId="45" fillId="12" borderId="52" xfId="0" applyNumberFormat="1" applyFont="1" applyFill="1" applyBorder="1" applyAlignment="1" applyProtection="1">
      <alignment horizontal="center" vertical="center" wrapText="1"/>
      <protection locked="0"/>
    </xf>
    <xf numFmtId="166" fontId="45" fillId="12" borderId="60" xfId="0" applyNumberFormat="1" applyFont="1" applyFill="1" applyBorder="1" applyAlignment="1" applyProtection="1">
      <alignment horizontal="center" vertical="center" wrapText="1"/>
      <protection locked="0"/>
    </xf>
    <xf numFmtId="0" fontId="45" fillId="0" borderId="61" xfId="0" applyFont="1" applyBorder="1" applyProtection="1">
      <protection locked="0"/>
    </xf>
    <xf numFmtId="166" fontId="45" fillId="12" borderId="55" xfId="0" applyNumberFormat="1" applyFont="1" applyFill="1" applyBorder="1" applyAlignment="1" applyProtection="1">
      <alignment horizontal="center" vertical="center" wrapText="1"/>
      <protection locked="0"/>
    </xf>
    <xf numFmtId="0" fontId="43" fillId="0" borderId="0" xfId="3" applyFont="1" applyAlignment="1">
      <alignment vertical="center" wrapText="1"/>
    </xf>
    <xf numFmtId="0" fontId="95" fillId="0" borderId="0" xfId="30" applyFont="1" applyFill="1" applyBorder="1" applyAlignment="1">
      <alignment vertical="center" wrapText="1"/>
    </xf>
    <xf numFmtId="167" fontId="45" fillId="12" borderId="52" xfId="0" applyNumberFormat="1" applyFont="1" applyFill="1" applyBorder="1" applyAlignment="1" applyProtection="1">
      <alignment horizontal="center" vertical="center" wrapText="1"/>
      <protection locked="0"/>
    </xf>
    <xf numFmtId="0" fontId="44" fillId="0" borderId="57" xfId="30" applyFont="1" applyFill="1" applyBorder="1" applyAlignment="1" applyProtection="1">
      <alignment horizontal="left" vertical="center" wrapText="1"/>
      <protection locked="0"/>
    </xf>
    <xf numFmtId="0" fontId="44" fillId="0" borderId="61" xfId="30" applyFont="1" applyFill="1" applyBorder="1" applyAlignment="1" applyProtection="1">
      <alignment horizontal="left" vertical="center" wrapText="1"/>
      <protection locked="0"/>
    </xf>
    <xf numFmtId="0" fontId="45" fillId="8" borderId="0" xfId="0" applyFont="1" applyFill="1" applyAlignment="1">
      <alignment vertical="center" wrapText="1"/>
    </xf>
    <xf numFmtId="0" fontId="40" fillId="0" borderId="0" xfId="0" applyFont="1" applyAlignment="1">
      <alignment horizontal="left"/>
    </xf>
    <xf numFmtId="0" fontId="50" fillId="0" borderId="0" xfId="0" applyFont="1" applyAlignment="1">
      <alignment horizontal="center" vertical="center"/>
    </xf>
    <xf numFmtId="0" fontId="109" fillId="0" borderId="57" xfId="0" applyFont="1" applyBorder="1" applyAlignment="1" applyProtection="1">
      <alignment horizontal="left" vertical="center"/>
      <protection locked="0"/>
    </xf>
    <xf numFmtId="0" fontId="109" fillId="0" borderId="61" xfId="0" applyFont="1" applyBorder="1" applyAlignment="1" applyProtection="1">
      <alignment horizontal="left" vertical="center"/>
      <protection locked="0"/>
    </xf>
    <xf numFmtId="2" fontId="45" fillId="12" borderId="22" xfId="0" applyNumberFormat="1" applyFont="1" applyFill="1" applyBorder="1" applyAlignment="1" applyProtection="1">
      <alignment horizontal="center" vertical="center" wrapText="1"/>
      <protection locked="0"/>
    </xf>
    <xf numFmtId="0" fontId="45" fillId="10" borderId="22" xfId="0" applyFont="1" applyFill="1" applyBorder="1" applyAlignment="1" applyProtection="1">
      <alignment horizontal="center" vertical="center" wrapText="1"/>
      <protection locked="0"/>
    </xf>
    <xf numFmtId="166" fontId="45" fillId="12" borderId="54" xfId="0" applyNumberFormat="1" applyFont="1" applyFill="1" applyBorder="1" applyAlignment="1" applyProtection="1">
      <alignment horizontal="center" vertical="center" wrapText="1"/>
      <protection locked="0"/>
    </xf>
    <xf numFmtId="0" fontId="109" fillId="0" borderId="58" xfId="0" applyFont="1" applyBorder="1" applyAlignment="1" applyProtection="1">
      <alignment horizontal="left" vertical="center"/>
      <protection locked="0"/>
    </xf>
    <xf numFmtId="0" fontId="109" fillId="0" borderId="0" xfId="0" applyFont="1" applyAlignment="1">
      <alignment horizontal="left" vertical="center"/>
    </xf>
    <xf numFmtId="0" fontId="39" fillId="10" borderId="62" xfId="0" applyFont="1" applyFill="1" applyBorder="1" applyAlignment="1">
      <alignment horizontal="left" vertical="center" wrapText="1"/>
    </xf>
    <xf numFmtId="0" fontId="40" fillId="0" borderId="57" xfId="0" applyFont="1" applyBorder="1" applyAlignment="1" applyProtection="1">
      <alignment horizontal="left"/>
      <protection locked="0"/>
    </xf>
    <xf numFmtId="167" fontId="45" fillId="7" borderId="54" xfId="0" applyNumberFormat="1" applyFont="1" applyFill="1" applyBorder="1" applyAlignment="1" applyProtection="1">
      <alignment horizontal="center" vertical="center" wrapText="1"/>
      <protection locked="0"/>
    </xf>
    <xf numFmtId="2" fontId="45" fillId="12" borderId="55" xfId="0" applyNumberFormat="1" applyFont="1" applyFill="1" applyBorder="1" applyAlignment="1">
      <alignment horizontal="center" vertical="center" wrapText="1"/>
    </xf>
    <xf numFmtId="0" fontId="90" fillId="0" borderId="0" xfId="0" applyFont="1"/>
    <xf numFmtId="0" fontId="40" fillId="0" borderId="58" xfId="0" applyFont="1" applyBorder="1" applyAlignment="1" applyProtection="1">
      <alignment horizontal="left"/>
      <protection locked="0"/>
    </xf>
    <xf numFmtId="0" fontId="110" fillId="0" borderId="0" xfId="0" applyFont="1"/>
    <xf numFmtId="2" fontId="45" fillId="12" borderId="52" xfId="0" applyNumberFormat="1" applyFont="1" applyFill="1" applyBorder="1" applyAlignment="1" applyProtection="1">
      <alignment horizontal="center" vertical="center" wrapText="1"/>
      <protection locked="0"/>
    </xf>
    <xf numFmtId="0" fontId="35" fillId="0" borderId="0" xfId="55"/>
    <xf numFmtId="0" fontId="49" fillId="0" borderId="0" xfId="35" applyFont="1" applyAlignment="1">
      <alignment horizontal="left" vertical="center" wrapText="1"/>
    </xf>
    <xf numFmtId="0" fontId="73" fillId="22" borderId="0" xfId="29" applyFont="1" applyFill="1" applyBorder="1" applyAlignment="1">
      <alignment horizontal="center" vertical="center" wrapText="1"/>
    </xf>
    <xf numFmtId="0" fontId="68" fillId="0" borderId="0" xfId="35" applyFont="1" applyAlignment="1">
      <alignment horizontal="center" vertical="center" wrapText="1"/>
    </xf>
    <xf numFmtId="0" fontId="68" fillId="10" borderId="0" xfId="35" applyFont="1" applyFill="1" applyAlignment="1">
      <alignment horizontal="center" vertical="center" wrapText="1"/>
    </xf>
    <xf numFmtId="0" fontId="69" fillId="0" borderId="0" xfId="45" applyFont="1" applyAlignment="1">
      <alignment vertical="center" wrapText="1"/>
    </xf>
    <xf numFmtId="0" fontId="69" fillId="0" borderId="0" xfId="35" applyFont="1" applyAlignment="1">
      <alignment vertical="center" wrapText="1"/>
    </xf>
    <xf numFmtId="0" fontId="69" fillId="0" borderId="0" xfId="35" applyFont="1" applyAlignment="1">
      <alignment horizontal="center" vertical="center" wrapText="1"/>
    </xf>
    <xf numFmtId="0" fontId="35" fillId="5" borderId="0" xfId="55" applyFill="1" applyAlignment="1">
      <alignment horizontal="center"/>
    </xf>
    <xf numFmtId="0" fontId="42" fillId="0" borderId="0" xfId="0" applyFont="1" applyAlignment="1">
      <alignment horizontal="left" vertical="center" wrapText="1"/>
    </xf>
    <xf numFmtId="0" fontId="111" fillId="0" borderId="0" xfId="0" applyFont="1" applyAlignment="1">
      <alignment vertical="center" wrapText="1"/>
    </xf>
    <xf numFmtId="0" fontId="43" fillId="0" borderId="0" xfId="3" applyFont="1" applyAlignment="1">
      <alignment horizontal="center" vertical="center" wrapText="1"/>
    </xf>
    <xf numFmtId="0" fontId="40" fillId="0" borderId="0" xfId="0" applyFont="1" applyAlignment="1">
      <alignment horizontal="center"/>
    </xf>
    <xf numFmtId="172" fontId="45" fillId="17" borderId="52" xfId="39" applyNumberFormat="1" applyFont="1" applyFill="1" applyBorder="1" applyAlignment="1">
      <alignment horizontal="center" vertical="center" wrapText="1"/>
    </xf>
    <xf numFmtId="172" fontId="45" fillId="17" borderId="55" xfId="39" applyNumberFormat="1" applyFont="1" applyFill="1" applyBorder="1" applyAlignment="1">
      <alignment horizontal="center" vertical="center" wrapText="1"/>
    </xf>
    <xf numFmtId="0" fontId="81" fillId="0" borderId="0" xfId="0" applyFont="1" applyAlignment="1">
      <alignment horizontal="center" vertical="center"/>
    </xf>
    <xf numFmtId="0" fontId="108" fillId="0" borderId="0" xfId="0" applyFont="1" applyAlignment="1">
      <alignment horizontal="center" vertical="center"/>
    </xf>
    <xf numFmtId="0" fontId="112" fillId="0" borderId="0" xfId="30" applyFont="1" applyBorder="1" applyAlignment="1">
      <alignment vertical="center"/>
    </xf>
    <xf numFmtId="0" fontId="65" fillId="0" borderId="0" xfId="30" applyFont="1" applyBorder="1" applyAlignment="1">
      <alignment horizontal="left" vertical="center" wrapText="1"/>
    </xf>
    <xf numFmtId="0" fontId="45" fillId="0" borderId="0" xfId="3" applyFont="1" applyAlignment="1">
      <alignment horizontal="center" vertical="center" wrapText="1"/>
    </xf>
    <xf numFmtId="0" fontId="40" fillId="0" borderId="57" xfId="0" applyFont="1" applyBorder="1" applyAlignment="1" applyProtection="1">
      <alignment horizontal="left" vertical="top"/>
      <protection locked="0"/>
    </xf>
    <xf numFmtId="1" fontId="45" fillId="13" borderId="22" xfId="0" applyNumberFormat="1" applyFont="1" applyFill="1" applyBorder="1" applyAlignment="1">
      <alignment horizontal="center" vertical="center" wrapText="1"/>
    </xf>
    <xf numFmtId="0" fontId="45" fillId="0" borderId="61" xfId="0" applyFont="1" applyBorder="1" applyAlignment="1" applyProtection="1">
      <alignment horizontal="center" vertical="center" wrapText="1"/>
      <protection locked="0"/>
    </xf>
    <xf numFmtId="0" fontId="40" fillId="0" borderId="58" xfId="0" applyFont="1" applyBorder="1" applyAlignment="1" applyProtection="1">
      <alignment vertical="center"/>
      <protection locked="0"/>
    </xf>
    <xf numFmtId="0" fontId="45" fillId="5" borderId="0" xfId="3" applyFont="1" applyFill="1" applyAlignment="1">
      <alignment vertical="center" wrapText="1"/>
    </xf>
    <xf numFmtId="0" fontId="43" fillId="5" borderId="0" xfId="3" applyFont="1" applyFill="1" applyAlignment="1">
      <alignment horizontal="center" vertical="center"/>
    </xf>
    <xf numFmtId="1" fontId="45" fillId="12" borderId="22" xfId="0" applyNumberFormat="1" applyFont="1" applyFill="1" applyBorder="1" applyAlignment="1" applyProtection="1">
      <alignment horizontal="center" vertical="center" wrapText="1"/>
      <protection locked="0"/>
    </xf>
    <xf numFmtId="1" fontId="45" fillId="13" borderId="54" xfId="0" applyNumberFormat="1" applyFont="1" applyFill="1" applyBorder="1" applyAlignment="1">
      <alignment horizontal="center" vertical="center" wrapText="1"/>
    </xf>
    <xf numFmtId="0" fontId="45" fillId="5" borderId="0" xfId="0" applyFont="1" applyFill="1" applyAlignment="1">
      <alignment vertical="center" wrapText="1"/>
    </xf>
    <xf numFmtId="1" fontId="40" fillId="0" borderId="0" xfId="0" applyNumberFormat="1" applyFont="1" applyAlignment="1">
      <alignment vertical="center"/>
    </xf>
    <xf numFmtId="0" fontId="40" fillId="0" borderId="61" xfId="0" applyFont="1" applyBorder="1" applyAlignment="1" applyProtection="1">
      <alignment wrapText="1"/>
      <protection locked="0"/>
    </xf>
    <xf numFmtId="3" fontId="45" fillId="12" borderId="60" xfId="0" applyNumberFormat="1" applyFont="1" applyFill="1" applyBorder="1" applyAlignment="1" applyProtection="1">
      <alignment horizontal="center" vertical="center" wrapText="1"/>
      <protection locked="0"/>
    </xf>
    <xf numFmtId="0" fontId="45" fillId="0" borderId="61" xfId="0" applyFont="1" applyBorder="1" applyAlignment="1" applyProtection="1">
      <alignment wrapText="1"/>
      <protection locked="0"/>
    </xf>
    <xf numFmtId="1" fontId="45" fillId="12" borderId="60" xfId="0" applyNumberFormat="1" applyFont="1" applyFill="1" applyBorder="1" applyAlignment="1" applyProtection="1">
      <alignment horizontal="center" vertical="center" wrapText="1"/>
      <protection locked="0"/>
    </xf>
    <xf numFmtId="4" fontId="45" fillId="12" borderId="60" xfId="0" applyNumberFormat="1" applyFont="1" applyFill="1" applyBorder="1" applyAlignment="1" applyProtection="1">
      <alignment horizontal="center" vertical="center" wrapText="1"/>
      <protection locked="0"/>
    </xf>
    <xf numFmtId="1" fontId="45" fillId="13" borderId="60" xfId="0" applyNumberFormat="1" applyFont="1" applyFill="1" applyBorder="1" applyAlignment="1">
      <alignment horizontal="center" vertical="center" wrapText="1"/>
    </xf>
    <xf numFmtId="1" fontId="45" fillId="12" borderId="55" xfId="0" applyNumberFormat="1" applyFont="1" applyFill="1" applyBorder="1" applyAlignment="1" applyProtection="1">
      <alignment horizontal="center" vertical="center" wrapText="1"/>
      <protection locked="0"/>
    </xf>
    <xf numFmtId="9" fontId="43" fillId="0" borderId="0" xfId="3" applyNumberFormat="1" applyFont="1" applyAlignment="1">
      <alignment horizontal="center" vertical="center" wrapText="1"/>
    </xf>
    <xf numFmtId="0" fontId="73" fillId="0" borderId="0" xfId="29" applyFont="1" applyFill="1" applyBorder="1" applyAlignment="1">
      <alignment vertical="center" wrapText="1"/>
    </xf>
    <xf numFmtId="0" fontId="48" fillId="0" borderId="0" xfId="0" applyFont="1" applyAlignment="1">
      <alignment horizontal="left" vertical="center"/>
    </xf>
    <xf numFmtId="0" fontId="48" fillId="0" borderId="0" xfId="0" applyFont="1" applyAlignment="1">
      <alignment horizontal="left" vertical="center" textRotation="90"/>
    </xf>
    <xf numFmtId="0" fontId="40" fillId="0" borderId="0" xfId="0" applyFont="1" applyAlignment="1">
      <alignment vertical="center" textRotation="90"/>
    </xf>
    <xf numFmtId="0" fontId="40" fillId="0" borderId="0" xfId="15" applyFont="1" applyAlignment="1">
      <alignment horizontal="center" vertical="center" wrapText="1"/>
    </xf>
    <xf numFmtId="0" fontId="40" fillId="0" borderId="0" xfId="15" applyFont="1" applyAlignment="1">
      <alignment horizontal="center" vertical="center" textRotation="90" wrapText="1"/>
    </xf>
    <xf numFmtId="1" fontId="45" fillId="13" borderId="52" xfId="0" applyNumberFormat="1" applyFont="1" applyFill="1" applyBorder="1" applyAlignment="1">
      <alignment horizontal="center" vertical="center" wrapText="1"/>
    </xf>
    <xf numFmtId="1" fontId="45" fillId="12" borderId="50" xfId="0" applyNumberFormat="1" applyFont="1" applyFill="1" applyBorder="1" applyAlignment="1" applyProtection="1">
      <alignment horizontal="center" vertical="center" wrapText="1"/>
      <protection locked="0"/>
    </xf>
    <xf numFmtId="1" fontId="45" fillId="13" borderId="51" xfId="0" applyNumberFormat="1" applyFont="1" applyFill="1" applyBorder="1" applyAlignment="1">
      <alignment horizontal="center" vertical="center" wrapText="1"/>
    </xf>
    <xf numFmtId="1" fontId="45" fillId="12" borderId="59" xfId="0" applyNumberFormat="1" applyFont="1" applyFill="1" applyBorder="1" applyAlignment="1" applyProtection="1">
      <alignment horizontal="center" vertical="center" wrapText="1"/>
      <protection locked="0"/>
    </xf>
    <xf numFmtId="1" fontId="45" fillId="13" borderId="59" xfId="0" applyNumberFormat="1" applyFont="1" applyFill="1" applyBorder="1" applyAlignment="1">
      <alignment horizontal="center" vertical="center" wrapText="1"/>
    </xf>
    <xf numFmtId="1" fontId="45" fillId="10" borderId="54" xfId="0" applyNumberFormat="1" applyFont="1" applyFill="1" applyBorder="1" applyAlignment="1">
      <alignment horizontal="center" vertical="center" wrapText="1"/>
    </xf>
    <xf numFmtId="1" fontId="45" fillId="7" borderId="53" xfId="0" applyNumberFormat="1" applyFont="1" applyFill="1" applyBorder="1" applyAlignment="1">
      <alignment horizontal="center" vertical="center" wrapText="1"/>
    </xf>
    <xf numFmtId="1" fontId="45" fillId="7" borderId="54" xfId="0" applyNumberFormat="1" applyFont="1" applyFill="1" applyBorder="1" applyAlignment="1">
      <alignment horizontal="center" vertical="center" wrapText="1"/>
    </xf>
    <xf numFmtId="1" fontId="40" fillId="7" borderId="54" xfId="0" applyNumberFormat="1" applyFont="1" applyFill="1" applyBorder="1"/>
    <xf numFmtId="1" fontId="40" fillId="7" borderId="55" xfId="0" applyNumberFormat="1" applyFont="1" applyFill="1" applyBorder="1"/>
    <xf numFmtId="0" fontId="45" fillId="12" borderId="50" xfId="0" applyFont="1" applyFill="1" applyBorder="1" applyAlignment="1" applyProtection="1">
      <alignment horizontal="center" vertical="center" wrapText="1"/>
      <protection locked="0"/>
    </xf>
    <xf numFmtId="0" fontId="45" fillId="12" borderId="59" xfId="0" applyFont="1" applyFill="1" applyBorder="1" applyAlignment="1" applyProtection="1">
      <alignment horizontal="center" vertical="center" wrapText="1"/>
      <protection locked="0"/>
    </xf>
    <xf numFmtId="1" fontId="45" fillId="13" borderId="55" xfId="0" applyNumberFormat="1" applyFont="1" applyFill="1" applyBorder="1" applyAlignment="1">
      <alignment horizontal="center" vertical="center" wrapText="1"/>
    </xf>
    <xf numFmtId="1" fontId="45" fillId="13" borderId="53" xfId="0" applyNumberFormat="1" applyFont="1" applyFill="1" applyBorder="1" applyAlignment="1">
      <alignment horizontal="center" vertical="center" wrapText="1"/>
    </xf>
    <xf numFmtId="0" fontId="49" fillId="0" borderId="0" xfId="0" applyFont="1" applyAlignment="1">
      <alignment vertical="center"/>
    </xf>
    <xf numFmtId="0" fontId="43" fillId="0" borderId="57" xfId="0" applyFont="1" applyBorder="1" applyAlignment="1">
      <alignment horizontal="center" vertical="center" wrapText="1"/>
    </xf>
    <xf numFmtId="0" fontId="43" fillId="12" borderId="60" xfId="0" applyFont="1" applyFill="1" applyBorder="1" applyAlignment="1" applyProtection="1">
      <alignment horizontal="center" vertical="center" wrapText="1"/>
      <protection locked="0"/>
    </xf>
    <xf numFmtId="0" fontId="63" fillId="0" borderId="0" xfId="0" applyFont="1"/>
    <xf numFmtId="0" fontId="118" fillId="0" borderId="0" xfId="0" applyFont="1" applyAlignment="1">
      <alignment horizontal="left" vertical="center" wrapText="1"/>
    </xf>
    <xf numFmtId="0" fontId="119" fillId="0" borderId="0" xfId="0" applyFont="1" applyAlignment="1">
      <alignment horizontal="center" vertical="center" wrapText="1"/>
    </xf>
    <xf numFmtId="166" fontId="45" fillId="13" borderId="60" xfId="0" applyNumberFormat="1" applyFont="1" applyFill="1" applyBorder="1" applyAlignment="1">
      <alignment horizontal="center" vertical="center" wrapText="1"/>
    </xf>
    <xf numFmtId="0" fontId="45" fillId="12" borderId="63" xfId="0" applyFont="1" applyFill="1" applyBorder="1" applyAlignment="1" applyProtection="1">
      <alignment horizontal="center" vertical="center" wrapText="1"/>
      <protection locked="0"/>
    </xf>
    <xf numFmtId="0" fontId="40" fillId="0" borderId="46" xfId="0" applyFont="1" applyBorder="1" applyProtection="1">
      <protection locked="0"/>
    </xf>
    <xf numFmtId="166" fontId="45" fillId="13" borderId="55" xfId="0" applyNumberFormat="1" applyFont="1" applyFill="1" applyBorder="1" applyAlignment="1">
      <alignment horizontal="center" vertical="center" wrapText="1"/>
    </xf>
    <xf numFmtId="3" fontId="45" fillId="12" borderId="63" xfId="0" applyNumberFormat="1" applyFont="1" applyFill="1" applyBorder="1" applyAlignment="1" applyProtection="1">
      <alignment horizontal="center" vertical="center" wrapText="1"/>
      <protection locked="0"/>
    </xf>
    <xf numFmtId="0" fontId="89" fillId="0" borderId="0" xfId="0" applyFont="1" applyAlignment="1">
      <alignment vertical="center"/>
    </xf>
    <xf numFmtId="0" fontId="49" fillId="5" borderId="0" xfId="0" applyFont="1" applyFill="1" applyAlignment="1">
      <alignment horizontal="left" vertical="center" wrapText="1"/>
    </xf>
    <xf numFmtId="0" fontId="60" fillId="0" borderId="0" xfId="15" applyFont="1" applyAlignment="1">
      <alignment vertical="center"/>
    </xf>
    <xf numFmtId="0" fontId="41" fillId="10" borderId="56" xfId="0" applyFont="1" applyFill="1" applyBorder="1" applyAlignment="1">
      <alignment horizontal="center" vertical="center" wrapText="1"/>
    </xf>
    <xf numFmtId="0" fontId="97" fillId="0" borderId="0" xfId="48" applyFont="1" applyFill="1" applyBorder="1" applyAlignment="1">
      <alignment horizontal="center" vertical="center"/>
    </xf>
    <xf numFmtId="0" fontId="43" fillId="0" borderId="0" xfId="37" applyFont="1" applyFill="1" applyBorder="1" applyAlignment="1">
      <alignment vertical="center" wrapText="1"/>
    </xf>
    <xf numFmtId="0" fontId="95" fillId="0" borderId="0" xfId="0" applyFont="1" applyAlignment="1">
      <alignment vertical="center" wrapText="1"/>
    </xf>
    <xf numFmtId="0" fontId="89" fillId="5" borderId="0" xfId="37" applyFont="1" applyFill="1" applyBorder="1" applyAlignment="1">
      <alignment vertical="center" wrapText="1"/>
    </xf>
    <xf numFmtId="0" fontId="88" fillId="0" borderId="0" xfId="35" applyFont="1" applyAlignment="1">
      <alignment vertical="center"/>
    </xf>
    <xf numFmtId="0" fontId="89" fillId="0" borderId="0" xfId="0" applyFont="1" applyAlignment="1">
      <alignment horizontal="left" vertical="center" wrapText="1"/>
    </xf>
    <xf numFmtId="0" fontId="95" fillId="0" borderId="0" xfId="0" applyFont="1" applyAlignment="1">
      <alignment horizontal="center" vertical="center" wrapText="1"/>
    </xf>
    <xf numFmtId="0" fontId="60" fillId="0" borderId="0" xfId="15" applyFont="1" applyAlignment="1">
      <alignment horizontal="center" vertical="center"/>
    </xf>
    <xf numFmtId="0" fontId="81" fillId="5" borderId="0" xfId="0" applyFont="1" applyFill="1" applyAlignment="1">
      <alignment vertical="center"/>
    </xf>
    <xf numFmtId="0" fontId="120" fillId="0" borderId="0" xfId="0" applyFont="1" applyAlignment="1">
      <alignment vertical="center" wrapText="1"/>
    </xf>
    <xf numFmtId="0" fontId="95" fillId="0" borderId="0" xfId="37" applyFont="1" applyFill="1" applyBorder="1" applyAlignment="1">
      <alignment horizontal="center" vertical="center" wrapText="1"/>
    </xf>
    <xf numFmtId="0" fontId="52" fillId="0" borderId="0" xfId="0" applyFont="1" applyAlignment="1">
      <alignment vertical="top"/>
    </xf>
    <xf numFmtId="0" fontId="87" fillId="0" borderId="0" xfId="0" applyFont="1" applyAlignment="1">
      <alignment horizontal="center" vertical="top"/>
    </xf>
    <xf numFmtId="0" fontId="45" fillId="7" borderId="51" xfId="0" applyFont="1" applyFill="1" applyBorder="1" applyAlignment="1">
      <alignment horizontal="center" vertical="center" wrapText="1"/>
    </xf>
    <xf numFmtId="168" fontId="45" fillId="12" borderId="22" xfId="39" applyNumberFormat="1" applyFont="1" applyFill="1" applyBorder="1" applyAlignment="1" applyProtection="1">
      <alignment horizontal="center" vertical="center" wrapText="1"/>
      <protection locked="0"/>
    </xf>
    <xf numFmtId="168" fontId="45" fillId="13" borderId="22" xfId="39" applyNumberFormat="1" applyFont="1" applyFill="1" applyBorder="1" applyAlignment="1">
      <alignment horizontal="center" vertical="center" wrapText="1"/>
    </xf>
    <xf numFmtId="0" fontId="40" fillId="7" borderId="22" xfId="0" applyFont="1" applyFill="1" applyBorder="1"/>
    <xf numFmtId="0" fontId="40" fillId="7" borderId="22" xfId="0" applyFont="1" applyFill="1" applyBorder="1" applyAlignment="1">
      <alignment horizontal="left" vertical="center" wrapText="1"/>
    </xf>
    <xf numFmtId="0" fontId="40" fillId="7" borderId="60" xfId="0" applyFont="1" applyFill="1" applyBorder="1" applyAlignment="1">
      <alignment horizontal="left" vertical="center" wrapText="1"/>
    </xf>
    <xf numFmtId="0" fontId="43" fillId="5" borderId="61" xfId="0" applyFont="1" applyFill="1" applyBorder="1" applyAlignment="1" applyProtection="1">
      <alignment vertical="center"/>
      <protection locked="0"/>
    </xf>
    <xf numFmtId="168" fontId="45" fillId="12" borderId="54" xfId="39" applyNumberFormat="1" applyFont="1" applyFill="1" applyBorder="1" applyAlignment="1" applyProtection="1">
      <alignment horizontal="center" vertical="center" wrapText="1"/>
      <protection locked="0"/>
    </xf>
    <xf numFmtId="168" fontId="45" fillId="13" borderId="54" xfId="39" applyNumberFormat="1" applyFont="1" applyFill="1" applyBorder="1" applyAlignment="1">
      <alignment horizontal="center" vertical="center" wrapText="1"/>
    </xf>
    <xf numFmtId="0" fontId="41" fillId="10" borderId="49" xfId="0" applyFont="1" applyFill="1" applyBorder="1" applyAlignment="1">
      <alignment horizontal="center" vertical="center" wrapText="1"/>
    </xf>
    <xf numFmtId="0" fontId="45" fillId="0" borderId="47" xfId="0" applyFont="1" applyBorder="1" applyAlignment="1">
      <alignment horizontal="left" vertical="center" wrapText="1"/>
    </xf>
    <xf numFmtId="172" fontId="45" fillId="12" borderId="49" xfId="39" applyNumberFormat="1" applyFont="1" applyFill="1" applyBorder="1" applyAlignment="1" applyProtection="1">
      <alignment horizontal="center" vertical="center" wrapText="1"/>
      <protection locked="0"/>
    </xf>
    <xf numFmtId="9" fontId="45" fillId="12" borderId="60" xfId="38" applyFont="1" applyFill="1" applyBorder="1" applyAlignment="1" applyProtection="1">
      <alignment horizontal="center" vertical="center" wrapText="1"/>
      <protection locked="0"/>
    </xf>
    <xf numFmtId="0" fontId="43" fillId="0" borderId="0" xfId="0" applyFont="1" applyAlignment="1">
      <alignment vertical="top" wrapText="1"/>
    </xf>
    <xf numFmtId="0" fontId="43" fillId="0" borderId="0" xfId="0" applyFont="1" applyAlignment="1">
      <alignment horizontal="center" vertical="top" wrapText="1"/>
    </xf>
    <xf numFmtId="0" fontId="43" fillId="0" borderId="0" xfId="0" applyFont="1" applyAlignment="1">
      <alignment horizontal="center" vertical="top"/>
    </xf>
    <xf numFmtId="0" fontId="43" fillId="0" borderId="46" xfId="0" applyFont="1" applyBorder="1" applyAlignment="1">
      <alignment vertical="top" wrapText="1"/>
    </xf>
    <xf numFmtId="0" fontId="95" fillId="0" borderId="0" xfId="30" applyFont="1" applyFill="1" applyBorder="1" applyAlignment="1">
      <alignment horizontal="center" vertical="top" wrapText="1"/>
    </xf>
    <xf numFmtId="168" fontId="45" fillId="12" borderId="49" xfId="39" applyNumberFormat="1" applyFont="1" applyFill="1" applyBorder="1" applyAlignment="1" applyProtection="1">
      <alignment horizontal="center" vertical="center" wrapText="1"/>
      <protection locked="0"/>
    </xf>
    <xf numFmtId="168" fontId="45" fillId="12" borderId="52" xfId="39" applyNumberFormat="1" applyFont="1" applyFill="1" applyBorder="1" applyAlignment="1" applyProtection="1">
      <alignment horizontal="center" vertical="center" wrapText="1"/>
      <protection locked="0"/>
    </xf>
    <xf numFmtId="0" fontId="89" fillId="0" borderId="0" xfId="37" applyFont="1" applyFill="1" applyBorder="1" applyAlignment="1">
      <alignment vertical="center" wrapText="1"/>
    </xf>
    <xf numFmtId="0" fontId="41" fillId="0" borderId="71" xfId="0" applyFont="1" applyBorder="1" applyAlignment="1">
      <alignment horizontal="center" vertical="center" wrapText="1"/>
    </xf>
    <xf numFmtId="0" fontId="45" fillId="24" borderId="51" xfId="0" applyFont="1" applyFill="1" applyBorder="1" applyAlignment="1">
      <alignment horizontal="center" vertical="center" wrapText="1"/>
    </xf>
    <xf numFmtId="0" fontId="45" fillId="12" borderId="52" xfId="0" applyFont="1" applyFill="1" applyBorder="1" applyAlignment="1">
      <alignment horizontal="center" vertical="center" wrapText="1"/>
    </xf>
    <xf numFmtId="0" fontId="41" fillId="7" borderId="22" xfId="0" applyFont="1" applyFill="1" applyBorder="1" applyAlignment="1">
      <alignment horizontal="left" vertical="center" wrapText="1"/>
    </xf>
    <xf numFmtId="0" fontId="45" fillId="12" borderId="54" xfId="0" applyFont="1" applyFill="1" applyBorder="1" applyAlignment="1">
      <alignment horizontal="center" vertical="center" wrapText="1"/>
    </xf>
    <xf numFmtId="0" fontId="45" fillId="12" borderId="63" xfId="0" applyFont="1" applyFill="1" applyBorder="1" applyAlignment="1">
      <alignment horizontal="center" vertical="center" wrapText="1"/>
    </xf>
    <xf numFmtId="0" fontId="121" fillId="0" borderId="0" xfId="0" applyFont="1" applyAlignment="1">
      <alignment horizontal="center" vertical="center"/>
    </xf>
    <xf numFmtId="0" fontId="95" fillId="0" borderId="0" xfId="30" applyFont="1" applyBorder="1" applyAlignment="1">
      <alignment vertical="center" wrapText="1"/>
    </xf>
    <xf numFmtId="166" fontId="45" fillId="12" borderId="51" xfId="0" applyNumberFormat="1" applyFont="1" applyFill="1" applyBorder="1" applyAlignment="1" applyProtection="1">
      <alignment horizontal="center" vertical="center" wrapText="1"/>
      <protection locked="0"/>
    </xf>
    <xf numFmtId="166" fontId="45" fillId="12" borderId="22" xfId="0" applyNumberFormat="1" applyFont="1" applyFill="1" applyBorder="1" applyAlignment="1" applyProtection="1">
      <alignment horizontal="center" vertical="center" wrapText="1"/>
      <protection locked="0"/>
    </xf>
    <xf numFmtId="166" fontId="45" fillId="13" borderId="54" xfId="0" applyNumberFormat="1" applyFont="1" applyFill="1" applyBorder="1" applyAlignment="1">
      <alignment horizontal="center" vertical="center" wrapText="1"/>
    </xf>
    <xf numFmtId="0" fontId="48" fillId="0" borderId="0" xfId="15" applyFont="1" applyAlignment="1">
      <alignment vertical="center" wrapText="1"/>
    </xf>
    <xf numFmtId="0" fontId="121" fillId="0" borderId="0" xfId="0" applyFont="1"/>
    <xf numFmtId="0" fontId="35" fillId="0" borderId="0" xfId="0" applyFont="1" applyAlignment="1">
      <alignment vertical="top"/>
    </xf>
    <xf numFmtId="0" fontId="64" fillId="0" borderId="0" xfId="29" applyFont="1" applyFill="1" applyBorder="1" applyAlignment="1">
      <alignment horizontal="center" vertical="center" wrapText="1"/>
    </xf>
    <xf numFmtId="0" fontId="42" fillId="0" borderId="0" xfId="30" applyFont="1" applyBorder="1" applyAlignment="1">
      <alignment horizontal="left" vertical="top" wrapText="1"/>
    </xf>
    <xf numFmtId="0" fontId="42" fillId="0" borderId="0" xfId="30" applyFont="1" applyBorder="1" applyAlignment="1">
      <alignment horizontal="center" vertical="top" wrapText="1"/>
    </xf>
    <xf numFmtId="0" fontId="95" fillId="0" borderId="0" xfId="30" applyFont="1" applyFill="1" applyBorder="1" applyAlignment="1">
      <alignment vertical="top" wrapText="1"/>
    </xf>
    <xf numFmtId="0" fontId="40" fillId="0" borderId="51" xfId="0" applyFont="1" applyBorder="1" applyAlignment="1">
      <alignment horizontal="center" vertical="top"/>
    </xf>
    <xf numFmtId="0" fontId="40" fillId="0" borderId="22" xfId="0" applyFont="1" applyBorder="1" applyAlignment="1">
      <alignment horizontal="center" vertical="top"/>
    </xf>
    <xf numFmtId="0" fontId="40" fillId="0" borderId="54" xfId="0" applyFont="1" applyBorder="1" applyAlignment="1">
      <alignment horizontal="center" vertical="top"/>
    </xf>
    <xf numFmtId="0" fontId="122" fillId="0" borderId="0" xfId="0" applyFont="1" applyAlignment="1">
      <alignment horizontal="center" vertical="center"/>
    </xf>
    <xf numFmtId="0" fontId="123" fillId="0" borderId="0" xfId="0" applyFont="1" applyAlignment="1">
      <alignment horizontal="center" vertical="center"/>
    </xf>
    <xf numFmtId="167" fontId="45" fillId="12" borderId="64" xfId="0" applyNumberFormat="1" applyFont="1" applyFill="1" applyBorder="1" applyAlignment="1">
      <alignment horizontal="center" vertical="center" wrapText="1"/>
    </xf>
    <xf numFmtId="0" fontId="40" fillId="0" borderId="0" xfId="0" applyFont="1" applyAlignment="1">
      <alignment horizontal="center" vertical="top"/>
    </xf>
    <xf numFmtId="0" fontId="35" fillId="0" borderId="0" xfId="0" applyFont="1" applyAlignment="1">
      <alignment horizontal="center" vertical="top"/>
    </xf>
    <xf numFmtId="0" fontId="64" fillId="0" borderId="0" xfId="56" applyFont="1" applyFill="1" applyBorder="1" applyAlignment="1">
      <alignment vertical="center" wrapText="1"/>
    </xf>
    <xf numFmtId="0" fontId="35" fillId="0" borderId="0" xfId="45" applyFont="1"/>
    <xf numFmtId="0" fontId="124" fillId="0" borderId="0" xfId="45" applyFont="1" applyAlignment="1">
      <alignment horizontal="center" vertical="center" wrapText="1"/>
    </xf>
    <xf numFmtId="0" fontId="125" fillId="0" borderId="0" xfId="56" applyFont="1" applyFill="1" applyBorder="1" applyAlignment="1">
      <alignment horizontal="left" vertical="center" wrapText="1"/>
    </xf>
    <xf numFmtId="0" fontId="64" fillId="0" borderId="0" xfId="15" applyFont="1" applyAlignment="1">
      <alignment horizontal="left" vertical="center" wrapText="1"/>
    </xf>
    <xf numFmtId="0" fontId="126" fillId="0" borderId="0" xfId="15" applyFont="1" applyAlignment="1">
      <alignment vertical="center" wrapText="1"/>
    </xf>
    <xf numFmtId="0" fontId="35" fillId="0" borderId="0" xfId="55" applyAlignment="1">
      <alignment vertical="center"/>
    </xf>
    <xf numFmtId="0" fontId="127" fillId="0" borderId="0" xfId="55" applyFont="1" applyAlignment="1">
      <alignment horizontal="center"/>
    </xf>
    <xf numFmtId="0" fontId="81" fillId="0" borderId="0" xfId="55" applyFont="1" applyAlignment="1">
      <alignment vertical="center"/>
    </xf>
    <xf numFmtId="0" fontId="68" fillId="10" borderId="28" xfId="15" applyFont="1" applyFill="1" applyBorder="1" applyAlignment="1">
      <alignment horizontal="center" vertical="center" wrapText="1"/>
    </xf>
    <xf numFmtId="0" fontId="68" fillId="10" borderId="29" xfId="15" applyFont="1" applyFill="1" applyBorder="1" applyAlignment="1">
      <alignment horizontal="center" vertical="center" wrapText="1"/>
    </xf>
    <xf numFmtId="0" fontId="81" fillId="0" borderId="0" xfId="55" applyFont="1"/>
    <xf numFmtId="0" fontId="69" fillId="0" borderId="28" xfId="15" applyFont="1" applyBorder="1" applyAlignment="1">
      <alignment horizontal="center" vertical="center" wrapText="1"/>
    </xf>
    <xf numFmtId="0" fontId="68" fillId="0" borderId="0" xfId="15" applyFont="1" applyAlignment="1">
      <alignment horizontal="center" vertical="center" wrapText="1"/>
    </xf>
    <xf numFmtId="0" fontId="93" fillId="0" borderId="0" xfId="16" applyFont="1" applyAlignment="1">
      <alignment horizontal="left" vertical="center"/>
    </xf>
    <xf numFmtId="0" fontId="69" fillId="0" borderId="0" xfId="15" applyFont="1" applyAlignment="1">
      <alignment horizontal="center" vertical="center" wrapText="1"/>
    </xf>
    <xf numFmtId="0" fontId="69" fillId="0" borderId="34" xfId="15" applyFont="1" applyBorder="1" applyAlignment="1">
      <alignment horizontal="center" vertical="center" wrapText="1"/>
    </xf>
    <xf numFmtId="0" fontId="69" fillId="0" borderId="41" xfId="15" applyFont="1" applyBorder="1" applyAlignment="1">
      <alignment horizontal="center" vertical="center" wrapText="1"/>
    </xf>
    <xf numFmtId="0" fontId="72" fillId="0" borderId="0" xfId="30" applyFont="1" applyFill="1" applyBorder="1" applyAlignment="1">
      <alignment horizontal="center" vertical="center" wrapText="1"/>
    </xf>
    <xf numFmtId="0" fontId="48" fillId="7" borderId="0" xfId="55" applyFont="1" applyFill="1" applyAlignment="1">
      <alignment vertical="center"/>
    </xf>
    <xf numFmtId="0" fontId="35" fillId="7" borderId="0" xfId="55" applyFill="1"/>
    <xf numFmtId="0" fontId="64" fillId="0" borderId="0" xfId="55" applyFont="1" applyAlignment="1">
      <alignment horizontal="left" vertical="center" wrapText="1"/>
    </xf>
    <xf numFmtId="0" fontId="68" fillId="10" borderId="27" xfId="15" applyFont="1" applyFill="1" applyBorder="1" applyAlignment="1">
      <alignment horizontal="center" vertical="center" wrapText="1"/>
    </xf>
    <xf numFmtId="0" fontId="35" fillId="15" borderId="0" xfId="55" applyFill="1"/>
    <xf numFmtId="0" fontId="69" fillId="0" borderId="13" xfId="15" applyFont="1" applyBorder="1" applyAlignment="1">
      <alignment horizontal="center" vertical="center" wrapText="1"/>
    </xf>
    <xf numFmtId="0" fontId="64" fillId="0" borderId="0" xfId="15" applyFont="1" applyAlignment="1">
      <alignment horizontal="left" vertical="center"/>
    </xf>
    <xf numFmtId="0" fontId="128" fillId="0" borderId="0" xfId="55" applyFont="1" applyAlignment="1">
      <alignment vertical="center" wrapText="1"/>
    </xf>
    <xf numFmtId="0" fontId="68" fillId="10" borderId="39" xfId="15" applyFont="1" applyFill="1" applyBorder="1" applyAlignment="1">
      <alignment horizontal="center" vertical="center" wrapText="1"/>
    </xf>
    <xf numFmtId="0" fontId="69" fillId="0" borderId="32" xfId="15" applyFont="1" applyBorder="1" applyAlignment="1">
      <alignment horizontal="center" vertical="center" wrapText="1"/>
    </xf>
    <xf numFmtId="0" fontId="69" fillId="0" borderId="36" xfId="15" applyFont="1" applyBorder="1" applyAlignment="1">
      <alignment horizontal="center" vertical="center" wrapText="1"/>
    </xf>
    <xf numFmtId="0" fontId="69" fillId="0" borderId="39" xfId="15" applyFont="1" applyBorder="1" applyAlignment="1">
      <alignment horizontal="center" vertical="center" wrapText="1"/>
    </xf>
    <xf numFmtId="0" fontId="129" fillId="0" borderId="0" xfId="0" applyFont="1"/>
    <xf numFmtId="0" fontId="128" fillId="18" borderId="0" xfId="55" applyFont="1" applyFill="1" applyAlignment="1">
      <alignment vertical="center" wrapText="1"/>
    </xf>
    <xf numFmtId="0" fontId="35" fillId="18" borderId="0" xfId="55" applyFill="1" applyAlignment="1">
      <alignment vertical="center"/>
    </xf>
    <xf numFmtId="0" fontId="68" fillId="10" borderId="73" xfId="15" applyFont="1" applyFill="1" applyBorder="1" applyAlignment="1">
      <alignment vertical="center" wrapText="1"/>
    </xf>
    <xf numFmtId="0" fontId="68" fillId="10" borderId="75" xfId="15" applyFont="1" applyFill="1" applyBorder="1" applyAlignment="1">
      <alignment vertical="center" wrapText="1"/>
    </xf>
    <xf numFmtId="0" fontId="69" fillId="0" borderId="76" xfId="15" applyFont="1" applyBorder="1" applyAlignment="1">
      <alignment horizontal="center" vertical="center" wrapText="1"/>
    </xf>
    <xf numFmtId="0" fontId="69" fillId="0" borderId="78" xfId="15" applyFont="1" applyBorder="1" applyAlignment="1">
      <alignment horizontal="center" vertical="center" wrapText="1"/>
    </xf>
    <xf numFmtId="0" fontId="69" fillId="0" borderId="0" xfId="15" applyFont="1" applyAlignment="1">
      <alignment vertical="center" wrapText="1"/>
    </xf>
    <xf numFmtId="0" fontId="68" fillId="10" borderId="88" xfId="15" applyFont="1" applyFill="1" applyBorder="1" applyAlignment="1">
      <alignment horizontal="center" vertical="center" wrapText="1"/>
    </xf>
    <xf numFmtId="0" fontId="68" fillId="10" borderId="89" xfId="15" applyFont="1" applyFill="1" applyBorder="1" applyAlignment="1">
      <alignment horizontal="center" vertical="center" wrapText="1"/>
    </xf>
    <xf numFmtId="0" fontId="68" fillId="10" borderId="90" xfId="15" applyFont="1" applyFill="1" applyBorder="1" applyAlignment="1">
      <alignment horizontal="center" vertical="center" wrapText="1"/>
    </xf>
    <xf numFmtId="0" fontId="68" fillId="10" borderId="76" xfId="15" applyFont="1" applyFill="1" applyBorder="1" applyAlignment="1">
      <alignment horizontal="center" vertical="center" wrapText="1"/>
    </xf>
    <xf numFmtId="0" fontId="68" fillId="10" borderId="78" xfId="15" applyFont="1" applyFill="1" applyBorder="1" applyAlignment="1">
      <alignment horizontal="center" vertical="center" wrapText="1"/>
    </xf>
    <xf numFmtId="0" fontId="68" fillId="18" borderId="76" xfId="15" applyFont="1" applyFill="1" applyBorder="1" applyAlignment="1">
      <alignment horizontal="center" vertical="center" wrapText="1"/>
    </xf>
    <xf numFmtId="0" fontId="68" fillId="18" borderId="78" xfId="15" applyFont="1" applyFill="1" applyBorder="1" applyAlignment="1">
      <alignment horizontal="center" vertical="center" wrapText="1"/>
    </xf>
    <xf numFmtId="0" fontId="68" fillId="10" borderId="72" xfId="15" applyFont="1" applyFill="1" applyBorder="1" applyAlignment="1">
      <alignment horizontal="center" vertical="center" wrapText="1"/>
    </xf>
    <xf numFmtId="0" fontId="69" fillId="0" borderId="73" xfId="15" applyFont="1" applyBorder="1" applyAlignment="1">
      <alignment horizontal="center" vertical="center" wrapText="1"/>
    </xf>
    <xf numFmtId="0" fontId="69" fillId="0" borderId="74" xfId="15" applyFont="1" applyBorder="1" applyAlignment="1">
      <alignment horizontal="center" vertical="center" wrapText="1"/>
    </xf>
    <xf numFmtId="167" fontId="69" fillId="0" borderId="74" xfId="15" applyNumberFormat="1" applyFont="1" applyBorder="1" applyAlignment="1">
      <alignment horizontal="center" vertical="center" wrapText="1"/>
    </xf>
    <xf numFmtId="0" fontId="69" fillId="0" borderId="75" xfId="15" applyFont="1" applyBorder="1" applyAlignment="1">
      <alignment horizontal="center" vertical="center" wrapText="1"/>
    </xf>
    <xf numFmtId="175" fontId="69" fillId="13" borderId="75" xfId="38" applyNumberFormat="1" applyFont="1" applyFill="1" applyBorder="1" applyAlignment="1">
      <alignment horizontal="center" vertical="center" wrapText="1"/>
    </xf>
    <xf numFmtId="0" fontId="69" fillId="18" borderId="73" xfId="15" applyFont="1" applyFill="1" applyBorder="1" applyAlignment="1">
      <alignment horizontal="center" vertical="center" wrapText="1"/>
    </xf>
    <xf numFmtId="9" fontId="69" fillId="18" borderId="75" xfId="38" applyFont="1" applyFill="1" applyBorder="1" applyAlignment="1">
      <alignment horizontal="center" vertical="center" wrapText="1"/>
    </xf>
    <xf numFmtId="0" fontId="99" fillId="0" borderId="79" xfId="30" applyFont="1" applyBorder="1" applyAlignment="1">
      <alignment horizontal="center" vertical="center" wrapText="1"/>
    </xf>
    <xf numFmtId="0" fontId="69" fillId="0" borderId="82" xfId="15" applyFont="1" applyBorder="1" applyAlignment="1">
      <alignment horizontal="center" vertical="center" wrapText="1"/>
    </xf>
    <xf numFmtId="0" fontId="69" fillId="0" borderId="20" xfId="15" applyFont="1" applyBorder="1" applyAlignment="1">
      <alignment horizontal="center" vertical="center" wrapText="1"/>
    </xf>
    <xf numFmtId="167" fontId="69" fillId="0" borderId="20" xfId="15" applyNumberFormat="1" applyFont="1" applyBorder="1" applyAlignment="1">
      <alignment horizontal="center" vertical="center" wrapText="1"/>
    </xf>
    <xf numFmtId="0" fontId="69" fillId="0" borderId="83" xfId="15" applyFont="1" applyBorder="1" applyAlignment="1">
      <alignment horizontal="center" vertical="center" wrapText="1"/>
    </xf>
    <xf numFmtId="175" fontId="69" fillId="20" borderId="83" xfId="38" applyNumberFormat="1" applyFont="1" applyFill="1" applyBorder="1" applyAlignment="1">
      <alignment horizontal="center" vertical="center" wrapText="1"/>
    </xf>
    <xf numFmtId="0" fontId="69" fillId="18" borderId="82" xfId="15" applyFont="1" applyFill="1" applyBorder="1" applyAlignment="1">
      <alignment horizontal="center" vertical="center" wrapText="1"/>
    </xf>
    <xf numFmtId="9" fontId="69" fillId="18" borderId="83" xfId="38" applyFont="1" applyFill="1" applyBorder="1" applyAlignment="1">
      <alignment horizontal="center" vertical="center" wrapText="1"/>
    </xf>
    <xf numFmtId="0" fontId="99" fillId="0" borderId="84" xfId="30" applyFont="1" applyBorder="1" applyAlignment="1">
      <alignment horizontal="center" vertical="center" wrapText="1"/>
    </xf>
    <xf numFmtId="0" fontId="69" fillId="0" borderId="77" xfId="15" applyFont="1" applyBorder="1" applyAlignment="1">
      <alignment horizontal="center" vertical="center" wrapText="1"/>
    </xf>
    <xf numFmtId="167" fontId="69" fillId="0" borderId="77" xfId="15" applyNumberFormat="1" applyFont="1" applyBorder="1" applyAlignment="1">
      <alignment horizontal="center" vertical="center" wrapText="1"/>
    </xf>
    <xf numFmtId="175" fontId="69" fillId="20" borderId="78" xfId="38" applyNumberFormat="1" applyFont="1" applyFill="1" applyBorder="1" applyAlignment="1">
      <alignment horizontal="center" vertical="center" wrapText="1"/>
    </xf>
    <xf numFmtId="0" fontId="69" fillId="18" borderId="76" xfId="15" applyFont="1" applyFill="1" applyBorder="1" applyAlignment="1">
      <alignment horizontal="center" vertical="center" wrapText="1"/>
    </xf>
    <xf numFmtId="9" fontId="69" fillId="18" borderId="78" xfId="38" applyFont="1" applyFill="1" applyBorder="1" applyAlignment="1">
      <alignment horizontal="center" vertical="center" wrapText="1"/>
    </xf>
    <xf numFmtId="0" fontId="99" fillId="0" borderId="80" xfId="30" applyFont="1" applyBorder="1" applyAlignment="1">
      <alignment horizontal="center" vertical="center" wrapText="1"/>
    </xf>
    <xf numFmtId="0" fontId="68" fillId="10" borderId="33" xfId="15" applyFont="1" applyFill="1" applyBorder="1" applyAlignment="1">
      <alignment vertical="center" wrapText="1"/>
    </xf>
    <xf numFmtId="0" fontId="68" fillId="10" borderId="32" xfId="15" applyFont="1" applyFill="1" applyBorder="1" applyAlignment="1">
      <alignment vertical="center" wrapText="1"/>
    </xf>
    <xf numFmtId="0" fontId="69" fillId="0" borderId="40" xfId="15" applyFont="1" applyBorder="1" applyAlignment="1">
      <alignment horizontal="center" vertical="center" wrapText="1"/>
    </xf>
    <xf numFmtId="0" fontId="68" fillId="10" borderId="40" xfId="15" applyFont="1" applyFill="1" applyBorder="1" applyAlignment="1">
      <alignment horizontal="center" vertical="center" wrapText="1"/>
    </xf>
    <xf numFmtId="0" fontId="68" fillId="18" borderId="40" xfId="15" applyFont="1" applyFill="1" applyBorder="1" applyAlignment="1">
      <alignment horizontal="center" vertical="center" wrapText="1"/>
    </xf>
    <xf numFmtId="0" fontId="68" fillId="18" borderId="39" xfId="15" applyFont="1" applyFill="1" applyBorder="1" applyAlignment="1">
      <alignment horizontal="center" vertical="center" wrapText="1"/>
    </xf>
    <xf numFmtId="0" fontId="68" fillId="10" borderId="26" xfId="15" applyFont="1" applyFill="1" applyBorder="1" applyAlignment="1">
      <alignment horizontal="center" vertical="center" wrapText="1"/>
    </xf>
    <xf numFmtId="0" fontId="69" fillId="0" borderId="27" xfId="15" applyFont="1" applyBorder="1" applyAlignment="1">
      <alignment horizontal="center" vertical="center" wrapText="1"/>
    </xf>
    <xf numFmtId="3" fontId="69" fillId="0" borderId="39" xfId="15" applyNumberFormat="1" applyFont="1" applyBorder="1" applyAlignment="1">
      <alignment horizontal="center" vertical="center" wrapText="1"/>
    </xf>
    <xf numFmtId="9" fontId="69" fillId="20" borderId="29" xfId="38" applyFont="1" applyFill="1" applyBorder="1" applyAlignment="1">
      <alignment horizontal="center" vertical="center" wrapText="1"/>
    </xf>
    <xf numFmtId="0" fontId="69" fillId="18" borderId="27" xfId="15" applyFont="1" applyFill="1" applyBorder="1" applyAlignment="1">
      <alignment horizontal="center" vertical="center" wrapText="1"/>
    </xf>
    <xf numFmtId="9" fontId="69" fillId="18" borderId="29" xfId="38" applyFont="1" applyFill="1" applyBorder="1" applyAlignment="1">
      <alignment horizontal="center" vertical="center" wrapText="1"/>
    </xf>
    <xf numFmtId="0" fontId="99" fillId="0" borderId="38" xfId="30" applyFont="1" applyBorder="1" applyAlignment="1">
      <alignment horizontal="center" vertical="center" wrapText="1"/>
    </xf>
    <xf numFmtId="0" fontId="69" fillId="0" borderId="33" xfId="15" applyFont="1" applyBorder="1" applyAlignment="1">
      <alignment horizontal="center" vertical="center" wrapText="1"/>
    </xf>
    <xf numFmtId="175" fontId="69" fillId="13" borderId="32" xfId="38" applyNumberFormat="1" applyFont="1" applyFill="1" applyBorder="1" applyAlignment="1">
      <alignment horizontal="center" vertical="center" wrapText="1"/>
    </xf>
    <xf numFmtId="9" fontId="69" fillId="0" borderId="0" xfId="38" applyFont="1" applyBorder="1" applyAlignment="1">
      <alignment horizontal="center" vertical="center" wrapText="1"/>
    </xf>
    <xf numFmtId="0" fontId="69" fillId="18" borderId="33" xfId="15" applyFont="1" applyFill="1" applyBorder="1" applyAlignment="1">
      <alignment horizontal="center" vertical="center" wrapText="1"/>
    </xf>
    <xf numFmtId="9" fontId="69" fillId="18" borderId="32" xfId="38" applyFont="1" applyFill="1" applyBorder="1" applyAlignment="1">
      <alignment horizontal="center" vertical="center" wrapText="1"/>
    </xf>
    <xf numFmtId="9" fontId="69" fillId="18" borderId="0" xfId="38" applyFont="1" applyFill="1" applyBorder="1" applyAlignment="1">
      <alignment horizontal="center" vertical="center" wrapText="1"/>
    </xf>
    <xf numFmtId="0" fontId="99" fillId="0" borderId="31" xfId="30" applyFont="1" applyBorder="1" applyAlignment="1">
      <alignment horizontal="center" vertical="center" wrapText="1"/>
    </xf>
    <xf numFmtId="0" fontId="69" fillId="0" borderId="37" xfId="15" applyFont="1" applyBorder="1" applyAlignment="1">
      <alignment horizontal="center" vertical="center" wrapText="1"/>
    </xf>
    <xf numFmtId="175" fontId="69" fillId="20" borderId="36" xfId="38" applyNumberFormat="1" applyFont="1" applyFill="1" applyBorder="1" applyAlignment="1">
      <alignment horizontal="center" vertical="center" wrapText="1"/>
    </xf>
    <xf numFmtId="0" fontId="69" fillId="18" borderId="37" xfId="15" applyFont="1" applyFill="1" applyBorder="1" applyAlignment="1">
      <alignment horizontal="center" vertical="center" wrapText="1"/>
    </xf>
    <xf numFmtId="9" fontId="69" fillId="18" borderId="36" xfId="38" applyFont="1" applyFill="1" applyBorder="1" applyAlignment="1">
      <alignment horizontal="center" vertical="center" wrapText="1"/>
    </xf>
    <xf numFmtId="0" fontId="99" fillId="0" borderId="35" xfId="30" applyFont="1" applyBorder="1" applyAlignment="1">
      <alignment horizontal="center" vertical="center" wrapText="1"/>
    </xf>
    <xf numFmtId="167" fontId="69" fillId="0" borderId="13" xfId="15" applyNumberFormat="1" applyFont="1" applyBorder="1" applyAlignment="1">
      <alignment horizontal="center" vertical="center" wrapText="1"/>
    </xf>
    <xf numFmtId="0" fontId="69" fillId="0" borderId="24" xfId="15" applyFont="1" applyBorder="1" applyAlignment="1">
      <alignment horizontal="center" vertical="center" wrapText="1"/>
    </xf>
    <xf numFmtId="167" fontId="69" fillId="0" borderId="41" xfId="15" applyNumberFormat="1" applyFont="1" applyBorder="1" applyAlignment="1">
      <alignment horizontal="center" vertical="center" wrapText="1"/>
    </xf>
    <xf numFmtId="175" fontId="69" fillId="20" borderId="39" xfId="38" applyNumberFormat="1" applyFont="1" applyFill="1" applyBorder="1" applyAlignment="1">
      <alignment horizontal="center" vertical="center" wrapText="1"/>
    </xf>
    <xf numFmtId="0" fontId="69" fillId="18" borderId="40" xfId="15" applyFont="1" applyFill="1" applyBorder="1" applyAlignment="1">
      <alignment horizontal="center" vertical="center" wrapText="1"/>
    </xf>
    <xf numFmtId="9" fontId="69" fillId="18" borderId="39" xfId="38" applyFont="1" applyFill="1" applyBorder="1" applyAlignment="1">
      <alignment horizontal="center" vertical="center" wrapText="1"/>
    </xf>
    <xf numFmtId="175" fontId="69" fillId="20" borderId="32" xfId="38" applyNumberFormat="1" applyFont="1" applyFill="1" applyBorder="1" applyAlignment="1">
      <alignment horizontal="center" vertical="center" wrapText="1"/>
    </xf>
    <xf numFmtId="175" fontId="69" fillId="0" borderId="36" xfId="15" applyNumberFormat="1" applyFont="1" applyBorder="1" applyAlignment="1">
      <alignment horizontal="center" vertical="center" wrapText="1"/>
    </xf>
    <xf numFmtId="175" fontId="69" fillId="0" borderId="39" xfId="38" applyNumberFormat="1" applyFont="1" applyBorder="1" applyAlignment="1">
      <alignment horizontal="center" vertical="center" wrapText="1"/>
    </xf>
    <xf numFmtId="167" fontId="58" fillId="0" borderId="0" xfId="0" applyNumberFormat="1" applyFont="1"/>
    <xf numFmtId="167" fontId="69" fillId="0" borderId="39" xfId="15" applyNumberFormat="1" applyFont="1" applyBorder="1" applyAlignment="1">
      <alignment horizontal="center" vertical="center" wrapText="1"/>
    </xf>
    <xf numFmtId="167" fontId="69" fillId="0" borderId="34" xfId="15" applyNumberFormat="1" applyFont="1" applyBorder="1" applyAlignment="1">
      <alignment horizontal="center" vertical="center" wrapText="1"/>
    </xf>
    <xf numFmtId="43" fontId="58" fillId="0" borderId="0" xfId="0" applyNumberFormat="1" applyFont="1"/>
    <xf numFmtId="167" fontId="69" fillId="0" borderId="28" xfId="15" applyNumberFormat="1" applyFont="1" applyBorder="1" applyAlignment="1">
      <alignment horizontal="center" vertical="center" wrapText="1"/>
    </xf>
    <xf numFmtId="175" fontId="69" fillId="20" borderId="29" xfId="38" applyNumberFormat="1" applyFont="1" applyFill="1" applyBorder="1" applyAlignment="1">
      <alignment horizontal="center" vertical="center" wrapText="1"/>
    </xf>
    <xf numFmtId="9" fontId="69" fillId="0" borderId="29" xfId="38" applyFont="1" applyBorder="1" applyAlignment="1">
      <alignment horizontal="center" vertical="center" wrapText="1"/>
    </xf>
    <xf numFmtId="9" fontId="69" fillId="18" borderId="27" xfId="15" applyNumberFormat="1" applyFont="1" applyFill="1" applyBorder="1" applyAlignment="1">
      <alignment horizontal="center" vertical="center" wrapText="1"/>
    </xf>
    <xf numFmtId="0" fontId="69" fillId="5" borderId="34" xfId="15" applyFont="1" applyFill="1" applyBorder="1" applyAlignment="1">
      <alignment horizontal="center" vertical="center" wrapText="1"/>
    </xf>
    <xf numFmtId="3" fontId="69" fillId="0" borderId="32" xfId="57" applyNumberFormat="1" applyFont="1" applyBorder="1" applyAlignment="1">
      <alignment horizontal="center" vertical="center" wrapText="1"/>
    </xf>
    <xf numFmtId="3" fontId="69" fillId="0" borderId="39" xfId="57" applyNumberFormat="1" applyFont="1" applyBorder="1" applyAlignment="1">
      <alignment horizontal="center" vertical="center" wrapText="1"/>
    </xf>
    <xf numFmtId="167" fontId="69" fillId="0" borderId="32" xfId="57" applyNumberFormat="1" applyFont="1" applyBorder="1" applyAlignment="1">
      <alignment horizontal="center" vertical="center" wrapText="1"/>
    </xf>
    <xf numFmtId="167" fontId="69" fillId="0" borderId="36" xfId="57" applyNumberFormat="1" applyFont="1" applyBorder="1" applyAlignment="1">
      <alignment horizontal="center" vertical="center" wrapText="1"/>
    </xf>
    <xf numFmtId="167" fontId="69" fillId="0" borderId="36" xfId="15" applyNumberFormat="1" applyFont="1" applyBorder="1" applyAlignment="1">
      <alignment horizontal="center" vertical="center" wrapText="1"/>
    </xf>
    <xf numFmtId="9" fontId="69" fillId="0" borderId="36" xfId="15" applyNumberFormat="1" applyFont="1" applyBorder="1" applyAlignment="1">
      <alignment horizontal="center" vertical="center" wrapText="1"/>
    </xf>
    <xf numFmtId="9" fontId="69" fillId="0" borderId="44" xfId="15" applyNumberFormat="1" applyFont="1" applyBorder="1" applyAlignment="1">
      <alignment horizontal="center" vertical="center" wrapText="1"/>
    </xf>
    <xf numFmtId="0" fontId="69" fillId="0" borderId="23" xfId="15" applyFont="1" applyBorder="1" applyAlignment="1">
      <alignment horizontal="center" vertical="center" wrapText="1"/>
    </xf>
    <xf numFmtId="167" fontId="69" fillId="0" borderId="23" xfId="15" applyNumberFormat="1" applyFont="1" applyBorder="1" applyAlignment="1">
      <alignment horizontal="center" vertical="center" wrapText="1"/>
    </xf>
    <xf numFmtId="9" fontId="69" fillId="0" borderId="39" xfId="15" applyNumberFormat="1" applyFont="1" applyBorder="1" applyAlignment="1">
      <alignment horizontal="center" vertical="center" wrapText="1"/>
    </xf>
    <xf numFmtId="0" fontId="69" fillId="0" borderId="25" xfId="15" applyFont="1" applyBorder="1" applyAlignment="1">
      <alignment horizontal="center" vertical="center" wrapText="1"/>
    </xf>
    <xf numFmtId="167" fontId="69" fillId="0" borderId="44" xfId="57" applyNumberFormat="1" applyFont="1" applyBorder="1" applyAlignment="1">
      <alignment horizontal="center" vertical="center" wrapText="1"/>
    </xf>
    <xf numFmtId="0" fontId="99" fillId="0" borderId="45" xfId="30" applyFont="1" applyBorder="1" applyAlignment="1">
      <alignment horizontal="center" vertical="center" wrapText="1"/>
    </xf>
    <xf numFmtId="9" fontId="69" fillId="0" borderId="44" xfId="57" applyNumberFormat="1" applyFont="1" applyBorder="1" applyAlignment="1">
      <alignment horizontal="center" vertical="center" wrapText="1"/>
    </xf>
    <xf numFmtId="3" fontId="69" fillId="0" borderId="44" xfId="57" applyNumberFormat="1" applyFont="1" applyBorder="1" applyAlignment="1">
      <alignment horizontal="center" vertical="center" wrapText="1"/>
    </xf>
    <xf numFmtId="3" fontId="69" fillId="0" borderId="36" xfId="57" applyNumberFormat="1" applyFont="1" applyBorder="1" applyAlignment="1">
      <alignment horizontal="center" vertical="center" wrapText="1"/>
    </xf>
    <xf numFmtId="9" fontId="69" fillId="0" borderId="32" xfId="38" applyFont="1" applyBorder="1" applyAlignment="1">
      <alignment horizontal="center" vertical="center" wrapText="1"/>
    </xf>
    <xf numFmtId="0" fontId="69" fillId="0" borderId="44" xfId="15" applyFont="1" applyBorder="1" applyAlignment="1">
      <alignment horizontal="center" vertical="center" wrapText="1"/>
    </xf>
    <xf numFmtId="0" fontId="40" fillId="12" borderId="20" xfId="0" applyFont="1" applyFill="1" applyBorder="1" applyAlignment="1">
      <alignment horizontal="center" vertical="center" wrapText="1"/>
    </xf>
    <xf numFmtId="0" fontId="40" fillId="0" borderId="73" xfId="0" applyFont="1" applyBorder="1" applyAlignment="1">
      <alignment horizontal="left" vertical="center" wrapText="1"/>
    </xf>
    <xf numFmtId="0" fontId="40" fillId="12" borderId="75" xfId="0" applyFont="1" applyFill="1" applyBorder="1" applyAlignment="1">
      <alignment horizontal="center" vertical="center" wrapText="1"/>
    </xf>
    <xf numFmtId="0" fontId="40" fillId="0" borderId="82" xfId="0" applyFont="1" applyBorder="1" applyAlignment="1">
      <alignment horizontal="left" vertical="center" wrapText="1"/>
    </xf>
    <xf numFmtId="0" fontId="40" fillId="12" borderId="83" xfId="0" applyFont="1" applyFill="1" applyBorder="1" applyAlignment="1">
      <alignment horizontal="center" vertical="center" wrapText="1"/>
    </xf>
    <xf numFmtId="0" fontId="40" fillId="0" borderId="76" xfId="0" applyFont="1" applyBorder="1" applyAlignment="1">
      <alignment horizontal="left" vertical="center" wrapText="1"/>
    </xf>
    <xf numFmtId="0" fontId="40" fillId="12" borderId="78" xfId="0" applyFont="1" applyFill="1" applyBorder="1" applyAlignment="1">
      <alignment horizontal="center" vertical="center" wrapText="1"/>
    </xf>
    <xf numFmtId="0" fontId="40" fillId="12" borderId="74" xfId="0" applyFont="1" applyFill="1" applyBorder="1" applyAlignment="1">
      <alignment horizontal="center" vertical="center" wrapText="1"/>
    </xf>
    <xf numFmtId="166" fontId="40" fillId="12" borderId="51" xfId="0" applyNumberFormat="1" applyFont="1" applyFill="1" applyBorder="1" applyAlignment="1" applyProtection="1">
      <alignment horizontal="center" vertical="center" wrapText="1"/>
      <protection locked="0"/>
    </xf>
    <xf numFmtId="166" fontId="40" fillId="12" borderId="22" xfId="0" applyNumberFormat="1" applyFont="1" applyFill="1" applyBorder="1" applyAlignment="1" applyProtection="1">
      <alignment horizontal="center" vertical="center" wrapText="1"/>
      <protection locked="0"/>
    </xf>
    <xf numFmtId="172" fontId="40" fillId="17" borderId="51" xfId="0" applyNumberFormat="1" applyFont="1" applyFill="1" applyBorder="1" applyAlignment="1">
      <alignment horizontal="center" vertical="center" wrapText="1"/>
    </xf>
    <xf numFmtId="172" fontId="40" fillId="13" borderId="52" xfId="0" applyNumberFormat="1" applyFont="1" applyFill="1" applyBorder="1" applyAlignment="1">
      <alignment horizontal="center" vertical="center" wrapText="1"/>
    </xf>
    <xf numFmtId="172" fontId="40" fillId="17" borderId="22" xfId="0" applyNumberFormat="1" applyFont="1" applyFill="1" applyBorder="1" applyAlignment="1">
      <alignment horizontal="center" vertical="center" wrapText="1"/>
    </xf>
    <xf numFmtId="172" fontId="40" fillId="13" borderId="60" xfId="0" applyNumberFormat="1" applyFont="1" applyFill="1" applyBorder="1" applyAlignment="1">
      <alignment horizontal="center" vertical="center" wrapText="1"/>
    </xf>
    <xf numFmtId="172" fontId="40" fillId="13" borderId="22" xfId="0" applyNumberFormat="1" applyFont="1" applyFill="1" applyBorder="1" applyAlignment="1">
      <alignment horizontal="center" vertical="center"/>
    </xf>
    <xf numFmtId="172" fontId="40" fillId="13" borderId="54" xfId="0" applyNumberFormat="1" applyFont="1" applyFill="1" applyBorder="1" applyAlignment="1">
      <alignment horizontal="center" vertical="center"/>
    </xf>
    <xf numFmtId="172" fontId="40" fillId="13" borderId="55" xfId="0" applyNumberFormat="1" applyFont="1" applyFill="1" applyBorder="1" applyAlignment="1">
      <alignment horizontal="center" vertical="center" wrapText="1"/>
    </xf>
    <xf numFmtId="172" fontId="40" fillId="12" borderId="64" xfId="0" applyNumberFormat="1" applyFont="1" applyFill="1" applyBorder="1" applyAlignment="1" applyProtection="1">
      <alignment horizontal="center" vertical="center" wrapText="1"/>
      <protection locked="0"/>
    </xf>
    <xf numFmtId="172" fontId="45" fillId="13" borderId="63" xfId="0" applyNumberFormat="1" applyFont="1" applyFill="1" applyBorder="1" applyAlignment="1">
      <alignment horizontal="center" vertical="center" wrapText="1"/>
    </xf>
    <xf numFmtId="172" fontId="45" fillId="17" borderId="51" xfId="0" applyNumberFormat="1" applyFont="1" applyFill="1" applyBorder="1" applyAlignment="1">
      <alignment horizontal="center" vertical="center" wrapText="1"/>
    </xf>
    <xf numFmtId="172" fontId="43" fillId="17" borderId="22" xfId="0" applyNumberFormat="1" applyFont="1" applyFill="1" applyBorder="1" applyAlignment="1">
      <alignment horizontal="center" vertical="center" wrapText="1"/>
    </xf>
    <xf numFmtId="172" fontId="45" fillId="13" borderId="54" xfId="0" applyNumberFormat="1" applyFont="1" applyFill="1" applyBorder="1" applyAlignment="1">
      <alignment horizontal="center" vertical="center"/>
    </xf>
    <xf numFmtId="172" fontId="40" fillId="13" borderId="63" xfId="0" applyNumberFormat="1" applyFont="1" applyFill="1" applyBorder="1" applyAlignment="1">
      <alignment horizontal="center" vertical="center" wrapText="1"/>
    </xf>
    <xf numFmtId="172" fontId="45" fillId="13" borderId="64" xfId="0" applyNumberFormat="1" applyFont="1" applyFill="1" applyBorder="1" applyAlignment="1">
      <alignment horizontal="center" vertical="center" wrapText="1"/>
    </xf>
    <xf numFmtId="172" fontId="40" fillId="12" borderId="51" xfId="0" applyNumberFormat="1" applyFont="1" applyFill="1" applyBorder="1" applyAlignment="1" applyProtection="1">
      <alignment horizontal="center" vertical="center" wrapText="1"/>
      <protection locked="0"/>
    </xf>
    <xf numFmtId="172" fontId="40" fillId="12" borderId="22" xfId="0" applyNumberFormat="1" applyFont="1" applyFill="1" applyBorder="1" applyAlignment="1" applyProtection="1">
      <alignment horizontal="center" vertical="center" wrapText="1"/>
      <protection locked="0"/>
    </xf>
    <xf numFmtId="172" fontId="45" fillId="13" borderId="54" xfId="0" applyNumberFormat="1" applyFont="1" applyFill="1" applyBorder="1" applyAlignment="1">
      <alignment horizontal="center" vertical="center" wrapText="1"/>
    </xf>
    <xf numFmtId="172" fontId="40" fillId="12" borderId="22" xfId="39" applyNumberFormat="1" applyFont="1" applyFill="1" applyBorder="1" applyAlignment="1" applyProtection="1">
      <alignment horizontal="center" vertical="center" wrapText="1"/>
      <protection locked="0"/>
    </xf>
    <xf numFmtId="172" fontId="40" fillId="13" borderId="54" xfId="0" applyNumberFormat="1" applyFont="1" applyFill="1" applyBorder="1" applyAlignment="1">
      <alignment horizontal="center" vertical="center" wrapText="1"/>
    </xf>
    <xf numFmtId="172" fontId="43" fillId="0" borderId="0" xfId="0" applyNumberFormat="1" applyFont="1" applyAlignment="1">
      <alignment horizontal="center" vertical="center" wrapText="1"/>
    </xf>
    <xf numFmtId="172" fontId="43" fillId="0" borderId="0" xfId="0" applyNumberFormat="1" applyFont="1" applyAlignment="1">
      <alignment vertical="center"/>
    </xf>
    <xf numFmtId="172" fontId="45" fillId="13" borderId="22" xfId="0" applyNumberFormat="1" applyFont="1" applyFill="1" applyBorder="1" applyAlignment="1">
      <alignment horizontal="center" vertical="center"/>
    </xf>
    <xf numFmtId="172" fontId="45" fillId="13" borderId="51" xfId="0" applyNumberFormat="1" applyFont="1" applyFill="1" applyBorder="1" applyAlignment="1">
      <alignment horizontal="center" vertical="center" wrapText="1"/>
    </xf>
    <xf numFmtId="172" fontId="45" fillId="13" borderId="52" xfId="0" applyNumberFormat="1" applyFont="1" applyFill="1" applyBorder="1" applyAlignment="1">
      <alignment horizontal="center" vertical="center" wrapText="1"/>
    </xf>
    <xf numFmtId="172" fontId="45" fillId="13" borderId="22" xfId="0" applyNumberFormat="1" applyFont="1" applyFill="1" applyBorder="1" applyAlignment="1">
      <alignment horizontal="center" vertical="center" wrapText="1"/>
    </xf>
    <xf numFmtId="172" fontId="45" fillId="13" borderId="60" xfId="0" applyNumberFormat="1" applyFont="1" applyFill="1" applyBorder="1" applyAlignment="1">
      <alignment horizontal="center" vertical="center" wrapText="1"/>
    </xf>
    <xf numFmtId="172" fontId="45" fillId="13" borderId="55" xfId="0" applyNumberFormat="1" applyFont="1" applyFill="1" applyBorder="1" applyAlignment="1">
      <alignment horizontal="center" vertical="center" wrapText="1"/>
    </xf>
    <xf numFmtId="172" fontId="43" fillId="0" borderId="0" xfId="3" applyNumberFormat="1" applyFont="1" applyAlignment="1">
      <alignment horizontal="center" vertical="center"/>
    </xf>
    <xf numFmtId="172" fontId="43" fillId="0" borderId="0" xfId="3" applyNumberFormat="1" applyFont="1" applyAlignment="1">
      <alignment vertical="center"/>
    </xf>
    <xf numFmtId="172" fontId="43" fillId="13" borderId="20" xfId="0" applyNumberFormat="1" applyFont="1" applyFill="1" applyBorder="1" applyAlignment="1">
      <alignment horizontal="center" vertical="center" wrapText="1"/>
    </xf>
    <xf numFmtId="172" fontId="43" fillId="5" borderId="0" xfId="0" applyNumberFormat="1" applyFont="1" applyFill="1" applyAlignment="1">
      <alignment vertical="center"/>
    </xf>
    <xf numFmtId="172" fontId="43" fillId="5" borderId="0" xfId="35" applyNumberFormat="1" applyFont="1" applyFill="1" applyAlignment="1">
      <alignment vertical="center"/>
    </xf>
    <xf numFmtId="172" fontId="43" fillId="5" borderId="0" xfId="15" applyNumberFormat="1" applyFont="1" applyFill="1" applyAlignment="1">
      <alignment vertical="center"/>
    </xf>
    <xf numFmtId="172" fontId="43" fillId="0" borderId="0" xfId="15" applyNumberFormat="1" applyFont="1" applyAlignment="1">
      <alignment vertical="center"/>
    </xf>
    <xf numFmtId="172" fontId="43" fillId="5" borderId="0" xfId="2" applyNumberFormat="1" applyFont="1" applyFill="1" applyAlignment="1" applyProtection="1">
      <alignment horizontal="center" vertical="center"/>
      <protection locked="0"/>
    </xf>
    <xf numFmtId="172" fontId="40" fillId="5" borderId="0" xfId="0" applyNumberFormat="1" applyFont="1" applyFill="1" applyAlignment="1">
      <alignment vertical="center"/>
    </xf>
    <xf numFmtId="171" fontId="45" fillId="12" borderId="51" xfId="0" applyNumberFormat="1" applyFont="1" applyFill="1" applyBorder="1" applyAlignment="1" applyProtection="1">
      <alignment horizontal="center" vertical="center" wrapText="1"/>
      <protection locked="0"/>
    </xf>
    <xf numFmtId="171" fontId="45" fillId="12" borderId="52" xfId="0" applyNumberFormat="1" applyFont="1" applyFill="1" applyBorder="1" applyAlignment="1" applyProtection="1">
      <alignment horizontal="center" vertical="center" wrapText="1"/>
      <protection locked="0"/>
    </xf>
    <xf numFmtId="171" fontId="45" fillId="12" borderId="22" xfId="0" applyNumberFormat="1" applyFont="1" applyFill="1" applyBorder="1" applyAlignment="1" applyProtection="1">
      <alignment horizontal="center" vertical="center" wrapText="1"/>
      <protection locked="0"/>
    </xf>
    <xf numFmtId="171" fontId="45" fillId="12" borderId="60" xfId="0" applyNumberFormat="1" applyFont="1" applyFill="1" applyBorder="1" applyAlignment="1" applyProtection="1">
      <alignment horizontal="center" vertical="center" wrapText="1"/>
      <protection locked="0"/>
    </xf>
    <xf numFmtId="171" fontId="43" fillId="10" borderId="54" xfId="0" applyNumberFormat="1" applyFont="1" applyFill="1" applyBorder="1" applyAlignment="1">
      <alignment vertical="center"/>
    </xf>
    <xf numFmtId="171" fontId="43" fillId="10" borderId="55" xfId="0" applyNumberFormat="1" applyFont="1" applyFill="1" applyBorder="1" applyAlignment="1">
      <alignment vertical="center"/>
    </xf>
    <xf numFmtId="171" fontId="43" fillId="5" borderId="0" xfId="0" applyNumberFormat="1" applyFont="1" applyFill="1" applyAlignment="1">
      <alignment vertical="center"/>
    </xf>
    <xf numFmtId="171" fontId="43" fillId="10" borderId="51" xfId="0" applyNumberFormat="1" applyFont="1" applyFill="1" applyBorder="1" applyAlignment="1">
      <alignment vertical="center"/>
    </xf>
    <xf numFmtId="171" fontId="43" fillId="10" borderId="52" xfId="0" applyNumberFormat="1" applyFont="1" applyFill="1" applyBorder="1" applyAlignment="1">
      <alignment vertical="center"/>
    </xf>
    <xf numFmtId="171" fontId="43" fillId="10" borderId="22" xfId="0" applyNumberFormat="1" applyFont="1" applyFill="1" applyBorder="1" applyAlignment="1">
      <alignment vertical="center"/>
    </xf>
    <xf numFmtId="171" fontId="43" fillId="10" borderId="60" xfId="0" applyNumberFormat="1" applyFont="1" applyFill="1" applyBorder="1" applyAlignment="1">
      <alignment vertical="center"/>
    </xf>
    <xf numFmtId="171" fontId="43" fillId="10" borderId="64" xfId="0" applyNumberFormat="1" applyFont="1" applyFill="1" applyBorder="1" applyAlignment="1">
      <alignment vertical="center"/>
    </xf>
    <xf numFmtId="171" fontId="43" fillId="10" borderId="63" xfId="0" applyNumberFormat="1" applyFont="1" applyFill="1" applyBorder="1" applyAlignment="1">
      <alignment vertical="center"/>
    </xf>
    <xf numFmtId="171" fontId="48" fillId="10" borderId="64" xfId="0" applyNumberFormat="1" applyFont="1" applyFill="1" applyBorder="1" applyAlignment="1">
      <alignment vertical="center"/>
    </xf>
    <xf numFmtId="171" fontId="48" fillId="10" borderId="63" xfId="0" applyNumberFormat="1" applyFont="1" applyFill="1" applyBorder="1" applyAlignment="1">
      <alignment vertical="center"/>
    </xf>
    <xf numFmtId="172" fontId="45" fillId="12" borderId="74" xfId="0" applyNumberFormat="1" applyFont="1" applyFill="1" applyBorder="1" applyAlignment="1" applyProtection="1">
      <alignment horizontal="center" vertical="center" wrapText="1"/>
      <protection locked="0"/>
    </xf>
    <xf numFmtId="172" fontId="45" fillId="13" borderId="75" xfId="0" applyNumberFormat="1" applyFont="1" applyFill="1" applyBorder="1" applyAlignment="1">
      <alignment horizontal="center" vertical="center" wrapText="1"/>
    </xf>
    <xf numFmtId="172" fontId="45" fillId="12" borderId="20" xfId="0" applyNumberFormat="1" applyFont="1" applyFill="1" applyBorder="1" applyAlignment="1" applyProtection="1">
      <alignment horizontal="center" vertical="center" wrapText="1"/>
      <protection locked="0"/>
    </xf>
    <xf numFmtId="172" fontId="45" fillId="13" borderId="83" xfId="0" applyNumberFormat="1" applyFont="1" applyFill="1" applyBorder="1" applyAlignment="1">
      <alignment horizontal="center" vertical="center" wrapText="1"/>
    </xf>
    <xf numFmtId="172" fontId="45" fillId="12" borderId="77" xfId="0" applyNumberFormat="1" applyFont="1" applyFill="1" applyBorder="1" applyAlignment="1" applyProtection="1">
      <alignment horizontal="center" vertical="center" wrapText="1"/>
      <protection locked="0"/>
    </xf>
    <xf numFmtId="172" fontId="45" fillId="13" borderId="78" xfId="0" applyNumberFormat="1" applyFont="1" applyFill="1" applyBorder="1" applyAlignment="1">
      <alignment horizontal="center" vertical="center" wrapText="1"/>
    </xf>
    <xf numFmtId="172" fontId="43" fillId="5" borderId="0" xfId="0" applyNumberFormat="1" applyFont="1" applyFill="1" applyAlignment="1">
      <alignment horizontal="center" vertical="center"/>
    </xf>
    <xf numFmtId="172" fontId="41" fillId="0" borderId="0" xfId="0" applyNumberFormat="1" applyFont="1" applyAlignment="1">
      <alignment horizontal="center" vertical="center" wrapText="1"/>
    </xf>
    <xf numFmtId="172" fontId="42" fillId="5" borderId="0" xfId="0" applyNumberFormat="1" applyFont="1" applyFill="1" applyAlignment="1">
      <alignment horizontal="center" vertical="center" wrapText="1"/>
    </xf>
    <xf numFmtId="172" fontId="43" fillId="5" borderId="0" xfId="0" applyNumberFormat="1" applyFont="1" applyFill="1" applyAlignment="1">
      <alignment horizontal="center" vertical="center" wrapText="1"/>
    </xf>
    <xf numFmtId="172" fontId="45" fillId="0" borderId="0" xfId="0" applyNumberFormat="1" applyFont="1" applyAlignment="1">
      <alignment horizontal="center" vertical="center" wrapText="1"/>
    </xf>
    <xf numFmtId="172" fontId="45" fillId="13" borderId="86" xfId="0" applyNumberFormat="1" applyFont="1" applyFill="1" applyBorder="1" applyAlignment="1">
      <alignment horizontal="center" vertical="center" wrapText="1"/>
    </xf>
    <xf numFmtId="172" fontId="45" fillId="13" borderId="87" xfId="0" applyNumberFormat="1" applyFont="1" applyFill="1" applyBorder="1" applyAlignment="1">
      <alignment horizontal="center" vertical="center" wrapText="1"/>
    </xf>
    <xf numFmtId="172" fontId="45" fillId="13" borderId="77" xfId="0" applyNumberFormat="1" applyFont="1" applyFill="1" applyBorder="1" applyAlignment="1">
      <alignment horizontal="center" vertical="center" wrapText="1"/>
    </xf>
    <xf numFmtId="1" fontId="45" fillId="12" borderId="86" xfId="0" applyNumberFormat="1" applyFont="1" applyFill="1" applyBorder="1" applyAlignment="1" applyProtection="1">
      <alignment horizontal="center" vertical="center" wrapText="1"/>
      <protection locked="0"/>
    </xf>
    <xf numFmtId="1" fontId="45" fillId="13" borderId="87" xfId="0" applyNumberFormat="1" applyFont="1" applyFill="1" applyBorder="1" applyAlignment="1">
      <alignment horizontal="center" vertical="center" wrapText="1"/>
    </xf>
    <xf numFmtId="172" fontId="45" fillId="12" borderId="54" xfId="0" applyNumberFormat="1" applyFont="1" applyFill="1" applyBorder="1" applyAlignment="1" applyProtection="1">
      <alignment horizontal="center" vertical="center" wrapText="1"/>
      <protection locked="0"/>
    </xf>
    <xf numFmtId="172" fontId="43" fillId="0" borderId="0" xfId="0" applyNumberFormat="1" applyFont="1" applyAlignment="1">
      <alignment vertical="center" wrapText="1"/>
    </xf>
    <xf numFmtId="172" fontId="41" fillId="5" borderId="0" xfId="0" applyNumberFormat="1" applyFont="1" applyFill="1" applyAlignment="1">
      <alignment horizontal="left" vertical="center" wrapText="1"/>
    </xf>
    <xf numFmtId="172" fontId="41" fillId="5" borderId="0" xfId="0" applyNumberFormat="1" applyFont="1" applyFill="1" applyAlignment="1">
      <alignment horizontal="center" vertical="center" wrapText="1"/>
    </xf>
    <xf numFmtId="172" fontId="43" fillId="5" borderId="0" xfId="0" applyNumberFormat="1" applyFont="1" applyFill="1" applyAlignment="1">
      <alignment vertical="center" wrapText="1"/>
    </xf>
    <xf numFmtId="172" fontId="45" fillId="5" borderId="0" xfId="0" applyNumberFormat="1" applyFont="1" applyFill="1" applyAlignment="1">
      <alignment horizontal="center" vertical="center" wrapText="1"/>
    </xf>
    <xf numFmtId="172" fontId="45" fillId="0" borderId="0" xfId="0" applyNumberFormat="1" applyFont="1" applyAlignment="1">
      <alignment horizontal="left" vertical="center" wrapText="1"/>
    </xf>
    <xf numFmtId="172" fontId="45" fillId="5" borderId="0" xfId="0" applyNumberFormat="1" applyFont="1" applyFill="1" applyAlignment="1">
      <alignment horizontal="left" vertical="center" wrapText="1"/>
    </xf>
    <xf numFmtId="1" fontId="45" fillId="12" borderId="64" xfId="0" applyNumberFormat="1" applyFont="1" applyFill="1" applyBorder="1" applyAlignment="1" applyProtection="1">
      <alignment horizontal="center" vertical="center" wrapText="1"/>
      <protection locked="0"/>
    </xf>
    <xf numFmtId="172" fontId="43" fillId="10" borderId="51" xfId="0" applyNumberFormat="1" applyFont="1" applyFill="1" applyBorder="1" applyAlignment="1">
      <alignment horizontal="center" vertical="center" wrapText="1"/>
    </xf>
    <xf numFmtId="172" fontId="45" fillId="10" borderId="51" xfId="0" applyNumberFormat="1" applyFont="1" applyFill="1" applyBorder="1" applyAlignment="1">
      <alignment horizontal="center" vertical="center" wrapText="1"/>
    </xf>
    <xf numFmtId="172" fontId="45" fillId="10" borderId="52" xfId="0" applyNumberFormat="1" applyFont="1" applyFill="1" applyBorder="1" applyAlignment="1">
      <alignment horizontal="center" vertical="center" wrapText="1"/>
    </xf>
    <xf numFmtId="172" fontId="43" fillId="10" borderId="22" xfId="0" applyNumberFormat="1" applyFont="1" applyFill="1" applyBorder="1" applyAlignment="1">
      <alignment horizontal="center" vertical="center" wrapText="1"/>
    </xf>
    <xf numFmtId="172" fontId="45" fillId="10" borderId="22" xfId="0" applyNumberFormat="1" applyFont="1" applyFill="1" applyBorder="1" applyAlignment="1">
      <alignment horizontal="center" vertical="center" wrapText="1"/>
    </xf>
    <xf numFmtId="172" fontId="45" fillId="10" borderId="60" xfId="0" applyNumberFormat="1" applyFont="1" applyFill="1" applyBorder="1" applyAlignment="1">
      <alignment horizontal="center" vertical="center" wrapText="1"/>
    </xf>
    <xf numFmtId="172" fontId="40" fillId="10" borderId="22" xfId="0" applyNumberFormat="1" applyFont="1" applyFill="1" applyBorder="1" applyAlignment="1">
      <alignment vertical="center"/>
    </xf>
    <xf numFmtId="172" fontId="40" fillId="10" borderId="60" xfId="0" applyNumberFormat="1" applyFont="1" applyFill="1" applyBorder="1" applyAlignment="1">
      <alignment vertical="center"/>
    </xf>
    <xf numFmtId="172" fontId="43" fillId="10" borderId="22" xfId="0" applyNumberFormat="1" applyFont="1" applyFill="1" applyBorder="1" applyAlignment="1">
      <alignment vertical="center"/>
    </xf>
    <xf numFmtId="172" fontId="90" fillId="10" borderId="22" xfId="0" applyNumberFormat="1" applyFont="1" applyFill="1" applyBorder="1" applyAlignment="1">
      <alignment horizontal="center" vertical="center" wrapText="1"/>
    </xf>
    <xf numFmtId="172" fontId="90" fillId="10" borderId="60" xfId="0" applyNumberFormat="1" applyFont="1" applyFill="1" applyBorder="1" applyAlignment="1">
      <alignment horizontal="center" vertical="center" wrapText="1"/>
    </xf>
    <xf numFmtId="172" fontId="52" fillId="10" borderId="22" xfId="0" applyNumberFormat="1" applyFont="1" applyFill="1" applyBorder="1" applyAlignment="1">
      <alignment vertical="center"/>
    </xf>
    <xf numFmtId="172" fontId="40" fillId="10" borderId="54" xfId="0" applyNumberFormat="1" applyFont="1" applyFill="1" applyBorder="1" applyAlignment="1">
      <alignment vertical="center"/>
    </xf>
    <xf numFmtId="172" fontId="52" fillId="10" borderId="54" xfId="0" applyNumberFormat="1" applyFont="1" applyFill="1" applyBorder="1" applyAlignment="1">
      <alignment vertical="center"/>
    </xf>
    <xf numFmtId="172" fontId="90" fillId="10" borderId="54" xfId="0" applyNumberFormat="1" applyFont="1" applyFill="1" applyBorder="1" applyAlignment="1">
      <alignment horizontal="center" vertical="center" wrapText="1"/>
    </xf>
    <xf numFmtId="172" fontId="43" fillId="13" borderId="54" xfId="0" applyNumberFormat="1" applyFont="1" applyFill="1" applyBorder="1" applyAlignment="1">
      <alignment horizontal="center" vertical="center"/>
    </xf>
    <xf numFmtId="172" fontId="43" fillId="13" borderId="55" xfId="0" applyNumberFormat="1" applyFont="1" applyFill="1" applyBorder="1" applyAlignment="1">
      <alignment horizontal="center" vertical="center" wrapText="1"/>
    </xf>
    <xf numFmtId="172" fontId="52" fillId="0" borderId="0" xfId="0" applyNumberFormat="1" applyFont="1" applyAlignment="1">
      <alignment vertical="center"/>
    </xf>
    <xf numFmtId="172" fontId="90" fillId="5" borderId="0" xfId="0" applyNumberFormat="1" applyFont="1" applyFill="1" applyAlignment="1">
      <alignment horizontal="center" vertical="center" wrapText="1"/>
    </xf>
    <xf numFmtId="172" fontId="52" fillId="10" borderId="51" xfId="0" applyNumberFormat="1" applyFont="1" applyFill="1" applyBorder="1" applyAlignment="1">
      <alignment vertical="center"/>
    </xf>
    <xf numFmtId="172" fontId="90" fillId="10" borderId="52" xfId="0" applyNumberFormat="1" applyFont="1" applyFill="1" applyBorder="1" applyAlignment="1">
      <alignment horizontal="center" vertical="center" wrapText="1"/>
    </xf>
    <xf numFmtId="172" fontId="43" fillId="13" borderId="22" xfId="0" applyNumberFormat="1" applyFont="1" applyFill="1" applyBorder="1" applyAlignment="1">
      <alignment horizontal="center" vertical="center" wrapText="1"/>
    </xf>
    <xf numFmtId="172" fontId="43" fillId="10" borderId="60" xfId="0" applyNumberFormat="1" applyFont="1" applyFill="1" applyBorder="1" applyAlignment="1">
      <alignment vertical="center"/>
    </xf>
    <xf numFmtId="172" fontId="52" fillId="10" borderId="60" xfId="0" applyNumberFormat="1" applyFont="1" applyFill="1" applyBorder="1" applyAlignment="1">
      <alignment vertical="center"/>
    </xf>
    <xf numFmtId="172" fontId="45" fillId="10" borderId="54" xfId="0" applyNumberFormat="1" applyFont="1" applyFill="1" applyBorder="1" applyAlignment="1">
      <alignment horizontal="center" vertical="center" wrapText="1"/>
    </xf>
    <xf numFmtId="172" fontId="42" fillId="10" borderId="51" xfId="0" applyNumberFormat="1" applyFont="1" applyFill="1" applyBorder="1" applyAlignment="1">
      <alignment vertical="center" wrapText="1"/>
    </xf>
    <xf numFmtId="172" fontId="43" fillId="10" borderId="51" xfId="0" applyNumberFormat="1" applyFont="1" applyFill="1" applyBorder="1" applyAlignment="1">
      <alignment vertical="center"/>
    </xf>
    <xf numFmtId="172" fontId="52" fillId="10" borderId="52" xfId="0" applyNumberFormat="1" applyFont="1" applyFill="1" applyBorder="1" applyAlignment="1">
      <alignment vertical="center"/>
    </xf>
    <xf numFmtId="172" fontId="45" fillId="7" borderId="22" xfId="0" applyNumberFormat="1" applyFont="1" applyFill="1" applyBorder="1" applyAlignment="1">
      <alignment horizontal="center" vertical="center" wrapText="1"/>
    </xf>
    <xf numFmtId="172" fontId="45" fillId="7" borderId="54" xfId="0" applyNumberFormat="1" applyFont="1" applyFill="1" applyBorder="1" applyAlignment="1">
      <alignment horizontal="center" vertical="center" wrapText="1"/>
    </xf>
    <xf numFmtId="172" fontId="40" fillId="10" borderId="51" xfId="0" applyNumberFormat="1" applyFont="1" applyFill="1" applyBorder="1" applyAlignment="1">
      <alignment vertical="center"/>
    </xf>
    <xf numFmtId="172" fontId="40" fillId="10" borderId="52" xfId="0" applyNumberFormat="1" applyFont="1" applyFill="1" applyBorder="1" applyAlignment="1">
      <alignment vertical="center"/>
    </xf>
    <xf numFmtId="172" fontId="52" fillId="5" borderId="0" xfId="0" applyNumberFormat="1" applyFont="1" applyFill="1" applyAlignment="1">
      <alignment vertical="center" wrapText="1"/>
    </xf>
    <xf numFmtId="1" fontId="43" fillId="0" borderId="0" xfId="0" applyNumberFormat="1" applyFont="1" applyAlignment="1">
      <alignment horizontal="center" wrapText="1"/>
    </xf>
    <xf numFmtId="1" fontId="43" fillId="10" borderId="64" xfId="0" applyNumberFormat="1" applyFont="1" applyFill="1" applyBorder="1" applyAlignment="1">
      <alignment horizontal="center" wrapText="1"/>
    </xf>
    <xf numFmtId="1" fontId="43" fillId="10" borderId="63" xfId="0" applyNumberFormat="1" applyFont="1" applyFill="1" applyBorder="1" applyAlignment="1">
      <alignment horizontal="center" wrapText="1"/>
    </xf>
    <xf numFmtId="1" fontId="43" fillId="0" borderId="0" xfId="0" applyNumberFormat="1" applyFont="1" applyAlignment="1">
      <alignment vertical="center"/>
    </xf>
    <xf numFmtId="1" fontId="41"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1" fontId="43" fillId="10" borderId="64" xfId="0" applyNumberFormat="1" applyFont="1" applyFill="1" applyBorder="1" applyAlignment="1">
      <alignment vertical="center"/>
    </xf>
    <xf numFmtId="1" fontId="43" fillId="10" borderId="63" xfId="0" applyNumberFormat="1" applyFont="1" applyFill="1" applyBorder="1" applyAlignment="1">
      <alignment vertical="center"/>
    </xf>
    <xf numFmtId="1" fontId="43" fillId="10" borderId="51" xfId="0" applyNumberFormat="1" applyFont="1" applyFill="1" applyBorder="1" applyAlignment="1">
      <alignment horizontal="center" vertical="center"/>
    </xf>
    <xf numFmtId="1" fontId="43" fillId="10" borderId="52" xfId="0" applyNumberFormat="1" applyFont="1" applyFill="1" applyBorder="1" applyAlignment="1">
      <alignment vertical="center"/>
    </xf>
    <xf numFmtId="1" fontId="43" fillId="10" borderId="54" xfId="0" applyNumberFormat="1" applyFont="1" applyFill="1" applyBorder="1" applyAlignment="1">
      <alignment horizontal="center" vertical="center"/>
    </xf>
    <xf numFmtId="1" fontId="43" fillId="10" borderId="55" xfId="0" applyNumberFormat="1" applyFont="1" applyFill="1" applyBorder="1" applyAlignment="1">
      <alignment vertical="center"/>
    </xf>
    <xf numFmtId="172" fontId="43" fillId="12" borderId="51" xfId="0" applyNumberFormat="1" applyFont="1" applyFill="1" applyBorder="1" applyAlignment="1" applyProtection="1">
      <alignment horizontal="center" vertical="center" wrapText="1"/>
      <protection locked="0"/>
    </xf>
    <xf numFmtId="172" fontId="43" fillId="13" borderId="52" xfId="0" applyNumberFormat="1" applyFont="1" applyFill="1" applyBorder="1" applyAlignment="1">
      <alignment horizontal="center" vertical="center" wrapText="1"/>
    </xf>
    <xf numFmtId="172" fontId="43" fillId="13" borderId="60" xfId="0" applyNumberFormat="1" applyFont="1" applyFill="1" applyBorder="1" applyAlignment="1">
      <alignment horizontal="center" vertical="center" wrapText="1"/>
    </xf>
    <xf numFmtId="172" fontId="43" fillId="7" borderId="51" xfId="0" applyNumberFormat="1" applyFont="1" applyFill="1" applyBorder="1" applyAlignment="1">
      <alignment horizontal="center" vertical="center"/>
    </xf>
    <xf numFmtId="172" fontId="43" fillId="12" borderId="22" xfId="3" applyNumberFormat="1" applyFont="1" applyFill="1" applyBorder="1" applyAlignment="1" applyProtection="1">
      <alignment horizontal="center" vertical="center"/>
      <protection locked="0"/>
    </xf>
    <xf numFmtId="172" fontId="43" fillId="7" borderId="22" xfId="0" applyNumberFormat="1" applyFont="1" applyFill="1" applyBorder="1" applyAlignment="1">
      <alignment horizontal="center" vertical="center"/>
    </xf>
    <xf numFmtId="172" fontId="43" fillId="13" borderId="54" xfId="0" applyNumberFormat="1" applyFont="1" applyFill="1" applyBorder="1" applyAlignment="1">
      <alignment horizontal="center" vertical="center" wrapText="1"/>
    </xf>
    <xf numFmtId="172" fontId="43" fillId="7" borderId="54" xfId="0" applyNumberFormat="1" applyFont="1" applyFill="1" applyBorder="1" applyAlignment="1">
      <alignment horizontal="center" vertical="center"/>
    </xf>
    <xf numFmtId="172" fontId="43" fillId="13" borderId="51" xfId="0" applyNumberFormat="1" applyFont="1" applyFill="1" applyBorder="1" applyAlignment="1">
      <alignment horizontal="center" vertical="center" wrapText="1"/>
    </xf>
    <xf numFmtId="10" fontId="43" fillId="12" borderId="22" xfId="38" applyNumberFormat="1" applyFont="1" applyFill="1" applyBorder="1" applyAlignment="1" applyProtection="1">
      <alignment horizontal="center" vertical="center"/>
      <protection locked="0"/>
    </xf>
    <xf numFmtId="1" fontId="40" fillId="12" borderId="51" xfId="0" applyNumberFormat="1" applyFont="1" applyFill="1" applyBorder="1" applyAlignment="1" applyProtection="1">
      <alignment horizontal="center" vertical="center" wrapText="1"/>
      <protection locked="0"/>
    </xf>
    <xf numFmtId="1" fontId="40" fillId="12" borderId="22" xfId="0" applyNumberFormat="1" applyFont="1" applyFill="1" applyBorder="1" applyAlignment="1" applyProtection="1">
      <alignment horizontal="center" vertical="center" wrapText="1"/>
      <protection locked="0"/>
    </xf>
    <xf numFmtId="166" fontId="40" fillId="12" borderId="54" xfId="0" applyNumberFormat="1" applyFont="1" applyFill="1" applyBorder="1" applyAlignment="1" applyProtection="1">
      <alignment horizontal="center" vertical="center" wrapText="1"/>
      <protection locked="0"/>
    </xf>
    <xf numFmtId="1" fontId="40" fillId="12" borderId="54" xfId="0" applyNumberFormat="1" applyFont="1" applyFill="1" applyBorder="1" applyAlignment="1" applyProtection="1">
      <alignment horizontal="center" vertical="center" wrapText="1"/>
      <protection locked="0"/>
    </xf>
    <xf numFmtId="1" fontId="40" fillId="12" borderId="52" xfId="0" applyNumberFormat="1" applyFont="1" applyFill="1" applyBorder="1" applyAlignment="1" applyProtection="1">
      <alignment horizontal="center" vertical="center" wrapText="1"/>
      <protection locked="0"/>
    </xf>
    <xf numFmtId="1" fontId="40" fillId="12" borderId="60" xfId="0" applyNumberFormat="1" applyFont="1" applyFill="1" applyBorder="1" applyAlignment="1" applyProtection="1">
      <alignment horizontal="center" vertical="center" wrapText="1"/>
      <protection locked="0"/>
    </xf>
    <xf numFmtId="1" fontId="40" fillId="12" borderId="55" xfId="0" applyNumberFormat="1" applyFont="1" applyFill="1" applyBorder="1" applyAlignment="1" applyProtection="1">
      <alignment horizontal="center" vertical="center" wrapText="1"/>
      <protection locked="0"/>
    </xf>
    <xf numFmtId="1" fontId="45" fillId="12" borderId="52" xfId="0" applyNumberFormat="1" applyFont="1" applyFill="1" applyBorder="1" applyAlignment="1" applyProtection="1">
      <alignment horizontal="center" vertical="center" wrapText="1"/>
      <protection locked="0"/>
    </xf>
    <xf numFmtId="172" fontId="40" fillId="0" borderId="0" xfId="55" applyNumberFormat="1" applyFont="1"/>
    <xf numFmtId="172" fontId="45" fillId="7" borderId="78" xfId="35" applyNumberFormat="1" applyFont="1" applyFill="1" applyBorder="1" applyAlignment="1">
      <alignment horizontal="center" vertical="center" wrapText="1"/>
    </xf>
    <xf numFmtId="172" fontId="45" fillId="13" borderId="76" xfId="35" applyNumberFormat="1" applyFont="1" applyFill="1" applyBorder="1" applyAlignment="1">
      <alignment horizontal="center" vertical="center" wrapText="1"/>
    </xf>
    <xf numFmtId="172" fontId="45" fillId="13" borderId="77" xfId="35" applyNumberFormat="1" applyFont="1" applyFill="1" applyBorder="1" applyAlignment="1">
      <alignment horizontal="center" vertical="center" wrapText="1"/>
    </xf>
    <xf numFmtId="172" fontId="45" fillId="13" borderId="78" xfId="35" applyNumberFormat="1" applyFont="1" applyFill="1" applyBorder="1" applyAlignment="1">
      <alignment horizontal="center" vertical="center" wrapText="1"/>
    </xf>
    <xf numFmtId="3" fontId="45" fillId="12" borderId="22" xfId="0" applyNumberFormat="1" applyFont="1" applyFill="1" applyBorder="1" applyAlignment="1" applyProtection="1">
      <alignment horizontal="center" vertical="center" wrapText="1"/>
      <protection locked="0"/>
    </xf>
    <xf numFmtId="3" fontId="45" fillId="7" borderId="52" xfId="0" applyNumberFormat="1" applyFont="1" applyFill="1" applyBorder="1" applyAlignment="1">
      <alignment horizontal="center" vertical="center" wrapText="1"/>
    </xf>
    <xf numFmtId="3" fontId="45" fillId="7" borderId="60" xfId="0" applyNumberFormat="1" applyFont="1" applyFill="1" applyBorder="1" applyAlignment="1">
      <alignment horizontal="center" vertical="center" wrapText="1"/>
    </xf>
    <xf numFmtId="3" fontId="45" fillId="7" borderId="60" xfId="39" applyNumberFormat="1" applyFont="1" applyFill="1" applyBorder="1" applyAlignment="1">
      <alignment horizontal="center" vertical="center" wrapText="1"/>
    </xf>
    <xf numFmtId="3" fontId="45" fillId="13" borderId="22" xfId="0" applyNumberFormat="1" applyFont="1" applyFill="1" applyBorder="1" applyAlignment="1">
      <alignment horizontal="center" vertical="center" wrapText="1"/>
    </xf>
    <xf numFmtId="3" fontId="45" fillId="12" borderId="54" xfId="0" applyNumberFormat="1" applyFont="1" applyFill="1" applyBorder="1" applyAlignment="1" applyProtection="1">
      <alignment horizontal="center" vertical="center" wrapText="1"/>
      <protection locked="0"/>
    </xf>
    <xf numFmtId="3" fontId="45" fillId="7" borderId="55" xfId="39" applyNumberFormat="1" applyFont="1" applyFill="1" applyBorder="1" applyAlignment="1" applyProtection="1">
      <alignment horizontal="center" vertical="center" wrapText="1"/>
      <protection locked="0"/>
    </xf>
    <xf numFmtId="3" fontId="43" fillId="5" borderId="0" xfId="0" applyNumberFormat="1" applyFont="1" applyFill="1" applyAlignment="1">
      <alignment horizontal="center" vertical="center" wrapText="1"/>
    </xf>
    <xf numFmtId="3" fontId="43" fillId="0" borderId="0" xfId="0" applyNumberFormat="1" applyFont="1" applyAlignment="1">
      <alignment horizontal="center" vertical="center" wrapText="1"/>
    </xf>
    <xf numFmtId="3" fontId="42" fillId="0" borderId="0" xfId="30" applyNumberFormat="1" applyFont="1" applyBorder="1" applyAlignment="1">
      <alignment vertical="center" wrapText="1"/>
    </xf>
    <xf numFmtId="3" fontId="49" fillId="0" borderId="0" xfId="39" applyNumberFormat="1" applyFont="1" applyBorder="1" applyAlignment="1">
      <alignment vertical="center" wrapText="1"/>
    </xf>
    <xf numFmtId="3" fontId="45" fillId="12" borderId="51" xfId="0" applyNumberFormat="1" applyFont="1" applyFill="1" applyBorder="1" applyAlignment="1" applyProtection="1">
      <alignment horizontal="center" vertical="center" wrapText="1"/>
      <protection locked="0"/>
    </xf>
    <xf numFmtId="3" fontId="45" fillId="13" borderId="54" xfId="0" applyNumberFormat="1" applyFont="1" applyFill="1" applyBorder="1" applyAlignment="1">
      <alignment horizontal="center" vertical="center" wrapText="1"/>
    </xf>
    <xf numFmtId="4" fontId="45" fillId="12" borderId="22" xfId="0" applyNumberFormat="1" applyFont="1" applyFill="1" applyBorder="1" applyAlignment="1" applyProtection="1">
      <alignment horizontal="center" vertical="center" wrapText="1"/>
      <protection locked="0"/>
    </xf>
    <xf numFmtId="4" fontId="45" fillId="7" borderId="60" xfId="0" applyNumberFormat="1" applyFont="1" applyFill="1" applyBorder="1" applyAlignment="1">
      <alignment horizontal="center" vertical="center" wrapText="1"/>
    </xf>
    <xf numFmtId="3" fontId="45" fillId="12" borderId="52" xfId="0" applyNumberFormat="1" applyFont="1" applyFill="1" applyBorder="1" applyAlignment="1" applyProtection="1">
      <alignment horizontal="center" vertical="center" wrapText="1"/>
      <protection locked="0"/>
    </xf>
    <xf numFmtId="3" fontId="45" fillId="13" borderId="60" xfId="0" applyNumberFormat="1" applyFont="1" applyFill="1" applyBorder="1" applyAlignment="1">
      <alignment horizontal="center" vertical="center" wrapText="1"/>
    </xf>
    <xf numFmtId="3" fontId="45" fillId="12" borderId="55" xfId="0" applyNumberFormat="1" applyFont="1" applyFill="1" applyBorder="1" applyAlignment="1" applyProtection="1">
      <alignment horizontal="center" vertical="center" wrapText="1"/>
      <protection locked="0"/>
    </xf>
    <xf numFmtId="3" fontId="45" fillId="13" borderId="52" xfId="0" applyNumberFormat="1" applyFont="1" applyFill="1" applyBorder="1" applyAlignment="1">
      <alignment horizontal="center" vertical="center" wrapText="1"/>
    </xf>
    <xf numFmtId="3" fontId="40" fillId="0" borderId="0" xfId="15" applyNumberFormat="1" applyFont="1" applyAlignment="1">
      <alignment horizontal="center" vertical="center"/>
    </xf>
    <xf numFmtId="3" fontId="45" fillId="12" borderId="50" xfId="0" applyNumberFormat="1" applyFont="1" applyFill="1" applyBorder="1" applyAlignment="1" applyProtection="1">
      <alignment horizontal="center" vertical="center" wrapText="1"/>
      <protection locked="0"/>
    </xf>
    <xf numFmtId="3" fontId="45" fillId="13" borderId="51" xfId="0" applyNumberFormat="1" applyFont="1" applyFill="1" applyBorder="1" applyAlignment="1">
      <alignment horizontal="center" vertical="center" wrapText="1"/>
    </xf>
    <xf numFmtId="3" fontId="45" fillId="12" borderId="59" xfId="0" applyNumberFormat="1" applyFont="1" applyFill="1" applyBorder="1" applyAlignment="1" applyProtection="1">
      <alignment horizontal="center" vertical="center" wrapText="1"/>
      <protection locked="0"/>
    </xf>
    <xf numFmtId="3" fontId="43" fillId="0" borderId="0" xfId="15" applyNumberFormat="1" applyFont="1" applyAlignment="1">
      <alignment horizontal="center" vertical="center"/>
    </xf>
    <xf numFmtId="3" fontId="45" fillId="0" borderId="0" xfId="0" applyNumberFormat="1" applyFont="1" applyAlignment="1">
      <alignment horizontal="center" vertical="center" wrapText="1"/>
    </xf>
    <xf numFmtId="3" fontId="45" fillId="13" borderId="59" xfId="0" applyNumberFormat="1" applyFont="1" applyFill="1" applyBorder="1" applyAlignment="1">
      <alignment horizontal="center" vertical="center" wrapText="1"/>
    </xf>
    <xf numFmtId="3" fontId="45" fillId="10" borderId="54" xfId="0" applyNumberFormat="1" applyFont="1" applyFill="1" applyBorder="1" applyAlignment="1">
      <alignment horizontal="center" vertical="center" wrapText="1"/>
    </xf>
    <xf numFmtId="3" fontId="43" fillId="0" borderId="0" xfId="3" applyNumberFormat="1" applyFont="1" applyAlignment="1">
      <alignment horizontal="center" vertical="center"/>
    </xf>
    <xf numFmtId="3" fontId="45" fillId="7" borderId="53" xfId="0" applyNumberFormat="1" applyFont="1" applyFill="1" applyBorder="1" applyAlignment="1">
      <alignment horizontal="center" vertical="center" wrapText="1"/>
    </xf>
    <xf numFmtId="3" fontId="45" fillId="7" borderId="54" xfId="0" applyNumberFormat="1" applyFont="1" applyFill="1" applyBorder="1" applyAlignment="1">
      <alignment horizontal="center" vertical="center" wrapText="1"/>
    </xf>
    <xf numFmtId="3" fontId="40" fillId="7" borderId="54" xfId="0" applyNumberFormat="1" applyFont="1" applyFill="1" applyBorder="1"/>
    <xf numFmtId="3" fontId="40" fillId="7" borderId="55" xfId="0" applyNumberFormat="1" applyFont="1" applyFill="1" applyBorder="1"/>
    <xf numFmtId="3" fontId="40" fillId="0" borderId="0" xfId="0" applyNumberFormat="1" applyFont="1" applyAlignment="1">
      <alignment vertical="center"/>
    </xf>
    <xf numFmtId="3" fontId="40" fillId="0" borderId="0" xfId="0" applyNumberFormat="1" applyFont="1"/>
    <xf numFmtId="3" fontId="45" fillId="13" borderId="55" xfId="0" applyNumberFormat="1" applyFont="1" applyFill="1" applyBorder="1" applyAlignment="1">
      <alignment horizontal="center" vertical="center" wrapText="1"/>
    </xf>
    <xf numFmtId="3" fontId="45" fillId="13" borderId="53" xfId="0" applyNumberFormat="1" applyFont="1" applyFill="1" applyBorder="1" applyAlignment="1">
      <alignment horizontal="center" vertical="center" wrapText="1"/>
    </xf>
    <xf numFmtId="172" fontId="43" fillId="12" borderId="52" xfId="0" applyNumberFormat="1" applyFont="1" applyFill="1" applyBorder="1" applyAlignment="1" applyProtection="1">
      <alignment horizontal="center" vertical="center" wrapText="1"/>
      <protection locked="0"/>
    </xf>
    <xf numFmtId="176" fontId="45" fillId="12" borderId="52" xfId="0" applyNumberFormat="1" applyFont="1" applyFill="1" applyBorder="1" applyAlignment="1" applyProtection="1">
      <alignment horizontal="center" vertical="center" wrapText="1"/>
      <protection locked="0"/>
    </xf>
    <xf numFmtId="176" fontId="45" fillId="12" borderId="60" xfId="0" applyNumberFormat="1" applyFont="1" applyFill="1" applyBorder="1" applyAlignment="1" applyProtection="1">
      <alignment horizontal="center" vertical="center" wrapText="1"/>
      <protection locked="0"/>
    </xf>
    <xf numFmtId="176" fontId="45" fillId="13" borderId="60" xfId="0" applyNumberFormat="1" applyFont="1" applyFill="1" applyBorder="1" applyAlignment="1">
      <alignment horizontal="center" vertical="center" wrapText="1"/>
    </xf>
    <xf numFmtId="176" fontId="45" fillId="12" borderId="55" xfId="0" applyNumberFormat="1" applyFont="1" applyFill="1" applyBorder="1" applyAlignment="1" applyProtection="1">
      <alignment horizontal="center" vertical="center" wrapText="1"/>
      <protection locked="0"/>
    </xf>
    <xf numFmtId="176" fontId="45" fillId="13" borderId="55" xfId="0" applyNumberFormat="1" applyFont="1" applyFill="1" applyBorder="1" applyAlignment="1">
      <alignment horizontal="center" vertical="center" wrapText="1"/>
    </xf>
    <xf numFmtId="4" fontId="45" fillId="12" borderId="63" xfId="0" applyNumberFormat="1" applyFont="1" applyFill="1" applyBorder="1" applyAlignment="1" applyProtection="1">
      <alignment horizontal="center" vertical="center" wrapText="1"/>
      <protection locked="0"/>
    </xf>
    <xf numFmtId="4" fontId="45" fillId="12" borderId="55" xfId="0" applyNumberFormat="1" applyFont="1" applyFill="1" applyBorder="1" applyAlignment="1" applyProtection="1">
      <alignment horizontal="center" vertical="center" wrapText="1"/>
      <protection locked="0"/>
    </xf>
    <xf numFmtId="172" fontId="43" fillId="0" borderId="0" xfId="0" applyNumberFormat="1" applyFont="1" applyAlignment="1">
      <alignment horizontal="center" vertical="center"/>
    </xf>
    <xf numFmtId="3" fontId="45" fillId="7" borderId="51" xfId="0" applyNumberFormat="1" applyFont="1" applyFill="1" applyBorder="1" applyAlignment="1">
      <alignment horizontal="center" vertical="center" wrapText="1"/>
    </xf>
    <xf numFmtId="3" fontId="45" fillId="12" borderId="22" xfId="39" applyNumberFormat="1" applyFont="1" applyFill="1" applyBorder="1" applyAlignment="1" applyProtection="1">
      <alignment horizontal="center" vertical="center" wrapText="1"/>
      <protection locked="0"/>
    </xf>
    <xf numFmtId="3" fontId="45" fillId="13" borderId="22" xfId="39" applyNumberFormat="1" applyFont="1" applyFill="1" applyBorder="1" applyAlignment="1">
      <alignment horizontal="center" vertical="center" wrapText="1"/>
    </xf>
    <xf numFmtId="3" fontId="45" fillId="12" borderId="54" xfId="39" applyNumberFormat="1" applyFont="1" applyFill="1" applyBorder="1" applyAlignment="1" applyProtection="1">
      <alignment horizontal="center" vertical="center" wrapText="1"/>
      <protection locked="0"/>
    </xf>
    <xf numFmtId="3" fontId="45" fillId="13" borderId="54" xfId="39" applyNumberFormat="1" applyFont="1" applyFill="1" applyBorder="1" applyAlignment="1">
      <alignment horizontal="center" vertical="center" wrapText="1"/>
    </xf>
    <xf numFmtId="172" fontId="45" fillId="7" borderId="51" xfId="0" applyNumberFormat="1" applyFont="1" applyFill="1" applyBorder="1" applyAlignment="1">
      <alignment horizontal="center" vertical="center" wrapText="1"/>
    </xf>
    <xf numFmtId="172" fontId="40" fillId="7" borderId="60" xfId="0" applyNumberFormat="1" applyFont="1" applyFill="1" applyBorder="1" applyAlignment="1">
      <alignment horizontal="left" vertical="center" wrapText="1"/>
    </xf>
    <xf numFmtId="177" fontId="45" fillId="12" borderId="52" xfId="39" applyNumberFormat="1" applyFont="1" applyFill="1" applyBorder="1" applyAlignment="1" applyProtection="1">
      <alignment horizontal="center" vertical="center" wrapText="1"/>
      <protection locked="0"/>
    </xf>
    <xf numFmtId="177" fontId="45" fillId="12" borderId="60" xfId="39" applyNumberFormat="1" applyFont="1" applyFill="1" applyBorder="1" applyAlignment="1" applyProtection="1">
      <alignment horizontal="center" vertical="center" wrapText="1"/>
      <protection locked="0"/>
    </xf>
    <xf numFmtId="175" fontId="45" fillId="12" borderId="51" xfId="0" applyNumberFormat="1" applyFont="1" applyFill="1" applyBorder="1" applyAlignment="1" applyProtection="1">
      <alignment horizontal="center" vertical="center" wrapText="1"/>
      <protection locked="0"/>
    </xf>
    <xf numFmtId="175" fontId="45" fillId="12" borderId="52" xfId="0" applyNumberFormat="1" applyFont="1" applyFill="1" applyBorder="1" applyAlignment="1" applyProtection="1">
      <alignment horizontal="center" vertical="center" wrapText="1"/>
      <protection locked="0"/>
    </xf>
    <xf numFmtId="175" fontId="45" fillId="12" borderId="22" xfId="0" applyNumberFormat="1" applyFont="1" applyFill="1" applyBorder="1" applyAlignment="1" applyProtection="1">
      <alignment horizontal="center" vertical="center" wrapText="1"/>
      <protection locked="0"/>
    </xf>
    <xf numFmtId="175" fontId="45" fillId="12" borderId="60" xfId="0" applyNumberFormat="1" applyFont="1" applyFill="1" applyBorder="1" applyAlignment="1" applyProtection="1">
      <alignment horizontal="center" vertical="center" wrapText="1"/>
      <protection locked="0"/>
    </xf>
    <xf numFmtId="175" fontId="45" fillId="13" borderId="54" xfId="0" applyNumberFormat="1" applyFont="1" applyFill="1" applyBorder="1" applyAlignment="1">
      <alignment horizontal="center" vertical="center" wrapText="1"/>
    </xf>
    <xf numFmtId="175" fontId="45" fillId="13" borderId="55" xfId="0" applyNumberFormat="1" applyFont="1" applyFill="1" applyBorder="1" applyAlignment="1">
      <alignment horizontal="center" vertical="center" wrapText="1"/>
    </xf>
    <xf numFmtId="175" fontId="40" fillId="0" borderId="0" xfId="15" applyNumberFormat="1" applyFont="1" applyAlignment="1">
      <alignment horizontal="center" vertical="center"/>
    </xf>
    <xf numFmtId="175" fontId="41" fillId="0" borderId="0" xfId="0" applyNumberFormat="1" applyFont="1" applyAlignment="1">
      <alignment horizontal="center" vertical="center" wrapText="1"/>
    </xf>
    <xf numFmtId="172" fontId="45" fillId="0" borderId="0" xfId="45" applyNumberFormat="1" applyFont="1" applyAlignment="1">
      <alignment horizontal="center" vertical="center" wrapText="1"/>
    </xf>
    <xf numFmtId="172" fontId="43" fillId="0" borderId="0" xfId="45" applyNumberFormat="1" applyFont="1" applyAlignment="1">
      <alignment horizontal="left" vertical="center" wrapText="1"/>
    </xf>
    <xf numFmtId="0" fontId="41" fillId="10" borderId="46" xfId="0" applyFont="1" applyFill="1" applyBorder="1" applyAlignment="1">
      <alignment horizontal="left" vertical="center" wrapText="1"/>
    </xf>
    <xf numFmtId="173" fontId="45" fillId="13" borderId="54" xfId="0" applyNumberFormat="1" applyFont="1" applyFill="1" applyBorder="1" applyAlignment="1">
      <alignment horizontal="center" vertical="center" wrapText="1"/>
    </xf>
    <xf numFmtId="0" fontId="76" fillId="5" borderId="0" xfId="0" applyFont="1" applyFill="1"/>
    <xf numFmtId="0" fontId="76" fillId="5" borderId="0" xfId="15" applyFont="1" applyFill="1" applyAlignment="1">
      <alignment horizontal="left" vertical="center"/>
    </xf>
    <xf numFmtId="0" fontId="76" fillId="5" borderId="0" xfId="15" applyFont="1" applyFill="1" applyAlignment="1">
      <alignment vertical="center"/>
    </xf>
    <xf numFmtId="0" fontId="44" fillId="0" borderId="0" xfId="30" applyFont="1" applyFill="1" applyBorder="1" applyAlignment="1" applyProtection="1">
      <alignment horizontal="center" vertical="center" wrapText="1"/>
      <protection locked="0"/>
    </xf>
    <xf numFmtId="0" fontId="43" fillId="16" borderId="0" xfId="48" applyFont="1" applyBorder="1" applyAlignment="1">
      <alignment horizontal="center" vertical="center"/>
    </xf>
    <xf numFmtId="0" fontId="40" fillId="15" borderId="0" xfId="15" applyFont="1" applyFill="1" applyAlignment="1">
      <alignment horizontal="center" vertical="center"/>
    </xf>
    <xf numFmtId="0" fontId="40" fillId="0" borderId="58" xfId="0" applyFont="1" applyBorder="1"/>
    <xf numFmtId="0" fontId="40" fillId="0" borderId="50" xfId="0" applyFont="1" applyBorder="1"/>
    <xf numFmtId="0" fontId="40" fillId="0" borderId="57" xfId="0" applyFont="1" applyBorder="1"/>
    <xf numFmtId="0" fontId="40" fillId="0" borderId="59" xfId="0" applyFont="1" applyBorder="1"/>
    <xf numFmtId="0" fontId="40" fillId="0" borderId="53" xfId="0" applyFont="1" applyBorder="1"/>
    <xf numFmtId="0" fontId="40" fillId="0" borderId="50" xfId="0" applyFont="1" applyBorder="1" applyAlignment="1">
      <alignment vertical="center"/>
    </xf>
    <xf numFmtId="0" fontId="44" fillId="5" borderId="0" xfId="15" applyFont="1" applyFill="1" applyAlignment="1">
      <alignment vertical="center"/>
    </xf>
    <xf numFmtId="0" fontId="40" fillId="7" borderId="0" xfId="15" applyFont="1" applyFill="1" applyAlignment="1">
      <alignment vertical="center"/>
    </xf>
    <xf numFmtId="0" fontId="44" fillId="5" borderId="0" xfId="29" applyFont="1" applyFill="1" applyBorder="1" applyAlignment="1">
      <alignment horizontal="left" vertical="center" wrapText="1"/>
    </xf>
    <xf numFmtId="0" fontId="133" fillId="14" borderId="0" xfId="30" applyFont="1" applyFill="1" applyBorder="1" applyAlignment="1">
      <alignment horizontal="center" vertical="center"/>
    </xf>
    <xf numFmtId="0" fontId="40" fillId="16" borderId="15" xfId="48" applyFont="1" applyBorder="1" applyAlignment="1">
      <alignment horizontal="center" vertical="center"/>
    </xf>
    <xf numFmtId="0" fontId="40" fillId="5" borderId="0" xfId="0" applyFont="1" applyFill="1"/>
    <xf numFmtId="0" fontId="40" fillId="15" borderId="0" xfId="0" applyFont="1" applyFill="1"/>
    <xf numFmtId="0" fontId="45" fillId="5" borderId="0" xfId="15" applyFont="1" applyFill="1" applyAlignment="1">
      <alignment vertical="center"/>
    </xf>
    <xf numFmtId="0" fontId="45" fillId="0" borderId="0" xfId="15" applyFont="1" applyAlignment="1">
      <alignment vertical="center"/>
    </xf>
    <xf numFmtId="0" fontId="45" fillId="0" borderId="64" xfId="15" applyFont="1" applyBorder="1" applyAlignment="1">
      <alignment horizontal="center" vertical="center"/>
    </xf>
    <xf numFmtId="0" fontId="47" fillId="0" borderId="46" xfId="30" applyFont="1" applyFill="1" applyBorder="1" applyAlignment="1">
      <alignment horizontal="center" vertical="center" wrapText="1"/>
    </xf>
    <xf numFmtId="0" fontId="40" fillId="0" borderId="46" xfId="0" applyFont="1" applyBorder="1"/>
    <xf numFmtId="0" fontId="45" fillId="0" borderId="62" xfId="15" applyFont="1" applyBorder="1" applyAlignment="1">
      <alignment vertical="center"/>
    </xf>
    <xf numFmtId="0" fontId="47" fillId="5" borderId="0" xfId="30" applyFont="1" applyFill="1" applyBorder="1" applyAlignment="1">
      <alignment horizontal="center" vertical="center" wrapText="1"/>
    </xf>
    <xf numFmtId="0" fontId="45" fillId="5" borderId="0" xfId="15" applyFont="1" applyFill="1" applyAlignment="1">
      <alignment horizontal="center" vertical="center"/>
    </xf>
    <xf numFmtId="167" fontId="45" fillId="5" borderId="0" xfId="15" applyNumberFormat="1" applyFont="1" applyFill="1" applyAlignment="1">
      <alignment vertical="center"/>
    </xf>
    <xf numFmtId="166" fontId="45" fillId="5" borderId="0" xfId="15" applyNumberFormat="1" applyFont="1" applyFill="1" applyAlignment="1">
      <alignment vertical="center"/>
    </xf>
    <xf numFmtId="0" fontId="45" fillId="0" borderId="50" xfId="15" applyFont="1" applyBorder="1" applyAlignment="1">
      <alignment vertical="center"/>
    </xf>
    <xf numFmtId="0" fontId="45" fillId="0" borderId="51" xfId="15" applyFont="1" applyBorder="1" applyAlignment="1">
      <alignment horizontal="center" vertical="center"/>
    </xf>
    <xf numFmtId="171" fontId="43" fillId="23" borderId="51" xfId="38" applyNumberFormat="1" applyFont="1" applyFill="1" applyBorder="1" applyAlignment="1">
      <alignment horizontal="center" vertical="center"/>
    </xf>
    <xf numFmtId="0" fontId="47" fillId="0" borderId="57" xfId="30" applyFont="1" applyFill="1" applyBorder="1" applyAlignment="1">
      <alignment horizontal="center" vertical="center" wrapText="1"/>
    </xf>
    <xf numFmtId="0" fontId="45" fillId="0" borderId="59" xfId="15" applyFont="1" applyBorder="1" applyAlignment="1">
      <alignment vertical="center"/>
    </xf>
    <xf numFmtId="0" fontId="45" fillId="0" borderId="22" xfId="15" applyFont="1" applyBorder="1" applyAlignment="1">
      <alignment horizontal="center" vertical="center"/>
    </xf>
    <xf numFmtId="171" fontId="43" fillId="23" borderId="22" xfId="38" applyNumberFormat="1" applyFont="1" applyFill="1" applyBorder="1" applyAlignment="1">
      <alignment horizontal="center" vertical="center"/>
    </xf>
    <xf numFmtId="0" fontId="47" fillId="0" borderId="61" xfId="30" applyFont="1" applyFill="1" applyBorder="1" applyAlignment="1">
      <alignment horizontal="center" vertical="center" wrapText="1"/>
    </xf>
    <xf numFmtId="0" fontId="45" fillId="0" borderId="53" xfId="15" applyFont="1" applyBorder="1" applyAlignment="1">
      <alignment vertical="center"/>
    </xf>
    <xf numFmtId="0" fontId="45" fillId="0" borderId="54" xfId="15" applyFont="1" applyBorder="1" applyAlignment="1">
      <alignment horizontal="center" vertical="center"/>
    </xf>
    <xf numFmtId="171" fontId="43" fillId="23" borderId="54" xfId="38" applyNumberFormat="1" applyFont="1" applyFill="1" applyBorder="1" applyAlignment="1">
      <alignment horizontal="center" vertical="center"/>
    </xf>
    <xf numFmtId="0" fontId="47" fillId="0" borderId="58" xfId="30" applyFont="1" applyFill="1" applyBorder="1" applyAlignment="1">
      <alignment horizontal="center" vertical="center" wrapText="1"/>
    </xf>
    <xf numFmtId="43" fontId="45" fillId="5" borderId="0" xfId="39" applyNumberFormat="1" applyFont="1" applyFill="1" applyBorder="1" applyAlignment="1">
      <alignment vertical="center"/>
    </xf>
    <xf numFmtId="166" fontId="45" fillId="5" borderId="0" xfId="39" applyNumberFormat="1" applyFont="1" applyFill="1" applyBorder="1" applyAlignment="1">
      <alignment vertical="center"/>
    </xf>
    <xf numFmtId="166" fontId="40" fillId="5" borderId="0" xfId="39" applyNumberFormat="1" applyFont="1" applyFill="1" applyBorder="1"/>
    <xf numFmtId="10" fontId="45" fillId="5" borderId="0" xfId="38" applyNumberFormat="1" applyFont="1" applyFill="1" applyBorder="1" applyAlignment="1">
      <alignment vertical="center"/>
    </xf>
    <xf numFmtId="10" fontId="45" fillId="5" borderId="0" xfId="38" applyNumberFormat="1" applyFont="1" applyFill="1" applyBorder="1" applyAlignment="1">
      <alignment horizontal="right" vertical="center"/>
    </xf>
    <xf numFmtId="166" fontId="45" fillId="0" borderId="0" xfId="39" applyNumberFormat="1" applyFont="1" applyFill="1" applyBorder="1" applyAlignment="1">
      <alignment vertical="center"/>
    </xf>
    <xf numFmtId="0" fontId="45" fillId="0" borderId="0" xfId="15" applyFont="1" applyAlignment="1">
      <alignment horizontal="center" vertical="center"/>
    </xf>
    <xf numFmtId="167" fontId="45" fillId="0" borderId="0" xfId="15" applyNumberFormat="1" applyFont="1" applyAlignment="1">
      <alignment vertical="center"/>
    </xf>
    <xf numFmtId="0" fontId="45" fillId="0" borderId="65" xfId="15" applyFont="1" applyBorder="1" applyAlignment="1">
      <alignment vertical="center"/>
    </xf>
    <xf numFmtId="0" fontId="45" fillId="0" borderId="98" xfId="15" applyFont="1" applyBorder="1" applyAlignment="1">
      <alignment horizontal="center" vertical="center"/>
    </xf>
    <xf numFmtId="0" fontId="45" fillId="0" borderId="91" xfId="15" applyFont="1" applyBorder="1" applyAlignment="1">
      <alignment vertical="center"/>
    </xf>
    <xf numFmtId="0" fontId="45" fillId="0" borderId="100" xfId="15" applyFont="1" applyBorder="1" applyAlignment="1">
      <alignment horizontal="center" vertical="center"/>
    </xf>
    <xf numFmtId="0" fontId="45" fillId="0" borderId="102" xfId="15" applyFont="1" applyBorder="1" applyAlignment="1">
      <alignment vertical="center"/>
    </xf>
    <xf numFmtId="0" fontId="45" fillId="0" borderId="103" xfId="15" applyFont="1" applyBorder="1" applyAlignment="1">
      <alignment horizontal="center" vertical="center"/>
    </xf>
    <xf numFmtId="0" fontId="45" fillId="0" borderId="92" xfId="15" applyFont="1" applyBorder="1" applyAlignment="1">
      <alignment vertical="center"/>
    </xf>
    <xf numFmtId="0" fontId="45" fillId="0" borderId="105" xfId="15" applyFont="1" applyBorder="1" applyAlignment="1">
      <alignment horizontal="center" vertical="center"/>
    </xf>
    <xf numFmtId="0" fontId="45" fillId="0" borderId="107" xfId="0" applyFont="1" applyBorder="1" applyAlignment="1">
      <alignment horizontal="left" vertical="center" wrapText="1"/>
    </xf>
    <xf numFmtId="0" fontId="45" fillId="0" borderId="108" xfId="0" applyFont="1" applyBorder="1" applyAlignment="1">
      <alignment horizontal="center" vertical="center" wrapText="1"/>
    </xf>
    <xf numFmtId="3" fontId="45" fillId="7" borderId="109" xfId="0" applyNumberFormat="1" applyFont="1" applyFill="1" applyBorder="1" applyAlignment="1">
      <alignment horizontal="center" vertical="center" wrapText="1"/>
    </xf>
    <xf numFmtId="0" fontId="40" fillId="0" borderId="110" xfId="0" applyFont="1" applyBorder="1" applyAlignment="1" applyProtection="1">
      <alignment horizontal="left" vertical="top"/>
      <protection locked="0"/>
    </xf>
    <xf numFmtId="0" fontId="40" fillId="0" borderId="0" xfId="0" quotePrefix="1" applyFont="1" applyAlignment="1">
      <alignment vertical="center"/>
    </xf>
    <xf numFmtId="0" fontId="134" fillId="27" borderId="22" xfId="0" applyFont="1" applyFill="1" applyBorder="1" applyAlignment="1" applyProtection="1">
      <alignment horizontal="center" vertical="center" wrapText="1"/>
      <protection locked="0"/>
    </xf>
    <xf numFmtId="172" fontId="135" fillId="5" borderId="0" xfId="0" applyNumberFormat="1" applyFont="1" applyFill="1" applyAlignment="1">
      <alignment horizontal="center" vertical="center" wrapText="1"/>
    </xf>
    <xf numFmtId="0" fontId="64" fillId="0" borderId="0" xfId="15" applyFont="1" applyAlignment="1">
      <alignment vertical="center"/>
    </xf>
    <xf numFmtId="0" fontId="40" fillId="0" borderId="0" xfId="0" quotePrefix="1" applyFont="1"/>
    <xf numFmtId="10" fontId="45" fillId="28" borderId="64" xfId="38" applyNumberFormat="1" applyFont="1" applyFill="1" applyBorder="1" applyAlignment="1">
      <alignment vertical="center"/>
    </xf>
    <xf numFmtId="166" fontId="45" fillId="28" borderId="64" xfId="38" applyNumberFormat="1" applyFont="1" applyFill="1" applyBorder="1" applyAlignment="1">
      <alignment vertical="center"/>
    </xf>
    <xf numFmtId="10" fontId="45" fillId="28" borderId="51" xfId="38" applyNumberFormat="1" applyFont="1" applyFill="1" applyBorder="1" applyAlignment="1">
      <alignment vertical="center"/>
    </xf>
    <xf numFmtId="10" fontId="45" fillId="28" borderId="22" xfId="38" applyNumberFormat="1" applyFont="1" applyFill="1" applyBorder="1" applyAlignment="1">
      <alignment vertical="center"/>
    </xf>
    <xf numFmtId="10" fontId="45" fillId="28" borderId="54" xfId="38" applyNumberFormat="1" applyFont="1" applyFill="1" applyBorder="1" applyAlignment="1">
      <alignment vertical="center"/>
    </xf>
    <xf numFmtId="166" fontId="45" fillId="28" borderId="51" xfId="39" applyNumberFormat="1" applyFont="1" applyFill="1" applyBorder="1" applyAlignment="1">
      <alignment vertical="center"/>
    </xf>
    <xf numFmtId="166" fontId="45" fillId="28" borderId="63" xfId="38" applyNumberFormat="1" applyFont="1" applyFill="1" applyBorder="1" applyAlignment="1">
      <alignment vertical="center"/>
    </xf>
    <xf numFmtId="178" fontId="45" fillId="28" borderId="64" xfId="39" applyNumberFormat="1" applyFont="1" applyFill="1" applyBorder="1" applyAlignment="1">
      <alignment vertical="center"/>
    </xf>
    <xf numFmtId="178" fontId="45" fillId="28" borderId="63" xfId="39" applyNumberFormat="1" applyFont="1" applyFill="1" applyBorder="1" applyAlignment="1">
      <alignment vertical="center"/>
    </xf>
    <xf numFmtId="178" fontId="45" fillId="28" borderId="54" xfId="39" applyNumberFormat="1" applyFont="1" applyFill="1" applyBorder="1" applyAlignment="1">
      <alignment vertical="center"/>
    </xf>
    <xf numFmtId="178" fontId="45" fillId="28" borderId="55" xfId="39" applyNumberFormat="1" applyFont="1" applyFill="1" applyBorder="1" applyAlignment="1">
      <alignment vertical="center"/>
    </xf>
    <xf numFmtId="166" fontId="45" fillId="28" borderId="64" xfId="39" applyNumberFormat="1" applyFont="1" applyFill="1" applyBorder="1" applyAlignment="1">
      <alignment vertical="center"/>
    </xf>
    <xf numFmtId="166" fontId="45" fillId="28" borderId="63" xfId="39" applyNumberFormat="1" applyFont="1" applyFill="1" applyBorder="1" applyAlignment="1">
      <alignment vertical="center"/>
    </xf>
    <xf numFmtId="10" fontId="45" fillId="28" borderId="98" xfId="38" applyNumberFormat="1" applyFont="1" applyFill="1" applyBorder="1" applyAlignment="1">
      <alignment vertical="center"/>
    </xf>
    <xf numFmtId="10" fontId="45" fillId="28" borderId="100" xfId="38" applyNumberFormat="1" applyFont="1" applyFill="1" applyBorder="1" applyAlignment="1">
      <alignment vertical="center"/>
    </xf>
    <xf numFmtId="178" fontId="45" fillId="28" borderId="98" xfId="39" applyNumberFormat="1" applyFont="1" applyFill="1" applyBorder="1" applyAlignment="1">
      <alignment vertical="center"/>
    </xf>
    <xf numFmtId="178" fontId="45" fillId="28" borderId="100" xfId="39" applyNumberFormat="1" applyFont="1" applyFill="1" applyBorder="1" applyAlignment="1">
      <alignment vertical="center"/>
    </xf>
    <xf numFmtId="178" fontId="45" fillId="28" borderId="101" xfId="39" applyNumberFormat="1" applyFont="1" applyFill="1" applyBorder="1" applyAlignment="1">
      <alignment vertical="center"/>
    </xf>
    <xf numFmtId="10" fontId="45" fillId="28" borderId="105" xfId="38" applyNumberFormat="1" applyFont="1" applyFill="1" applyBorder="1" applyAlignment="1">
      <alignment vertical="center"/>
    </xf>
    <xf numFmtId="168" fontId="45" fillId="29" borderId="64" xfId="39" applyNumberFormat="1" applyFont="1" applyFill="1" applyBorder="1" applyAlignment="1">
      <alignment vertical="center"/>
    </xf>
    <xf numFmtId="10" fontId="45" fillId="29" borderId="64" xfId="38" applyNumberFormat="1" applyFont="1" applyFill="1" applyBorder="1" applyAlignment="1">
      <alignment vertical="center"/>
    </xf>
    <xf numFmtId="176" fontId="45" fillId="29" borderId="52" xfId="38" applyNumberFormat="1" applyFont="1" applyFill="1" applyBorder="1" applyAlignment="1">
      <alignment vertical="center"/>
    </xf>
    <xf numFmtId="176" fontId="45" fillId="29" borderId="60" xfId="38" applyNumberFormat="1" applyFont="1" applyFill="1" applyBorder="1" applyAlignment="1">
      <alignment vertical="center"/>
    </xf>
    <xf numFmtId="176" fontId="45" fillId="29" borderId="55" xfId="38" applyNumberFormat="1" applyFont="1" applyFill="1" applyBorder="1" applyAlignment="1">
      <alignment vertical="center"/>
    </xf>
    <xf numFmtId="176" fontId="45" fillId="29" borderId="22" xfId="38" applyNumberFormat="1" applyFont="1" applyFill="1" applyBorder="1" applyAlignment="1">
      <alignment vertical="center"/>
    </xf>
    <xf numFmtId="166" fontId="45" fillId="29" borderId="54" xfId="39" applyNumberFormat="1" applyFont="1" applyFill="1" applyBorder="1" applyAlignment="1">
      <alignment vertical="center"/>
    </xf>
    <xf numFmtId="176" fontId="45" fillId="29" borderId="51" xfId="38" applyNumberFormat="1" applyFont="1" applyFill="1" applyBorder="1" applyAlignment="1">
      <alignment vertical="center"/>
    </xf>
    <xf numFmtId="176" fontId="45" fillId="29" borderId="54" xfId="38" applyNumberFormat="1" applyFont="1" applyFill="1" applyBorder="1" applyAlignment="1">
      <alignment vertical="center"/>
    </xf>
    <xf numFmtId="10" fontId="45" fillId="29" borderId="98" xfId="38" applyNumberFormat="1" applyFont="1" applyFill="1" applyBorder="1" applyAlignment="1">
      <alignment vertical="center"/>
    </xf>
    <xf numFmtId="176" fontId="45" fillId="29" borderId="98" xfId="38" applyNumberFormat="1" applyFont="1" applyFill="1" applyBorder="1" applyAlignment="1">
      <alignment vertical="center"/>
    </xf>
    <xf numFmtId="176" fontId="45" fillId="29" borderId="100" xfId="38" applyNumberFormat="1" applyFont="1" applyFill="1" applyBorder="1" applyAlignment="1">
      <alignment vertical="center"/>
    </xf>
    <xf numFmtId="176" fontId="45" fillId="29" borderId="99" xfId="38" applyNumberFormat="1" applyFont="1" applyFill="1" applyBorder="1" applyAlignment="1">
      <alignment vertical="center"/>
    </xf>
    <xf numFmtId="176" fontId="45" fillId="29" borderId="101" xfId="38" applyNumberFormat="1" applyFont="1" applyFill="1" applyBorder="1" applyAlignment="1">
      <alignment vertical="center"/>
    </xf>
    <xf numFmtId="168" fontId="45" fillId="30" borderId="64" xfId="39" applyNumberFormat="1" applyFont="1" applyFill="1" applyBorder="1" applyAlignment="1">
      <alignment vertical="center"/>
    </xf>
    <xf numFmtId="168" fontId="45" fillId="30" borderId="63" xfId="39" applyNumberFormat="1" applyFont="1" applyFill="1" applyBorder="1" applyAlignment="1">
      <alignment vertical="center"/>
    </xf>
    <xf numFmtId="166" fontId="45" fillId="30" borderId="64" xfId="38" applyNumberFormat="1" applyFont="1" applyFill="1" applyBorder="1" applyAlignment="1">
      <alignment vertical="center"/>
    </xf>
    <xf numFmtId="10" fontId="45" fillId="30" borderId="64" xfId="38" applyNumberFormat="1" applyFont="1" applyFill="1" applyBorder="1" applyAlignment="1">
      <alignment vertical="center"/>
    </xf>
    <xf numFmtId="166" fontId="45" fillId="30" borderId="22" xfId="39" applyNumberFormat="1" applyFont="1" applyFill="1" applyBorder="1" applyAlignment="1">
      <alignment vertical="center"/>
    </xf>
    <xf numFmtId="166" fontId="45" fillId="30" borderId="51" xfId="39" applyNumberFormat="1" applyFont="1" applyFill="1" applyBorder="1" applyAlignment="1">
      <alignment vertical="center"/>
    </xf>
    <xf numFmtId="166" fontId="45" fillId="30" borderId="98" xfId="39" applyNumberFormat="1" applyFont="1" applyFill="1" applyBorder="1" applyAlignment="1">
      <alignment vertical="center"/>
    </xf>
    <xf numFmtId="166" fontId="45" fillId="30" borderId="100" xfId="39" applyNumberFormat="1" applyFont="1" applyFill="1" applyBorder="1" applyAlignment="1">
      <alignment vertical="center"/>
    </xf>
    <xf numFmtId="166" fontId="45" fillId="30" borderId="105" xfId="39" applyNumberFormat="1" applyFont="1" applyFill="1" applyBorder="1" applyAlignment="1">
      <alignment vertical="center"/>
    </xf>
    <xf numFmtId="10" fontId="45" fillId="28" borderId="103" xfId="38" applyNumberFormat="1" applyFont="1" applyFill="1" applyBorder="1" applyAlignment="1">
      <alignment vertical="center"/>
    </xf>
    <xf numFmtId="178" fontId="45" fillId="28" borderId="103" xfId="39" applyNumberFormat="1" applyFont="1" applyFill="1" applyBorder="1" applyAlignment="1">
      <alignment vertical="center"/>
    </xf>
    <xf numFmtId="178" fontId="45" fillId="28" borderId="104" xfId="39" applyNumberFormat="1" applyFont="1" applyFill="1" applyBorder="1" applyAlignment="1">
      <alignment vertical="center"/>
    </xf>
    <xf numFmtId="176" fontId="45" fillId="29" borderId="105" xfId="38" applyNumberFormat="1" applyFont="1" applyFill="1" applyBorder="1" applyAlignment="1">
      <alignment vertical="center"/>
    </xf>
    <xf numFmtId="176" fontId="45" fillId="29" borderId="106" xfId="38" applyNumberFormat="1" applyFont="1" applyFill="1" applyBorder="1" applyAlignment="1">
      <alignment vertical="center"/>
    </xf>
    <xf numFmtId="10" fontId="45" fillId="23" borderId="64" xfId="38" applyNumberFormat="1" applyFont="1" applyFill="1" applyBorder="1" applyAlignment="1">
      <alignment vertical="center"/>
    </xf>
    <xf numFmtId="166" fontId="45" fillId="23" borderId="64" xfId="39" applyNumberFormat="1" applyFont="1" applyFill="1" applyBorder="1" applyAlignment="1">
      <alignment vertical="center"/>
    </xf>
    <xf numFmtId="166" fontId="45" fillId="23" borderId="100" xfId="39" applyNumberFormat="1" applyFont="1" applyFill="1" applyBorder="1" applyAlignment="1">
      <alignment vertical="center"/>
    </xf>
    <xf numFmtId="10" fontId="45" fillId="23" borderId="100" xfId="38" applyNumberFormat="1" applyFont="1" applyFill="1" applyBorder="1" applyAlignment="1">
      <alignment vertical="center"/>
    </xf>
    <xf numFmtId="10" fontId="45" fillId="23" borderId="98" xfId="38" applyNumberFormat="1" applyFont="1" applyFill="1" applyBorder="1" applyAlignment="1">
      <alignment vertical="center"/>
    </xf>
    <xf numFmtId="10" fontId="45" fillId="23" borderId="105" xfId="38" applyNumberFormat="1" applyFont="1" applyFill="1" applyBorder="1" applyAlignment="1">
      <alignment vertical="center"/>
    </xf>
    <xf numFmtId="166" fontId="45" fillId="23" borderId="98" xfId="39" applyNumberFormat="1" applyFont="1" applyFill="1" applyBorder="1" applyAlignment="1">
      <alignment vertical="center"/>
    </xf>
    <xf numFmtId="166" fontId="45" fillId="23" borderId="105" xfId="39" applyNumberFormat="1" applyFont="1" applyFill="1" applyBorder="1" applyAlignment="1">
      <alignment vertical="center"/>
    </xf>
    <xf numFmtId="178" fontId="45" fillId="23" borderId="100" xfId="39" applyNumberFormat="1" applyFont="1" applyFill="1" applyBorder="1" applyAlignment="1">
      <alignment vertical="center"/>
    </xf>
    <xf numFmtId="166" fontId="45" fillId="30" borderId="64" xfId="39" applyNumberFormat="1" applyFont="1" applyFill="1" applyBorder="1" applyAlignment="1">
      <alignment vertical="center"/>
    </xf>
    <xf numFmtId="166" fontId="45" fillId="29" borderId="64" xfId="39" applyNumberFormat="1" applyFont="1" applyFill="1" applyBorder="1" applyAlignment="1">
      <alignment vertical="center"/>
    </xf>
    <xf numFmtId="166" fontId="45" fillId="29" borderId="63" xfId="39" applyNumberFormat="1" applyFont="1" applyFill="1" applyBorder="1" applyAlignment="1">
      <alignment vertical="center"/>
    </xf>
    <xf numFmtId="0" fontId="40" fillId="5" borderId="0" xfId="0" quotePrefix="1" applyFont="1" applyFill="1"/>
    <xf numFmtId="172" fontId="40" fillId="0" borderId="0" xfId="39" applyNumberFormat="1" applyFont="1" applyAlignment="1" applyProtection="1">
      <alignment vertical="center"/>
      <protection locked="0"/>
    </xf>
    <xf numFmtId="172" fontId="43" fillId="0" borderId="0" xfId="39" applyNumberFormat="1" applyFont="1" applyAlignment="1" applyProtection="1">
      <alignment vertical="center"/>
      <protection locked="0"/>
    </xf>
    <xf numFmtId="172" fontId="41" fillId="0" borderId="0" xfId="39" applyNumberFormat="1" applyFont="1" applyAlignment="1" applyProtection="1">
      <alignment horizontal="center" vertical="center" wrapText="1"/>
      <protection locked="0"/>
    </xf>
    <xf numFmtId="172" fontId="43" fillId="18" borderId="51" xfId="39" applyNumberFormat="1" applyFont="1" applyFill="1" applyBorder="1" applyAlignment="1" applyProtection="1">
      <alignment horizontal="center" vertical="center" wrapText="1"/>
      <protection locked="0"/>
    </xf>
    <xf numFmtId="172" fontId="43" fillId="10" borderId="51" xfId="39" applyNumberFormat="1" applyFont="1" applyFill="1" applyBorder="1" applyAlignment="1" applyProtection="1">
      <alignment vertical="center"/>
      <protection locked="0"/>
    </xf>
    <xf numFmtId="172" fontId="43" fillId="10" borderId="52" xfId="39" applyNumberFormat="1" applyFont="1" applyFill="1" applyBorder="1" applyAlignment="1" applyProtection="1">
      <alignment vertical="center"/>
      <protection locked="0"/>
    </xf>
    <xf numFmtId="172" fontId="43" fillId="18" borderId="22" xfId="39" applyNumberFormat="1" applyFont="1" applyFill="1" applyBorder="1" applyAlignment="1" applyProtection="1">
      <alignment horizontal="center" vertical="center" wrapText="1"/>
      <protection locked="0"/>
    </xf>
    <xf numFmtId="172" fontId="43" fillId="10" borderId="22" xfId="39" applyNumberFormat="1" applyFont="1" applyFill="1" applyBorder="1" applyAlignment="1" applyProtection="1">
      <alignment vertical="center"/>
      <protection locked="0"/>
    </xf>
    <xf numFmtId="172" fontId="43" fillId="10" borderId="60" xfId="39" applyNumberFormat="1" applyFont="1" applyFill="1" applyBorder="1" applyAlignment="1" applyProtection="1">
      <alignment vertical="center"/>
      <protection locked="0"/>
    </xf>
    <xf numFmtId="172" fontId="43" fillId="18" borderId="54" xfId="39" applyNumberFormat="1" applyFont="1" applyFill="1" applyBorder="1" applyAlignment="1" applyProtection="1">
      <alignment horizontal="center" vertical="center" wrapText="1"/>
      <protection locked="0"/>
    </xf>
    <xf numFmtId="172" fontId="43" fillId="10" borderId="54" xfId="39" applyNumberFormat="1" applyFont="1" applyFill="1" applyBorder="1" applyAlignment="1" applyProtection="1">
      <alignment vertical="center"/>
      <protection locked="0"/>
    </xf>
    <xf numFmtId="172" fontId="43" fillId="10" borderId="55" xfId="39" applyNumberFormat="1" applyFont="1" applyFill="1" applyBorder="1" applyAlignment="1" applyProtection="1">
      <alignment vertical="center"/>
      <protection locked="0"/>
    </xf>
    <xf numFmtId="172" fontId="43" fillId="13" borderId="54" xfId="39" applyNumberFormat="1" applyFont="1" applyFill="1" applyBorder="1" applyAlignment="1" applyProtection="1">
      <alignment horizontal="center" vertical="center" wrapText="1"/>
    </xf>
    <xf numFmtId="172" fontId="43" fillId="13" borderId="55" xfId="39" applyNumberFormat="1" applyFont="1" applyFill="1" applyBorder="1" applyAlignment="1" applyProtection="1">
      <alignment horizontal="center" vertical="center" wrapText="1"/>
    </xf>
    <xf numFmtId="172" fontId="45" fillId="13" borderId="51" xfId="39" applyNumberFormat="1" applyFont="1" applyFill="1" applyBorder="1" applyAlignment="1" applyProtection="1">
      <alignment horizontal="center" vertical="center" wrapText="1"/>
    </xf>
    <xf numFmtId="172" fontId="45" fillId="13" borderId="52" xfId="39" applyNumberFormat="1" applyFont="1" applyFill="1" applyBorder="1" applyAlignment="1" applyProtection="1">
      <alignment horizontal="center" vertical="center" wrapText="1"/>
    </xf>
    <xf numFmtId="172" fontId="43" fillId="13" borderId="22" xfId="39" applyNumberFormat="1" applyFont="1" applyFill="1" applyBorder="1" applyAlignment="1" applyProtection="1">
      <alignment horizontal="center" vertical="center" wrapText="1"/>
    </xf>
    <xf numFmtId="172" fontId="43" fillId="13" borderId="60" xfId="39" applyNumberFormat="1" applyFont="1" applyFill="1" applyBorder="1" applyAlignment="1" applyProtection="1">
      <alignment horizontal="center" vertical="center" wrapText="1"/>
    </xf>
    <xf numFmtId="172" fontId="45" fillId="13" borderId="22" xfId="39" applyNumberFormat="1" applyFont="1" applyFill="1" applyBorder="1" applyAlignment="1" applyProtection="1">
      <alignment horizontal="center" vertical="center" wrapText="1"/>
    </xf>
    <xf numFmtId="172" fontId="45" fillId="13" borderId="60" xfId="39" applyNumberFormat="1" applyFont="1" applyFill="1" applyBorder="1" applyAlignment="1" applyProtection="1">
      <alignment horizontal="center" vertical="center" wrapText="1"/>
    </xf>
    <xf numFmtId="172" fontId="45" fillId="13" borderId="54" xfId="39" applyNumberFormat="1" applyFont="1" applyFill="1" applyBorder="1" applyAlignment="1" applyProtection="1">
      <alignment horizontal="center" vertical="center" wrapText="1"/>
    </xf>
    <xf numFmtId="172" fontId="45" fillId="13" borderId="55" xfId="39" applyNumberFormat="1" applyFont="1" applyFill="1" applyBorder="1" applyAlignment="1" applyProtection="1">
      <alignment horizontal="center" vertical="center" wrapText="1"/>
    </xf>
    <xf numFmtId="0" fontId="43" fillId="0" borderId="72" xfId="30" applyFont="1" applyBorder="1" applyAlignment="1">
      <alignment horizontal="center" vertical="center" wrapText="1"/>
    </xf>
    <xf numFmtId="0" fontId="43" fillId="0" borderId="0" xfId="55" applyFont="1" applyAlignment="1">
      <alignment vertical="center"/>
    </xf>
    <xf numFmtId="172" fontId="45" fillId="17" borderId="51" xfId="39" applyNumberFormat="1" applyFont="1" applyFill="1" applyBorder="1" applyAlignment="1" applyProtection="1">
      <alignment horizontal="center" vertical="center" wrapText="1"/>
    </xf>
    <xf numFmtId="172" fontId="43" fillId="13" borderId="52" xfId="39" applyNumberFormat="1" applyFont="1" applyFill="1" applyBorder="1" applyAlignment="1" applyProtection="1">
      <alignment horizontal="center" vertical="center" wrapText="1"/>
    </xf>
    <xf numFmtId="172" fontId="45" fillId="0" borderId="0" xfId="39" applyNumberFormat="1" applyFont="1" applyAlignment="1" applyProtection="1">
      <alignment horizontal="center" vertical="center" wrapText="1"/>
      <protection locked="0"/>
    </xf>
    <xf numFmtId="172" fontId="43" fillId="0" borderId="0" xfId="39" applyNumberFormat="1" applyFont="1" applyAlignment="1" applyProtection="1">
      <alignment horizontal="center" vertical="center" wrapText="1"/>
      <protection locked="0"/>
    </xf>
    <xf numFmtId="172" fontId="45" fillId="17" borderId="22" xfId="39" applyNumberFormat="1" applyFont="1" applyFill="1" applyBorder="1" applyAlignment="1" applyProtection="1">
      <alignment horizontal="center" vertical="center" wrapText="1"/>
    </xf>
    <xf numFmtId="172" fontId="45" fillId="13" borderId="64"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5" fillId="10" borderId="22" xfId="39" applyNumberFormat="1" applyFont="1" applyFill="1" applyBorder="1" applyAlignment="1" applyProtection="1">
      <alignment horizontal="center" vertical="center" wrapText="1"/>
      <protection locked="0"/>
    </xf>
    <xf numFmtId="172" fontId="45" fillId="10" borderId="22" xfId="39" applyNumberFormat="1" applyFont="1" applyFill="1" applyBorder="1" applyAlignment="1" applyProtection="1">
      <alignment vertical="center" wrapText="1"/>
      <protection locked="0"/>
    </xf>
    <xf numFmtId="172" fontId="45" fillId="10" borderId="54" xfId="39" applyNumberFormat="1" applyFont="1" applyFill="1" applyBorder="1" applyAlignment="1" applyProtection="1">
      <alignment vertical="center" wrapText="1"/>
      <protection locked="0"/>
    </xf>
    <xf numFmtId="172" fontId="45" fillId="10" borderId="54" xfId="39" applyNumberFormat="1" applyFont="1" applyFill="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45" fillId="10" borderId="51" xfId="0" applyFont="1" applyFill="1" applyBorder="1" applyAlignment="1" applyProtection="1">
      <alignment horizontal="center" vertical="center" wrapText="1"/>
      <protection locked="0"/>
    </xf>
    <xf numFmtId="0" fontId="43" fillId="10" borderId="54" xfId="0" applyFont="1" applyFill="1" applyBorder="1" applyAlignment="1" applyProtection="1">
      <alignment vertical="center" wrapText="1"/>
      <protection locked="0"/>
    </xf>
    <xf numFmtId="0" fontId="45" fillId="10" borderId="54" xfId="0"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vertical="center"/>
      <protection locked="0"/>
    </xf>
    <xf numFmtId="0" fontId="43" fillId="0" borderId="0" xfId="0" applyFont="1" applyAlignment="1" applyProtection="1">
      <alignment horizontal="center" vertical="center" wrapText="1"/>
      <protection locked="0"/>
    </xf>
    <xf numFmtId="171" fontId="45" fillId="13" borderId="52" xfId="38" applyNumberFormat="1" applyFont="1" applyFill="1" applyBorder="1" applyAlignment="1" applyProtection="1">
      <alignment horizontal="center" vertical="center" wrapText="1"/>
    </xf>
    <xf numFmtId="172" fontId="45" fillId="13" borderId="63" xfId="39" applyNumberFormat="1" applyFont="1" applyFill="1" applyBorder="1" applyAlignment="1" applyProtection="1">
      <alignment horizontal="center" vertical="center" wrapText="1"/>
    </xf>
    <xf numFmtId="10" fontId="45" fillId="29" borderId="64"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horizontal="right" vertical="center"/>
      <protection locked="0"/>
    </xf>
    <xf numFmtId="10" fontId="45" fillId="23" borderId="64" xfId="38" applyNumberFormat="1" applyFont="1" applyFill="1" applyBorder="1" applyAlignment="1" applyProtection="1">
      <alignment vertical="center"/>
      <protection locked="0"/>
    </xf>
    <xf numFmtId="10" fontId="45" fillId="29" borderId="98" xfId="38" applyNumberFormat="1" applyFont="1" applyFill="1" applyBorder="1" applyAlignment="1" applyProtection="1">
      <alignment vertical="center"/>
      <protection locked="0"/>
    </xf>
    <xf numFmtId="10" fontId="45" fillId="29" borderId="96" xfId="38" applyNumberFormat="1" applyFont="1" applyFill="1" applyBorder="1" applyAlignment="1" applyProtection="1">
      <alignment vertical="center"/>
      <protection locked="0"/>
    </xf>
    <xf numFmtId="10" fontId="45" fillId="23" borderId="100" xfId="38" applyNumberFormat="1" applyFont="1" applyFill="1" applyBorder="1" applyAlignment="1" applyProtection="1">
      <alignment vertical="center"/>
      <protection locked="0"/>
    </xf>
    <xf numFmtId="10" fontId="45" fillId="23" borderId="97" xfId="38" applyNumberFormat="1" applyFont="1" applyFill="1" applyBorder="1" applyAlignment="1" applyProtection="1">
      <alignment vertical="center"/>
      <protection locked="0"/>
    </xf>
    <xf numFmtId="10" fontId="45" fillId="23" borderId="98" xfId="38" applyNumberFormat="1" applyFont="1" applyFill="1" applyBorder="1" applyAlignment="1" applyProtection="1">
      <alignment vertical="center"/>
      <protection locked="0"/>
    </xf>
    <xf numFmtId="10" fontId="45" fillId="23" borderId="105" xfId="38" applyNumberFormat="1" applyFont="1" applyFill="1" applyBorder="1" applyAlignment="1" applyProtection="1">
      <alignment vertical="center"/>
      <protection locked="0"/>
    </xf>
    <xf numFmtId="10" fontId="45" fillId="28" borderId="64" xfId="38" applyNumberFormat="1" applyFont="1" applyFill="1" applyBorder="1" applyAlignment="1" applyProtection="1">
      <alignment vertical="center"/>
    </xf>
    <xf numFmtId="10" fontId="45" fillId="28" borderId="51" xfId="38" applyNumberFormat="1" applyFont="1" applyFill="1" applyBorder="1" applyAlignment="1" applyProtection="1">
      <alignment vertical="center"/>
    </xf>
    <xf numFmtId="10" fontId="45" fillId="28" borderId="22" xfId="38" applyNumberFormat="1" applyFont="1" applyFill="1" applyBorder="1" applyAlignment="1" applyProtection="1">
      <alignment vertical="center"/>
    </xf>
    <xf numFmtId="10" fontId="45" fillId="28" borderId="54" xfId="38" applyNumberFormat="1" applyFont="1" applyFill="1" applyBorder="1" applyAlignment="1" applyProtection="1">
      <alignment vertical="center"/>
    </xf>
    <xf numFmtId="10" fontId="45" fillId="30" borderId="64" xfId="38" applyNumberFormat="1" applyFont="1" applyFill="1" applyBorder="1" applyAlignment="1" applyProtection="1">
      <alignment vertical="center"/>
    </xf>
    <xf numFmtId="10" fontId="45" fillId="28" borderId="98" xfId="38" applyNumberFormat="1" applyFont="1" applyFill="1" applyBorder="1" applyAlignment="1" applyProtection="1">
      <alignment vertical="center"/>
    </xf>
    <xf numFmtId="10" fontId="45" fillId="28" borderId="100" xfId="38" applyNumberFormat="1" applyFont="1" applyFill="1" applyBorder="1" applyAlignment="1" applyProtection="1">
      <alignment vertical="center"/>
    </xf>
    <xf numFmtId="10" fontId="45" fillId="28" borderId="103" xfId="38" applyNumberFormat="1" applyFont="1" applyFill="1" applyBorder="1" applyAlignment="1" applyProtection="1">
      <alignment vertical="center"/>
    </xf>
    <xf numFmtId="10" fontId="45" fillId="28" borderId="96" xfId="38" applyNumberFormat="1" applyFont="1" applyFill="1" applyBorder="1" applyAlignment="1" applyProtection="1">
      <alignment vertical="center"/>
    </xf>
    <xf numFmtId="10" fontId="45" fillId="28" borderId="111" xfId="38" applyNumberFormat="1" applyFont="1" applyFill="1" applyBorder="1" applyAlignment="1" applyProtection="1">
      <alignment vertical="center"/>
    </xf>
    <xf numFmtId="10" fontId="45" fillId="28" borderId="113" xfId="38" applyNumberFormat="1" applyFont="1" applyFill="1" applyBorder="1" applyAlignment="1" applyProtection="1">
      <alignment vertical="center"/>
    </xf>
    <xf numFmtId="10" fontId="45" fillId="28" borderId="93" xfId="38" applyNumberFormat="1" applyFont="1" applyFill="1" applyBorder="1" applyAlignment="1" applyProtection="1">
      <alignment vertical="center"/>
    </xf>
    <xf numFmtId="10" fontId="45" fillId="28" borderId="97" xfId="38" applyNumberFormat="1" applyFont="1" applyFill="1" applyBorder="1" applyAlignment="1" applyProtection="1">
      <alignment vertical="center"/>
    </xf>
    <xf numFmtId="10" fontId="45" fillId="28" borderId="112" xfId="38" applyNumberFormat="1" applyFont="1" applyFill="1" applyBorder="1" applyAlignment="1" applyProtection="1">
      <alignment vertical="center"/>
    </xf>
    <xf numFmtId="10" fontId="45" fillId="28" borderId="105" xfId="38" applyNumberFormat="1" applyFont="1" applyFill="1" applyBorder="1" applyAlignment="1" applyProtection="1">
      <alignment vertical="center"/>
    </xf>
    <xf numFmtId="172" fontId="79" fillId="17" borderId="51" xfId="39" applyNumberFormat="1" applyFont="1" applyFill="1" applyBorder="1" applyAlignment="1" applyProtection="1">
      <alignment horizontal="center" vertical="center" wrapText="1"/>
    </xf>
    <xf numFmtId="172" fontId="79" fillId="13" borderId="51" xfId="39" applyNumberFormat="1" applyFont="1" applyFill="1" applyBorder="1" applyAlignment="1" applyProtection="1">
      <alignment horizontal="center" vertical="center" wrapText="1"/>
    </xf>
    <xf numFmtId="172" fontId="79" fillId="17" borderId="22" xfId="39" applyNumberFormat="1" applyFont="1" applyFill="1" applyBorder="1" applyAlignment="1" applyProtection="1">
      <alignment horizontal="center" vertical="center" wrapText="1"/>
    </xf>
    <xf numFmtId="172" fontId="79" fillId="13" borderId="22" xfId="39" applyNumberFormat="1" applyFont="1" applyFill="1" applyBorder="1" applyAlignment="1" applyProtection="1">
      <alignment horizontal="center" vertical="center" wrapText="1"/>
    </xf>
    <xf numFmtId="172" fontId="79" fillId="17" borderId="22" xfId="39" applyNumberFormat="1" applyFont="1" applyFill="1" applyBorder="1" applyAlignment="1" applyProtection="1">
      <alignment horizontal="center" vertical="center"/>
    </xf>
    <xf numFmtId="172" fontId="79" fillId="13" borderId="22" xfId="39" applyNumberFormat="1" applyFont="1" applyFill="1" applyBorder="1" applyAlignment="1" applyProtection="1">
      <alignment horizontal="center" vertical="center"/>
    </xf>
    <xf numFmtId="172" fontId="79" fillId="13" borderId="54" xfId="39" applyNumberFormat="1" applyFont="1" applyFill="1" applyBorder="1" applyAlignment="1" applyProtection="1">
      <alignment horizontal="center" vertical="center"/>
    </xf>
    <xf numFmtId="172" fontId="45" fillId="0" borderId="0" xfId="39" applyNumberFormat="1" applyFont="1" applyAlignment="1" applyProtection="1">
      <alignment horizontal="center" vertical="center" wrapText="1"/>
    </xf>
    <xf numFmtId="172" fontId="43" fillId="0" borderId="0" xfId="39" applyNumberFormat="1" applyFont="1" applyAlignment="1" applyProtection="1">
      <alignment horizontal="center" vertical="center" wrapText="1"/>
    </xf>
    <xf numFmtId="172" fontId="79" fillId="13" borderId="54" xfId="39" applyNumberFormat="1" applyFont="1" applyFill="1" applyBorder="1" applyAlignment="1" applyProtection="1">
      <alignment horizontal="center" vertical="center" wrapText="1"/>
    </xf>
    <xf numFmtId="172" fontId="43" fillId="0" borderId="0" xfId="39" applyNumberFormat="1" applyFont="1" applyAlignment="1" applyProtection="1">
      <alignment vertical="center"/>
    </xf>
    <xf numFmtId="172" fontId="79" fillId="17" borderId="64" xfId="39" applyNumberFormat="1" applyFont="1" applyFill="1" applyBorder="1" applyAlignment="1" applyProtection="1">
      <alignment horizontal="center" vertical="center" wrapText="1"/>
    </xf>
    <xf numFmtId="172" fontId="79" fillId="13" borderId="64" xfId="39" applyNumberFormat="1" applyFont="1" applyFill="1" applyBorder="1" applyAlignment="1" applyProtection="1">
      <alignment horizontal="center" vertical="center" wrapText="1"/>
    </xf>
    <xf numFmtId="172" fontId="79" fillId="13" borderId="52" xfId="39" applyNumberFormat="1" applyFont="1" applyFill="1" applyBorder="1" applyAlignment="1" applyProtection="1">
      <alignment horizontal="center" vertical="center" wrapText="1"/>
    </xf>
    <xf numFmtId="172" fontId="79" fillId="13" borderId="60" xfId="39" applyNumberFormat="1" applyFont="1" applyFill="1" applyBorder="1" applyAlignment="1" applyProtection="1">
      <alignment horizontal="center" vertical="center" wrapText="1"/>
    </xf>
    <xf numFmtId="172" fontId="79" fillId="13" borderId="55" xfId="39" applyNumberFormat="1" applyFont="1" applyFill="1" applyBorder="1" applyAlignment="1" applyProtection="1">
      <alignment horizontal="center" vertical="center" wrapText="1"/>
    </xf>
    <xf numFmtId="172" fontId="79" fillId="13" borderId="63" xfId="39" applyNumberFormat="1" applyFont="1" applyFill="1" applyBorder="1" applyAlignment="1" applyProtection="1">
      <alignment horizontal="center" vertical="center" wrapText="1"/>
    </xf>
    <xf numFmtId="167" fontId="40" fillId="25" borderId="74" xfId="40" applyNumberFormat="1" applyFont="1" applyFill="1" applyBorder="1" applyAlignment="1">
      <alignment horizontal="left" vertical="top"/>
    </xf>
    <xf numFmtId="10" fontId="43" fillId="25" borderId="74" xfId="47" applyNumberFormat="1" applyFont="1" applyFill="1" applyBorder="1" applyAlignment="1" applyProtection="1">
      <alignment horizontal="left" vertical="top"/>
    </xf>
    <xf numFmtId="167" fontId="40" fillId="25" borderId="20" xfId="40" applyNumberFormat="1" applyFont="1" applyFill="1" applyBorder="1" applyAlignment="1">
      <alignment horizontal="left" vertical="top"/>
    </xf>
    <xf numFmtId="10" fontId="43" fillId="25" borderId="20" xfId="47" applyNumberFormat="1" applyFont="1" applyFill="1" applyBorder="1" applyAlignment="1" applyProtection="1">
      <alignment horizontal="left" vertical="top"/>
    </xf>
    <xf numFmtId="167" fontId="43" fillId="25" borderId="77" xfId="40" applyNumberFormat="1" applyFont="1" applyFill="1" applyBorder="1" applyAlignment="1">
      <alignment horizontal="left" vertical="top" wrapText="1"/>
    </xf>
    <xf numFmtId="167" fontId="43" fillId="25" borderId="77" xfId="3" applyNumberFormat="1" applyFont="1" applyFill="1" applyBorder="1" applyAlignment="1">
      <alignment horizontal="left" vertical="top" wrapText="1"/>
    </xf>
    <xf numFmtId="167" fontId="43" fillId="25" borderId="86" xfId="3" applyNumberFormat="1" applyFont="1" applyFill="1" applyBorder="1" applyAlignment="1">
      <alignment horizontal="left" vertical="top"/>
    </xf>
    <xf numFmtId="167" fontId="43" fillId="25" borderId="86" xfId="40" applyNumberFormat="1" applyFont="1" applyFill="1" applyBorder="1" applyAlignment="1">
      <alignment horizontal="left" vertical="top"/>
    </xf>
    <xf numFmtId="167" fontId="43" fillId="25" borderId="74" xfId="3" applyNumberFormat="1" applyFont="1" applyFill="1" applyBorder="1" applyAlignment="1">
      <alignment horizontal="left" vertical="top"/>
    </xf>
    <xf numFmtId="167" fontId="43" fillId="25" borderId="20" xfId="3" applyNumberFormat="1" applyFont="1" applyFill="1" applyBorder="1" applyAlignment="1">
      <alignment horizontal="left" vertical="top"/>
    </xf>
    <xf numFmtId="10" fontId="43" fillId="25" borderId="74" xfId="47" applyNumberFormat="1" applyFont="1" applyFill="1" applyBorder="1" applyAlignment="1" applyProtection="1">
      <alignment horizontal="right"/>
    </xf>
    <xf numFmtId="10" fontId="43" fillId="25" borderId="77" xfId="47" applyNumberFormat="1" applyFont="1" applyFill="1" applyBorder="1" applyAlignment="1" applyProtection="1">
      <alignment horizontal="right"/>
    </xf>
    <xf numFmtId="10" fontId="43" fillId="25" borderId="74" xfId="47" applyNumberFormat="1" applyFont="1" applyFill="1" applyBorder="1" applyAlignment="1" applyProtection="1">
      <alignment horizontal="right" vertical="center"/>
    </xf>
    <xf numFmtId="10" fontId="43" fillId="25" borderId="20" xfId="47" applyNumberFormat="1" applyFont="1" applyFill="1" applyBorder="1" applyAlignment="1" applyProtection="1">
      <alignment horizontal="right" vertical="center"/>
    </xf>
    <xf numFmtId="10" fontId="43" fillId="25" borderId="20" xfId="3" applyNumberFormat="1" applyFont="1" applyFill="1" applyBorder="1" applyAlignment="1">
      <alignment horizontal="right" vertical="center"/>
    </xf>
    <xf numFmtId="166" fontId="43" fillId="25" borderId="77" xfId="3" applyNumberFormat="1" applyFont="1" applyFill="1" applyBorder="1" applyAlignment="1">
      <alignment horizontal="right" vertical="center"/>
    </xf>
    <xf numFmtId="167" fontId="43" fillId="13" borderId="22" xfId="38" applyNumberFormat="1" applyFont="1" applyFill="1" applyBorder="1" applyAlignment="1" applyProtection="1">
      <alignment horizontal="center" vertical="center" wrapText="1"/>
    </xf>
    <xf numFmtId="167" fontId="43" fillId="13" borderId="60" xfId="38" applyNumberFormat="1" applyFont="1" applyFill="1" applyBorder="1" applyAlignment="1" applyProtection="1">
      <alignment horizontal="center" vertical="center" wrapText="1"/>
    </xf>
    <xf numFmtId="167" fontId="43" fillId="17" borderId="60" xfId="0" applyNumberFormat="1" applyFont="1" applyFill="1" applyBorder="1" applyAlignment="1">
      <alignment horizontal="center" vertical="center" wrapText="1"/>
    </xf>
    <xf numFmtId="172" fontId="43" fillId="5" borderId="0" xfId="2" applyNumberFormat="1" applyFont="1" applyFill="1" applyAlignment="1">
      <alignment horizontal="center" vertical="center"/>
    </xf>
    <xf numFmtId="172" fontId="45" fillId="13" borderId="54" xfId="0" applyNumberFormat="1" applyFont="1" applyFill="1" applyBorder="1" applyAlignment="1">
      <alignment vertical="center" wrapText="1"/>
    </xf>
    <xf numFmtId="172" fontId="45" fillId="13" borderId="64" xfId="0" applyNumberFormat="1" applyFont="1" applyFill="1" applyBorder="1" applyAlignment="1">
      <alignment vertical="center" wrapText="1"/>
    </xf>
    <xf numFmtId="1" fontId="45" fillId="13" borderId="63" xfId="0" applyNumberFormat="1" applyFont="1" applyFill="1" applyBorder="1" applyAlignment="1">
      <alignment horizontal="center" vertical="center" wrapText="1"/>
    </xf>
    <xf numFmtId="3" fontId="45" fillId="13" borderId="108" xfId="0" applyNumberFormat="1" applyFont="1" applyFill="1" applyBorder="1" applyAlignment="1">
      <alignment horizontal="center" vertical="center" wrapText="1"/>
    </xf>
    <xf numFmtId="3" fontId="45" fillId="13" borderId="60" xfId="39" applyNumberFormat="1" applyFont="1" applyFill="1" applyBorder="1" applyAlignment="1" applyProtection="1">
      <alignment horizontal="center" vertical="center" wrapText="1"/>
    </xf>
    <xf numFmtId="3" fontId="45" fillId="13" borderId="55" xfId="39" applyNumberFormat="1" applyFont="1" applyFill="1" applyBorder="1" applyAlignment="1" applyProtection="1">
      <alignment horizontal="center" vertical="center" wrapText="1"/>
    </xf>
    <xf numFmtId="3" fontId="45" fillId="13" borderId="52" xfId="39" applyNumberFormat="1" applyFont="1" applyFill="1" applyBorder="1" applyAlignment="1" applyProtection="1">
      <alignment horizontal="center" vertical="center" wrapText="1"/>
    </xf>
    <xf numFmtId="0" fontId="49" fillId="0" borderId="0" xfId="30" applyFont="1" applyBorder="1" applyAlignment="1" applyProtection="1">
      <alignment vertical="center" wrapText="1"/>
    </xf>
    <xf numFmtId="167" fontId="45" fillId="12" borderId="64" xfId="0" applyNumberFormat="1" applyFont="1" applyFill="1" applyBorder="1" applyAlignment="1" applyProtection="1">
      <alignment horizontal="center" vertical="center" wrapText="1"/>
      <protection locked="0"/>
    </xf>
    <xf numFmtId="166" fontId="40" fillId="12" borderId="74" xfId="40" applyNumberFormat="1" applyFont="1" applyFill="1" applyBorder="1" applyAlignment="1" applyProtection="1">
      <alignment horizontal="left" vertical="top"/>
      <protection locked="0"/>
    </xf>
    <xf numFmtId="167" fontId="42" fillId="7" borderId="74" xfId="40" quotePrefix="1" applyNumberFormat="1" applyFont="1" applyFill="1" applyBorder="1" applyAlignment="1" applyProtection="1">
      <alignment horizontal="left" vertical="top"/>
      <protection locked="0"/>
    </xf>
    <xf numFmtId="166" fontId="40" fillId="12" borderId="20" xfId="40" applyNumberFormat="1" applyFont="1" applyFill="1" applyBorder="1" applyAlignment="1" applyProtection="1">
      <alignment horizontal="left" vertical="top"/>
      <protection locked="0"/>
    </xf>
    <xf numFmtId="167" fontId="42" fillId="7" borderId="20" xfId="40" quotePrefix="1" applyNumberFormat="1" applyFont="1" applyFill="1" applyBorder="1" applyAlignment="1" applyProtection="1">
      <alignment horizontal="left" vertical="top"/>
      <protection locked="0"/>
    </xf>
    <xf numFmtId="49" fontId="43" fillId="7" borderId="77" xfId="3" applyNumberFormat="1" applyFont="1" applyFill="1" applyBorder="1" applyAlignment="1" applyProtection="1">
      <alignment horizontal="left" vertical="top"/>
      <protection locked="0"/>
    </xf>
    <xf numFmtId="49" fontId="42" fillId="7" borderId="77" xfId="40" applyNumberFormat="1" applyFont="1" applyFill="1" applyBorder="1" applyAlignment="1" applyProtection="1">
      <alignment horizontal="left" vertical="top" wrapText="1"/>
      <protection locked="0"/>
    </xf>
    <xf numFmtId="49" fontId="43" fillId="7" borderId="77" xfId="3" applyNumberFormat="1" applyFont="1" applyFill="1" applyBorder="1" applyAlignment="1" applyProtection="1">
      <alignment horizontal="left" vertical="top" wrapText="1"/>
      <protection locked="0"/>
    </xf>
    <xf numFmtId="14" fontId="43" fillId="7" borderId="77" xfId="3" applyNumberFormat="1" applyFont="1" applyFill="1" applyBorder="1" applyAlignment="1" applyProtection="1">
      <alignment horizontal="left" vertical="top" wrapText="1"/>
      <protection locked="0"/>
    </xf>
    <xf numFmtId="0" fontId="43" fillId="7" borderId="77" xfId="3" applyFont="1" applyFill="1" applyBorder="1" applyAlignment="1" applyProtection="1">
      <alignment horizontal="left" vertical="top" wrapText="1"/>
      <protection locked="0"/>
    </xf>
    <xf numFmtId="0" fontId="42" fillId="7" borderId="77" xfId="40" applyFont="1" applyFill="1" applyBorder="1" applyAlignment="1" applyProtection="1">
      <alignment horizontal="left" vertical="top" wrapText="1"/>
      <protection locked="0"/>
    </xf>
    <xf numFmtId="167" fontId="42" fillId="7" borderId="77" xfId="40" applyNumberFormat="1" applyFont="1" applyFill="1" applyBorder="1" applyAlignment="1" applyProtection="1">
      <alignment horizontal="left" vertical="top"/>
      <protection locked="0"/>
    </xf>
    <xf numFmtId="167" fontId="43" fillId="12" borderId="78" xfId="3" applyNumberFormat="1" applyFont="1" applyFill="1" applyBorder="1" applyAlignment="1" applyProtection="1">
      <alignment horizontal="left" vertical="top" wrapText="1"/>
      <protection locked="0"/>
    </xf>
    <xf numFmtId="49" fontId="42" fillId="5" borderId="0" xfId="3" applyNumberFormat="1" applyFont="1" applyFill="1" applyAlignment="1" applyProtection="1">
      <alignment horizontal="left" vertical="top"/>
      <protection locked="0"/>
    </xf>
    <xf numFmtId="49" fontId="42" fillId="5" borderId="0" xfId="40" applyNumberFormat="1" applyFont="1" applyFill="1" applyAlignment="1" applyProtection="1">
      <alignment horizontal="left" vertical="top"/>
      <protection locked="0"/>
    </xf>
    <xf numFmtId="14" fontId="42" fillId="5" borderId="0" xfId="40" applyNumberFormat="1" applyFont="1" applyFill="1" applyAlignment="1" applyProtection="1">
      <alignment horizontal="left" vertical="top"/>
      <protection locked="0"/>
    </xf>
    <xf numFmtId="0" fontId="42" fillId="5" borderId="0" xfId="40" applyFont="1" applyFill="1" applyAlignment="1" applyProtection="1">
      <alignment horizontal="left" vertical="top"/>
      <protection locked="0"/>
    </xf>
    <xf numFmtId="167" fontId="42" fillId="5" borderId="0" xfId="40" applyNumberFormat="1" applyFont="1" applyFill="1" applyAlignment="1" applyProtection="1">
      <alignment horizontal="left" vertical="top"/>
      <protection locked="0"/>
    </xf>
    <xf numFmtId="0" fontId="42" fillId="7" borderId="77" xfId="40" applyFont="1" applyFill="1" applyBorder="1" applyProtection="1">
      <protection locked="0"/>
    </xf>
    <xf numFmtId="49" fontId="42" fillId="2" borderId="0" xfId="3"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0" fontId="42" fillId="7" borderId="74" xfId="40" applyFont="1" applyFill="1" applyBorder="1" applyAlignment="1" applyProtection="1">
      <alignment horizontal="left" vertical="top" wrapText="1"/>
      <protection locked="0"/>
    </xf>
    <xf numFmtId="0" fontId="42" fillId="7" borderId="20" xfId="40" applyFont="1" applyFill="1" applyBorder="1" applyAlignment="1" applyProtection="1">
      <alignment horizontal="left" vertical="top" wrapText="1"/>
      <protection locked="0"/>
    </xf>
    <xf numFmtId="167" fontId="42" fillId="18" borderId="20" xfId="40" quotePrefix="1" applyNumberFormat="1" applyFont="1" applyFill="1" applyBorder="1" applyAlignment="1" applyProtection="1">
      <alignment horizontal="left" vertical="top"/>
      <protection locked="0"/>
    </xf>
    <xf numFmtId="0" fontId="43" fillId="5" borderId="0" xfId="3" applyFont="1" applyFill="1" applyAlignment="1" applyProtection="1">
      <alignment horizontal="left" vertical="top"/>
      <protection locked="0"/>
    </xf>
    <xf numFmtId="167" fontId="43" fillId="5" borderId="0" xfId="3" applyNumberFormat="1" applyFont="1" applyFill="1" applyAlignment="1" applyProtection="1">
      <alignment horizontal="left" vertical="top"/>
      <protection locked="0"/>
    </xf>
    <xf numFmtId="49" fontId="43" fillId="7" borderId="86" xfId="3" applyNumberFormat="1" applyFont="1" applyFill="1" applyBorder="1" applyAlignment="1" applyProtection="1">
      <alignment horizontal="left" vertical="top"/>
      <protection locked="0"/>
    </xf>
    <xf numFmtId="49" fontId="42" fillId="7" borderId="86" xfId="40" applyNumberFormat="1" applyFont="1" applyFill="1" applyBorder="1" applyAlignment="1" applyProtection="1">
      <alignment horizontal="left" vertical="top" wrapText="1"/>
      <protection locked="0"/>
    </xf>
    <xf numFmtId="49" fontId="43" fillId="7" borderId="86" xfId="3" applyNumberFormat="1" applyFont="1" applyFill="1" applyBorder="1" applyAlignment="1" applyProtection="1">
      <alignment horizontal="left" vertical="top" wrapText="1"/>
      <protection locked="0"/>
    </xf>
    <xf numFmtId="14" fontId="43" fillId="7" borderId="86" xfId="3" applyNumberFormat="1" applyFont="1" applyFill="1" applyBorder="1" applyAlignment="1" applyProtection="1">
      <alignment horizontal="left" vertical="top" wrapText="1"/>
      <protection locked="0"/>
    </xf>
    <xf numFmtId="0" fontId="43" fillId="7" borderId="86" xfId="3" applyFont="1" applyFill="1" applyBorder="1" applyAlignment="1" applyProtection="1">
      <alignment horizontal="left" vertical="top" wrapText="1"/>
      <protection locked="0"/>
    </xf>
    <xf numFmtId="0" fontId="42" fillId="7" borderId="86" xfId="40" applyFont="1" applyFill="1" applyBorder="1" applyAlignment="1" applyProtection="1">
      <alignment horizontal="left" vertical="top" wrapText="1"/>
      <protection locked="0"/>
    </xf>
    <xf numFmtId="167" fontId="43" fillId="12" borderId="87" xfId="3" applyNumberFormat="1" applyFont="1" applyFill="1" applyBorder="1" applyAlignment="1" applyProtection="1">
      <alignment horizontal="left" vertical="top" wrapText="1"/>
      <protection locked="0"/>
    </xf>
    <xf numFmtId="0" fontId="42" fillId="5" borderId="0" xfId="40" applyFont="1" applyFill="1" applyAlignment="1" applyProtection="1">
      <alignment vertical="center"/>
      <protection locked="0"/>
    </xf>
    <xf numFmtId="0" fontId="42" fillId="5" borderId="0" xfId="40" applyFont="1" applyFill="1" applyAlignment="1" applyProtection="1">
      <alignment horizontal="right" vertical="center"/>
      <protection locked="0"/>
    </xf>
    <xf numFmtId="0" fontId="42" fillId="5" borderId="0" xfId="40" applyFont="1" applyFill="1" applyAlignment="1" applyProtection="1">
      <alignment horizontal="right"/>
      <protection locked="0"/>
    </xf>
    <xf numFmtId="0" fontId="42" fillId="5" borderId="0" xfId="40" applyFont="1" applyFill="1" applyProtection="1">
      <protection locked="0"/>
    </xf>
    <xf numFmtId="0" fontId="42" fillId="5" borderId="0" xfId="40" applyFont="1" applyFill="1" applyAlignment="1" applyProtection="1">
      <alignment horizontal="left" vertical="center"/>
      <protection locked="0"/>
    </xf>
    <xf numFmtId="0" fontId="42" fillId="7" borderId="75" xfId="40" applyFont="1" applyFill="1" applyBorder="1" applyAlignment="1" applyProtection="1">
      <alignment horizontal="left" vertical="top" wrapText="1"/>
      <protection locked="0"/>
    </xf>
    <xf numFmtId="0" fontId="42" fillId="7" borderId="78" xfId="40" applyFont="1" applyFill="1" applyBorder="1" applyAlignment="1" applyProtection="1">
      <alignment horizontal="left" vertical="top" wrapText="1"/>
      <protection locked="0"/>
    </xf>
    <xf numFmtId="169" fontId="40" fillId="5" borderId="0" xfId="46" applyFont="1" applyFill="1" applyProtection="1">
      <alignment vertical="top"/>
      <protection locked="0"/>
    </xf>
    <xf numFmtId="0" fontId="40" fillId="0" borderId="0" xfId="40" applyFont="1" applyProtection="1">
      <protection locked="0"/>
    </xf>
    <xf numFmtId="0" fontId="42" fillId="7" borderId="83" xfId="40" applyFont="1" applyFill="1" applyBorder="1" applyAlignment="1" applyProtection="1">
      <alignment horizontal="left" vertical="top" wrapText="1"/>
      <protection locked="0"/>
    </xf>
    <xf numFmtId="10" fontId="43" fillId="12" borderId="22" xfId="0" applyNumberFormat="1" applyFont="1" applyFill="1" applyBorder="1" applyAlignment="1" applyProtection="1">
      <alignment horizontal="center" vertical="center" wrapText="1"/>
      <protection locked="0"/>
    </xf>
    <xf numFmtId="10" fontId="43" fillId="12" borderId="60" xfId="0" applyNumberFormat="1" applyFont="1" applyFill="1" applyBorder="1" applyAlignment="1" applyProtection="1">
      <alignment horizontal="center" vertical="center" wrapText="1"/>
      <protection locked="0"/>
    </xf>
    <xf numFmtId="172" fontId="45" fillId="12" borderId="22" xfId="0" applyNumberFormat="1" applyFont="1" applyFill="1" applyBorder="1" applyAlignment="1" applyProtection="1">
      <alignment horizontal="center" vertical="center"/>
      <protection locked="0"/>
    </xf>
    <xf numFmtId="172" fontId="45" fillId="12" borderId="51" xfId="0" applyNumberFormat="1" applyFont="1" applyFill="1" applyBorder="1" applyAlignment="1" applyProtection="1">
      <alignment vertical="center" wrapText="1"/>
      <protection locked="0"/>
    </xf>
    <xf numFmtId="172" fontId="45" fillId="12" borderId="22" xfId="0" applyNumberFormat="1" applyFont="1" applyFill="1" applyBorder="1" applyAlignment="1" applyProtection="1">
      <alignment vertical="center" wrapText="1"/>
      <protection locked="0"/>
    </xf>
    <xf numFmtId="172" fontId="40" fillId="5" borderId="0" xfId="15" applyNumberFormat="1" applyFont="1" applyFill="1" applyAlignment="1" applyProtection="1">
      <alignment vertical="center"/>
      <protection locked="0"/>
    </xf>
    <xf numFmtId="172" fontId="40" fillId="5" borderId="0" xfId="0" applyNumberFormat="1" applyFont="1" applyFill="1" applyAlignment="1" applyProtection="1">
      <alignment vertical="center"/>
      <protection locked="0"/>
    </xf>
    <xf numFmtId="172" fontId="43" fillId="21" borderId="54" xfId="0" applyNumberFormat="1" applyFont="1" applyFill="1" applyBorder="1" applyAlignment="1" applyProtection="1">
      <alignment horizontal="center" vertical="center" wrapText="1"/>
      <protection locked="0"/>
    </xf>
    <xf numFmtId="172" fontId="43" fillId="21" borderId="55" xfId="0" applyNumberFormat="1" applyFont="1" applyFill="1" applyBorder="1" applyAlignment="1" applyProtection="1">
      <alignment horizontal="center" vertical="center" wrapText="1"/>
      <protection locked="0"/>
    </xf>
    <xf numFmtId="172" fontId="43" fillId="12" borderId="22" xfId="0" applyNumberFormat="1" applyFont="1" applyFill="1" applyBorder="1" applyAlignment="1" applyProtection="1">
      <alignment vertical="center"/>
      <protection locked="0"/>
    </xf>
    <xf numFmtId="167" fontId="43" fillId="12" borderId="54" xfId="0" applyNumberFormat="1" applyFont="1" applyFill="1" applyBorder="1" applyAlignment="1" applyProtection="1">
      <alignment horizontal="center" vertical="center" wrapText="1"/>
      <protection locked="0"/>
    </xf>
    <xf numFmtId="172" fontId="43" fillId="7" borderId="51" xfId="0" applyNumberFormat="1" applyFont="1" applyFill="1" applyBorder="1" applyAlignment="1" applyProtection="1">
      <alignment horizontal="center" vertical="center"/>
      <protection locked="0"/>
    </xf>
    <xf numFmtId="172" fontId="43" fillId="7" borderId="22" xfId="0" applyNumberFormat="1" applyFont="1" applyFill="1" applyBorder="1" applyAlignment="1" applyProtection="1">
      <alignment horizontal="center" vertical="center"/>
      <protection locked="0"/>
    </xf>
    <xf numFmtId="10" fontId="43" fillId="7" borderId="22" xfId="38" applyNumberFormat="1" applyFont="1" applyFill="1" applyBorder="1" applyAlignment="1" applyProtection="1">
      <alignment horizontal="center" vertical="center"/>
      <protection locked="0"/>
    </xf>
    <xf numFmtId="172" fontId="45" fillId="12" borderId="73" xfId="45" applyNumberFormat="1" applyFont="1" applyFill="1" applyBorder="1" applyAlignment="1" applyProtection="1">
      <alignment horizontal="center" vertical="center" wrapText="1"/>
      <protection locked="0"/>
    </xf>
    <xf numFmtId="172" fontId="45" fillId="12" borderId="74" xfId="45" applyNumberFormat="1" applyFont="1" applyFill="1" applyBorder="1" applyAlignment="1" applyProtection="1">
      <alignment horizontal="center" vertical="center" wrapText="1"/>
      <protection locked="0"/>
    </xf>
    <xf numFmtId="172" fontId="45" fillId="12" borderId="75" xfId="45" applyNumberFormat="1" applyFont="1" applyFill="1" applyBorder="1" applyAlignment="1" applyProtection="1">
      <alignment horizontal="center" vertical="center" wrapText="1"/>
      <protection locked="0"/>
    </xf>
    <xf numFmtId="172" fontId="45" fillId="12" borderId="82" xfId="45" applyNumberFormat="1" applyFont="1" applyFill="1" applyBorder="1" applyAlignment="1" applyProtection="1">
      <alignment horizontal="center" vertical="center" wrapText="1"/>
      <protection locked="0"/>
    </xf>
    <xf numFmtId="172" fontId="45" fillId="12" borderId="20" xfId="45" applyNumberFormat="1" applyFont="1" applyFill="1" applyBorder="1" applyAlignment="1" applyProtection="1">
      <alignment horizontal="center" vertical="center" wrapText="1"/>
      <protection locked="0"/>
    </xf>
    <xf numFmtId="172" fontId="45" fillId="12" borderId="83" xfId="45" applyNumberFormat="1" applyFont="1" applyFill="1" applyBorder="1" applyAlignment="1" applyProtection="1">
      <alignment horizontal="center" vertical="center" wrapText="1"/>
      <protection locked="0"/>
    </xf>
    <xf numFmtId="0" fontId="45" fillId="0" borderId="0" xfId="0" applyFont="1" applyAlignment="1" applyProtection="1">
      <alignment horizontal="center" vertical="center"/>
      <protection locked="0"/>
    </xf>
    <xf numFmtId="0" fontId="45" fillId="0" borderId="0" xfId="0" applyFont="1" applyProtection="1">
      <protection locked="0"/>
    </xf>
    <xf numFmtId="0" fontId="45" fillId="0" borderId="73" xfId="0" applyFont="1" applyBorder="1" applyAlignment="1" applyProtection="1">
      <alignment horizontal="center" vertical="center" wrapText="1"/>
      <protection locked="0"/>
    </xf>
    <xf numFmtId="0" fontId="45" fillId="0" borderId="82" xfId="0" applyFont="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5" fillId="0" borderId="76" xfId="0" applyFont="1" applyBorder="1" applyAlignment="1" applyProtection="1">
      <alignment horizontal="center" vertical="center" wrapText="1"/>
      <protection locked="0"/>
    </xf>
    <xf numFmtId="172" fontId="40" fillId="7" borderId="22" xfId="0" applyNumberFormat="1" applyFont="1" applyFill="1" applyBorder="1" applyProtection="1">
      <protection locked="0"/>
    </xf>
    <xf numFmtId="172" fontId="40" fillId="7" borderId="22" xfId="0" applyNumberFormat="1" applyFont="1" applyFill="1" applyBorder="1" applyAlignment="1" applyProtection="1">
      <alignment horizontal="left" vertical="center" wrapText="1"/>
      <protection locked="0"/>
    </xf>
    <xf numFmtId="172" fontId="41" fillId="7" borderId="22" xfId="0" applyNumberFormat="1" applyFont="1" applyFill="1" applyBorder="1" applyAlignment="1" applyProtection="1">
      <alignment horizontal="left" vertical="center" wrapText="1"/>
      <protection locked="0"/>
    </xf>
    <xf numFmtId="171" fontId="45" fillId="12" borderId="63" xfId="0" applyNumberFormat="1" applyFont="1" applyFill="1" applyBorder="1" applyAlignment="1" applyProtection="1">
      <alignment horizontal="center" vertical="center" wrapText="1"/>
      <protection locked="0"/>
    </xf>
    <xf numFmtId="166" fontId="40" fillId="12" borderId="83" xfId="55" applyNumberFormat="1" applyFont="1" applyFill="1" applyBorder="1" applyAlignment="1" applyProtection="1">
      <alignment horizontal="center" vertical="center" wrapText="1"/>
      <protection locked="0"/>
    </xf>
    <xf numFmtId="1" fontId="45" fillId="12" borderId="78" xfId="0" applyNumberFormat="1" applyFont="1" applyFill="1" applyBorder="1" applyAlignment="1" applyProtection="1">
      <alignment horizontal="center" vertical="center" wrapText="1"/>
      <protection locked="0"/>
    </xf>
    <xf numFmtId="172" fontId="45" fillId="12" borderId="78" xfId="45" applyNumberFormat="1" applyFont="1" applyFill="1" applyBorder="1" applyAlignment="1" applyProtection="1">
      <alignment horizontal="center" vertical="center" wrapText="1"/>
      <protection locked="0"/>
    </xf>
    <xf numFmtId="2" fontId="45" fillId="12" borderId="83" xfId="45" applyNumberFormat="1" applyFont="1" applyFill="1" applyBorder="1" applyAlignment="1" applyProtection="1">
      <alignment horizontal="center" vertical="center" wrapText="1"/>
      <protection locked="0"/>
    </xf>
    <xf numFmtId="2" fontId="43" fillId="12" borderId="87" xfId="37" applyNumberFormat="1" applyFont="1" applyFill="1" applyBorder="1" applyAlignment="1" applyProtection="1">
      <alignment horizontal="center" vertical="center" wrapText="1"/>
      <protection locked="0"/>
    </xf>
    <xf numFmtId="0" fontId="45" fillId="12" borderId="86" xfId="15" applyFont="1" applyFill="1" applyBorder="1" applyAlignment="1" applyProtection="1">
      <alignment horizontal="center" vertical="center" wrapText="1"/>
      <protection locked="0"/>
    </xf>
    <xf numFmtId="0" fontId="45" fillId="12" borderId="74" xfId="15" applyFont="1" applyFill="1" applyBorder="1" applyAlignment="1" applyProtection="1">
      <alignment horizontal="center" vertical="center" wrapText="1"/>
      <protection locked="0"/>
    </xf>
    <xf numFmtId="0" fontId="45" fillId="12" borderId="75" xfId="15" applyFont="1" applyFill="1" applyBorder="1" applyAlignment="1" applyProtection="1">
      <alignment horizontal="center" vertical="center" wrapText="1"/>
      <protection locked="0"/>
    </xf>
    <xf numFmtId="0" fontId="45" fillId="12" borderId="20" xfId="15" applyFont="1" applyFill="1" applyBorder="1" applyAlignment="1" applyProtection="1">
      <alignment horizontal="center" vertical="center" wrapText="1"/>
      <protection locked="0"/>
    </xf>
    <xf numFmtId="0" fontId="45" fillId="12" borderId="83" xfId="15" applyFont="1" applyFill="1" applyBorder="1" applyAlignment="1" applyProtection="1">
      <alignment horizontal="center" vertical="center" wrapText="1"/>
      <protection locked="0"/>
    </xf>
    <xf numFmtId="0" fontId="45" fillId="12" borderId="77" xfId="15" applyFont="1" applyFill="1" applyBorder="1" applyAlignment="1" applyProtection="1">
      <alignment horizontal="center" vertical="center" wrapText="1"/>
      <protection locked="0"/>
    </xf>
    <xf numFmtId="0" fontId="45" fillId="12" borderId="78" xfId="15" applyFont="1" applyFill="1" applyBorder="1" applyAlignment="1" applyProtection="1">
      <alignment horizontal="center" vertical="center" wrapText="1"/>
      <protection locked="0"/>
    </xf>
    <xf numFmtId="173" fontId="45" fillId="12" borderId="51" xfId="0" applyNumberFormat="1" applyFont="1" applyFill="1" applyBorder="1" applyAlignment="1" applyProtection="1">
      <alignment horizontal="center" vertical="center" wrapText="1"/>
      <protection locked="0"/>
    </xf>
    <xf numFmtId="173" fontId="45" fillId="12" borderId="22" xfId="0" applyNumberFormat="1" applyFont="1" applyFill="1" applyBorder="1" applyAlignment="1" applyProtection="1">
      <alignment horizontal="center" vertical="center" wrapText="1"/>
      <protection locked="0"/>
    </xf>
    <xf numFmtId="173" fontId="45" fillId="12" borderId="54" xfId="0" applyNumberFormat="1" applyFont="1" applyFill="1" applyBorder="1" applyAlignment="1" applyProtection="1">
      <alignment horizontal="center" vertical="center" wrapText="1"/>
      <protection locked="0"/>
    </xf>
    <xf numFmtId="173" fontId="40" fillId="12" borderId="51" xfId="0" applyNumberFormat="1" applyFont="1" applyFill="1" applyBorder="1" applyAlignment="1" applyProtection="1">
      <alignment vertical="center"/>
      <protection locked="0"/>
    </xf>
    <xf numFmtId="173" fontId="45" fillId="13" borderId="52" xfId="39" applyNumberFormat="1" applyFont="1" applyFill="1" applyBorder="1" applyAlignment="1" applyProtection="1">
      <alignment horizontal="center" vertical="center" wrapText="1"/>
    </xf>
    <xf numFmtId="173" fontId="45" fillId="13" borderId="60" xfId="39" applyNumberFormat="1" applyFont="1" applyFill="1" applyBorder="1" applyAlignment="1" applyProtection="1">
      <alignment horizontal="center" vertical="center" wrapText="1"/>
    </xf>
    <xf numFmtId="173" fontId="45" fillId="13" borderId="55" xfId="39" applyNumberFormat="1" applyFont="1" applyFill="1" applyBorder="1" applyAlignment="1" applyProtection="1">
      <alignment horizontal="center" vertical="center" wrapText="1"/>
    </xf>
    <xf numFmtId="2" fontId="45" fillId="12" borderId="87" xfId="0" applyNumberFormat="1" applyFont="1" applyFill="1" applyBorder="1" applyAlignment="1" applyProtection="1">
      <alignment horizontal="center" vertical="center" wrapText="1"/>
      <protection locked="0"/>
    </xf>
    <xf numFmtId="0" fontId="45" fillId="12" borderId="85" xfId="0" applyFont="1" applyFill="1" applyBorder="1" applyAlignment="1" applyProtection="1">
      <alignment horizontal="center" vertical="center" wrapText="1"/>
      <protection locked="0"/>
    </xf>
    <xf numFmtId="10" fontId="45" fillId="12" borderId="86" xfId="0" applyNumberFormat="1" applyFont="1" applyFill="1" applyBorder="1" applyAlignment="1" applyProtection="1">
      <alignment horizontal="center" vertical="center" wrapText="1"/>
      <protection locked="0"/>
    </xf>
    <xf numFmtId="10" fontId="45" fillId="12" borderId="87" xfId="0" applyNumberFormat="1" applyFont="1" applyFill="1" applyBorder="1" applyAlignment="1" applyProtection="1">
      <alignment horizontal="center" vertical="center" wrapText="1"/>
      <protection locked="0"/>
    </xf>
    <xf numFmtId="167" fontId="43" fillId="17" borderId="51" xfId="3" applyNumberFormat="1" applyFont="1" applyFill="1" applyBorder="1" applyAlignment="1">
      <alignment horizontal="center" vertical="center"/>
    </xf>
    <xf numFmtId="167" fontId="43" fillId="17" borderId="52" xfId="3" applyNumberFormat="1" applyFont="1" applyFill="1" applyBorder="1" applyAlignment="1">
      <alignment horizontal="center" vertical="center"/>
    </xf>
    <xf numFmtId="167" fontId="43" fillId="17" borderId="51" xfId="3" applyNumberFormat="1" applyFont="1" applyFill="1" applyBorder="1" applyAlignment="1" applyProtection="1">
      <alignment horizontal="center" vertical="center"/>
      <protection locked="0"/>
    </xf>
    <xf numFmtId="167" fontId="43" fillId="17" borderId="52" xfId="3" applyNumberFormat="1" applyFont="1" applyFill="1" applyBorder="1" applyAlignment="1" applyProtection="1">
      <alignment horizontal="center" vertical="center"/>
      <protection locked="0"/>
    </xf>
    <xf numFmtId="0" fontId="45" fillId="7" borderId="74" xfId="15" applyFont="1" applyFill="1" applyBorder="1" applyAlignment="1" applyProtection="1">
      <alignment horizontal="center" vertical="center" wrapText="1"/>
      <protection locked="0"/>
    </xf>
    <xf numFmtId="0" fontId="45" fillId="7" borderId="75" xfId="15" applyFont="1" applyFill="1" applyBorder="1" applyAlignment="1" applyProtection="1">
      <alignment horizontal="center" vertical="center" wrapText="1"/>
      <protection locked="0"/>
    </xf>
    <xf numFmtId="0" fontId="45" fillId="7" borderId="20" xfId="15" applyFont="1" applyFill="1" applyBorder="1" applyAlignment="1" applyProtection="1">
      <alignment horizontal="center" vertical="center" wrapText="1"/>
      <protection locked="0"/>
    </xf>
    <xf numFmtId="0" fontId="45" fillId="7" borderId="83" xfId="15" applyFont="1" applyFill="1" applyBorder="1" applyAlignment="1" applyProtection="1">
      <alignment horizontal="center" vertical="center" wrapText="1"/>
      <protection locked="0"/>
    </xf>
    <xf numFmtId="0" fontId="45" fillId="7" borderId="77" xfId="15" applyFont="1" applyFill="1" applyBorder="1" applyAlignment="1" applyProtection="1">
      <alignment horizontal="center" vertical="center" wrapText="1"/>
      <protection locked="0"/>
    </xf>
    <xf numFmtId="0" fontId="45" fillId="7" borderId="78" xfId="15" applyFont="1" applyFill="1" applyBorder="1" applyAlignment="1" applyProtection="1">
      <alignment horizontal="center" vertical="center" wrapText="1"/>
      <protection locked="0"/>
    </xf>
    <xf numFmtId="0" fontId="45" fillId="7" borderId="74" xfId="15" applyFont="1" applyFill="1" applyBorder="1" applyAlignment="1">
      <alignment horizontal="center" vertical="center" wrapText="1"/>
    </xf>
    <xf numFmtId="0" fontId="45" fillId="7" borderId="75" xfId="15" applyFont="1" applyFill="1" applyBorder="1" applyAlignment="1">
      <alignment horizontal="center" vertical="center" wrapText="1"/>
    </xf>
    <xf numFmtId="0" fontId="45" fillId="7" borderId="20" xfId="15" applyFont="1" applyFill="1" applyBorder="1" applyAlignment="1">
      <alignment horizontal="center" vertical="center" wrapText="1"/>
    </xf>
    <xf numFmtId="0" fontId="45" fillId="7" borderId="83" xfId="15" applyFont="1" applyFill="1" applyBorder="1" applyAlignment="1">
      <alignment horizontal="center" vertical="center" wrapText="1"/>
    </xf>
    <xf numFmtId="0" fontId="45" fillId="7" borderId="77" xfId="15" applyFont="1" applyFill="1" applyBorder="1" applyAlignment="1">
      <alignment horizontal="center" vertical="center" wrapText="1"/>
    </xf>
    <xf numFmtId="0" fontId="45" fillId="7" borderId="78" xfId="15" applyFont="1" applyFill="1" applyBorder="1" applyAlignment="1">
      <alignment horizontal="center" vertical="center" wrapText="1"/>
    </xf>
    <xf numFmtId="173" fontId="44" fillId="0" borderId="0" xfId="30" applyNumberFormat="1" applyFont="1" applyFill="1" applyBorder="1" applyAlignment="1" applyProtection="1">
      <alignment horizontal="center" vertical="center" wrapText="1"/>
      <protection locked="0"/>
    </xf>
    <xf numFmtId="173" fontId="40" fillId="0" borderId="0" xfId="0" applyNumberFormat="1" applyFont="1" applyProtection="1">
      <protection locked="0"/>
    </xf>
    <xf numFmtId="173" fontId="41" fillId="10" borderId="51" xfId="0" applyNumberFormat="1" applyFont="1" applyFill="1" applyBorder="1" applyAlignment="1" applyProtection="1">
      <alignment horizontal="center" vertical="center" wrapText="1"/>
      <protection locked="0"/>
    </xf>
    <xf numFmtId="173" fontId="41" fillId="10" borderId="52" xfId="0" applyNumberFormat="1" applyFont="1" applyFill="1" applyBorder="1" applyAlignment="1" applyProtection="1">
      <alignment horizontal="center" vertical="center" wrapText="1"/>
      <protection locked="0"/>
    </xf>
    <xf numFmtId="173" fontId="40" fillId="0" borderId="0" xfId="0" applyNumberFormat="1" applyFont="1" applyAlignment="1" applyProtection="1">
      <alignment vertical="center"/>
      <protection locked="0"/>
    </xf>
    <xf numFmtId="173" fontId="52" fillId="0" borderId="0" xfId="0" applyNumberFormat="1" applyFont="1" applyAlignment="1" applyProtection="1">
      <alignment horizontal="center" vertical="center"/>
      <protection locked="0"/>
    </xf>
    <xf numFmtId="173" fontId="43" fillId="0" borderId="0" xfId="39" applyNumberFormat="1" applyFont="1" applyFill="1" applyAlignment="1" applyProtection="1">
      <alignment horizontal="center" vertical="center" wrapText="1"/>
    </xf>
    <xf numFmtId="173" fontId="41" fillId="0" borderId="0" xfId="39" applyNumberFormat="1" applyFont="1" applyFill="1" applyAlignment="1" applyProtection="1">
      <alignment horizontal="center" vertical="center" wrapText="1"/>
    </xf>
    <xf numFmtId="173" fontId="44" fillId="0" borderId="0" xfId="30" applyNumberFormat="1" applyFont="1" applyFill="1" applyBorder="1" applyAlignment="1" applyProtection="1">
      <alignment horizontal="center" vertical="center" wrapText="1"/>
    </xf>
    <xf numFmtId="0" fontId="56" fillId="11" borderId="0" xfId="29" applyFont="1" applyFill="1" applyBorder="1" applyAlignment="1">
      <alignment vertical="center"/>
    </xf>
    <xf numFmtId="0" fontId="41" fillId="10" borderId="76" xfId="35" applyFont="1" applyFill="1" applyBorder="1" applyAlignment="1">
      <alignment horizontal="center" vertical="center" wrapText="1"/>
    </xf>
    <xf numFmtId="0" fontId="41" fillId="10" borderId="77" xfId="35" applyFont="1" applyFill="1" applyBorder="1" applyAlignment="1">
      <alignment horizontal="center" vertical="center" wrapText="1"/>
    </xf>
    <xf numFmtId="0" fontId="41" fillId="10" borderId="78" xfId="35" applyFont="1" applyFill="1" applyBorder="1" applyAlignment="1">
      <alignment horizontal="center" vertical="center" wrapText="1"/>
    </xf>
    <xf numFmtId="0" fontId="39" fillId="23" borderId="86" xfId="0" applyFont="1" applyFill="1" applyBorder="1" applyAlignment="1">
      <alignment horizontal="center" vertical="center" wrapText="1"/>
    </xf>
    <xf numFmtId="0" fontId="45" fillId="0" borderId="73" xfId="35" applyFont="1" applyBorder="1" applyAlignment="1" applyProtection="1">
      <alignment vertical="center" wrapText="1"/>
      <protection locked="0"/>
    </xf>
    <xf numFmtId="0" fontId="45" fillId="0" borderId="82" xfId="35" applyFont="1" applyBorder="1" applyAlignment="1" applyProtection="1">
      <alignment vertical="center" wrapText="1"/>
      <protection locked="0"/>
    </xf>
    <xf numFmtId="0" fontId="45" fillId="0" borderId="74" xfId="35" applyFont="1" applyBorder="1" applyAlignment="1" applyProtection="1">
      <alignment vertical="center" wrapText="1"/>
      <protection locked="0"/>
    </xf>
    <xf numFmtId="0" fontId="45" fillId="0" borderId="20" xfId="35" applyFont="1" applyBorder="1" applyAlignment="1" applyProtection="1">
      <alignment vertical="center" wrapText="1"/>
      <protection locked="0"/>
    </xf>
    <xf numFmtId="0" fontId="45" fillId="0" borderId="77" xfId="35" applyFont="1" applyBorder="1" applyAlignment="1" applyProtection="1">
      <alignment vertical="center" wrapText="1"/>
      <protection locked="0"/>
    </xf>
    <xf numFmtId="0" fontId="45" fillId="0" borderId="76" xfId="35" applyFont="1" applyBorder="1" applyAlignment="1" applyProtection="1">
      <alignment vertical="center" wrapText="1"/>
      <protection locked="0"/>
    </xf>
    <xf numFmtId="172" fontId="45" fillId="12" borderId="75" xfId="0" applyNumberFormat="1" applyFont="1" applyFill="1" applyBorder="1" applyAlignment="1" applyProtection="1">
      <alignment horizontal="center" vertical="center" wrapText="1"/>
      <protection locked="0"/>
    </xf>
    <xf numFmtId="172" fontId="45" fillId="12" borderId="83" xfId="0" applyNumberFormat="1" applyFont="1" applyFill="1" applyBorder="1" applyAlignment="1" applyProtection="1">
      <alignment horizontal="center" vertical="center" wrapText="1"/>
      <protection locked="0"/>
    </xf>
    <xf numFmtId="172" fontId="45" fillId="12" borderId="73" xfId="0" applyNumberFormat="1" applyFont="1" applyFill="1" applyBorder="1" applyAlignment="1" applyProtection="1">
      <alignment horizontal="center" vertical="center" wrapText="1"/>
      <protection locked="0"/>
    </xf>
    <xf numFmtId="172" fontId="45" fillId="12" borderId="82" xfId="0" applyNumberFormat="1" applyFont="1" applyFill="1" applyBorder="1" applyAlignment="1" applyProtection="1">
      <alignment horizontal="center" vertical="center" wrapText="1"/>
      <protection locked="0"/>
    </xf>
    <xf numFmtId="172" fontId="45" fillId="13" borderId="76" xfId="0" applyNumberFormat="1" applyFont="1" applyFill="1" applyBorder="1" applyAlignment="1">
      <alignment horizontal="center" vertical="center" wrapText="1"/>
    </xf>
    <xf numFmtId="0" fontId="41" fillId="10" borderId="20" xfId="35" applyFont="1" applyFill="1" applyBorder="1" applyAlignment="1">
      <alignment horizontal="center" vertical="center" wrapText="1"/>
    </xf>
    <xf numFmtId="0" fontId="41" fillId="10" borderId="83" xfId="35" applyFont="1" applyFill="1" applyBorder="1" applyAlignment="1">
      <alignment horizontal="center" vertical="center" wrapText="1"/>
    </xf>
    <xf numFmtId="0" fontId="39" fillId="23" borderId="82" xfId="35" applyFont="1" applyFill="1" applyBorder="1" applyAlignment="1">
      <alignment horizontal="center" vertical="center" textRotation="90" wrapText="1"/>
    </xf>
    <xf numFmtId="0" fontId="39" fillId="23" borderId="20" xfId="35" applyFont="1" applyFill="1" applyBorder="1" applyAlignment="1">
      <alignment horizontal="center" vertical="center" textRotation="90" wrapText="1"/>
    </xf>
    <xf numFmtId="0" fontId="39" fillId="23" borderId="83" xfId="35" applyFont="1" applyFill="1" applyBorder="1" applyAlignment="1">
      <alignment horizontal="center" vertical="center" textRotation="90" wrapText="1"/>
    </xf>
    <xf numFmtId="0" fontId="41" fillId="10" borderId="82" xfId="35" applyFont="1" applyFill="1" applyBorder="1" applyAlignment="1">
      <alignment horizontal="center" vertical="center" wrapText="1"/>
    </xf>
    <xf numFmtId="4" fontId="45" fillId="12" borderId="73" xfId="45" applyNumberFormat="1" applyFont="1" applyFill="1" applyBorder="1" applyAlignment="1" applyProtection="1">
      <alignment horizontal="center" vertical="center" wrapText="1"/>
      <protection locked="0"/>
    </xf>
    <xf numFmtId="4" fontId="45" fillId="12" borderId="74" xfId="45" applyNumberFormat="1" applyFont="1" applyFill="1" applyBorder="1" applyAlignment="1" applyProtection="1">
      <alignment horizontal="center" vertical="center" wrapText="1"/>
      <protection locked="0"/>
    </xf>
    <xf numFmtId="4" fontId="45" fillId="12" borderId="75" xfId="45" applyNumberFormat="1" applyFont="1" applyFill="1" applyBorder="1" applyAlignment="1" applyProtection="1">
      <alignment horizontal="center" vertical="center" wrapText="1"/>
      <protection locked="0"/>
    </xf>
    <xf numFmtId="4" fontId="45" fillId="12" borderId="82" xfId="45" applyNumberFormat="1" applyFont="1" applyFill="1" applyBorder="1" applyAlignment="1" applyProtection="1">
      <alignment horizontal="center" vertical="center" wrapText="1"/>
      <protection locked="0"/>
    </xf>
    <xf numFmtId="4" fontId="45" fillId="12" borderId="20" xfId="45" applyNumberFormat="1" applyFont="1" applyFill="1" applyBorder="1" applyAlignment="1" applyProtection="1">
      <alignment horizontal="center" vertical="center" wrapText="1"/>
      <protection locked="0"/>
    </xf>
    <xf numFmtId="4" fontId="45" fillId="12" borderId="83" xfId="45" applyNumberFormat="1" applyFont="1" applyFill="1" applyBorder="1" applyAlignment="1" applyProtection="1">
      <alignment horizontal="center" vertical="center" wrapText="1"/>
      <protection locked="0"/>
    </xf>
    <xf numFmtId="4" fontId="45" fillId="13" borderId="76" xfId="35" applyNumberFormat="1" applyFont="1" applyFill="1" applyBorder="1" applyAlignment="1">
      <alignment horizontal="center" vertical="center" wrapText="1"/>
    </xf>
    <xf numFmtId="4" fontId="45" fillId="13" borderId="77" xfId="35" applyNumberFormat="1" applyFont="1" applyFill="1" applyBorder="1" applyAlignment="1">
      <alignment horizontal="center" vertical="center" wrapText="1"/>
    </xf>
    <xf numFmtId="4" fontId="45" fillId="13" borderId="78" xfId="35" applyNumberFormat="1" applyFont="1" applyFill="1" applyBorder="1" applyAlignment="1">
      <alignment horizontal="center" vertical="center" wrapText="1"/>
    </xf>
    <xf numFmtId="176" fontId="45" fillId="12" borderId="73" xfId="45" applyNumberFormat="1" applyFont="1" applyFill="1" applyBorder="1" applyAlignment="1" applyProtection="1">
      <alignment horizontal="center" vertical="center" wrapText="1"/>
      <protection locked="0"/>
    </xf>
    <xf numFmtId="176" fontId="45" fillId="12" borderId="74" xfId="45" applyNumberFormat="1" applyFont="1" applyFill="1" applyBorder="1" applyAlignment="1" applyProtection="1">
      <alignment horizontal="center" vertical="center" wrapText="1"/>
      <protection locked="0"/>
    </xf>
    <xf numFmtId="176" fontId="45" fillId="12" borderId="82" xfId="45" applyNumberFormat="1" applyFont="1" applyFill="1" applyBorder="1" applyAlignment="1" applyProtection="1">
      <alignment horizontal="center" vertical="center" wrapText="1"/>
      <protection locked="0"/>
    </xf>
    <xf numFmtId="176" fontId="45" fillId="12" borderId="20" xfId="45" applyNumberFormat="1" applyFont="1" applyFill="1" applyBorder="1" applyAlignment="1" applyProtection="1">
      <alignment horizontal="center" vertical="center" wrapText="1"/>
      <protection locked="0"/>
    </xf>
    <xf numFmtId="176" fontId="45" fillId="13" borderId="76" xfId="35" applyNumberFormat="1" applyFont="1" applyFill="1" applyBorder="1" applyAlignment="1">
      <alignment horizontal="center" vertical="center" wrapText="1"/>
    </xf>
    <xf numFmtId="176" fontId="45" fillId="10" borderId="77" xfId="35" applyNumberFormat="1" applyFont="1" applyFill="1" applyBorder="1" applyAlignment="1">
      <alignment horizontal="center" vertical="center" wrapText="1"/>
    </xf>
    <xf numFmtId="3" fontId="45" fillId="12" borderId="74" xfId="45" applyNumberFormat="1" applyFont="1" applyFill="1" applyBorder="1" applyAlignment="1" applyProtection="1">
      <alignment horizontal="center" vertical="center" wrapText="1"/>
      <protection locked="0"/>
    </xf>
    <xf numFmtId="3" fontId="45" fillId="12" borderId="20" xfId="45" applyNumberFormat="1" applyFont="1" applyFill="1" applyBorder="1" applyAlignment="1" applyProtection="1">
      <alignment horizontal="center" vertical="center" wrapText="1"/>
      <protection locked="0"/>
    </xf>
    <xf numFmtId="3" fontId="45" fillId="10" borderId="77" xfId="35" applyNumberFormat="1" applyFont="1" applyFill="1" applyBorder="1" applyAlignment="1">
      <alignment horizontal="center" vertical="center" wrapText="1"/>
    </xf>
    <xf numFmtId="3" fontId="45" fillId="13" borderId="77" xfId="35" applyNumberFormat="1" applyFont="1" applyFill="1" applyBorder="1" applyAlignment="1">
      <alignment horizontal="center" vertical="center" wrapText="1"/>
    </xf>
    <xf numFmtId="2" fontId="45" fillId="13" borderId="87" xfId="15" applyNumberFormat="1" applyFont="1" applyFill="1" applyBorder="1" applyAlignment="1">
      <alignment horizontal="center" vertical="center" wrapText="1"/>
    </xf>
    <xf numFmtId="0" fontId="77" fillId="11" borderId="0" xfId="30" applyFont="1" applyFill="1" applyBorder="1" applyAlignment="1">
      <alignment horizontal="center" vertical="center"/>
    </xf>
    <xf numFmtId="0" fontId="53" fillId="12" borderId="86" xfId="15" applyFont="1" applyFill="1" applyBorder="1" applyAlignment="1" applyProtection="1">
      <alignment horizontal="center" vertical="center" wrapText="1"/>
      <protection locked="0"/>
    </xf>
    <xf numFmtId="0" fontId="53" fillId="12" borderId="74" xfId="15" applyFont="1" applyFill="1" applyBorder="1" applyAlignment="1" applyProtection="1">
      <alignment horizontal="center" vertical="center" wrapText="1"/>
      <protection locked="0"/>
    </xf>
    <xf numFmtId="0" fontId="53" fillId="12" borderId="20" xfId="15" applyFont="1" applyFill="1" applyBorder="1" applyAlignment="1" applyProtection="1">
      <alignment horizontal="center" vertical="center" wrapText="1"/>
      <protection locked="0"/>
    </xf>
    <xf numFmtId="0" fontId="53" fillId="12" borderId="77" xfId="15" applyFont="1" applyFill="1" applyBorder="1" applyAlignment="1" applyProtection="1">
      <alignment horizontal="center" vertical="center" wrapText="1"/>
      <protection locked="0"/>
    </xf>
    <xf numFmtId="0" fontId="69" fillId="21" borderId="73" xfId="15" applyFont="1" applyFill="1" applyBorder="1" applyAlignment="1" applyProtection="1">
      <alignment horizontal="center" vertical="center" wrapText="1"/>
      <protection locked="0"/>
    </xf>
    <xf numFmtId="0" fontId="69" fillId="21" borderId="82" xfId="15" applyFont="1" applyFill="1" applyBorder="1" applyAlignment="1" applyProtection="1">
      <alignment horizontal="center" vertical="center" wrapText="1"/>
      <protection locked="0"/>
    </xf>
    <xf numFmtId="0" fontId="69" fillId="21" borderId="76" xfId="15" applyFont="1" applyFill="1" applyBorder="1" applyAlignment="1" applyProtection="1">
      <alignment horizontal="center" vertical="center" wrapText="1"/>
      <protection locked="0"/>
    </xf>
    <xf numFmtId="0" fontId="69" fillId="21" borderId="27" xfId="15" applyFont="1" applyFill="1" applyBorder="1" applyAlignment="1" applyProtection="1">
      <alignment horizontal="center" vertical="center" wrapText="1"/>
      <protection locked="0"/>
    </xf>
    <xf numFmtId="0" fontId="69" fillId="21" borderId="33" xfId="15" applyFont="1" applyFill="1" applyBorder="1" applyAlignment="1" applyProtection="1">
      <alignment horizontal="center" vertical="center" wrapText="1"/>
      <protection locked="0"/>
    </xf>
    <xf numFmtId="0" fontId="69" fillId="21" borderId="37" xfId="15" applyFont="1" applyFill="1" applyBorder="1" applyAlignment="1" applyProtection="1">
      <alignment horizontal="center" vertical="center" wrapText="1"/>
      <protection locked="0"/>
    </xf>
    <xf numFmtId="0" fontId="69" fillId="21" borderId="40" xfId="15" applyFont="1" applyFill="1" applyBorder="1" applyAlignment="1" applyProtection="1">
      <alignment horizontal="center" vertical="center" wrapText="1"/>
      <protection locked="0"/>
    </xf>
    <xf numFmtId="175" fontId="69" fillId="21" borderId="37" xfId="38" applyNumberFormat="1" applyFont="1" applyFill="1" applyBorder="1" applyAlignment="1" applyProtection="1">
      <alignment horizontal="center" vertical="center" wrapText="1"/>
      <protection locked="0"/>
    </xf>
    <xf numFmtId="175" fontId="69" fillId="21" borderId="40" xfId="38" applyNumberFormat="1" applyFont="1" applyFill="1" applyBorder="1" applyAlignment="1" applyProtection="1">
      <alignment horizontal="center" vertical="center" wrapText="1"/>
      <protection locked="0"/>
    </xf>
    <xf numFmtId="167" fontId="69" fillId="21" borderId="33" xfId="15" applyNumberFormat="1" applyFont="1" applyFill="1" applyBorder="1" applyAlignment="1" applyProtection="1">
      <alignment horizontal="center" vertical="center" wrapText="1"/>
      <protection locked="0"/>
    </xf>
    <xf numFmtId="167" fontId="69" fillId="21" borderId="40" xfId="15" applyNumberFormat="1" applyFont="1" applyFill="1" applyBorder="1" applyAlignment="1" applyProtection="1">
      <alignment horizontal="center" vertical="center" wrapText="1"/>
      <protection locked="0"/>
    </xf>
    <xf numFmtId="9" fontId="69" fillId="21" borderId="27" xfId="15" applyNumberFormat="1" applyFont="1" applyFill="1" applyBorder="1" applyAlignment="1" applyProtection="1">
      <alignment horizontal="center" vertical="center" wrapText="1"/>
      <protection locked="0"/>
    </xf>
    <xf numFmtId="167" fontId="69" fillId="21" borderId="37" xfId="15" applyNumberFormat="1" applyFont="1" applyFill="1" applyBorder="1" applyAlignment="1" applyProtection="1">
      <alignment horizontal="center" vertical="center" wrapText="1"/>
      <protection locked="0"/>
    </xf>
    <xf numFmtId="9" fontId="69" fillId="21" borderId="37" xfId="38" applyFont="1" applyFill="1" applyBorder="1" applyAlignment="1" applyProtection="1">
      <alignment horizontal="center" vertical="center" wrapText="1"/>
      <protection locked="0"/>
    </xf>
    <xf numFmtId="166" fontId="69" fillId="21" borderId="40" xfId="15" applyNumberFormat="1" applyFont="1" applyFill="1" applyBorder="1" applyAlignment="1" applyProtection="1">
      <alignment horizontal="center" vertical="center" wrapText="1"/>
      <protection locked="0"/>
    </xf>
    <xf numFmtId="9" fontId="69" fillId="21" borderId="33" xfId="38" applyFont="1" applyFill="1" applyBorder="1" applyAlignment="1" applyProtection="1">
      <alignment horizontal="center" vertical="center" wrapText="1"/>
      <protection locked="0"/>
    </xf>
    <xf numFmtId="9" fontId="69" fillId="21" borderId="40" xfId="38" applyFont="1" applyFill="1" applyBorder="1" applyAlignment="1" applyProtection="1">
      <alignment horizontal="center" vertical="center" wrapText="1"/>
      <protection locked="0"/>
    </xf>
    <xf numFmtId="166" fontId="69" fillId="21" borderId="37" xfId="15" applyNumberFormat="1" applyFont="1" applyFill="1" applyBorder="1" applyAlignment="1" applyProtection="1">
      <alignment horizontal="center" vertical="center" wrapText="1"/>
      <protection locked="0"/>
    </xf>
    <xf numFmtId="167" fontId="45" fillId="13" borderId="51" xfId="0" applyNumberFormat="1" applyFont="1" applyFill="1" applyBorder="1" applyAlignment="1" applyProtection="1">
      <alignment horizontal="center" vertical="center" wrapText="1"/>
      <protection locked="0"/>
    </xf>
    <xf numFmtId="167" fontId="45" fillId="13" borderId="22" xfId="0" applyNumberFormat="1" applyFont="1" applyFill="1" applyBorder="1" applyAlignment="1" applyProtection="1">
      <alignment horizontal="center" vertical="center" wrapText="1"/>
      <protection locked="0"/>
    </xf>
    <xf numFmtId="167" fontId="45" fillId="13" borderId="54" xfId="0" applyNumberFormat="1" applyFont="1" applyFill="1" applyBorder="1" applyAlignment="1" applyProtection="1">
      <alignment horizontal="center" vertical="center" wrapText="1"/>
      <protection locked="0"/>
    </xf>
    <xf numFmtId="171" fontId="45" fillId="13" borderId="54" xfId="0" applyNumberFormat="1" applyFont="1" applyFill="1" applyBorder="1" applyAlignment="1" applyProtection="1">
      <alignment horizontal="center" vertical="center" wrapText="1"/>
      <protection locked="0"/>
    </xf>
    <xf numFmtId="167" fontId="45" fillId="13" borderId="55" xfId="0" applyNumberFormat="1" applyFont="1" applyFill="1" applyBorder="1" applyAlignment="1" applyProtection="1">
      <alignment horizontal="center" vertical="center" wrapText="1"/>
      <protection locked="0"/>
    </xf>
    <xf numFmtId="0" fontId="43" fillId="0" borderId="0" xfId="32" applyFont="1" applyAlignment="1" applyProtection="1">
      <alignment vertical="center"/>
      <protection locked="0"/>
    </xf>
    <xf numFmtId="171" fontId="45" fillId="13" borderId="64" xfId="0" applyNumberFormat="1" applyFont="1" applyFill="1" applyBorder="1" applyAlignment="1" applyProtection="1">
      <alignment horizontal="center" vertical="center" wrapText="1"/>
      <protection locked="0"/>
    </xf>
    <xf numFmtId="0" fontId="40" fillId="0" borderId="0" xfId="0" applyFont="1" applyAlignment="1" applyProtection="1">
      <alignment horizontal="center" vertical="center"/>
      <protection locked="0"/>
    </xf>
    <xf numFmtId="0" fontId="85" fillId="0" borderId="0" xfId="32" applyFont="1" applyAlignment="1" applyProtection="1">
      <alignment vertical="center"/>
      <protection locked="0"/>
    </xf>
    <xf numFmtId="0" fontId="41" fillId="0" borderId="0" xfId="0" applyFont="1" applyAlignment="1" applyProtection="1">
      <alignment horizontal="center" vertical="center" wrapText="1"/>
      <protection locked="0"/>
    </xf>
    <xf numFmtId="0" fontId="43" fillId="0" borderId="0" xfId="32" applyFont="1" applyAlignment="1" applyProtection="1">
      <alignment horizontal="left" vertical="center"/>
      <protection locked="0"/>
    </xf>
    <xf numFmtId="0" fontId="42" fillId="0" borderId="0" xfId="32" applyFont="1" applyAlignment="1" applyProtection="1">
      <alignment horizontal="left" vertical="center"/>
      <protection locked="0"/>
    </xf>
    <xf numFmtId="167" fontId="45" fillId="0" borderId="0" xfId="0" applyNumberFormat="1" applyFont="1" applyAlignment="1" applyProtection="1">
      <alignment horizontal="center" vertical="center" wrapText="1"/>
      <protection locked="0"/>
    </xf>
    <xf numFmtId="171" fontId="45" fillId="12" borderId="52" xfId="38" applyNumberFormat="1" applyFont="1" applyFill="1" applyBorder="1" applyAlignment="1" applyProtection="1">
      <alignment horizontal="center" vertical="center" wrapText="1"/>
      <protection locked="0"/>
    </xf>
    <xf numFmtId="0" fontId="41" fillId="10" borderId="114" xfId="0" applyFont="1" applyFill="1" applyBorder="1" applyAlignment="1">
      <alignment horizontal="left" vertical="center" wrapText="1"/>
    </xf>
    <xf numFmtId="10" fontId="43" fillId="23" borderId="51" xfId="38" applyNumberFormat="1" applyFont="1" applyFill="1" applyBorder="1" applyAlignment="1" applyProtection="1">
      <alignment horizontal="center" vertical="center"/>
      <protection locked="0"/>
    </xf>
    <xf numFmtId="10" fontId="43" fillId="23" borderId="22" xfId="38" applyNumberFormat="1" applyFont="1" applyFill="1" applyBorder="1" applyAlignment="1" applyProtection="1">
      <alignment horizontal="center" vertical="center"/>
      <protection locked="0"/>
    </xf>
    <xf numFmtId="10" fontId="43" fillId="23" borderId="54" xfId="38" applyNumberFormat="1" applyFont="1" applyFill="1" applyBorder="1" applyAlignment="1" applyProtection="1">
      <alignment horizontal="center" vertical="center"/>
      <protection locked="0"/>
    </xf>
    <xf numFmtId="10" fontId="45" fillId="5" borderId="0" xfId="15" applyNumberFormat="1" applyFont="1" applyFill="1" applyAlignment="1" applyProtection="1">
      <alignment vertical="center"/>
      <protection locked="0"/>
    </xf>
    <xf numFmtId="10" fontId="45" fillId="5" borderId="0" xfId="15" applyNumberFormat="1" applyFont="1" applyFill="1" applyAlignment="1">
      <alignment vertical="center"/>
    </xf>
    <xf numFmtId="10" fontId="45" fillId="5" borderId="0" xfId="39" applyNumberFormat="1" applyFont="1" applyFill="1" applyBorder="1" applyAlignment="1" applyProtection="1">
      <alignment vertical="center"/>
      <protection locked="0"/>
    </xf>
    <xf numFmtId="10" fontId="40" fillId="5" borderId="0" xfId="0" applyNumberFormat="1" applyFont="1" applyFill="1" applyProtection="1">
      <protection locked="0"/>
    </xf>
    <xf numFmtId="10" fontId="45" fillId="0" borderId="0" xfId="15" applyNumberFormat="1" applyFont="1" applyAlignment="1" applyProtection="1">
      <alignment vertical="center"/>
      <protection locked="0"/>
    </xf>
    <xf numFmtId="10" fontId="40" fillId="5" borderId="0" xfId="0" applyNumberFormat="1" applyFont="1" applyFill="1"/>
    <xf numFmtId="171" fontId="40" fillId="5" borderId="0" xfId="0" applyNumberFormat="1" applyFont="1" applyFill="1" applyProtection="1">
      <protection locked="0"/>
    </xf>
    <xf numFmtId="171" fontId="40" fillId="5" borderId="0" xfId="0" applyNumberFormat="1" applyFont="1" applyFill="1"/>
    <xf numFmtId="0" fontId="45" fillId="0" borderId="120" xfId="15" applyFont="1" applyBorder="1" applyAlignment="1">
      <alignment horizontal="center" vertical="center"/>
    </xf>
    <xf numFmtId="0" fontId="45" fillId="0" borderId="121" xfId="15" applyFont="1" applyBorder="1" applyAlignment="1">
      <alignment horizontal="center" vertical="center"/>
    </xf>
    <xf numFmtId="167" fontId="45" fillId="30" borderId="64" xfId="39" applyNumberFormat="1" applyFont="1" applyFill="1" applyBorder="1" applyAlignment="1" applyProtection="1">
      <alignment vertical="center"/>
    </xf>
    <xf numFmtId="167" fontId="45" fillId="5" borderId="0" xfId="15" applyNumberFormat="1" applyFont="1" applyFill="1" applyAlignment="1" applyProtection="1">
      <alignment vertical="center"/>
      <protection locked="0"/>
    </xf>
    <xf numFmtId="167" fontId="45" fillId="28" borderId="64" xfId="38" applyNumberFormat="1" applyFont="1" applyFill="1" applyBorder="1" applyAlignment="1" applyProtection="1">
      <alignment vertical="center"/>
    </xf>
    <xf numFmtId="167" fontId="45" fillId="30" borderId="64" xfId="38" applyNumberFormat="1" applyFont="1" applyFill="1" applyBorder="1" applyAlignment="1" applyProtection="1">
      <alignment vertical="center"/>
    </xf>
    <xf numFmtId="167" fontId="43" fillId="23" borderId="51" xfId="38" applyNumberFormat="1" applyFont="1" applyFill="1" applyBorder="1" applyAlignment="1" applyProtection="1">
      <alignment horizontal="center" vertical="center"/>
      <protection locked="0"/>
    </xf>
    <xf numFmtId="167" fontId="45" fillId="28" borderId="51" xfId="39" applyNumberFormat="1" applyFont="1" applyFill="1" applyBorder="1" applyAlignment="1" applyProtection="1">
      <alignment vertical="center"/>
    </xf>
    <xf numFmtId="167" fontId="45" fillId="29" borderId="51" xfId="38" applyNumberFormat="1" applyFont="1" applyFill="1" applyBorder="1" applyAlignment="1" applyProtection="1">
      <alignment vertical="center"/>
      <protection locked="0"/>
    </xf>
    <xf numFmtId="167" fontId="43" fillId="23" borderId="22" xfId="38" applyNumberFormat="1" applyFont="1" applyFill="1" applyBorder="1" applyAlignment="1" applyProtection="1">
      <alignment horizontal="center" vertical="center"/>
      <protection locked="0"/>
    </xf>
    <xf numFmtId="167" fontId="45" fillId="30" borderId="22" xfId="39" applyNumberFormat="1" applyFont="1" applyFill="1" applyBorder="1" applyAlignment="1" applyProtection="1">
      <alignment vertical="center"/>
    </xf>
    <xf numFmtId="167" fontId="45" fillId="29" borderId="22" xfId="38" applyNumberFormat="1" applyFont="1" applyFill="1" applyBorder="1" applyAlignment="1" applyProtection="1">
      <alignment vertical="center"/>
      <protection locked="0"/>
    </xf>
    <xf numFmtId="167" fontId="43" fillId="23" borderId="54" xfId="38" applyNumberFormat="1" applyFont="1" applyFill="1" applyBorder="1" applyAlignment="1" applyProtection="1">
      <alignment horizontal="center" vertical="center"/>
      <protection locked="0"/>
    </xf>
    <xf numFmtId="167" fontId="45" fillId="29" borderId="54" xfId="39" applyNumberFormat="1" applyFont="1" applyFill="1" applyBorder="1" applyAlignment="1" applyProtection="1">
      <alignment vertical="center"/>
      <protection locked="0"/>
    </xf>
    <xf numFmtId="167" fontId="45" fillId="29" borderId="54" xfId="38" applyNumberFormat="1" applyFont="1" applyFill="1" applyBorder="1" applyAlignment="1" applyProtection="1">
      <alignment vertical="center"/>
      <protection locked="0"/>
    </xf>
    <xf numFmtId="167" fontId="45" fillId="5" borderId="0" xfId="39" applyNumberFormat="1" applyFont="1" applyFill="1" applyBorder="1" applyAlignment="1" applyProtection="1">
      <alignment vertical="center"/>
      <protection locked="0"/>
    </xf>
    <xf numFmtId="167" fontId="45" fillId="28" borderId="64" xfId="39" applyNumberFormat="1" applyFont="1" applyFill="1" applyBorder="1" applyAlignment="1" applyProtection="1">
      <alignment vertical="center"/>
    </xf>
    <xf numFmtId="167" fontId="40" fillId="5" borderId="0" xfId="39" applyNumberFormat="1" applyFont="1" applyFill="1" applyBorder="1" applyProtection="1">
      <protection locked="0"/>
    </xf>
    <xf numFmtId="167" fontId="43" fillId="23" borderId="51" xfId="38" applyNumberFormat="1" applyFont="1" applyFill="1" applyBorder="1" applyAlignment="1" applyProtection="1">
      <alignment horizontal="center" vertical="center"/>
    </xf>
    <xf numFmtId="167" fontId="45" fillId="30" borderId="51" xfId="39" applyNumberFormat="1" applyFont="1" applyFill="1" applyBorder="1" applyAlignment="1" applyProtection="1">
      <alignment vertical="center"/>
    </xf>
    <xf numFmtId="167" fontId="43" fillId="23" borderId="22" xfId="38" applyNumberFormat="1" applyFont="1" applyFill="1" applyBorder="1" applyAlignment="1" applyProtection="1">
      <alignment horizontal="center" vertical="center"/>
    </xf>
    <xf numFmtId="167" fontId="43" fillId="23" borderId="54" xfId="38" applyNumberFormat="1" applyFont="1" applyFill="1" applyBorder="1" applyAlignment="1" applyProtection="1">
      <alignment horizontal="center" vertical="center"/>
    </xf>
    <xf numFmtId="167" fontId="45" fillId="28" borderId="54" xfId="39" applyNumberFormat="1" applyFont="1" applyFill="1" applyBorder="1" applyAlignment="1" applyProtection="1">
      <alignment vertical="center"/>
    </xf>
    <xf numFmtId="167" fontId="45" fillId="23" borderId="64" xfId="39" applyNumberFormat="1" applyFont="1" applyFill="1" applyBorder="1" applyAlignment="1" applyProtection="1">
      <alignment vertical="center"/>
      <protection locked="0"/>
    </xf>
    <xf numFmtId="167" fontId="45" fillId="29" borderId="64" xfId="39" applyNumberFormat="1" applyFont="1" applyFill="1" applyBorder="1" applyAlignment="1" applyProtection="1">
      <alignment vertical="center"/>
      <protection locked="0"/>
    </xf>
    <xf numFmtId="167" fontId="40" fillId="5" borderId="0" xfId="0" applyNumberFormat="1" applyFont="1" applyFill="1" applyProtection="1">
      <protection locked="0"/>
    </xf>
    <xf numFmtId="167" fontId="45" fillId="28" borderId="98" xfId="39" applyNumberFormat="1" applyFont="1" applyFill="1" applyBorder="1" applyAlignment="1" applyProtection="1">
      <alignment vertical="center"/>
    </xf>
    <xf numFmtId="167" fontId="45" fillId="30" borderId="98" xfId="39" applyNumberFormat="1" applyFont="1" applyFill="1" applyBorder="1" applyAlignment="1" applyProtection="1">
      <alignment vertical="center"/>
    </xf>
    <xf numFmtId="167" fontId="45" fillId="29" borderId="111" xfId="38" applyNumberFormat="1" applyFont="1" applyFill="1" applyBorder="1" applyAlignment="1" applyProtection="1">
      <alignment vertical="center"/>
      <protection locked="0"/>
    </xf>
    <xf numFmtId="167" fontId="45" fillId="23" borderId="100" xfId="39" applyNumberFormat="1" applyFont="1" applyFill="1" applyBorder="1" applyAlignment="1" applyProtection="1">
      <alignment vertical="center"/>
    </xf>
    <xf numFmtId="167" fontId="45" fillId="30" borderId="100" xfId="39" applyNumberFormat="1" applyFont="1" applyFill="1" applyBorder="1" applyAlignment="1" applyProtection="1">
      <alignment vertical="center"/>
    </xf>
    <xf numFmtId="167" fontId="45" fillId="29" borderId="112" xfId="38" applyNumberFormat="1" applyFont="1" applyFill="1" applyBorder="1" applyAlignment="1" applyProtection="1">
      <alignment vertical="center"/>
      <protection locked="0"/>
    </xf>
    <xf numFmtId="167" fontId="45" fillId="0" borderId="0" xfId="39" applyNumberFormat="1" applyFont="1" applyFill="1" applyBorder="1" applyAlignment="1" applyProtection="1">
      <alignment vertical="center"/>
      <protection locked="0"/>
    </xf>
    <xf numFmtId="167" fontId="45" fillId="28" borderId="103" xfId="39" applyNumberFormat="1" applyFont="1" applyFill="1" applyBorder="1" applyAlignment="1" applyProtection="1">
      <alignment vertical="center"/>
    </xf>
    <xf numFmtId="167" fontId="40" fillId="5" borderId="0" xfId="0" applyNumberFormat="1" applyFont="1" applyFill="1"/>
    <xf numFmtId="167" fontId="45" fillId="23" borderId="98" xfId="39" applyNumberFormat="1" applyFont="1" applyFill="1" applyBorder="1" applyAlignment="1" applyProtection="1">
      <alignment vertical="center"/>
      <protection locked="0"/>
    </xf>
    <xf numFmtId="167" fontId="45" fillId="29" borderId="98" xfId="38" applyNumberFormat="1" applyFont="1" applyFill="1" applyBorder="1" applyAlignment="1" applyProtection="1">
      <alignment vertical="center"/>
      <protection locked="0"/>
    </xf>
    <xf numFmtId="167" fontId="45" fillId="23" borderId="105" xfId="39" applyNumberFormat="1" applyFont="1" applyFill="1" applyBorder="1" applyAlignment="1" applyProtection="1">
      <alignment vertical="center"/>
      <protection locked="0"/>
    </xf>
    <xf numFmtId="167" fontId="45" fillId="30" borderId="105" xfId="39" applyNumberFormat="1" applyFont="1" applyFill="1" applyBorder="1" applyAlignment="1" applyProtection="1">
      <alignment vertical="center"/>
    </xf>
    <xf numFmtId="167" fontId="45" fillId="29" borderId="105" xfId="38" applyNumberFormat="1" applyFont="1" applyFill="1" applyBorder="1" applyAlignment="1" applyProtection="1">
      <alignment vertical="center"/>
      <protection locked="0"/>
    </xf>
    <xf numFmtId="167" fontId="45" fillId="23" borderId="100" xfId="39" applyNumberFormat="1" applyFont="1" applyFill="1" applyBorder="1" applyAlignment="1" applyProtection="1">
      <alignment vertical="center"/>
      <protection locked="0"/>
    </xf>
    <xf numFmtId="167" fontId="45" fillId="28" borderId="100" xfId="39" applyNumberFormat="1" applyFont="1" applyFill="1" applyBorder="1" applyAlignment="1" applyProtection="1">
      <alignment vertical="center"/>
    </xf>
    <xf numFmtId="167" fontId="45" fillId="28" borderId="63" xfId="38" applyNumberFormat="1" applyFont="1" applyFill="1" applyBorder="1" applyAlignment="1" applyProtection="1">
      <alignment vertical="center"/>
    </xf>
    <xf numFmtId="167" fontId="45" fillId="29" borderId="52" xfId="38" applyNumberFormat="1" applyFont="1" applyFill="1" applyBorder="1" applyAlignment="1" applyProtection="1">
      <alignment vertical="center"/>
      <protection locked="0"/>
    </xf>
    <xf numFmtId="167" fontId="45" fillId="29" borderId="60" xfId="38" applyNumberFormat="1" applyFont="1" applyFill="1" applyBorder="1" applyAlignment="1" applyProtection="1">
      <alignment vertical="center"/>
      <protection locked="0"/>
    </xf>
    <xf numFmtId="167" fontId="45" fillId="29" borderId="55" xfId="38" applyNumberFormat="1" applyFont="1" applyFill="1" applyBorder="1" applyAlignment="1" applyProtection="1">
      <alignment vertical="center"/>
      <protection locked="0"/>
    </xf>
    <xf numFmtId="167" fontId="45" fillId="28" borderId="63" xfId="39" applyNumberFormat="1" applyFont="1" applyFill="1" applyBorder="1" applyAlignment="1" applyProtection="1">
      <alignment vertical="center"/>
    </xf>
    <xf numFmtId="167" fontId="45" fillId="28" borderId="55" xfId="39" applyNumberFormat="1" applyFont="1" applyFill="1" applyBorder="1" applyAlignment="1" applyProtection="1">
      <alignment vertical="center"/>
    </xf>
    <xf numFmtId="167" fontId="45" fillId="29" borderId="63" xfId="39" applyNumberFormat="1" applyFont="1" applyFill="1" applyBorder="1" applyAlignment="1" applyProtection="1">
      <alignment vertical="center"/>
      <protection locked="0"/>
    </xf>
    <xf numFmtId="167" fontId="45" fillId="29" borderId="99" xfId="38" applyNumberFormat="1" applyFont="1" applyFill="1" applyBorder="1" applyAlignment="1" applyProtection="1">
      <alignment vertical="center"/>
      <protection locked="0"/>
    </xf>
    <xf numFmtId="167" fontId="45" fillId="29" borderId="101" xfId="38" applyNumberFormat="1" applyFont="1" applyFill="1" applyBorder="1" applyAlignment="1" applyProtection="1">
      <alignment vertical="center"/>
      <protection locked="0"/>
    </xf>
    <xf numFmtId="167" fontId="45" fillId="28" borderId="104" xfId="39" applyNumberFormat="1" applyFont="1" applyFill="1" applyBorder="1" applyAlignment="1" applyProtection="1">
      <alignment vertical="center"/>
    </xf>
    <xf numFmtId="167" fontId="45" fillId="23" borderId="96" xfId="39" applyNumberFormat="1" applyFont="1" applyFill="1" applyBorder="1" applyAlignment="1" applyProtection="1">
      <alignment vertical="center"/>
      <protection locked="0"/>
    </xf>
    <xf numFmtId="167" fontId="45" fillId="30" borderId="111" xfId="39" applyNumberFormat="1" applyFont="1" applyFill="1" applyBorder="1" applyAlignment="1" applyProtection="1">
      <alignment vertical="center"/>
    </xf>
    <xf numFmtId="167" fontId="45" fillId="23" borderId="113" xfId="39" applyNumberFormat="1" applyFont="1" applyFill="1" applyBorder="1" applyAlignment="1" applyProtection="1">
      <alignment vertical="center"/>
      <protection locked="0"/>
    </xf>
    <xf numFmtId="167" fontId="45" fillId="30" borderId="93" xfId="39" applyNumberFormat="1" applyFont="1" applyFill="1" applyBorder="1" applyAlignment="1" applyProtection="1">
      <alignment vertical="center"/>
    </xf>
    <xf numFmtId="167" fontId="45" fillId="29" borderId="106" xfId="38" applyNumberFormat="1" applyFont="1" applyFill="1" applyBorder="1" applyAlignment="1" applyProtection="1">
      <alignment vertical="center"/>
      <protection locked="0"/>
    </xf>
    <xf numFmtId="167" fontId="45" fillId="23" borderId="97" xfId="39" applyNumberFormat="1" applyFont="1" applyFill="1" applyBorder="1" applyAlignment="1" applyProtection="1">
      <alignment vertical="center"/>
      <protection locked="0"/>
    </xf>
    <xf numFmtId="167" fontId="45" fillId="28" borderId="112" xfId="39" applyNumberFormat="1" applyFont="1" applyFill="1" applyBorder="1" applyAlignment="1" applyProtection="1">
      <alignment vertical="center"/>
    </xf>
    <xf numFmtId="167" fontId="45" fillId="28" borderId="101" xfId="39" applyNumberFormat="1" applyFont="1" applyFill="1" applyBorder="1" applyAlignment="1" applyProtection="1">
      <alignment vertical="center"/>
    </xf>
    <xf numFmtId="167" fontId="45" fillId="32" borderId="64" xfId="39" applyNumberFormat="1" applyFont="1" applyFill="1" applyBorder="1" applyAlignment="1" applyProtection="1">
      <alignment vertical="center"/>
    </xf>
    <xf numFmtId="167" fontId="45" fillId="32" borderId="63" xfId="39" applyNumberFormat="1" applyFont="1" applyFill="1" applyBorder="1" applyAlignment="1" applyProtection="1">
      <alignment vertical="center"/>
    </xf>
    <xf numFmtId="0" fontId="97" fillId="15" borderId="0" xfId="48" applyFont="1" applyFill="1" applyBorder="1" applyAlignment="1">
      <alignment horizontal="center" vertical="center"/>
    </xf>
    <xf numFmtId="0" fontId="40" fillId="0" borderId="122" xfId="0" applyFont="1" applyBorder="1" applyProtection="1">
      <protection locked="0"/>
    </xf>
    <xf numFmtId="0" fontId="40" fillId="0" borderId="110" xfId="0" applyFont="1" applyBorder="1" applyProtection="1">
      <protection locked="0"/>
    </xf>
    <xf numFmtId="0" fontId="45" fillId="0" borderId="69" xfId="0" applyFont="1" applyBorder="1" applyAlignment="1">
      <alignment horizontal="center" vertical="center" wrapText="1"/>
    </xf>
    <xf numFmtId="166" fontId="45" fillId="12" borderId="70" xfId="0" applyNumberFormat="1" applyFont="1" applyFill="1" applyBorder="1" applyAlignment="1" applyProtection="1">
      <alignment horizontal="center" vertical="center" wrapText="1"/>
      <protection locked="0"/>
    </xf>
    <xf numFmtId="0" fontId="97" fillId="16" borderId="0" xfId="48" applyFont="1" applyAlignment="1">
      <alignment horizontal="center" vertical="center"/>
    </xf>
    <xf numFmtId="0" fontId="45" fillId="0" borderId="125" xfId="0" applyFont="1" applyBorder="1" applyAlignment="1">
      <alignment horizontal="left" vertical="center" wrapText="1"/>
    </xf>
    <xf numFmtId="0" fontId="45" fillId="0" borderId="126" xfId="0" applyFont="1" applyBorder="1" applyAlignment="1">
      <alignment horizontal="center" vertical="center" wrapText="1"/>
    </xf>
    <xf numFmtId="0" fontId="44" fillId="0" borderId="123" xfId="30" applyFont="1" applyBorder="1" applyAlignment="1">
      <alignment horizontal="center" vertical="center" wrapText="1"/>
    </xf>
    <xf numFmtId="0" fontId="40" fillId="0" borderId="95" xfId="0" applyFont="1" applyBorder="1" applyProtection="1">
      <protection locked="0"/>
    </xf>
    <xf numFmtId="0" fontId="40" fillId="0" borderId="123" xfId="0" applyFont="1" applyBorder="1" applyProtection="1">
      <protection locked="0"/>
    </xf>
    <xf numFmtId="0" fontId="40" fillId="0" borderId="128" xfId="0" applyFont="1" applyBorder="1" applyProtection="1">
      <protection locked="0"/>
    </xf>
    <xf numFmtId="0" fontId="3" fillId="15" borderId="0" xfId="0" applyFont="1" applyFill="1"/>
    <xf numFmtId="172" fontId="45" fillId="12" borderId="129" xfId="0" applyNumberFormat="1" applyFont="1" applyFill="1" applyBorder="1" applyAlignment="1" applyProtection="1">
      <alignment horizontal="center" vertical="center" wrapText="1"/>
      <protection locked="0"/>
    </xf>
    <xf numFmtId="172" fontId="45" fillId="12" borderId="131" xfId="0" applyNumberFormat="1" applyFont="1" applyFill="1" applyBorder="1" applyAlignment="1" applyProtection="1">
      <alignment horizontal="center" vertical="center" wrapText="1"/>
      <protection locked="0"/>
    </xf>
    <xf numFmtId="172" fontId="45" fillId="12" borderId="130" xfId="0" applyNumberFormat="1" applyFont="1" applyFill="1" applyBorder="1" applyAlignment="1" applyProtection="1">
      <alignment horizontal="center" vertical="center" wrapText="1"/>
      <protection locked="0"/>
    </xf>
    <xf numFmtId="0" fontId="41" fillId="0" borderId="132" xfId="0" applyFont="1" applyBorder="1" applyAlignment="1">
      <alignment horizontal="center" vertical="center" wrapText="1"/>
    </xf>
    <xf numFmtId="172" fontId="45" fillId="20" borderId="22" xfId="39" applyNumberFormat="1" applyFont="1" applyFill="1" applyBorder="1" applyAlignment="1" applyProtection="1">
      <alignment horizontal="center" vertical="center" wrapText="1"/>
      <protection locked="0"/>
    </xf>
    <xf numFmtId="2" fontId="45" fillId="12" borderId="124" xfId="0" applyNumberFormat="1" applyFont="1" applyFill="1" applyBorder="1" applyAlignment="1" applyProtection="1">
      <alignment horizontal="center" vertical="center" wrapText="1"/>
      <protection locked="0"/>
    </xf>
    <xf numFmtId="2" fontId="45" fillId="12" borderId="127" xfId="0" applyNumberFormat="1" applyFont="1" applyFill="1" applyBorder="1" applyAlignment="1" applyProtection="1">
      <alignment horizontal="center" vertical="center" wrapText="1"/>
      <protection locked="0"/>
    </xf>
    <xf numFmtId="0" fontId="40" fillId="0" borderId="135" xfId="0" applyFont="1" applyBorder="1" applyProtection="1">
      <protection locked="0"/>
    </xf>
    <xf numFmtId="0" fontId="40" fillId="12" borderId="139" xfId="0" applyFont="1" applyFill="1" applyBorder="1" applyAlignment="1">
      <alignment horizontal="center" vertical="center" wrapText="1"/>
    </xf>
    <xf numFmtId="0" fontId="140" fillId="0" borderId="0" xfId="0" applyFont="1" applyAlignment="1">
      <alignment vertical="center"/>
    </xf>
    <xf numFmtId="0" fontId="59" fillId="15" borderId="0" xfId="0" applyFont="1" applyFill="1"/>
    <xf numFmtId="0" fontId="44" fillId="0" borderId="110" xfId="30" applyFont="1" applyBorder="1" applyAlignment="1" applyProtection="1">
      <alignment horizontal="center" vertical="center" wrapText="1"/>
      <protection locked="0"/>
    </xf>
    <xf numFmtId="0" fontId="43" fillId="15" borderId="0" xfId="48" applyFont="1" applyFill="1" applyBorder="1" applyAlignment="1">
      <alignment horizontal="center" vertical="center"/>
    </xf>
    <xf numFmtId="173" fontId="40" fillId="0" borderId="0" xfId="0" applyNumberFormat="1" applyFont="1" applyAlignment="1">
      <alignment vertical="center"/>
    </xf>
    <xf numFmtId="173" fontId="43" fillId="0" borderId="0" xfId="3" applyNumberFormat="1" applyFont="1" applyAlignment="1" applyProtection="1">
      <alignment horizontal="center" vertical="center" wrapText="1"/>
      <protection locked="0"/>
    </xf>
    <xf numFmtId="173" fontId="40" fillId="0" borderId="0" xfId="0" applyNumberFormat="1" applyFont="1" applyAlignment="1" applyProtection="1">
      <alignment horizontal="center"/>
      <protection locked="0"/>
    </xf>
    <xf numFmtId="0" fontId="44" fillId="0" borderId="122" xfId="30" applyFont="1" applyFill="1" applyBorder="1" applyAlignment="1" applyProtection="1">
      <alignment horizontal="center" vertical="center" wrapText="1"/>
      <protection locked="0"/>
    </xf>
    <xf numFmtId="173" fontId="40" fillId="0" borderId="0" xfId="0" applyNumberFormat="1" applyFont="1"/>
    <xf numFmtId="173" fontId="45" fillId="0" borderId="0" xfId="0" applyNumberFormat="1" applyFont="1" applyAlignment="1" applyProtection="1">
      <alignment horizontal="left" vertical="center" wrapText="1"/>
      <protection locked="0"/>
    </xf>
    <xf numFmtId="173" fontId="45" fillId="0" borderId="0" xfId="0" applyNumberFormat="1" applyFont="1" applyAlignment="1">
      <alignment horizontal="left" vertical="center" wrapText="1"/>
    </xf>
    <xf numFmtId="173" fontId="41" fillId="0" borderId="0" xfId="0" applyNumberFormat="1" applyFont="1" applyAlignment="1">
      <alignment horizontal="center" vertical="center" wrapText="1"/>
    </xf>
    <xf numFmtId="0" fontId="43" fillId="0" borderId="54" xfId="0" applyFont="1" applyBorder="1" applyAlignment="1">
      <alignment horizontal="left" vertical="center" wrapText="1"/>
    </xf>
    <xf numFmtId="0" fontId="43" fillId="0" borderId="51" xfId="0" applyFont="1" applyBorder="1" applyAlignment="1">
      <alignment horizontal="left" vertical="center" wrapText="1"/>
    </xf>
    <xf numFmtId="0" fontId="43" fillId="0" borderId="22" xfId="0" applyFont="1" applyBorder="1" applyAlignment="1">
      <alignment horizontal="left" vertical="center" wrapText="1"/>
    </xf>
    <xf numFmtId="172" fontId="45" fillId="13" borderId="22" xfId="39" applyNumberFormat="1" applyFont="1" applyFill="1" applyBorder="1" applyAlignment="1" applyProtection="1">
      <alignment vertical="center"/>
      <protection locked="0"/>
    </xf>
    <xf numFmtId="171" fontId="45" fillId="13" borderId="51" xfId="38" applyNumberFormat="1" applyFont="1" applyFill="1" applyBorder="1" applyAlignment="1" applyProtection="1">
      <alignment horizontal="center" vertical="center" wrapText="1"/>
      <protection locked="0"/>
    </xf>
    <xf numFmtId="171" fontId="45" fillId="13" borderId="52" xfId="38" applyNumberFormat="1" applyFont="1" applyFill="1" applyBorder="1" applyAlignment="1" applyProtection="1">
      <alignment horizontal="center" vertical="center" wrapText="1"/>
      <protection locked="0"/>
    </xf>
    <xf numFmtId="171" fontId="45" fillId="13" borderId="54" xfId="38" applyNumberFormat="1" applyFont="1" applyFill="1" applyBorder="1" applyAlignment="1" applyProtection="1">
      <alignment horizontal="center" vertical="center" wrapText="1"/>
      <protection locked="0"/>
    </xf>
    <xf numFmtId="171" fontId="45" fillId="13" borderId="55" xfId="38" applyNumberFormat="1" applyFont="1" applyFill="1" applyBorder="1" applyAlignment="1" applyProtection="1">
      <alignment horizontal="center" vertical="center" wrapText="1"/>
      <protection locked="0"/>
    </xf>
    <xf numFmtId="169" fontId="6" fillId="0" borderId="0" xfId="46" applyFill="1">
      <alignment vertical="top"/>
    </xf>
    <xf numFmtId="172" fontId="43" fillId="21" borderId="22" xfId="0" applyNumberFormat="1" applyFont="1" applyFill="1" applyBorder="1" applyAlignment="1">
      <alignment vertical="center"/>
    </xf>
    <xf numFmtId="172" fontId="43" fillId="20" borderId="22" xfId="0" applyNumberFormat="1" applyFont="1" applyFill="1" applyBorder="1" applyAlignment="1">
      <alignment horizontal="center" vertical="center" wrapText="1"/>
    </xf>
    <xf numFmtId="172" fontId="43" fillId="20" borderId="22" xfId="0" applyNumberFormat="1" applyFont="1" applyFill="1" applyBorder="1" applyAlignment="1">
      <alignment vertical="center"/>
    </xf>
    <xf numFmtId="172" fontId="43" fillId="20" borderId="51" xfId="0" applyNumberFormat="1" applyFont="1" applyFill="1" applyBorder="1" applyAlignment="1">
      <alignment horizontal="center" vertical="center" wrapText="1"/>
    </xf>
    <xf numFmtId="0" fontId="138" fillId="0" borderId="137" xfId="0" applyFont="1" applyBorder="1" applyAlignment="1">
      <alignment horizontal="left" vertical="center" wrapText="1"/>
    </xf>
    <xf numFmtId="0" fontId="138" fillId="0" borderId="22" xfId="0" applyFont="1" applyBorder="1" applyAlignment="1">
      <alignment horizontal="left" vertical="center" wrapText="1"/>
    </xf>
    <xf numFmtId="0" fontId="138" fillId="0" borderId="22" xfId="0" applyFont="1" applyBorder="1" applyAlignment="1">
      <alignment horizontal="center" vertical="center" wrapText="1"/>
    </xf>
    <xf numFmtId="0" fontId="138" fillId="0" borderId="136" xfId="0" applyFont="1" applyBorder="1" applyAlignment="1">
      <alignment horizontal="left" vertical="center" wrapText="1"/>
    </xf>
    <xf numFmtId="0" fontId="138" fillId="0" borderId="138" xfId="0" applyFont="1" applyBorder="1" applyAlignment="1">
      <alignment horizontal="left" vertical="center" wrapText="1"/>
    </xf>
    <xf numFmtId="0" fontId="138" fillId="0" borderId="126" xfId="0" applyFont="1" applyBorder="1" applyAlignment="1">
      <alignment horizontal="left" vertical="center" wrapText="1"/>
    </xf>
    <xf numFmtId="172" fontId="45" fillId="20" borderId="22" xfId="0" applyNumberFormat="1" applyFont="1" applyFill="1" applyBorder="1" applyAlignment="1">
      <alignment horizontal="center" vertical="center" wrapText="1"/>
    </xf>
    <xf numFmtId="172" fontId="43" fillId="10" borderId="52" xfId="0" applyNumberFormat="1" applyFont="1" applyFill="1" applyBorder="1" applyAlignment="1">
      <alignment vertical="center"/>
    </xf>
    <xf numFmtId="172" fontId="43" fillId="12" borderId="60" xfId="0" applyNumberFormat="1" applyFont="1" applyFill="1" applyBorder="1" applyAlignment="1" applyProtection="1">
      <alignment vertical="center"/>
      <protection locked="0"/>
    </xf>
    <xf numFmtId="0" fontId="138" fillId="0" borderId="59" xfId="0" applyFont="1" applyBorder="1" applyAlignment="1">
      <alignment horizontal="left" vertical="center" wrapText="1"/>
    </xf>
    <xf numFmtId="0" fontId="45" fillId="0" borderId="137" xfId="0" applyFont="1" applyBorder="1" applyAlignment="1">
      <alignment horizontal="left" vertical="top"/>
    </xf>
    <xf numFmtId="0" fontId="138" fillId="0" borderId="51" xfId="0" applyFont="1" applyBorder="1" applyAlignment="1">
      <alignment horizontal="left" vertical="center" wrapText="1"/>
    </xf>
    <xf numFmtId="172" fontId="43" fillId="13" borderId="51" xfId="39" applyNumberFormat="1" applyFont="1" applyFill="1" applyBorder="1" applyAlignment="1">
      <alignment horizontal="center" vertical="center" wrapText="1"/>
    </xf>
    <xf numFmtId="172" fontId="43" fillId="10" borderId="51" xfId="39" applyNumberFormat="1" applyFont="1" applyFill="1" applyBorder="1" applyAlignment="1">
      <alignment horizontal="center" vertical="center" wrapText="1"/>
    </xf>
    <xf numFmtId="172" fontId="43" fillId="7" borderId="51" xfId="39" applyNumberFormat="1" applyFont="1" applyFill="1" applyBorder="1" applyAlignment="1">
      <alignment horizontal="center" vertical="center" wrapText="1"/>
    </xf>
    <xf numFmtId="172" fontId="43" fillId="7" borderId="52" xfId="39" applyNumberFormat="1" applyFont="1" applyFill="1" applyBorder="1" applyAlignment="1">
      <alignment horizontal="center" vertical="center" wrapText="1"/>
    </xf>
    <xf numFmtId="172" fontId="43" fillId="10" borderId="22" xfId="39" applyNumberFormat="1" applyFont="1" applyFill="1" applyBorder="1" applyAlignment="1">
      <alignment horizontal="center" vertical="center" wrapText="1"/>
    </xf>
    <xf numFmtId="172" fontId="43" fillId="7" borderId="22" xfId="39" applyNumberFormat="1" applyFont="1" applyFill="1" applyBorder="1" applyAlignment="1">
      <alignment horizontal="center" vertical="center" wrapText="1"/>
    </xf>
    <xf numFmtId="172" fontId="43" fillId="7" borderId="60" xfId="39" applyNumberFormat="1" applyFont="1" applyFill="1" applyBorder="1" applyAlignment="1">
      <alignment horizontal="center" vertical="center" wrapText="1"/>
    </xf>
    <xf numFmtId="172" fontId="43" fillId="21" borderId="22" xfId="39" applyNumberFormat="1" applyFont="1" applyFill="1" applyBorder="1" applyAlignment="1" applyProtection="1">
      <alignment horizontal="center" vertical="center" wrapText="1"/>
      <protection locked="0"/>
    </xf>
    <xf numFmtId="172" fontId="43" fillId="20" borderId="22" xfId="39" applyNumberFormat="1" applyFont="1" applyFill="1" applyBorder="1" applyAlignment="1">
      <alignment horizontal="center" vertical="center" wrapText="1"/>
    </xf>
    <xf numFmtId="172" fontId="43" fillId="10" borderId="22" xfId="39" applyNumberFormat="1" applyFont="1" applyFill="1" applyBorder="1" applyAlignment="1" applyProtection="1">
      <alignment horizontal="center" vertical="center" wrapText="1"/>
      <protection locked="0"/>
    </xf>
    <xf numFmtId="172" fontId="43" fillId="10" borderId="60" xfId="39" applyNumberFormat="1" applyFont="1" applyFill="1" applyBorder="1" applyAlignment="1" applyProtection="1">
      <alignment horizontal="center" vertical="center" wrapText="1"/>
      <protection locked="0"/>
    </xf>
    <xf numFmtId="172" fontId="43" fillId="10" borderId="54" xfId="39" applyNumberFormat="1" applyFont="1" applyFill="1" applyBorder="1" applyAlignment="1">
      <alignment horizontal="center" vertical="center" wrapText="1"/>
    </xf>
    <xf numFmtId="0" fontId="43" fillId="0" borderId="59" xfId="0" applyFont="1" applyBorder="1" applyAlignment="1" applyProtection="1">
      <alignment horizontal="left" vertical="center" wrapText="1"/>
      <protection locked="0"/>
    </xf>
    <xf numFmtId="172" fontId="45" fillId="20" borderId="51" xfId="39" applyNumberFormat="1" applyFont="1" applyFill="1" applyBorder="1" applyAlignment="1" applyProtection="1">
      <alignment horizontal="center" vertical="center" wrapText="1"/>
      <protection locked="0"/>
    </xf>
    <xf numFmtId="172" fontId="45" fillId="20" borderId="52" xfId="39" applyNumberFormat="1" applyFont="1" applyFill="1" applyBorder="1" applyAlignment="1">
      <alignment horizontal="center" vertical="center" wrapText="1"/>
    </xf>
    <xf numFmtId="0" fontId="142" fillId="0" borderId="0" xfId="30" applyFont="1" applyFill="1" applyBorder="1" applyAlignment="1">
      <alignment vertical="center"/>
    </xf>
    <xf numFmtId="0" fontId="143" fillId="0" borderId="0" xfId="30" applyFont="1" applyFill="1" applyBorder="1" applyAlignment="1">
      <alignment vertical="center"/>
    </xf>
    <xf numFmtId="0" fontId="144" fillId="0" borderId="0" xfId="0" applyFont="1" applyAlignment="1">
      <alignment vertical="center"/>
    </xf>
    <xf numFmtId="172" fontId="45" fillId="21" borderId="51" xfId="0" applyNumberFormat="1" applyFont="1" applyFill="1" applyBorder="1" applyAlignment="1" applyProtection="1">
      <alignment horizontal="center" vertical="center" wrapText="1"/>
      <protection locked="0"/>
    </xf>
    <xf numFmtId="172" fontId="45" fillId="20" borderId="51" xfId="0" applyNumberFormat="1" applyFont="1" applyFill="1" applyBorder="1" applyAlignment="1" applyProtection="1">
      <alignment horizontal="center" vertical="center" wrapText="1"/>
      <protection locked="0"/>
    </xf>
    <xf numFmtId="172" fontId="45" fillId="21" borderId="96" xfId="0" applyNumberFormat="1" applyFont="1" applyFill="1" applyBorder="1" applyAlignment="1" applyProtection="1">
      <alignment horizontal="center" vertical="center" wrapText="1"/>
      <protection locked="0"/>
    </xf>
    <xf numFmtId="172" fontId="45" fillId="20" borderId="52" xfId="0" applyNumberFormat="1" applyFont="1" applyFill="1" applyBorder="1" applyAlignment="1">
      <alignment horizontal="center" vertical="center" wrapText="1"/>
    </xf>
    <xf numFmtId="172" fontId="45" fillId="21" borderId="22" xfId="0" applyNumberFormat="1" applyFont="1" applyFill="1" applyBorder="1" applyAlignment="1" applyProtection="1">
      <alignment horizontal="center" vertical="center" wrapText="1"/>
      <protection locked="0"/>
    </xf>
    <xf numFmtId="172" fontId="45" fillId="20" borderId="22" xfId="0" applyNumberFormat="1" applyFont="1" applyFill="1" applyBorder="1" applyAlignment="1" applyProtection="1">
      <alignment horizontal="center" vertical="center" wrapText="1"/>
      <protection locked="0"/>
    </xf>
    <xf numFmtId="172" fontId="45" fillId="21" borderId="113" xfId="0" applyNumberFormat="1" applyFont="1" applyFill="1" applyBorder="1" applyAlignment="1" applyProtection="1">
      <alignment horizontal="center" vertical="center" wrapText="1"/>
      <protection locked="0"/>
    </xf>
    <xf numFmtId="172" fontId="45" fillId="20" borderId="60" xfId="0" applyNumberFormat="1" applyFont="1" applyFill="1" applyBorder="1" applyAlignment="1">
      <alignment horizontal="center" vertical="center" wrapText="1"/>
    </xf>
    <xf numFmtId="172" fontId="45" fillId="20" borderId="54" xfId="0" applyNumberFormat="1" applyFont="1" applyFill="1" applyBorder="1" applyAlignment="1">
      <alignment horizontal="center" vertical="center" wrapText="1"/>
    </xf>
    <xf numFmtId="172" fontId="45" fillId="20" borderId="97" xfId="0" applyNumberFormat="1" applyFont="1" applyFill="1" applyBorder="1" applyAlignment="1">
      <alignment horizontal="center" vertical="center" wrapText="1"/>
    </xf>
    <xf numFmtId="172" fontId="45" fillId="20" borderId="55" xfId="0" applyNumberFormat="1" applyFont="1" applyFill="1" applyBorder="1" applyAlignment="1">
      <alignment horizontal="center" vertical="center" wrapText="1"/>
    </xf>
    <xf numFmtId="0" fontId="45" fillId="0" borderId="112" xfId="0" applyFont="1" applyBorder="1" applyAlignment="1">
      <alignment horizontal="center" vertical="center" wrapText="1"/>
    </xf>
    <xf numFmtId="0" fontId="49"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7" fillId="16" borderId="15" xfId="48" applyFont="1" applyBorder="1" applyAlignment="1">
      <alignment horizontal="center" vertical="center"/>
    </xf>
    <xf numFmtId="172" fontId="45" fillId="21" borderId="54" xfId="0" applyNumberFormat="1" applyFont="1" applyFill="1" applyBorder="1" applyAlignment="1" applyProtection="1">
      <alignment horizontal="center" vertical="center" wrapText="1"/>
      <protection locked="0"/>
    </xf>
    <xf numFmtId="0" fontId="45" fillId="0" borderId="133" xfId="0" applyFont="1" applyBorder="1" applyAlignment="1">
      <alignment horizontal="left" vertical="center" wrapText="1"/>
    </xf>
    <xf numFmtId="0" fontId="45" fillId="0" borderId="134" xfId="0" applyFont="1" applyBorder="1" applyAlignment="1">
      <alignment horizontal="center" vertical="center" wrapText="1"/>
    </xf>
    <xf numFmtId="0" fontId="138" fillId="0" borderId="50" xfId="0" applyFont="1" applyBorder="1" applyAlignment="1">
      <alignment horizontal="left" vertical="center" wrapText="1"/>
    </xf>
    <xf numFmtId="0" fontId="138" fillId="29" borderId="60" xfId="0" applyFont="1" applyFill="1" applyBorder="1" applyAlignment="1">
      <alignment horizontal="center" vertical="center" wrapText="1"/>
    </xf>
    <xf numFmtId="0" fontId="39" fillId="23" borderId="73" xfId="0" applyFont="1" applyFill="1" applyBorder="1" applyAlignment="1">
      <alignment horizontal="center" vertical="center" wrapText="1"/>
    </xf>
    <xf numFmtId="0" fontId="39" fillId="23" borderId="74" xfId="0" applyFont="1" applyFill="1" applyBorder="1" applyAlignment="1">
      <alignment horizontal="center" vertical="center" wrapText="1"/>
    </xf>
    <xf numFmtId="0" fontId="39" fillId="23" borderId="75" xfId="0" applyFont="1" applyFill="1" applyBorder="1" applyAlignment="1">
      <alignment horizontal="center" vertical="center" wrapText="1"/>
    </xf>
    <xf numFmtId="0" fontId="138" fillId="0" borderId="53" xfId="0" applyFont="1" applyBorder="1" applyAlignment="1">
      <alignment horizontal="left" vertical="center" wrapText="1"/>
    </xf>
    <xf numFmtId="0" fontId="138" fillId="0" borderId="0" xfId="0" applyFont="1"/>
    <xf numFmtId="0" fontId="138" fillId="0" borderId="54" xfId="0" applyFont="1" applyBorder="1" applyAlignment="1">
      <alignment horizontal="center" vertical="center" wrapText="1"/>
    </xf>
    <xf numFmtId="0" fontId="13" fillId="0" borderId="0" xfId="0" applyFont="1"/>
    <xf numFmtId="0" fontId="43" fillId="0" borderId="57" xfId="30" applyFont="1" applyFill="1" applyBorder="1" applyAlignment="1">
      <alignment horizontal="center" vertical="center" wrapText="1"/>
    </xf>
    <xf numFmtId="0" fontId="138" fillId="0" borderId="0" xfId="0" applyFont="1" applyAlignment="1">
      <alignment horizontal="center" vertical="center" wrapText="1"/>
    </xf>
    <xf numFmtId="167" fontId="45" fillId="12" borderId="55" xfId="0" applyNumberFormat="1" applyFont="1" applyFill="1" applyBorder="1" applyAlignment="1" applyProtection="1">
      <alignment horizontal="center" vertical="center" wrapText="1"/>
      <protection locked="0"/>
    </xf>
    <xf numFmtId="0" fontId="139" fillId="10" borderId="46" xfId="0" applyFont="1" applyFill="1" applyBorder="1" applyAlignment="1">
      <alignment horizontal="left" vertical="center" wrapText="1"/>
    </xf>
    <xf numFmtId="0" fontId="43" fillId="0" borderId="58" xfId="0" applyFont="1" applyBorder="1" applyAlignment="1" applyProtection="1">
      <alignment horizontal="center"/>
      <protection locked="0"/>
    </xf>
    <xf numFmtId="0" fontId="43" fillId="0" borderId="61" xfId="0" applyFont="1" applyBorder="1" applyAlignment="1" applyProtection="1">
      <alignment horizontal="center"/>
      <protection locked="0"/>
    </xf>
    <xf numFmtId="0" fontId="145" fillId="0" borderId="0" xfId="0" applyFont="1"/>
    <xf numFmtId="0" fontId="40" fillId="0" borderId="58" xfId="30" applyFont="1" applyFill="1" applyBorder="1" applyAlignment="1">
      <alignment horizontal="center" vertical="center" wrapText="1"/>
    </xf>
    <xf numFmtId="0" fontId="45" fillId="0" borderId="68" xfId="0" applyFont="1" applyBorder="1" applyAlignment="1">
      <alignment horizontal="left" vertical="center" wrapText="1"/>
    </xf>
    <xf numFmtId="2" fontId="45" fillId="12" borderId="51" xfId="0" applyNumberFormat="1" applyFont="1" applyFill="1" applyBorder="1" applyAlignment="1" applyProtection="1">
      <alignment horizontal="center" vertical="center" wrapText="1"/>
      <protection locked="0"/>
    </xf>
    <xf numFmtId="0" fontId="45" fillId="10" borderId="52" xfId="0" applyFont="1" applyFill="1" applyBorder="1" applyAlignment="1" applyProtection="1">
      <alignment horizontal="center" vertical="center" wrapText="1"/>
      <protection locked="0"/>
    </xf>
    <xf numFmtId="2" fontId="45" fillId="12" borderId="54" xfId="0" applyNumberFormat="1" applyFont="1" applyFill="1" applyBorder="1" applyAlignment="1" applyProtection="1">
      <alignment horizontal="center" vertical="center" wrapText="1"/>
      <protection locked="0"/>
    </xf>
    <xf numFmtId="0" fontId="45" fillId="10" borderId="55" xfId="0" applyFont="1" applyFill="1" applyBorder="1" applyAlignment="1" applyProtection="1">
      <alignment horizontal="center" vertical="center" wrapText="1"/>
      <protection locked="0"/>
    </xf>
    <xf numFmtId="0" fontId="43" fillId="10" borderId="51" xfId="0" applyFont="1" applyFill="1" applyBorder="1" applyAlignment="1">
      <alignment horizontal="left" vertical="center" wrapText="1"/>
    </xf>
    <xf numFmtId="0" fontId="43" fillId="10" borderId="52" xfId="0" applyFont="1" applyFill="1" applyBorder="1" applyAlignment="1">
      <alignment horizontal="left" vertical="center" wrapText="1"/>
    </xf>
    <xf numFmtId="0" fontId="43" fillId="10" borderId="54" xfId="0" applyFont="1" applyFill="1" applyBorder="1" applyAlignment="1">
      <alignment horizontal="left" vertical="center" wrapText="1"/>
    </xf>
    <xf numFmtId="0" fontId="43" fillId="10" borderId="55" xfId="0" applyFont="1" applyFill="1" applyBorder="1" applyAlignment="1">
      <alignment horizontal="left" vertical="center" wrapText="1"/>
    </xf>
    <xf numFmtId="0" fontId="40" fillId="10" borderId="50" xfId="15" applyFont="1" applyFill="1" applyBorder="1" applyAlignment="1">
      <alignment horizontal="center" vertical="center"/>
    </xf>
    <xf numFmtId="0" fontId="40" fillId="10" borderId="51" xfId="15" applyFont="1" applyFill="1" applyBorder="1" applyAlignment="1">
      <alignment horizontal="center" vertical="center"/>
    </xf>
    <xf numFmtId="0" fontId="40" fillId="10" borderId="52" xfId="15" applyFont="1" applyFill="1" applyBorder="1" applyAlignment="1">
      <alignment horizontal="center" vertical="center"/>
    </xf>
    <xf numFmtId="0" fontId="40" fillId="10" borderId="59" xfId="15" applyFont="1" applyFill="1" applyBorder="1" applyAlignment="1">
      <alignment horizontal="center" vertical="center"/>
    </xf>
    <xf numFmtId="0" fontId="40" fillId="10" borderId="22" xfId="15" applyFont="1" applyFill="1" applyBorder="1" applyAlignment="1">
      <alignment horizontal="center" vertical="center"/>
    </xf>
    <xf numFmtId="0" fontId="40" fillId="10" borderId="60" xfId="15" applyFont="1" applyFill="1" applyBorder="1" applyAlignment="1">
      <alignment horizontal="center" vertical="center"/>
    </xf>
    <xf numFmtId="0" fontId="40" fillId="10" borderId="53" xfId="15" applyFont="1" applyFill="1" applyBorder="1" applyAlignment="1">
      <alignment horizontal="center" vertical="center"/>
    </xf>
    <xf numFmtId="0" fontId="40" fillId="10" borderId="54" xfId="15" applyFont="1" applyFill="1" applyBorder="1" applyAlignment="1">
      <alignment horizontal="center" vertical="center"/>
    </xf>
    <xf numFmtId="0" fontId="40" fillId="10" borderId="55" xfId="15" applyFont="1" applyFill="1" applyBorder="1" applyAlignment="1">
      <alignment horizontal="center" vertical="center"/>
    </xf>
    <xf numFmtId="0" fontId="40" fillId="10" borderId="51" xfId="0" applyFont="1" applyFill="1" applyBorder="1"/>
    <xf numFmtId="0" fontId="40" fillId="10" borderId="52" xfId="0" applyFont="1" applyFill="1" applyBorder="1"/>
    <xf numFmtId="0" fontId="40" fillId="10" borderId="22" xfId="0" applyFont="1" applyFill="1" applyBorder="1"/>
    <xf numFmtId="0" fontId="40" fillId="10" borderId="60" xfId="0" applyFont="1" applyFill="1" applyBorder="1"/>
    <xf numFmtId="0" fontId="40" fillId="10" borderId="54" xfId="0" applyFont="1" applyFill="1" applyBorder="1"/>
    <xf numFmtId="0" fontId="40" fillId="10" borderId="55" xfId="0" applyFont="1" applyFill="1" applyBorder="1"/>
    <xf numFmtId="3" fontId="43" fillId="12" borderId="55" xfId="0" applyNumberFormat="1" applyFont="1" applyFill="1" applyBorder="1" applyAlignment="1" applyProtection="1">
      <alignment horizontal="center" vertical="center" wrapText="1"/>
      <protection locked="0"/>
    </xf>
    <xf numFmtId="0" fontId="40" fillId="0" borderId="57" xfId="0" applyFont="1" applyBorder="1" applyAlignment="1" applyProtection="1">
      <alignment horizontal="center"/>
      <protection locked="0"/>
    </xf>
    <xf numFmtId="0" fontId="40" fillId="0" borderId="110" xfId="0" applyFont="1" applyBorder="1" applyAlignment="1" applyProtection="1">
      <alignment horizontal="center"/>
      <protection locked="0"/>
    </xf>
    <xf numFmtId="0" fontId="40" fillId="0" borderId="61" xfId="0" applyFont="1" applyBorder="1" applyAlignment="1" applyProtection="1">
      <alignment horizontal="center"/>
      <protection locked="0"/>
    </xf>
    <xf numFmtId="0" fontId="40" fillId="0" borderId="122" xfId="0" applyFont="1" applyBorder="1" applyAlignment="1" applyProtection="1">
      <alignment horizontal="center"/>
      <protection locked="0"/>
    </xf>
    <xf numFmtId="0" fontId="39" fillId="23" borderId="85" xfId="0" applyFont="1" applyFill="1" applyBorder="1" applyAlignment="1">
      <alignment vertical="center" wrapText="1"/>
    </xf>
    <xf numFmtId="172" fontId="45" fillId="21" borderId="129" xfId="0" applyNumberFormat="1" applyFont="1" applyFill="1" applyBorder="1" applyAlignment="1" applyProtection="1">
      <alignment horizontal="center" vertical="center" wrapText="1"/>
      <protection locked="0"/>
    </xf>
    <xf numFmtId="172" fontId="45" fillId="21" borderId="75" xfId="0" applyNumberFormat="1" applyFont="1" applyFill="1" applyBorder="1" applyAlignment="1" applyProtection="1">
      <alignment horizontal="center" vertical="center" wrapText="1"/>
      <protection locked="0"/>
    </xf>
    <xf numFmtId="172" fontId="45" fillId="21" borderId="131" xfId="0" applyNumberFormat="1" applyFont="1" applyFill="1" applyBorder="1" applyAlignment="1" applyProtection="1">
      <alignment horizontal="center" vertical="center" wrapText="1"/>
      <protection locked="0"/>
    </xf>
    <xf numFmtId="172" fontId="45" fillId="21" borderId="83" xfId="0" applyNumberFormat="1" applyFont="1" applyFill="1" applyBorder="1" applyAlignment="1" applyProtection="1">
      <alignment horizontal="center" vertical="center" wrapText="1"/>
      <protection locked="0"/>
    </xf>
    <xf numFmtId="172" fontId="45" fillId="21" borderId="130" xfId="0" applyNumberFormat="1" applyFont="1" applyFill="1" applyBorder="1" applyAlignment="1" applyProtection="1">
      <alignment horizontal="center" vertical="center" wrapText="1"/>
      <protection locked="0"/>
    </xf>
    <xf numFmtId="172" fontId="45" fillId="21" borderId="78" xfId="0" applyNumberFormat="1" applyFont="1" applyFill="1" applyBorder="1" applyAlignment="1" applyProtection="1">
      <alignment horizontal="center" vertical="center" wrapText="1"/>
      <protection locked="0"/>
    </xf>
    <xf numFmtId="0" fontId="39" fillId="23" borderId="142" xfId="0" applyFont="1" applyFill="1" applyBorder="1" applyAlignment="1">
      <alignment horizontal="center" vertical="center" textRotation="90" wrapText="1"/>
    </xf>
    <xf numFmtId="0" fontId="39" fillId="23" borderId="143" xfId="0" applyFont="1" applyFill="1" applyBorder="1" applyAlignment="1">
      <alignment horizontal="center" vertical="center" textRotation="90" wrapText="1"/>
    </xf>
    <xf numFmtId="0" fontId="40" fillId="0" borderId="46" xfId="0" applyFont="1" applyBorder="1" applyAlignment="1" applyProtection="1">
      <alignment vertical="top"/>
      <protection locked="0"/>
    </xf>
    <xf numFmtId="0" fontId="40" fillId="0" borderId="64" xfId="0" applyFont="1" applyBorder="1" applyAlignment="1">
      <alignment horizontal="center" vertical="top"/>
    </xf>
    <xf numFmtId="172" fontId="44" fillId="21" borderId="63" xfId="30" applyNumberFormat="1" applyFont="1" applyFill="1" applyBorder="1" applyAlignment="1">
      <alignment vertical="top" wrapText="1"/>
    </xf>
    <xf numFmtId="173" fontId="45" fillId="0" borderId="0" xfId="39" applyNumberFormat="1" applyFont="1" applyFill="1" applyBorder="1" applyAlignment="1" applyProtection="1">
      <alignment horizontal="center" vertical="center" wrapText="1"/>
    </xf>
    <xf numFmtId="173" fontId="45" fillId="20" borderId="60" xfId="39" applyNumberFormat="1" applyFont="1" applyFill="1" applyBorder="1" applyAlignment="1" applyProtection="1">
      <alignment horizontal="center" vertical="center" wrapText="1"/>
    </xf>
    <xf numFmtId="173" fontId="45" fillId="20" borderId="55" xfId="39" applyNumberFormat="1" applyFont="1" applyFill="1" applyBorder="1" applyAlignment="1" applyProtection="1">
      <alignment horizontal="center" vertical="center" wrapText="1"/>
    </xf>
    <xf numFmtId="173" fontId="45" fillId="20" borderId="54" xfId="0" applyNumberFormat="1" applyFont="1" applyFill="1" applyBorder="1" applyAlignment="1">
      <alignment horizontal="center" vertical="center" wrapText="1"/>
    </xf>
    <xf numFmtId="173" fontId="45" fillId="21" borderId="22" xfId="0" applyNumberFormat="1" applyFont="1" applyFill="1" applyBorder="1" applyAlignment="1" applyProtection="1">
      <alignment horizontal="center" vertical="center" wrapText="1"/>
      <protection locked="0"/>
    </xf>
    <xf numFmtId="173" fontId="45" fillId="20" borderId="22" xfId="0" applyNumberFormat="1" applyFont="1" applyFill="1" applyBorder="1" applyAlignment="1" applyProtection="1">
      <alignment horizontal="center" vertical="center" wrapText="1"/>
      <protection locked="0"/>
    </xf>
    <xf numFmtId="173" fontId="45" fillId="13" borderId="22" xfId="0" applyNumberFormat="1" applyFont="1" applyFill="1" applyBorder="1" applyAlignment="1">
      <alignment horizontal="center" vertical="center" wrapText="1"/>
    </xf>
    <xf numFmtId="173" fontId="45" fillId="13" borderId="60" xfId="0" applyNumberFormat="1" applyFont="1" applyFill="1" applyBorder="1" applyAlignment="1">
      <alignment horizontal="center" vertical="center" wrapText="1"/>
    </xf>
    <xf numFmtId="173" fontId="45" fillId="13" borderId="55" xfId="0" applyNumberFormat="1" applyFont="1" applyFill="1" applyBorder="1" applyAlignment="1">
      <alignment horizontal="center" vertical="center" wrapText="1"/>
    </xf>
    <xf numFmtId="173" fontId="45" fillId="13" borderId="51" xfId="39" applyNumberFormat="1" applyFont="1" applyFill="1" applyBorder="1" applyAlignment="1" applyProtection="1">
      <alignment horizontal="center" vertical="center" wrapText="1"/>
    </xf>
    <xf numFmtId="173" fontId="45" fillId="13" borderId="54" xfId="39" applyNumberFormat="1" applyFont="1" applyFill="1" applyBorder="1" applyAlignment="1" applyProtection="1">
      <alignment horizontal="center" vertical="center" wrapText="1"/>
    </xf>
    <xf numFmtId="173" fontId="40" fillId="21" borderId="51" xfId="0" applyNumberFormat="1" applyFont="1" applyFill="1" applyBorder="1" applyProtection="1">
      <protection locked="0"/>
    </xf>
    <xf numFmtId="173" fontId="40" fillId="21" borderId="22" xfId="0" applyNumberFormat="1" applyFont="1" applyFill="1" applyBorder="1" applyProtection="1">
      <protection locked="0"/>
    </xf>
    <xf numFmtId="0" fontId="49" fillId="0" borderId="61" xfId="30" applyFont="1" applyFill="1" applyBorder="1" applyAlignment="1">
      <alignment vertical="center" wrapText="1"/>
    </xf>
    <xf numFmtId="173" fontId="40" fillId="7" borderId="51" xfId="0" applyNumberFormat="1" applyFont="1" applyFill="1" applyBorder="1" applyAlignment="1" applyProtection="1">
      <alignment vertical="center"/>
      <protection locked="0"/>
    </xf>
    <xf numFmtId="0" fontId="40" fillId="0" borderId="53" xfId="0" applyFont="1" applyBorder="1" applyAlignment="1">
      <alignment vertical="center"/>
    </xf>
    <xf numFmtId="173" fontId="40" fillId="7" borderId="54" xfId="0" applyNumberFormat="1" applyFont="1" applyFill="1" applyBorder="1" applyAlignment="1" applyProtection="1">
      <alignment vertical="center"/>
      <protection locked="0"/>
    </xf>
    <xf numFmtId="173" fontId="40" fillId="12" borderId="54" xfId="0" applyNumberFormat="1" applyFont="1" applyFill="1" applyBorder="1" applyAlignment="1" applyProtection="1">
      <alignment vertical="center"/>
      <protection locked="0"/>
    </xf>
    <xf numFmtId="0" fontId="40" fillId="0" borderId="62" xfId="0" applyFont="1" applyBorder="1"/>
    <xf numFmtId="173" fontId="40" fillId="21" borderId="64" xfId="0" applyNumberFormat="1" applyFont="1" applyFill="1" applyBorder="1" applyProtection="1">
      <protection locked="0"/>
    </xf>
    <xf numFmtId="173" fontId="45" fillId="13" borderId="63" xfId="39" applyNumberFormat="1" applyFont="1" applyFill="1" applyBorder="1" applyAlignment="1" applyProtection="1">
      <alignment horizontal="center" vertical="center" wrapText="1"/>
    </xf>
    <xf numFmtId="173" fontId="45" fillId="12" borderId="64" xfId="0" applyNumberFormat="1" applyFont="1" applyFill="1" applyBorder="1" applyAlignment="1" applyProtection="1">
      <alignment horizontal="center" vertical="center" wrapText="1"/>
      <protection locked="0"/>
    </xf>
    <xf numFmtId="173" fontId="52" fillId="18" borderId="52" xfId="0" applyNumberFormat="1" applyFont="1" applyFill="1" applyBorder="1" applyAlignment="1" applyProtection="1">
      <alignment horizontal="center" vertical="center"/>
      <protection locked="0"/>
    </xf>
    <xf numFmtId="173" fontId="52" fillId="18" borderId="55" xfId="0" applyNumberFormat="1" applyFont="1" applyFill="1" applyBorder="1" applyAlignment="1" applyProtection="1">
      <alignment horizontal="center" vertical="center"/>
      <protection locked="0"/>
    </xf>
    <xf numFmtId="1" fontId="41" fillId="10" borderId="54" xfId="0" applyNumberFormat="1" applyFont="1" applyFill="1" applyBorder="1" applyAlignment="1" applyProtection="1">
      <alignment horizontal="center" vertical="center" wrapText="1"/>
      <protection locked="0"/>
    </xf>
    <xf numFmtId="1" fontId="41" fillId="10" borderId="55" xfId="0" applyNumberFormat="1" applyFont="1" applyFill="1" applyBorder="1" applyAlignment="1" applyProtection="1">
      <alignment horizontal="center" vertical="center" wrapText="1"/>
      <protection locked="0"/>
    </xf>
    <xf numFmtId="1" fontId="41" fillId="10" borderId="22" xfId="0" applyNumberFormat="1" applyFont="1" applyFill="1" applyBorder="1" applyAlignment="1" applyProtection="1">
      <alignment horizontal="center" vertical="center" wrapText="1"/>
      <protection locked="0"/>
    </xf>
    <xf numFmtId="1" fontId="41" fillId="10" borderId="60" xfId="0" applyNumberFormat="1" applyFont="1" applyFill="1" applyBorder="1" applyAlignment="1" applyProtection="1">
      <alignment horizontal="center" vertical="center" wrapText="1"/>
      <protection locked="0"/>
    </xf>
    <xf numFmtId="0" fontId="43" fillId="0" borderId="0" xfId="48" applyFont="1" applyFill="1" applyBorder="1" applyAlignment="1">
      <alignment horizontal="center" vertical="center"/>
    </xf>
    <xf numFmtId="173" fontId="43" fillId="12" borderId="22" xfId="0" applyNumberFormat="1" applyFont="1" applyFill="1" applyBorder="1" applyAlignment="1" applyProtection="1">
      <alignment horizontal="center" vertical="center" wrapText="1"/>
      <protection locked="0"/>
    </xf>
    <xf numFmtId="0" fontId="40" fillId="0" borderId="59" xfId="0" applyFont="1" applyBorder="1" applyAlignment="1">
      <alignment vertical="center"/>
    </xf>
    <xf numFmtId="172" fontId="45" fillId="13" borderId="60" xfId="39" applyNumberFormat="1" applyFont="1" applyFill="1" applyBorder="1" applyAlignment="1">
      <alignment horizontal="right" vertical="center" wrapText="1"/>
    </xf>
    <xf numFmtId="0" fontId="49" fillId="5" borderId="0" xfId="30" applyFont="1" applyFill="1" applyBorder="1" applyAlignment="1">
      <alignment vertical="center"/>
    </xf>
    <xf numFmtId="0" fontId="64" fillId="5" borderId="0" xfId="0" applyFont="1" applyFill="1"/>
    <xf numFmtId="0" fontId="65" fillId="5" borderId="0" xfId="30" applyFont="1" applyFill="1" applyBorder="1" applyAlignment="1">
      <alignment vertical="center"/>
    </xf>
    <xf numFmtId="0" fontId="73" fillId="5" borderId="0" xfId="15" applyFont="1" applyFill="1" applyAlignment="1">
      <alignment horizontal="center" vertical="center"/>
    </xf>
    <xf numFmtId="0" fontId="49" fillId="5" borderId="0" xfId="30" applyFont="1" applyFill="1" applyBorder="1" applyAlignment="1">
      <alignment vertical="center" wrapText="1"/>
    </xf>
    <xf numFmtId="0" fontId="45" fillId="0" borderId="111" xfId="0" applyFont="1" applyBorder="1" applyAlignment="1">
      <alignment horizontal="center" vertical="center" wrapText="1"/>
    </xf>
    <xf numFmtId="0" fontId="45" fillId="0" borderId="93" xfId="0" applyFont="1" applyBorder="1" applyAlignment="1">
      <alignment horizontal="center" vertical="center" wrapText="1"/>
    </xf>
    <xf numFmtId="0" fontId="51" fillId="5" borderId="0" xfId="16" applyFont="1" applyFill="1" applyAlignment="1">
      <alignment horizontal="center" vertical="center" wrapText="1"/>
    </xf>
    <xf numFmtId="172" fontId="45" fillId="21" borderId="52" xfId="0" applyNumberFormat="1" applyFont="1" applyFill="1" applyBorder="1" applyAlignment="1" applyProtection="1">
      <alignment horizontal="center" vertical="center" wrapText="1"/>
      <protection locked="0"/>
    </xf>
    <xf numFmtId="172" fontId="45" fillId="21" borderId="55" xfId="0" applyNumberFormat="1" applyFont="1" applyFill="1" applyBorder="1" applyAlignment="1" applyProtection="1">
      <alignment horizontal="center" vertical="center" wrapText="1"/>
      <protection locked="0"/>
    </xf>
    <xf numFmtId="172" fontId="43" fillId="5" borderId="0" xfId="35" applyNumberFormat="1" applyFont="1" applyFill="1" applyAlignment="1">
      <alignment horizontal="center" vertical="center"/>
    </xf>
    <xf numFmtId="172" fontId="45" fillId="21" borderId="60" xfId="0" applyNumberFormat="1" applyFont="1" applyFill="1" applyBorder="1" applyAlignment="1" applyProtection="1">
      <alignment horizontal="center" vertical="center" wrapText="1"/>
      <protection locked="0"/>
    </xf>
    <xf numFmtId="172" fontId="45" fillId="20" borderId="69" xfId="0" applyNumberFormat="1" applyFont="1" applyFill="1" applyBorder="1" applyAlignment="1">
      <alignment horizontal="center" vertical="center" wrapText="1"/>
    </xf>
    <xf numFmtId="172" fontId="45" fillId="20" borderId="70" xfId="0" applyNumberFormat="1" applyFont="1" applyFill="1" applyBorder="1" applyAlignment="1">
      <alignment horizontal="center" vertical="center" wrapText="1"/>
    </xf>
    <xf numFmtId="172" fontId="43" fillId="5" borderId="0" xfId="15" applyNumberFormat="1" applyFont="1" applyFill="1" applyAlignment="1">
      <alignment horizontal="center" vertical="center"/>
    </xf>
    <xf numFmtId="14" fontId="45" fillId="21" borderId="51" xfId="0" applyNumberFormat="1" applyFont="1" applyFill="1" applyBorder="1" applyAlignment="1" applyProtection="1">
      <alignment horizontal="center" vertical="center" wrapText="1"/>
      <protection locked="0"/>
    </xf>
    <xf numFmtId="14" fontId="45" fillId="21" borderId="52" xfId="0" applyNumberFormat="1" applyFont="1" applyFill="1" applyBorder="1" applyAlignment="1" applyProtection="1">
      <alignment horizontal="center" vertical="center" wrapText="1"/>
      <protection locked="0"/>
    </xf>
    <xf numFmtId="14" fontId="45" fillId="21" borderId="22" xfId="0" applyNumberFormat="1" applyFont="1" applyFill="1" applyBorder="1" applyAlignment="1" applyProtection="1">
      <alignment horizontal="center" vertical="center" wrapText="1"/>
      <protection locked="0"/>
    </xf>
    <xf numFmtId="14" fontId="45" fillId="21" borderId="60" xfId="0" applyNumberFormat="1" applyFont="1" applyFill="1" applyBorder="1" applyAlignment="1" applyProtection="1">
      <alignment horizontal="center" vertical="center" wrapText="1"/>
      <protection locked="0"/>
    </xf>
    <xf numFmtId="0" fontId="40" fillId="12" borderId="77" xfId="0" applyFont="1" applyFill="1" applyBorder="1" applyAlignment="1">
      <alignment horizontal="center" vertical="center" wrapText="1"/>
    </xf>
    <xf numFmtId="0" fontId="40" fillId="0" borderId="135" xfId="30" applyFont="1" applyFill="1" applyBorder="1" applyAlignment="1">
      <alignment horizontal="center" vertical="center" wrapText="1"/>
    </xf>
    <xf numFmtId="0" fontId="40" fillId="12" borderId="52" xfId="0" applyFont="1" applyFill="1" applyBorder="1" applyAlignment="1">
      <alignment horizontal="center" vertical="center" wrapText="1"/>
    </xf>
    <xf numFmtId="0" fontId="40" fillId="0" borderId="128" xfId="30" applyFont="1" applyFill="1" applyBorder="1" applyAlignment="1">
      <alignment horizontal="center" vertical="center" wrapText="1"/>
    </xf>
    <xf numFmtId="0" fontId="40" fillId="12" borderId="60" xfId="0" applyFont="1" applyFill="1" applyBorder="1" applyAlignment="1">
      <alignment horizontal="center" vertical="center" wrapText="1"/>
    </xf>
    <xf numFmtId="0" fontId="40" fillId="12" borderId="55" xfId="0" applyFont="1" applyFill="1" applyBorder="1" applyAlignment="1">
      <alignment horizontal="center" vertical="center" wrapText="1"/>
    </xf>
    <xf numFmtId="1" fontId="45" fillId="12" borderId="127" xfId="0" applyNumberFormat="1" applyFont="1" applyFill="1" applyBorder="1" applyAlignment="1" applyProtection="1">
      <alignment horizontal="center" vertical="center" wrapText="1"/>
      <protection locked="0"/>
    </xf>
    <xf numFmtId="0" fontId="44" fillId="0" borderId="123" xfId="30" applyFont="1" applyFill="1" applyBorder="1" applyAlignment="1">
      <alignment horizontal="center" vertical="center" wrapText="1"/>
    </xf>
    <xf numFmtId="1" fontId="45" fillId="12" borderId="140" xfId="0" applyNumberFormat="1" applyFont="1" applyFill="1" applyBorder="1" applyAlignment="1" applyProtection="1">
      <alignment horizontal="center" vertical="center" wrapText="1"/>
      <protection locked="0"/>
    </xf>
    <xf numFmtId="0" fontId="40" fillId="0" borderId="141" xfId="0" applyFont="1" applyBorder="1" applyProtection="1">
      <protection locked="0"/>
    </xf>
    <xf numFmtId="0" fontId="40" fillId="0" borderId="57" xfId="30" applyFont="1" applyFill="1" applyBorder="1" applyAlignment="1">
      <alignment horizontal="center" vertical="center" wrapText="1"/>
    </xf>
    <xf numFmtId="2" fontId="40" fillId="12" borderId="60" xfId="0" applyNumberFormat="1" applyFont="1" applyFill="1" applyBorder="1" applyAlignment="1" applyProtection="1">
      <alignment horizontal="center" vertical="center" wrapText="1"/>
      <protection locked="0"/>
    </xf>
    <xf numFmtId="0" fontId="40" fillId="0" borderId="61" xfId="30" applyFont="1" applyFill="1" applyBorder="1" applyAlignment="1">
      <alignment horizontal="center" vertical="center" wrapText="1"/>
    </xf>
    <xf numFmtId="0" fontId="40" fillId="0" borderId="58" xfId="0" applyFont="1" applyBorder="1" applyAlignment="1" applyProtection="1">
      <alignment horizontal="center"/>
      <protection locked="0"/>
    </xf>
    <xf numFmtId="0" fontId="41" fillId="10" borderId="120" xfId="0" applyFont="1" applyFill="1" applyBorder="1" applyAlignment="1">
      <alignment horizontal="center" vertical="center" wrapText="1"/>
    </xf>
    <xf numFmtId="172" fontId="45" fillId="12" borderId="63"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top" wrapText="1"/>
      <protection locked="0"/>
    </xf>
    <xf numFmtId="172" fontId="40" fillId="0" borderId="0" xfId="0" applyNumberFormat="1" applyFont="1" applyAlignment="1" applyProtection="1">
      <alignment vertical="top"/>
      <protection locked="0"/>
    </xf>
    <xf numFmtId="0" fontId="146" fillId="33" borderId="144" xfId="0" applyFont="1" applyFill="1" applyBorder="1" applyAlignment="1">
      <alignment vertical="top"/>
    </xf>
    <xf numFmtId="0" fontId="147" fillId="33" borderId="144" xfId="0" applyFont="1" applyFill="1" applyBorder="1" applyAlignment="1">
      <alignment vertical="top"/>
    </xf>
    <xf numFmtId="0" fontId="147" fillId="33" borderId="0" xfId="0" applyFont="1" applyFill="1" applyAlignment="1">
      <alignment vertical="top"/>
    </xf>
    <xf numFmtId="0" fontId="148" fillId="33" borderId="0" xfId="0" applyFont="1" applyFill="1" applyAlignment="1">
      <alignment vertical="top"/>
    </xf>
    <xf numFmtId="0" fontId="148" fillId="33" borderId="0" xfId="0" applyFont="1" applyFill="1" applyAlignment="1">
      <alignment horizontal="left" vertical="top"/>
    </xf>
    <xf numFmtId="0" fontId="149" fillId="33" borderId="0" xfId="58" applyFill="1" applyAlignment="1">
      <alignment horizontal="left" vertical="top"/>
    </xf>
    <xf numFmtId="172" fontId="43" fillId="21" borderId="51" xfId="0" applyNumberFormat="1" applyFont="1" applyFill="1" applyBorder="1" applyAlignment="1">
      <alignment vertical="center"/>
    </xf>
    <xf numFmtId="172" fontId="43" fillId="18" borderId="22" xfId="0" applyNumberFormat="1" applyFont="1" applyFill="1" applyBorder="1" applyAlignment="1" applyProtection="1">
      <alignment vertical="center"/>
      <protection locked="0"/>
    </xf>
    <xf numFmtId="172" fontId="43" fillId="18" borderId="60" xfId="0" applyNumberFormat="1" applyFont="1" applyFill="1" applyBorder="1" applyAlignment="1" applyProtection="1">
      <alignment vertical="center"/>
      <protection locked="0"/>
    </xf>
    <xf numFmtId="173" fontId="45" fillId="12" borderId="63" xfId="39" applyNumberFormat="1" applyFont="1" applyFill="1" applyBorder="1" applyAlignment="1" applyProtection="1">
      <alignment horizontal="center" vertical="center" wrapText="1"/>
    </xf>
    <xf numFmtId="173" fontId="45" fillId="13" borderId="54" xfId="0" applyNumberFormat="1" applyFont="1" applyFill="1" applyBorder="1" applyAlignment="1" applyProtection="1">
      <alignment horizontal="center" vertical="center" wrapText="1"/>
      <protection locked="0"/>
    </xf>
    <xf numFmtId="172" fontId="43" fillId="18" borderId="22" xfId="0" applyNumberFormat="1" applyFont="1" applyFill="1" applyBorder="1" applyAlignment="1">
      <alignment horizontal="center" vertical="center"/>
    </xf>
    <xf numFmtId="172" fontId="43" fillId="18" borderId="54" xfId="0" applyNumberFormat="1" applyFont="1" applyFill="1" applyBorder="1" applyAlignment="1">
      <alignment horizontal="center" vertical="center"/>
    </xf>
    <xf numFmtId="172" fontId="43" fillId="18" borderId="22" xfId="0" applyNumberFormat="1" applyFont="1" applyFill="1" applyBorder="1" applyAlignment="1">
      <alignment vertical="center"/>
    </xf>
    <xf numFmtId="172" fontId="43" fillId="18" borderId="22" xfId="0" applyNumberFormat="1" applyFont="1" applyFill="1" applyBorder="1" applyAlignment="1">
      <alignment horizontal="center" vertical="center" wrapText="1"/>
    </xf>
    <xf numFmtId="173" fontId="41" fillId="10" borderId="108" xfId="0" applyNumberFormat="1" applyFont="1" applyFill="1" applyBorder="1" applyAlignment="1" applyProtection="1">
      <alignment horizontal="center" vertical="center" wrapText="1"/>
      <protection locked="0"/>
    </xf>
    <xf numFmtId="0" fontId="41" fillId="10" borderId="109" xfId="0" applyFont="1" applyFill="1" applyBorder="1" applyAlignment="1">
      <alignment horizontal="center" vertical="center" wrapText="1"/>
    </xf>
    <xf numFmtId="173" fontId="45" fillId="12" borderId="124" xfId="39" applyNumberFormat="1" applyFont="1" applyFill="1" applyBorder="1" applyAlignment="1" applyProtection="1">
      <alignment horizontal="center" vertical="center" wrapText="1"/>
    </xf>
    <xf numFmtId="173" fontId="45" fillId="12" borderId="52" xfId="39" applyNumberFormat="1" applyFont="1" applyFill="1" applyBorder="1" applyAlignment="1" applyProtection="1">
      <alignment horizontal="center" vertical="center" wrapText="1"/>
    </xf>
    <xf numFmtId="0" fontId="59" fillId="0" borderId="149" xfId="0" applyFont="1" applyBorder="1" applyAlignment="1">
      <alignment vertical="top"/>
    </xf>
    <xf numFmtId="0" fontId="59" fillId="0" borderId="0" xfId="0" applyFont="1" applyAlignment="1">
      <alignment vertical="top"/>
    </xf>
    <xf numFmtId="0" fontId="59" fillId="0" borderId="150" xfId="0" applyFont="1" applyBorder="1" applyAlignment="1">
      <alignment vertical="top"/>
    </xf>
    <xf numFmtId="0" fontId="59" fillId="0" borderId="149" xfId="0" applyFont="1" applyBorder="1" applyAlignment="1">
      <alignment horizontal="left" vertical="top" wrapText="1"/>
    </xf>
    <xf numFmtId="0" fontId="59" fillId="0" borderId="0" xfId="0" applyFont="1" applyAlignment="1">
      <alignment horizontal="left" vertical="top" wrapText="1"/>
    </xf>
    <xf numFmtId="0" fontId="59" fillId="0" borderId="150" xfId="0" applyFont="1" applyBorder="1" applyAlignment="1">
      <alignment horizontal="left" vertical="top" wrapText="1"/>
    </xf>
    <xf numFmtId="0" fontId="44" fillId="0" borderId="72" xfId="37" applyFont="1" applyFill="1" applyBorder="1" applyAlignment="1">
      <alignment horizontal="center" vertical="center" wrapText="1"/>
    </xf>
    <xf numFmtId="173" fontId="45" fillId="12" borderId="55" xfId="39" applyNumberFormat="1" applyFont="1" applyFill="1" applyBorder="1" applyAlignment="1" applyProtection="1">
      <alignment horizontal="center" vertical="center" wrapText="1"/>
    </xf>
    <xf numFmtId="0" fontId="41" fillId="10" borderId="96" xfId="0" applyFont="1" applyFill="1" applyBorder="1" applyAlignment="1">
      <alignment horizontal="center" vertical="center" wrapText="1"/>
    </xf>
    <xf numFmtId="0" fontId="41" fillId="10" borderId="113" xfId="0" applyFont="1" applyFill="1" applyBorder="1" applyAlignment="1">
      <alignment horizontal="center" vertical="center" wrapText="1"/>
    </xf>
    <xf numFmtId="0" fontId="41" fillId="10" borderId="97" xfId="0" applyFont="1" applyFill="1" applyBorder="1" applyAlignment="1">
      <alignment horizontal="center" vertical="center" wrapText="1"/>
    </xf>
    <xf numFmtId="0" fontId="42" fillId="0" borderId="0" xfId="30" applyFont="1" applyFill="1" applyBorder="1" applyAlignment="1">
      <alignment horizontal="left" vertical="top" wrapText="1"/>
    </xf>
    <xf numFmtId="172" fontId="45" fillId="12" borderId="96" xfId="0" applyNumberFormat="1" applyFont="1" applyFill="1" applyBorder="1" applyAlignment="1" applyProtection="1">
      <alignment horizontal="center" vertical="center" wrapText="1"/>
      <protection locked="0"/>
    </xf>
    <xf numFmtId="172" fontId="45" fillId="12" borderId="113" xfId="0" applyNumberFormat="1" applyFont="1" applyFill="1" applyBorder="1" applyAlignment="1" applyProtection="1">
      <alignment horizontal="center" vertical="center" wrapText="1"/>
      <protection locked="0"/>
    </xf>
    <xf numFmtId="0" fontId="43" fillId="5" borderId="59" xfId="0" applyFont="1" applyFill="1" applyBorder="1" applyAlignment="1">
      <alignment horizontal="left" vertical="center" wrapText="1"/>
    </xf>
    <xf numFmtId="0" fontId="0" fillId="0" borderId="0" xfId="0" applyAlignment="1">
      <alignment horizontal="left" vertical="top"/>
    </xf>
    <xf numFmtId="0" fontId="150" fillId="23" borderId="157" xfId="0" applyFont="1" applyFill="1" applyBorder="1" applyAlignment="1">
      <alignment vertical="center" wrapText="1"/>
    </xf>
    <xf numFmtId="0" fontId="5" fillId="34" borderId="157" xfId="0" applyFont="1" applyFill="1" applyBorder="1" applyAlignment="1">
      <alignment horizontal="left" vertical="top" wrapText="1"/>
    </xf>
    <xf numFmtId="0" fontId="150" fillId="23" borderId="158" xfId="0" applyFont="1" applyFill="1" applyBorder="1" applyAlignment="1">
      <alignment vertical="center" wrapText="1"/>
    </xf>
    <xf numFmtId="15" fontId="148" fillId="35" borderId="0" xfId="0" applyNumberFormat="1" applyFont="1" applyFill="1" applyAlignment="1">
      <alignment horizontal="left" vertical="top"/>
    </xf>
    <xf numFmtId="172" fontId="45" fillId="12" borderId="51" xfId="39" applyNumberFormat="1" applyFont="1" applyFill="1" applyBorder="1" applyAlignment="1" applyProtection="1">
      <alignment horizontal="right" vertical="center" wrapText="1"/>
      <protection locked="0"/>
    </xf>
    <xf numFmtId="172" fontId="45" fillId="12" borderId="52" xfId="39" applyNumberFormat="1" applyFont="1" applyFill="1" applyBorder="1" applyAlignment="1" applyProtection="1">
      <alignment horizontal="right" vertical="center" wrapText="1"/>
      <protection locked="0"/>
    </xf>
    <xf numFmtId="172" fontId="45" fillId="12" borderId="22" xfId="39" applyNumberFormat="1" applyFont="1" applyFill="1" applyBorder="1" applyAlignment="1" applyProtection="1">
      <alignment horizontal="right" vertical="center" wrapText="1"/>
      <protection locked="0"/>
    </xf>
    <xf numFmtId="172" fontId="45" fillId="12" borderId="60" xfId="39" applyNumberFormat="1" applyFont="1" applyFill="1" applyBorder="1" applyAlignment="1" applyProtection="1">
      <alignment horizontal="right" vertical="center" wrapText="1"/>
      <protection locked="0"/>
    </xf>
    <xf numFmtId="0" fontId="44" fillId="0" borderId="61" xfId="30" applyFont="1" applyBorder="1" applyAlignment="1" applyProtection="1">
      <alignment horizontal="center" vertical="top" wrapText="1"/>
      <protection locked="0"/>
    </xf>
    <xf numFmtId="179" fontId="45" fillId="12" borderId="60" xfId="39" applyNumberFormat="1" applyFont="1" applyFill="1" applyBorder="1" applyAlignment="1" applyProtection="1">
      <alignment horizontal="center" vertical="center" wrapText="1"/>
      <protection locked="0"/>
    </xf>
    <xf numFmtId="175" fontId="45" fillId="12" borderId="55" xfId="38" applyNumberFormat="1" applyFont="1" applyFill="1" applyBorder="1" applyAlignment="1" applyProtection="1">
      <alignment horizontal="center" vertical="center" wrapText="1"/>
      <protection locked="0"/>
    </xf>
    <xf numFmtId="175" fontId="45" fillId="12" borderId="54" xfId="38" applyNumberFormat="1" applyFont="1" applyFill="1" applyBorder="1" applyAlignment="1" applyProtection="1">
      <alignment horizontal="center" vertical="center" wrapText="1"/>
      <protection locked="0"/>
    </xf>
    <xf numFmtId="3" fontId="43" fillId="12" borderId="60" xfId="0" applyNumberFormat="1" applyFont="1" applyFill="1" applyBorder="1" applyAlignment="1" applyProtection="1">
      <alignment horizontal="center" vertical="center" wrapText="1"/>
      <protection locked="0"/>
    </xf>
    <xf numFmtId="0" fontId="40" fillId="0" borderId="58" xfId="0" applyFont="1" applyBorder="1" applyAlignment="1" applyProtection="1">
      <alignment wrapText="1"/>
      <protection locked="0"/>
    </xf>
    <xf numFmtId="167" fontId="43" fillId="12" borderId="55" xfId="0" applyNumberFormat="1" applyFont="1" applyFill="1" applyBorder="1" applyAlignment="1" applyProtection="1">
      <alignment horizontal="center" vertical="center" wrapText="1"/>
      <protection locked="0"/>
    </xf>
    <xf numFmtId="172" fontId="44" fillId="21" borderId="63" xfId="30" applyNumberFormat="1" applyFont="1" applyFill="1" applyBorder="1" applyAlignment="1">
      <alignment horizontal="center" vertical="top" wrapText="1"/>
    </xf>
    <xf numFmtId="10" fontId="45" fillId="13" borderId="55" xfId="38" applyNumberFormat="1" applyFont="1" applyFill="1" applyBorder="1" applyAlignment="1" applyProtection="1">
      <alignment horizontal="center" vertical="center" wrapText="1"/>
      <protection locked="0"/>
    </xf>
    <xf numFmtId="3" fontId="45" fillId="12" borderId="51" xfId="0" applyNumberFormat="1" applyFont="1" applyFill="1" applyBorder="1" applyAlignment="1">
      <alignment horizontal="center" vertical="center" wrapText="1"/>
    </xf>
    <xf numFmtId="172" fontId="43" fillId="12" borderId="75" xfId="37" applyNumberFormat="1" applyFont="1" applyFill="1" applyBorder="1" applyAlignment="1" applyProtection="1">
      <alignment horizontal="center" vertical="center" wrapText="1"/>
      <protection locked="0"/>
    </xf>
    <xf numFmtId="172" fontId="43" fillId="12" borderId="51" xfId="39" applyNumberFormat="1" applyFont="1" applyFill="1" applyBorder="1" applyAlignment="1" applyProtection="1">
      <alignment horizontal="center" vertical="center"/>
      <protection locked="0"/>
    </xf>
    <xf numFmtId="172" fontId="43" fillId="12" borderId="22" xfId="39" applyNumberFormat="1" applyFont="1" applyFill="1" applyBorder="1" applyAlignment="1" applyProtection="1">
      <alignment horizontal="center" vertical="center"/>
      <protection locked="0"/>
    </xf>
    <xf numFmtId="172" fontId="43" fillId="13" borderId="54" xfId="39" applyNumberFormat="1" applyFont="1" applyFill="1" applyBorder="1" applyAlignment="1" applyProtection="1">
      <alignment horizontal="center" vertical="center"/>
    </xf>
    <xf numFmtId="1" fontId="45" fillId="12" borderId="124" xfId="0" applyNumberFormat="1" applyFont="1" applyFill="1" applyBorder="1" applyAlignment="1" applyProtection="1">
      <alignment horizontal="center" vertical="center" wrapText="1"/>
      <protection locked="0"/>
    </xf>
    <xf numFmtId="172" fontId="45" fillId="0" borderId="0" xfId="0" applyNumberFormat="1" applyFont="1"/>
    <xf numFmtId="167" fontId="45" fillId="12" borderId="54" xfId="0" applyNumberFormat="1" applyFont="1" applyFill="1" applyBorder="1" applyAlignment="1" applyProtection="1">
      <alignment horizontal="center" vertical="center" wrapText="1"/>
      <protection locked="0"/>
    </xf>
    <xf numFmtId="172" fontId="45" fillId="12" borderId="51" xfId="9" applyNumberFormat="1" applyFont="1" applyFill="1" applyBorder="1" applyAlignment="1" applyProtection="1">
      <alignment horizontal="center" vertical="center" wrapText="1"/>
      <protection locked="0"/>
    </xf>
    <xf numFmtId="172" fontId="45" fillId="12" borderId="22" xfId="9" applyNumberFormat="1" applyFont="1" applyFill="1" applyBorder="1" applyAlignment="1" applyProtection="1">
      <alignment horizontal="center" vertical="center" wrapText="1"/>
      <protection locked="0"/>
    </xf>
    <xf numFmtId="172" fontId="45" fillId="12" borderId="54" xfId="9" applyNumberFormat="1" applyFont="1" applyFill="1" applyBorder="1" applyAlignment="1" applyProtection="1">
      <alignment horizontal="center" vertical="center" wrapText="1"/>
      <protection locked="0"/>
    </xf>
    <xf numFmtId="164" fontId="48" fillId="0" borderId="0" xfId="39" applyFont="1" applyAlignment="1">
      <alignment vertical="center"/>
    </xf>
    <xf numFmtId="164" fontId="74" fillId="0" borderId="0" xfId="39" applyFont="1" applyAlignment="1">
      <alignment vertical="center"/>
    </xf>
    <xf numFmtId="164" fontId="49" fillId="10" borderId="0" xfId="39" applyFont="1" applyFill="1" applyBorder="1" applyAlignment="1">
      <alignment vertical="center"/>
    </xf>
    <xf numFmtId="164" fontId="49" fillId="0" borderId="0" xfId="39" applyFont="1" applyBorder="1" applyAlignment="1">
      <alignment vertical="center"/>
    </xf>
    <xf numFmtId="164" fontId="2" fillId="0" borderId="0" xfId="39" applyFont="1" applyAlignment="1">
      <alignment vertical="center"/>
    </xf>
    <xf numFmtId="164" fontId="65" fillId="10" borderId="0" xfId="39" applyFont="1" applyFill="1" applyBorder="1" applyAlignment="1">
      <alignment vertical="center"/>
    </xf>
    <xf numFmtId="164" fontId="66" fillId="14" borderId="0" xfId="39" applyFont="1" applyFill="1" applyBorder="1" applyAlignment="1">
      <alignment horizontal="center" vertical="center"/>
    </xf>
    <xf numFmtId="164" fontId="73" fillId="0" borderId="0" xfId="39" applyFont="1" applyFill="1" applyBorder="1" applyAlignment="1">
      <alignment horizontal="center" vertical="center" wrapText="1"/>
    </xf>
    <xf numFmtId="164" fontId="59" fillId="0" borderId="0" xfId="39" applyFont="1" applyAlignment="1">
      <alignment vertical="center"/>
    </xf>
    <xf numFmtId="164" fontId="74" fillId="0" borderId="0" xfId="39" applyFont="1" applyFill="1" applyBorder="1" applyAlignment="1">
      <alignment vertical="center" wrapText="1"/>
    </xf>
    <xf numFmtId="164" fontId="41" fillId="10" borderId="62" xfId="39" applyFont="1" applyFill="1" applyBorder="1" applyAlignment="1">
      <alignment horizontal="center" vertical="center" wrapText="1"/>
    </xf>
    <xf numFmtId="164" fontId="41" fillId="10" borderId="64" xfId="39" applyFont="1" applyFill="1" applyBorder="1" applyAlignment="1">
      <alignment horizontal="center" vertical="center" wrapText="1"/>
    </xf>
    <xf numFmtId="172" fontId="41" fillId="10" borderId="64"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64" fontId="41" fillId="10" borderId="46" xfId="39" applyFont="1" applyFill="1" applyBorder="1" applyAlignment="1">
      <alignment horizontal="center" vertical="center" wrapText="1"/>
    </xf>
    <xf numFmtId="164" fontId="37" fillId="0" borderId="0" xfId="39" applyFont="1" applyAlignment="1">
      <alignment vertical="center"/>
    </xf>
    <xf numFmtId="164" fontId="61" fillId="0" borderId="0" xfId="39" applyFont="1" applyAlignment="1">
      <alignment horizontal="center" vertical="center"/>
    </xf>
    <xf numFmtId="164" fontId="41" fillId="0" borderId="0" xfId="39" applyFont="1" applyAlignment="1">
      <alignment horizontal="center" vertical="center" wrapText="1"/>
    </xf>
    <xf numFmtId="164" fontId="52" fillId="0" borderId="0" xfId="39" applyFont="1" applyAlignment="1">
      <alignment vertical="center"/>
    </xf>
    <xf numFmtId="164" fontId="41" fillId="10" borderId="56" xfId="39" applyFont="1" applyFill="1" applyBorder="1" applyAlignment="1">
      <alignment horizontal="left" vertical="center" wrapText="1"/>
    </xf>
    <xf numFmtId="164" fontId="41" fillId="0" borderId="0" xfId="39" applyFont="1" applyAlignment="1">
      <alignment horizontal="left" vertical="center" wrapText="1"/>
    </xf>
    <xf numFmtId="164" fontId="2" fillId="5" borderId="0" xfId="39" applyFont="1" applyFill="1" applyAlignment="1">
      <alignment vertical="center"/>
    </xf>
    <xf numFmtId="164" fontId="81" fillId="0" borderId="0" xfId="39" applyFont="1" applyAlignment="1">
      <alignment vertical="center"/>
    </xf>
    <xf numFmtId="164" fontId="45" fillId="0" borderId="50" xfId="39" applyFont="1" applyBorder="1" applyAlignment="1">
      <alignment horizontal="left" vertical="center" wrapText="1"/>
    </xf>
    <xf numFmtId="164" fontId="45" fillId="0" borderId="51" xfId="39" applyFont="1" applyBorder="1" applyAlignment="1">
      <alignment horizontal="center" vertical="center" wrapText="1"/>
    </xf>
    <xf numFmtId="0" fontId="45" fillId="0" borderId="51" xfId="39" applyNumberFormat="1" applyFont="1" applyBorder="1" applyAlignment="1">
      <alignment horizontal="center" vertical="center" wrapText="1"/>
    </xf>
    <xf numFmtId="164" fontId="44" fillId="0" borderId="57" xfId="39" applyFont="1" applyBorder="1" applyAlignment="1">
      <alignment horizontal="center" vertical="center" wrapText="1"/>
    </xf>
    <xf numFmtId="164" fontId="44" fillId="0" borderId="57" xfId="39" applyFont="1" applyBorder="1" applyAlignment="1" applyProtection="1">
      <alignment horizontal="center" vertical="center" wrapText="1"/>
      <protection locked="0"/>
    </xf>
    <xf numFmtId="164" fontId="37" fillId="16" borderId="15" xfId="39" applyFont="1" applyFill="1" applyBorder="1" applyAlignment="1">
      <alignment horizontal="center" vertical="center"/>
    </xf>
    <xf numFmtId="164" fontId="61" fillId="15" borderId="0" xfId="39" applyFont="1" applyFill="1" applyAlignment="1">
      <alignment horizontal="center" vertical="center"/>
    </xf>
    <xf numFmtId="164" fontId="45" fillId="0" borderId="59" xfId="39" applyFont="1" applyBorder="1" applyAlignment="1">
      <alignment horizontal="left" vertical="center" wrapText="1"/>
    </xf>
    <xf numFmtId="164" fontId="45" fillId="0" borderId="22" xfId="39" applyFont="1" applyBorder="1" applyAlignment="1">
      <alignment horizontal="center" vertical="center" wrapText="1"/>
    </xf>
    <xf numFmtId="0" fontId="45" fillId="0" borderId="22" xfId="39" applyNumberFormat="1" applyFont="1" applyBorder="1" applyAlignment="1">
      <alignment horizontal="center" vertical="center" wrapText="1"/>
    </xf>
    <xf numFmtId="164" fontId="44" fillId="0" borderId="61" xfId="39" applyFont="1" applyBorder="1" applyAlignment="1">
      <alignment horizontal="center" vertical="center" wrapText="1"/>
    </xf>
    <xf numFmtId="164" fontId="44" fillId="0" borderId="61" xfId="39" applyFont="1" applyBorder="1" applyAlignment="1" applyProtection="1">
      <alignment horizontal="center" vertical="center" wrapText="1"/>
      <protection locked="0"/>
    </xf>
    <xf numFmtId="164" fontId="45" fillId="0" borderId="53" xfId="39" applyFont="1" applyBorder="1" applyAlignment="1">
      <alignment horizontal="left" vertical="center" wrapText="1"/>
    </xf>
    <xf numFmtId="164" fontId="45" fillId="0" borderId="54" xfId="39" applyFont="1" applyBorder="1" applyAlignment="1">
      <alignment horizontal="center" vertical="center" wrapText="1"/>
    </xf>
    <xf numFmtId="0" fontId="45" fillId="0" borderId="54" xfId="39" applyNumberFormat="1" applyFont="1" applyBorder="1" applyAlignment="1">
      <alignment horizontal="center" vertical="center" wrapText="1"/>
    </xf>
    <xf numFmtId="164" fontId="44" fillId="0" borderId="58" xfId="39" applyFont="1" applyBorder="1" applyAlignment="1">
      <alignment horizontal="center" vertical="center" wrapText="1"/>
    </xf>
    <xf numFmtId="164" fontId="44" fillId="0" borderId="58" xfId="39" applyFont="1" applyBorder="1" applyAlignment="1" applyProtection="1">
      <alignment horizontal="center" vertical="center" wrapText="1"/>
      <protection locked="0"/>
    </xf>
    <xf numFmtId="164" fontId="43" fillId="0" borderId="0" xfId="39" applyFont="1" applyAlignment="1" applyProtection="1">
      <alignment vertical="center" shrinkToFit="1"/>
      <protection locked="0"/>
    </xf>
    <xf numFmtId="164" fontId="74" fillId="0" borderId="0" xfId="39" applyFont="1" applyBorder="1" applyAlignment="1">
      <alignment vertical="center" wrapText="1"/>
    </xf>
    <xf numFmtId="164" fontId="45" fillId="0" borderId="62" xfId="39" applyFont="1" applyBorder="1" applyAlignment="1">
      <alignment vertical="center" wrapText="1"/>
    </xf>
    <xf numFmtId="164" fontId="45" fillId="0" borderId="64" xfId="39" applyFont="1" applyBorder="1" applyAlignment="1">
      <alignment horizontal="center" vertical="center" wrapText="1"/>
    </xf>
    <xf numFmtId="0" fontId="45" fillId="0" borderId="64" xfId="39" applyNumberFormat="1" applyFont="1" applyBorder="1" applyAlignment="1">
      <alignment horizontal="center" vertical="center" wrapText="1"/>
    </xf>
    <xf numFmtId="164" fontId="45" fillId="0" borderId="46" xfId="39" applyFont="1" applyBorder="1" applyAlignment="1">
      <alignment horizontal="center" vertical="center" wrapText="1"/>
    </xf>
    <xf numFmtId="164" fontId="44" fillId="0" borderId="46" xfId="39" applyFont="1" applyBorder="1" applyAlignment="1" applyProtection="1">
      <alignment horizontal="center" vertical="center" wrapText="1"/>
      <protection locked="0"/>
    </xf>
    <xf numFmtId="164" fontId="43" fillId="0" borderId="0" xfId="39" applyFont="1" applyAlignment="1" applyProtection="1">
      <alignment horizontal="left" vertical="center" shrinkToFit="1"/>
      <protection locked="0"/>
    </xf>
    <xf numFmtId="164" fontId="37" fillId="7" borderId="0" xfId="39" applyFont="1" applyFill="1" applyAlignment="1">
      <alignment horizontal="center" vertical="center"/>
    </xf>
    <xf numFmtId="164" fontId="41" fillId="10" borderId="56" xfId="39" applyFont="1" applyFill="1" applyBorder="1" applyAlignment="1">
      <alignment horizontal="center" vertical="center" wrapText="1"/>
    </xf>
    <xf numFmtId="164" fontId="45" fillId="0" borderId="0" xfId="39" applyFont="1" applyAlignment="1">
      <alignment horizontal="center" vertical="center" wrapText="1"/>
    </xf>
    <xf numFmtId="164" fontId="40" fillId="0" borderId="57" xfId="39" applyFont="1" applyBorder="1" applyAlignment="1">
      <alignment vertical="center"/>
    </xf>
    <xf numFmtId="164" fontId="40" fillId="0" borderId="61" xfId="39" applyFont="1" applyBorder="1" applyAlignment="1">
      <alignment vertical="center"/>
    </xf>
    <xf numFmtId="164" fontId="40" fillId="0" borderId="58" xfId="39" applyFont="1" applyBorder="1" applyAlignment="1">
      <alignment vertical="center"/>
    </xf>
    <xf numFmtId="164" fontId="71" fillId="0" borderId="0" xfId="39" applyFont="1" applyAlignment="1">
      <alignment vertical="center"/>
    </xf>
    <xf numFmtId="173" fontId="2" fillId="0" borderId="0" xfId="39" applyNumberFormat="1" applyFont="1" applyAlignment="1">
      <alignment vertical="center"/>
    </xf>
    <xf numFmtId="164" fontId="82" fillId="0" borderId="0" xfId="39" applyFont="1" applyAlignment="1">
      <alignment vertical="center"/>
    </xf>
    <xf numFmtId="167" fontId="43" fillId="12" borderId="51" xfId="15" applyNumberFormat="1" applyFont="1" applyFill="1" applyBorder="1" applyAlignment="1" applyProtection="1">
      <alignment horizontal="center" vertical="center" wrapText="1"/>
      <protection locked="0"/>
    </xf>
    <xf numFmtId="167" fontId="43" fillId="12" borderId="52" xfId="15" applyNumberFormat="1" applyFont="1" applyFill="1" applyBorder="1" applyAlignment="1" applyProtection="1">
      <alignment horizontal="center" vertical="center" wrapText="1"/>
      <protection locked="0"/>
    </xf>
    <xf numFmtId="167" fontId="43" fillId="12" borderId="22" xfId="15" applyNumberFormat="1" applyFont="1" applyFill="1" applyBorder="1" applyAlignment="1" applyProtection="1">
      <alignment horizontal="center" vertical="center" wrapText="1"/>
      <protection locked="0"/>
    </xf>
    <xf numFmtId="167" fontId="43" fillId="12" borderId="60" xfId="15" applyNumberFormat="1" applyFont="1" applyFill="1" applyBorder="1" applyAlignment="1" applyProtection="1">
      <alignment horizontal="center" vertical="center" wrapText="1"/>
      <protection locked="0"/>
    </xf>
    <xf numFmtId="0" fontId="43" fillId="29" borderId="51" xfId="0" applyFont="1" applyFill="1" applyBorder="1" applyAlignment="1">
      <alignment horizontal="center" vertical="center" wrapText="1"/>
    </xf>
    <xf numFmtId="0" fontId="45" fillId="29" borderId="108" xfId="0" applyFont="1" applyFill="1" applyBorder="1" applyAlignment="1">
      <alignment horizontal="center" vertical="center" wrapText="1"/>
    </xf>
    <xf numFmtId="0" fontId="43" fillId="29" borderId="108" xfId="0" applyFont="1" applyFill="1" applyBorder="1" applyAlignment="1">
      <alignment horizontal="center" vertical="center" wrapText="1"/>
    </xf>
    <xf numFmtId="0" fontId="45" fillId="29" borderId="51" xfId="0" applyFont="1" applyFill="1" applyBorder="1" applyAlignment="1">
      <alignment horizontal="center" vertical="center" wrapText="1"/>
    </xf>
    <xf numFmtId="4" fontId="45" fillId="29" borderId="134" xfId="0" applyNumberFormat="1" applyFont="1" applyFill="1" applyBorder="1" applyAlignment="1">
      <alignment horizontal="center" vertical="center" wrapText="1"/>
    </xf>
    <xf numFmtId="0" fontId="45" fillId="29" borderId="134" xfId="0" applyFont="1" applyFill="1" applyBorder="1" applyAlignment="1">
      <alignment horizontal="center" vertical="center" wrapText="1"/>
    </xf>
    <xf numFmtId="172" fontId="41" fillId="0" borderId="0" xfId="39" applyNumberFormat="1" applyFont="1" applyFill="1" applyAlignment="1">
      <alignment horizontal="center" vertical="center" wrapText="1"/>
    </xf>
    <xf numFmtId="172" fontId="43" fillId="0" borderId="0" xfId="39" applyNumberFormat="1" applyFont="1" applyFill="1" applyAlignment="1">
      <alignment horizontal="center" vertical="center"/>
    </xf>
    <xf numFmtId="172" fontId="40" fillId="0" borderId="0" xfId="39" applyNumberFormat="1" applyFont="1" applyFill="1" applyAlignment="1">
      <alignment vertical="center"/>
    </xf>
    <xf numFmtId="172" fontId="43" fillId="0" borderId="0" xfId="39" applyNumberFormat="1" applyFont="1" applyFill="1" applyAlignment="1">
      <alignment vertical="center"/>
    </xf>
    <xf numFmtId="0" fontId="40" fillId="0" borderId="57" xfId="0" applyFont="1" applyBorder="1" applyAlignment="1" applyProtection="1">
      <alignment horizontal="left" wrapText="1"/>
      <protection locked="0"/>
    </xf>
    <xf numFmtId="173" fontId="40" fillId="0" borderId="0" xfId="0" applyNumberFormat="1" applyFont="1" applyAlignment="1" applyProtection="1">
      <alignment horizontal="center" vertical="center"/>
      <protection locked="0"/>
    </xf>
    <xf numFmtId="173" fontId="40" fillId="0" borderId="0" xfId="0" applyNumberFormat="1" applyFont="1" applyAlignment="1">
      <alignment horizontal="center" vertical="center"/>
    </xf>
    <xf numFmtId="173" fontId="45" fillId="0" borderId="0" xfId="0" applyNumberFormat="1" applyFont="1" applyAlignment="1" applyProtection="1">
      <alignment horizontal="center" vertical="center" wrapText="1"/>
      <protection locked="0"/>
    </xf>
    <xf numFmtId="173" fontId="45" fillId="0" borderId="0" xfId="0" applyNumberFormat="1" applyFont="1" applyAlignment="1">
      <alignment horizontal="center" vertical="center" wrapText="1"/>
    </xf>
    <xf numFmtId="173" fontId="40" fillId="12" borderId="51" xfId="0" applyNumberFormat="1" applyFont="1" applyFill="1" applyBorder="1" applyAlignment="1" applyProtection="1">
      <alignment horizontal="center" vertical="center"/>
      <protection locked="0"/>
    </xf>
    <xf numFmtId="173" fontId="40" fillId="7" borderId="51" xfId="0" applyNumberFormat="1" applyFont="1" applyFill="1" applyBorder="1" applyAlignment="1" applyProtection="1">
      <alignment horizontal="center" vertical="center"/>
      <protection locked="0"/>
    </xf>
    <xf numFmtId="173" fontId="40" fillId="7" borderId="54" xfId="0" applyNumberFormat="1" applyFont="1" applyFill="1" applyBorder="1" applyAlignment="1" applyProtection="1">
      <alignment horizontal="center" vertical="center"/>
      <protection locked="0"/>
    </xf>
    <xf numFmtId="173" fontId="40" fillId="12" borderId="54" xfId="0" applyNumberFormat="1" applyFont="1" applyFill="1" applyBorder="1" applyAlignment="1" applyProtection="1">
      <alignment horizontal="center" vertical="center"/>
      <protection locked="0"/>
    </xf>
    <xf numFmtId="173" fontId="40" fillId="21" borderId="51" xfId="0" applyNumberFormat="1" applyFont="1" applyFill="1" applyBorder="1" applyAlignment="1" applyProtection="1">
      <alignment horizontal="center" vertical="center"/>
      <protection locked="0"/>
    </xf>
    <xf numFmtId="173" fontId="40" fillId="21" borderId="22" xfId="0" applyNumberFormat="1" applyFont="1" applyFill="1" applyBorder="1" applyAlignment="1" applyProtection="1">
      <alignment horizontal="center" vertical="center"/>
      <protection locked="0"/>
    </xf>
    <xf numFmtId="173" fontId="40" fillId="21" borderId="64" xfId="0" applyNumberFormat="1" applyFont="1" applyFill="1" applyBorder="1" applyAlignment="1" applyProtection="1">
      <alignment horizontal="center" vertical="center"/>
      <protection locked="0"/>
    </xf>
    <xf numFmtId="172" fontId="45" fillId="12" borderId="113" xfId="39" applyNumberFormat="1" applyFont="1" applyFill="1" applyBorder="1" applyAlignment="1" applyProtection="1">
      <alignment horizontal="center" vertical="center" wrapText="1"/>
      <protection locked="0"/>
    </xf>
    <xf numFmtId="172" fontId="45" fillId="13" borderId="69" xfId="39" applyNumberFormat="1" applyFont="1" applyFill="1" applyBorder="1" applyAlignment="1">
      <alignment horizontal="center" vertical="center" wrapText="1"/>
    </xf>
    <xf numFmtId="172" fontId="45" fillId="12" borderId="108" xfId="39" applyNumberFormat="1" applyFont="1" applyFill="1" applyBorder="1" applyAlignment="1" applyProtection="1">
      <alignment horizontal="center" vertical="center" wrapText="1"/>
      <protection locked="0"/>
    </xf>
    <xf numFmtId="172" fontId="45" fillId="12" borderId="159" xfId="39" applyNumberFormat="1" applyFont="1" applyFill="1" applyBorder="1" applyAlignment="1" applyProtection="1">
      <alignment horizontal="center" vertical="center" wrapText="1"/>
      <protection locked="0"/>
    </xf>
    <xf numFmtId="172" fontId="45" fillId="12" borderId="160" xfId="39" applyNumberFormat="1" applyFont="1" applyFill="1" applyBorder="1" applyAlignment="1" applyProtection="1">
      <alignment horizontal="center" vertical="center" wrapText="1"/>
      <protection locked="0"/>
    </xf>
    <xf numFmtId="172" fontId="45" fillId="13" borderId="161" xfId="39" applyNumberFormat="1" applyFont="1" applyFill="1" applyBorder="1" applyAlignment="1">
      <alignment horizontal="center" vertical="center" wrapText="1"/>
    </xf>
    <xf numFmtId="167" fontId="43" fillId="0" borderId="0" xfId="0" applyNumberFormat="1" applyFont="1" applyAlignment="1">
      <alignment vertical="center"/>
    </xf>
    <xf numFmtId="0" fontId="1" fillId="0" borderId="0" xfId="0" applyFont="1"/>
    <xf numFmtId="0" fontId="1" fillId="0" borderId="0" xfId="0" applyFont="1" applyAlignment="1">
      <alignment horizontal="left"/>
    </xf>
    <xf numFmtId="0" fontId="1" fillId="0" borderId="0" xfId="0" applyFont="1" applyAlignment="1">
      <alignment vertical="center"/>
    </xf>
    <xf numFmtId="0" fontId="1" fillId="12" borderId="19" xfId="0" applyFont="1" applyFill="1" applyBorder="1" applyAlignment="1" applyProtection="1">
      <alignment horizontal="center" vertical="center"/>
      <protection locked="0"/>
    </xf>
    <xf numFmtId="0" fontId="1" fillId="15" borderId="0" xfId="0" applyFont="1" applyFill="1"/>
    <xf numFmtId="0" fontId="1" fillId="0" borderId="154" xfId="0" applyFont="1" applyBorder="1" applyAlignment="1">
      <alignment vertical="top" wrapText="1"/>
    </xf>
    <xf numFmtId="0" fontId="1" fillId="0" borderId="155" xfId="0" applyFont="1" applyBorder="1" applyAlignment="1">
      <alignment vertical="top" wrapText="1"/>
    </xf>
    <xf numFmtId="0" fontId="1" fillId="0" borderId="156"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0" fontId="1" fillId="0" borderId="0" xfId="0" applyFont="1" applyAlignment="1">
      <alignment vertical="center" wrapText="1"/>
    </xf>
    <xf numFmtId="164" fontId="1" fillId="7" borderId="0" xfId="39" applyFont="1" applyFill="1" applyAlignment="1">
      <alignment vertical="center"/>
    </xf>
    <xf numFmtId="164" fontId="1" fillId="0" borderId="0" xfId="39" applyFont="1" applyAlignment="1">
      <alignment vertical="center"/>
    </xf>
    <xf numFmtId="164" fontId="1" fillId="10" borderId="0" xfId="39" applyFont="1" applyFill="1" applyAlignment="1">
      <alignment vertical="center"/>
    </xf>
    <xf numFmtId="164" fontId="1" fillId="5" borderId="0" xfId="39" applyFont="1" applyFill="1" applyAlignment="1">
      <alignment vertical="center"/>
    </xf>
    <xf numFmtId="164"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0" borderId="0" xfId="40" applyFont="1" applyAlignment="1">
      <alignment horizontal="center" vertical="center"/>
    </xf>
    <xf numFmtId="0" fontId="1" fillId="7" borderId="0" xfId="0" applyFont="1" applyFill="1"/>
    <xf numFmtId="0" fontId="1" fillId="0" borderId="0" xfId="0" applyFont="1" applyAlignment="1">
      <alignment horizontal="center" vertical="center" wrapText="1"/>
    </xf>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173" fontId="1" fillId="0" borderId="0" xfId="39" applyNumberFormat="1" applyFont="1" applyAlignment="1">
      <alignment vertical="center"/>
    </xf>
    <xf numFmtId="0" fontId="1" fillId="0" borderId="0" xfId="0" applyFont="1" applyAlignment="1">
      <alignment wrapText="1"/>
    </xf>
    <xf numFmtId="0" fontId="1" fillId="0" borderId="14" xfId="0" applyFont="1" applyBorder="1" applyAlignment="1">
      <alignment wrapText="1"/>
    </xf>
    <xf numFmtId="0" fontId="1" fillId="0" borderId="14" xfId="0" applyFont="1" applyBorder="1"/>
    <xf numFmtId="0" fontId="1" fillId="19" borderId="0" xfId="0" applyFont="1" applyFill="1" applyAlignment="1">
      <alignment vertical="center"/>
    </xf>
    <xf numFmtId="0" fontId="1" fillId="15" borderId="0" xfId="0" applyFont="1" applyFill="1" applyAlignment="1">
      <alignment vertical="center"/>
    </xf>
    <xf numFmtId="0" fontId="1" fillId="5" borderId="0" xfId="0" applyFont="1" applyFill="1"/>
    <xf numFmtId="0" fontId="1" fillId="15" borderId="0" xfId="0" applyFont="1" applyFill="1" applyAlignment="1">
      <alignment horizontal="center" vertical="center"/>
    </xf>
    <xf numFmtId="0" fontId="1" fillId="0" borderId="61" xfId="0" applyFont="1" applyBorder="1" applyAlignment="1" applyProtection="1">
      <alignment wrapText="1"/>
      <protection locked="0"/>
    </xf>
    <xf numFmtId="0" fontId="1" fillId="15"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8" borderId="0" xfId="0" applyFont="1" applyFill="1"/>
    <xf numFmtId="167" fontId="1" fillId="0" borderId="0" xfId="0" applyNumberFormat="1" applyFont="1"/>
    <xf numFmtId="173" fontId="1" fillId="0" borderId="0" xfId="0" applyNumberFormat="1" applyFont="1"/>
    <xf numFmtId="0" fontId="1" fillId="0" borderId="62" xfId="0" applyFont="1" applyBorder="1" applyAlignment="1">
      <alignment vertical="center"/>
    </xf>
    <xf numFmtId="0" fontId="41" fillId="10" borderId="146" xfId="0" applyFont="1" applyFill="1" applyBorder="1" applyAlignment="1">
      <alignment horizontal="left" vertical="center"/>
    </xf>
    <xf numFmtId="0" fontId="41" fillId="10" borderId="147" xfId="0" applyFont="1" applyFill="1" applyBorder="1" applyAlignment="1">
      <alignment horizontal="left" vertical="center"/>
    </xf>
    <xf numFmtId="0" fontId="41" fillId="10" borderId="148" xfId="0" applyFont="1" applyFill="1" applyBorder="1" applyAlignment="1">
      <alignment horizontal="left" vertical="center"/>
    </xf>
    <xf numFmtId="0" fontId="147" fillId="33" borderId="144" xfId="0" applyFont="1" applyFill="1" applyBorder="1" applyAlignment="1">
      <alignment vertical="top"/>
    </xf>
    <xf numFmtId="0" fontId="147" fillId="33" borderId="145" xfId="0" applyFont="1" applyFill="1" applyBorder="1" applyAlignment="1">
      <alignment vertical="top"/>
    </xf>
    <xf numFmtId="0" fontId="147" fillId="33" borderId="0" xfId="0" applyFont="1" applyFill="1" applyAlignment="1">
      <alignment vertical="top"/>
    </xf>
    <xf numFmtId="0" fontId="1" fillId="0" borderId="149" xfId="0" applyFont="1" applyBorder="1" applyAlignment="1">
      <alignment horizontal="left" vertical="top" wrapText="1"/>
    </xf>
    <xf numFmtId="0" fontId="1" fillId="0" borderId="0" xfId="0" applyFont="1" applyAlignment="1">
      <alignment horizontal="left" vertical="top" wrapText="1"/>
    </xf>
    <xf numFmtId="0" fontId="1" fillId="0" borderId="150" xfId="0" applyFont="1" applyBorder="1" applyAlignment="1">
      <alignment horizontal="left" vertical="top" wrapText="1"/>
    </xf>
    <xf numFmtId="0" fontId="149" fillId="0" borderId="149" xfId="58" applyFill="1" applyBorder="1" applyAlignment="1">
      <alignment horizontal="left" vertical="top" wrapText="1"/>
    </xf>
    <xf numFmtId="0" fontId="149" fillId="0" borderId="0" xfId="58" applyFill="1" applyBorder="1" applyAlignment="1">
      <alignment horizontal="left" vertical="top" wrapText="1"/>
    </xf>
    <xf numFmtId="0" fontId="149" fillId="0" borderId="150" xfId="58" applyFill="1" applyBorder="1" applyAlignment="1">
      <alignment horizontal="left" vertical="top" wrapText="1"/>
    </xf>
    <xf numFmtId="0" fontId="59" fillId="0" borderId="149" xfId="0" applyFont="1" applyBorder="1" applyAlignment="1">
      <alignment horizontal="left" vertical="top" wrapText="1"/>
    </xf>
    <xf numFmtId="0" fontId="59" fillId="0" borderId="0" xfId="0" applyFont="1" applyAlignment="1">
      <alignment horizontal="left" vertical="top" wrapText="1"/>
    </xf>
    <xf numFmtId="0" fontId="59" fillId="0" borderId="150" xfId="0" applyFont="1" applyBorder="1" applyAlignment="1">
      <alignment horizontal="left" vertical="top" wrapText="1"/>
    </xf>
    <xf numFmtId="0" fontId="59" fillId="0" borderId="151" xfId="0" applyFont="1" applyBorder="1" applyAlignment="1">
      <alignment horizontal="left" vertical="top" wrapText="1"/>
    </xf>
    <xf numFmtId="0" fontId="59" fillId="0" borderId="152" xfId="0" applyFont="1" applyBorder="1" applyAlignment="1">
      <alignment horizontal="left" vertical="top" wrapText="1"/>
    </xf>
    <xf numFmtId="0" fontId="59" fillId="0" borderId="153" xfId="0" applyFont="1" applyBorder="1" applyAlignment="1">
      <alignment horizontal="left" vertical="top" wrapText="1"/>
    </xf>
    <xf numFmtId="0" fontId="59" fillId="0" borderId="154" xfId="0" applyFont="1" applyBorder="1" applyAlignment="1">
      <alignment horizontal="left" vertical="top" wrapText="1"/>
    </xf>
    <xf numFmtId="0" fontId="59" fillId="0" borderId="155" xfId="0" applyFont="1" applyBorder="1" applyAlignment="1">
      <alignment horizontal="left" vertical="top" wrapText="1"/>
    </xf>
    <xf numFmtId="0" fontId="59" fillId="0" borderId="156" xfId="0" applyFont="1" applyBorder="1" applyAlignment="1">
      <alignment horizontal="left" vertical="top" wrapText="1"/>
    </xf>
    <xf numFmtId="0" fontId="56" fillId="14" borderId="0" xfId="49" applyNumberFormat="1" applyFont="1" applyFill="1" applyAlignment="1">
      <alignment horizontal="left" vertical="center"/>
    </xf>
    <xf numFmtId="0" fontId="41" fillId="10" borderId="47" xfId="30" applyFont="1" applyFill="1" applyBorder="1" applyAlignment="1">
      <alignment horizontal="left" vertical="center" wrapText="1"/>
    </xf>
    <xf numFmtId="0" fontId="41" fillId="10" borderId="49" xfId="30" applyFont="1" applyFill="1" applyBorder="1" applyAlignment="1">
      <alignment horizontal="left" vertical="center" wrapText="1"/>
    </xf>
    <xf numFmtId="0" fontId="43" fillId="0" borderId="53" xfId="0" applyFont="1" applyBorder="1" applyAlignment="1">
      <alignment horizontal="left" vertical="center" wrapText="1"/>
    </xf>
    <xf numFmtId="0" fontId="43" fillId="0" borderId="54" xfId="0" applyFont="1" applyBorder="1" applyAlignment="1">
      <alignment horizontal="left" vertical="center" wrapText="1"/>
    </xf>
    <xf numFmtId="0" fontId="43" fillId="0" borderId="50" xfId="0" applyFont="1" applyBorder="1" applyAlignment="1">
      <alignment horizontal="left" vertical="center" wrapText="1"/>
    </xf>
    <xf numFmtId="0" fontId="43" fillId="0" borderId="51" xfId="0" applyFont="1" applyBorder="1" applyAlignment="1">
      <alignment horizontal="left" vertical="center" wrapText="1"/>
    </xf>
    <xf numFmtId="0" fontId="43" fillId="0" borderId="59" xfId="0" applyFont="1" applyBorder="1" applyAlignment="1">
      <alignment horizontal="left" vertical="center" wrapText="1"/>
    </xf>
    <xf numFmtId="0" fontId="43" fillId="0" borderId="22" xfId="0" applyFont="1" applyBorder="1" applyAlignment="1">
      <alignment horizontal="left" vertical="center" wrapText="1"/>
    </xf>
    <xf numFmtId="0" fontId="43" fillId="2" borderId="50" xfId="2" applyFont="1" applyFill="1" applyBorder="1" applyAlignment="1">
      <alignment horizontal="left" vertical="center"/>
    </xf>
    <xf numFmtId="0" fontId="43" fillId="2" borderId="51" xfId="2" applyFont="1" applyFill="1" applyBorder="1" applyAlignment="1">
      <alignment horizontal="left" vertical="center"/>
    </xf>
    <xf numFmtId="0" fontId="43" fillId="2" borderId="53" xfId="2" applyFont="1" applyFill="1" applyBorder="1" applyAlignment="1">
      <alignment horizontal="left" vertical="center"/>
    </xf>
    <xf numFmtId="0" fontId="43" fillId="2" borderId="54" xfId="2" applyFont="1" applyFill="1" applyBorder="1" applyAlignment="1">
      <alignment horizontal="left" vertical="center"/>
    </xf>
    <xf numFmtId="0" fontId="43" fillId="2" borderId="92" xfId="2" applyFont="1" applyFill="1" applyBorder="1" applyAlignment="1">
      <alignment horizontal="left" vertical="center"/>
    </xf>
    <xf numFmtId="0" fontId="43" fillId="2" borderId="93" xfId="2" applyFont="1" applyFill="1" applyBorder="1" applyAlignment="1">
      <alignment horizontal="left" vertical="center"/>
    </xf>
    <xf numFmtId="0" fontId="43" fillId="2" borderId="59" xfId="2" applyFont="1" applyFill="1" applyBorder="1" applyAlignment="1">
      <alignment horizontal="left" vertical="center"/>
    </xf>
    <xf numFmtId="0" fontId="43" fillId="2" borderId="22" xfId="2" applyFont="1" applyFill="1" applyBorder="1" applyAlignment="1">
      <alignment horizontal="left" vertical="center"/>
    </xf>
    <xf numFmtId="0" fontId="43" fillId="2" borderId="59" xfId="2" applyFont="1" applyFill="1" applyBorder="1" applyAlignment="1">
      <alignment horizontal="left" vertical="center" wrapText="1"/>
    </xf>
    <xf numFmtId="0" fontId="43" fillId="2" borderId="22" xfId="2" applyFont="1" applyFill="1" applyBorder="1" applyAlignment="1">
      <alignment horizontal="left" vertical="center" wrapText="1"/>
    </xf>
    <xf numFmtId="0" fontId="43" fillId="0" borderId="59" xfId="2" applyFont="1" applyBorder="1" applyAlignment="1">
      <alignment horizontal="left" vertical="center"/>
    </xf>
    <xf numFmtId="0" fontId="43" fillId="0" borderId="22" xfId="2" applyFont="1" applyBorder="1" applyAlignment="1">
      <alignment horizontal="left" vertical="center"/>
    </xf>
    <xf numFmtId="0" fontId="45" fillId="0" borderId="59" xfId="0" applyFont="1" applyBorder="1" applyAlignment="1">
      <alignment horizontal="left" vertical="center" wrapText="1"/>
    </xf>
    <xf numFmtId="0" fontId="45" fillId="0" borderId="22" xfId="0" applyFont="1" applyBorder="1" applyAlignment="1">
      <alignment horizontal="left" vertical="center" wrapText="1"/>
    </xf>
    <xf numFmtId="0" fontId="45" fillId="0" borderId="59" xfId="0" applyFont="1" applyBorder="1" applyAlignment="1">
      <alignment horizontal="left" vertical="center"/>
    </xf>
    <xf numFmtId="0" fontId="45" fillId="0" borderId="22" xfId="0" applyFont="1" applyBorder="1" applyAlignment="1">
      <alignment horizontal="left" vertical="center"/>
    </xf>
    <xf numFmtId="0" fontId="45" fillId="0" borderId="50" xfId="0" applyFont="1" applyBorder="1" applyAlignment="1">
      <alignment horizontal="left" vertical="center" wrapText="1"/>
    </xf>
    <xf numFmtId="0" fontId="45" fillId="0" borderId="51" xfId="0" applyFont="1" applyBorder="1" applyAlignment="1">
      <alignment horizontal="left" vertical="center" wrapText="1"/>
    </xf>
    <xf numFmtId="0" fontId="67" fillId="0" borderId="0" xfId="31" applyFont="1" applyBorder="1" applyAlignment="1">
      <alignment horizontal="center" vertical="center" wrapText="1"/>
    </xf>
    <xf numFmtId="0" fontId="61" fillId="15" borderId="0" xfId="15" applyFont="1" applyFill="1" applyAlignment="1">
      <alignment horizontal="center" vertical="center" wrapText="1"/>
    </xf>
    <xf numFmtId="0" fontId="41" fillId="10" borderId="50" xfId="30" applyFont="1" applyFill="1" applyBorder="1" applyAlignment="1">
      <alignment horizontal="center" vertical="center" wrapText="1"/>
    </xf>
    <xf numFmtId="0" fontId="41" fillId="10" borderId="51" xfId="30" applyFont="1" applyFill="1" applyBorder="1" applyAlignment="1">
      <alignment horizontal="center" vertical="center" wrapText="1"/>
    </xf>
    <xf numFmtId="0" fontId="41" fillId="10" borderId="53" xfId="30" applyFont="1" applyFill="1" applyBorder="1" applyAlignment="1">
      <alignment horizontal="center" vertical="center" wrapText="1"/>
    </xf>
    <xf numFmtId="0" fontId="41" fillId="10" borderId="54" xfId="30" applyFont="1" applyFill="1" applyBorder="1" applyAlignment="1">
      <alignment horizontal="center" vertical="center" wrapText="1"/>
    </xf>
    <xf numFmtId="0" fontId="41" fillId="10" borderId="51" xfId="0" applyFont="1" applyFill="1" applyBorder="1" applyAlignment="1">
      <alignment horizontal="center" vertical="center" wrapText="1"/>
    </xf>
    <xf numFmtId="0" fontId="41" fillId="10" borderId="54" xfId="0" applyFont="1" applyFill="1" applyBorder="1" applyAlignment="1">
      <alignment horizontal="center" vertical="center" wrapText="1"/>
    </xf>
    <xf numFmtId="0" fontId="41" fillId="10" borderId="52" xfId="0" applyFont="1" applyFill="1" applyBorder="1" applyAlignment="1">
      <alignment horizontal="center" vertical="center" wrapText="1"/>
    </xf>
    <xf numFmtId="0" fontId="41" fillId="10" borderId="55" xfId="0" applyFont="1" applyFill="1" applyBorder="1" applyAlignment="1">
      <alignment horizontal="center" vertical="center" wrapText="1"/>
    </xf>
    <xf numFmtId="0" fontId="41" fillId="10" borderId="57" xfId="30" applyFont="1" applyFill="1" applyBorder="1" applyAlignment="1">
      <alignment horizontal="center" vertical="center" wrapText="1"/>
    </xf>
    <xf numFmtId="0" fontId="41" fillId="10" borderId="58" xfId="30" applyFont="1" applyFill="1" applyBorder="1" applyAlignment="1">
      <alignment horizontal="center" vertical="center" wrapText="1"/>
    </xf>
    <xf numFmtId="0" fontId="64" fillId="0" borderId="0" xfId="29" applyFont="1" applyBorder="1" applyAlignment="1">
      <alignment horizontal="left" vertical="center" wrapText="1"/>
    </xf>
    <xf numFmtId="0" fontId="56" fillId="11" borderId="21" xfId="15" applyFont="1" applyFill="1" applyBorder="1" applyAlignment="1">
      <alignment horizontal="center" vertical="center"/>
    </xf>
    <xf numFmtId="0" fontId="56" fillId="11" borderId="0" xfId="15" applyFont="1" applyFill="1" applyAlignment="1">
      <alignment horizontal="center" vertical="center"/>
    </xf>
    <xf numFmtId="0" fontId="56" fillId="11" borderId="16" xfId="15" applyFont="1" applyFill="1" applyBorder="1" applyAlignment="1">
      <alignment horizontal="center" vertical="center"/>
    </xf>
    <xf numFmtId="0" fontId="56" fillId="11" borderId="17" xfId="15" applyFont="1" applyFill="1" applyBorder="1" applyAlignment="1">
      <alignment horizontal="center" vertical="center"/>
    </xf>
    <xf numFmtId="0" fontId="56" fillId="11" borderId="18" xfId="15" applyFont="1" applyFill="1" applyBorder="1" applyAlignment="1">
      <alignment horizontal="center" vertical="center"/>
    </xf>
    <xf numFmtId="0" fontId="45" fillId="0" borderId="53" xfId="0" applyFont="1" applyBorder="1" applyAlignment="1">
      <alignment horizontal="left" vertical="center" wrapText="1"/>
    </xf>
    <xf numFmtId="0" fontId="45" fillId="0" borderId="54" xfId="0" applyFont="1" applyBorder="1" applyAlignment="1">
      <alignment horizontal="left" vertical="center" wrapText="1"/>
    </xf>
    <xf numFmtId="0" fontId="45" fillId="0" borderId="50" xfId="0" applyFont="1" applyBorder="1" applyAlignment="1">
      <alignment vertical="center" wrapText="1"/>
    </xf>
    <xf numFmtId="0" fontId="45" fillId="0" borderId="51" xfId="0" applyFont="1" applyBorder="1" applyAlignment="1">
      <alignment vertical="center" wrapText="1"/>
    </xf>
    <xf numFmtId="0" fontId="45" fillId="0" borderId="92" xfId="0" applyFont="1" applyBorder="1" applyAlignment="1">
      <alignment horizontal="left" vertical="center"/>
    </xf>
    <xf numFmtId="0" fontId="45" fillId="0" borderId="93" xfId="0" applyFont="1" applyBorder="1" applyAlignment="1">
      <alignment horizontal="left" vertical="center"/>
    </xf>
    <xf numFmtId="0" fontId="49" fillId="0" borderId="0" xfId="31" applyFont="1" applyBorder="1" applyAlignment="1">
      <alignment horizontal="center" vertical="center" wrapText="1"/>
    </xf>
    <xf numFmtId="0" fontId="41" fillId="10" borderId="50" xfId="0" applyFont="1" applyFill="1" applyBorder="1" applyAlignment="1">
      <alignment horizontal="center" vertical="center" wrapText="1"/>
    </xf>
    <xf numFmtId="0" fontId="41" fillId="10" borderId="53" xfId="0" applyFont="1" applyFill="1" applyBorder="1" applyAlignment="1">
      <alignment horizontal="center" vertical="center" wrapText="1"/>
    </xf>
    <xf numFmtId="0" fontId="56" fillId="11" borderId="21" xfId="15" applyFont="1" applyFill="1" applyBorder="1" applyAlignment="1">
      <alignment horizontal="center" vertical="center" wrapText="1"/>
    </xf>
    <xf numFmtId="0" fontId="56" fillId="11" borderId="0" xfId="15" applyFont="1" applyFill="1" applyAlignment="1">
      <alignment horizontal="center" vertical="center" wrapText="1"/>
    </xf>
    <xf numFmtId="0" fontId="56" fillId="11" borderId="16" xfId="15" applyFont="1" applyFill="1" applyBorder="1" applyAlignment="1">
      <alignment horizontal="center" vertical="center" wrapText="1"/>
    </xf>
    <xf numFmtId="0" fontId="56" fillId="11" borderId="17" xfId="15" applyFont="1" applyFill="1" applyBorder="1" applyAlignment="1">
      <alignment horizontal="center" vertical="center" wrapText="1"/>
    </xf>
    <xf numFmtId="0" fontId="56" fillId="11" borderId="18" xfId="15" applyFont="1" applyFill="1" applyBorder="1" applyAlignment="1">
      <alignment horizontal="center" vertical="center" wrapText="1"/>
    </xf>
    <xf numFmtId="0" fontId="45" fillId="0" borderId="62" xfId="0" applyFont="1" applyBorder="1" applyAlignment="1">
      <alignment vertical="center" wrapText="1"/>
    </xf>
    <xf numFmtId="0" fontId="45" fillId="0" borderId="64" xfId="0" applyFont="1" applyBorder="1" applyAlignment="1">
      <alignment vertical="center" wrapText="1"/>
    </xf>
    <xf numFmtId="0" fontId="45" fillId="0" borderId="53" xfId="0" applyFont="1" applyBorder="1" applyAlignment="1">
      <alignment horizontal="left" vertical="center"/>
    </xf>
    <xf numFmtId="0" fontId="45" fillId="0" borderId="54" xfId="0" applyFont="1" applyBorder="1" applyAlignment="1">
      <alignment horizontal="left" vertical="center"/>
    </xf>
    <xf numFmtId="0" fontId="45" fillId="0" borderId="53" xfId="0" applyFont="1" applyBorder="1" applyAlignment="1">
      <alignment vertical="center" wrapText="1"/>
    </xf>
    <xf numFmtId="0" fontId="45" fillId="0" borderId="54" xfId="0" applyFont="1" applyBorder="1" applyAlignment="1">
      <alignment vertical="center" wrapText="1"/>
    </xf>
    <xf numFmtId="0" fontId="45" fillId="0" borderId="59" xfId="0" applyFont="1" applyBorder="1" applyAlignment="1">
      <alignment vertical="center" wrapText="1"/>
    </xf>
    <xf numFmtId="0" fontId="45" fillId="0" borderId="22" xfId="0" applyFont="1" applyBorder="1" applyAlignment="1">
      <alignment vertical="center" wrapText="1"/>
    </xf>
    <xf numFmtId="0" fontId="43" fillId="0" borderId="62" xfId="0" applyFont="1" applyBorder="1" applyAlignment="1">
      <alignment horizontal="left" vertical="center" wrapText="1"/>
    </xf>
    <xf numFmtId="0" fontId="43" fillId="0" borderId="64" xfId="0" applyFont="1" applyBorder="1" applyAlignment="1">
      <alignment horizontal="left" vertical="center" wrapText="1"/>
    </xf>
    <xf numFmtId="0" fontId="43" fillId="0" borderId="53" xfId="2" applyFont="1" applyBorder="1" applyAlignment="1">
      <alignment horizontal="left" vertical="center" wrapText="1"/>
    </xf>
    <xf numFmtId="0" fontId="43" fillId="0" borderId="54" xfId="2" applyFont="1" applyBorder="1" applyAlignment="1">
      <alignment horizontal="left" vertical="center" wrapText="1"/>
    </xf>
    <xf numFmtId="0" fontId="45" fillId="0" borderId="59" xfId="0" applyFont="1" applyBorder="1" applyAlignment="1">
      <alignment vertical="center"/>
    </xf>
    <xf numFmtId="0" fontId="45" fillId="0" borderId="22" xfId="0" applyFont="1" applyBorder="1" applyAlignment="1">
      <alignment vertical="center"/>
    </xf>
    <xf numFmtId="0" fontId="136" fillId="11" borderId="21" xfId="15" applyFont="1" applyFill="1" applyBorder="1" applyAlignment="1">
      <alignment horizontal="center" vertical="center" wrapText="1"/>
    </xf>
    <xf numFmtId="0" fontId="136" fillId="11" borderId="0" xfId="15" applyFont="1" applyFill="1" applyAlignment="1">
      <alignment horizontal="center" vertical="center" wrapText="1"/>
    </xf>
    <xf numFmtId="0" fontId="39" fillId="23" borderId="22" xfId="15" applyFont="1" applyFill="1" applyBorder="1" applyAlignment="1">
      <alignment horizontal="center" vertical="center" wrapText="1"/>
    </xf>
    <xf numFmtId="0" fontId="39" fillId="23" borderId="54" xfId="15" applyFont="1" applyFill="1" applyBorder="1" applyAlignment="1">
      <alignment horizontal="center" vertical="center" wrapText="1"/>
    </xf>
    <xf numFmtId="0" fontId="41" fillId="10" borderId="56" xfId="30" applyFont="1" applyFill="1" applyBorder="1" applyAlignment="1">
      <alignment horizontal="center" vertical="center" wrapText="1"/>
    </xf>
    <xf numFmtId="0" fontId="41" fillId="10" borderId="94" xfId="30" applyFont="1" applyFill="1" applyBorder="1" applyAlignment="1">
      <alignment horizontal="center" vertical="center" wrapText="1"/>
    </xf>
    <xf numFmtId="0" fontId="41" fillId="10" borderId="95" xfId="30" applyFont="1" applyFill="1" applyBorder="1" applyAlignment="1">
      <alignment horizontal="center" vertical="center" wrapText="1"/>
    </xf>
    <xf numFmtId="0" fontId="39" fillId="23" borderId="50" xfId="15" applyFont="1" applyFill="1" applyBorder="1" applyAlignment="1">
      <alignment horizontal="center" vertical="center"/>
    </xf>
    <xf numFmtId="0" fontId="39" fillId="23" borderId="51" xfId="15" applyFont="1" applyFill="1" applyBorder="1" applyAlignment="1">
      <alignment horizontal="center" vertical="center"/>
    </xf>
    <xf numFmtId="0" fontId="39" fillId="23" borderId="50" xfId="15" applyFont="1" applyFill="1" applyBorder="1" applyAlignment="1">
      <alignment horizontal="left" vertical="center"/>
    </xf>
    <xf numFmtId="0" fontId="39" fillId="23" borderId="53" xfId="15" applyFont="1" applyFill="1" applyBorder="1" applyAlignment="1">
      <alignment horizontal="left" vertical="center"/>
    </xf>
    <xf numFmtId="0" fontId="39" fillId="23" borderId="54" xfId="15" applyFont="1" applyFill="1" applyBorder="1" applyAlignment="1">
      <alignment horizontal="center" vertical="center"/>
    </xf>
    <xf numFmtId="0" fontId="39" fillId="23" borderId="96" xfId="15" applyFont="1" applyFill="1" applyBorder="1" applyAlignment="1">
      <alignment horizontal="center" vertical="center"/>
    </xf>
    <xf numFmtId="0" fontId="39" fillId="23" borderId="97" xfId="15" applyFont="1" applyFill="1" applyBorder="1" applyAlignment="1">
      <alignment horizontal="center" vertical="center"/>
    </xf>
    <xf numFmtId="0" fontId="39" fillId="23" borderId="60" xfId="15" applyFont="1" applyFill="1" applyBorder="1" applyAlignment="1">
      <alignment horizontal="center" vertical="center" wrapText="1"/>
    </xf>
    <xf numFmtId="0" fontId="39" fillId="23" borderId="55" xfId="15" applyFont="1" applyFill="1" applyBorder="1" applyAlignment="1">
      <alignment horizontal="center" vertical="center" wrapText="1"/>
    </xf>
    <xf numFmtId="0" fontId="39" fillId="23" borderId="52" xfId="15" applyFont="1" applyFill="1" applyBorder="1" applyAlignment="1">
      <alignment horizontal="center" vertical="center"/>
    </xf>
    <xf numFmtId="0" fontId="39" fillId="23" borderId="69" xfId="15" applyFont="1" applyFill="1" applyBorder="1" applyAlignment="1">
      <alignment horizontal="center" vertical="center" wrapText="1"/>
    </xf>
    <xf numFmtId="0" fontId="64" fillId="5" borderId="0" xfId="29" applyFont="1" applyFill="1" applyBorder="1" applyAlignment="1">
      <alignment horizontal="left" vertical="center" wrapText="1"/>
    </xf>
    <xf numFmtId="167" fontId="41" fillId="18" borderId="96" xfId="15" applyNumberFormat="1" applyFont="1" applyFill="1" applyBorder="1" applyAlignment="1">
      <alignment horizontal="center" vertical="center"/>
    </xf>
    <xf numFmtId="167" fontId="41" fillId="18" borderId="98" xfId="15" applyNumberFormat="1" applyFont="1" applyFill="1" applyBorder="1" applyAlignment="1">
      <alignment horizontal="center" vertical="center"/>
    </xf>
    <xf numFmtId="167" fontId="41" fillId="18" borderId="118" xfId="15" applyNumberFormat="1" applyFont="1" applyFill="1" applyBorder="1" applyAlignment="1">
      <alignment horizontal="center" vertical="center"/>
    </xf>
    <xf numFmtId="1" fontId="41" fillId="18" borderId="97" xfId="15" applyNumberFormat="1" applyFont="1" applyFill="1" applyBorder="1" applyAlignment="1">
      <alignment horizontal="center" vertical="center"/>
    </xf>
    <xf numFmtId="1" fontId="41" fillId="18" borderId="100" xfId="15" applyNumberFormat="1" applyFont="1" applyFill="1" applyBorder="1" applyAlignment="1">
      <alignment horizontal="center" vertical="center"/>
    </xf>
    <xf numFmtId="1" fontId="41" fillId="18" borderId="119" xfId="15" applyNumberFormat="1" applyFont="1" applyFill="1" applyBorder="1" applyAlignment="1">
      <alignment horizontal="center" vertical="center"/>
    </xf>
    <xf numFmtId="0" fontId="41" fillId="18" borderId="65" xfId="15" applyFont="1" applyFill="1" applyBorder="1" applyAlignment="1">
      <alignment horizontal="center" vertical="center"/>
    </xf>
    <xf numFmtId="0" fontId="41" fillId="18" borderId="111" xfId="15" applyFont="1" applyFill="1" applyBorder="1" applyAlignment="1">
      <alignment horizontal="center" vertical="center"/>
    </xf>
    <xf numFmtId="0" fontId="41" fillId="18" borderId="91" xfId="15" applyFont="1" applyFill="1" applyBorder="1" applyAlignment="1">
      <alignment horizontal="center" vertical="center"/>
    </xf>
    <xf numFmtId="0" fontId="41" fillId="18" borderId="112" xfId="15" applyFont="1" applyFill="1" applyBorder="1" applyAlignment="1">
      <alignment horizontal="center" vertical="center"/>
    </xf>
    <xf numFmtId="0" fontId="41" fillId="18" borderId="115" xfId="15" applyFont="1" applyFill="1" applyBorder="1" applyAlignment="1">
      <alignment horizontal="center" vertical="center"/>
    </xf>
    <xf numFmtId="0" fontId="41" fillId="18" borderId="116" xfId="15" applyFont="1" applyFill="1" applyBorder="1" applyAlignment="1">
      <alignment horizontal="center" vertical="center"/>
    </xf>
    <xf numFmtId="0" fontId="41" fillId="18" borderId="117" xfId="15" applyFont="1" applyFill="1" applyBorder="1" applyAlignment="1">
      <alignment horizontal="center" vertical="center"/>
    </xf>
    <xf numFmtId="0" fontId="41" fillId="18" borderId="97" xfId="15" applyFont="1" applyFill="1" applyBorder="1" applyAlignment="1">
      <alignment horizontal="center" vertical="center"/>
    </xf>
    <xf numFmtId="0" fontId="41" fillId="18" borderId="100" xfId="15" applyFont="1" applyFill="1" applyBorder="1" applyAlignment="1">
      <alignment horizontal="center" vertical="center"/>
    </xf>
    <xf numFmtId="0" fontId="45" fillId="0" borderId="113" xfId="15" applyFont="1" applyBorder="1" applyAlignment="1">
      <alignment horizontal="center" vertical="center"/>
    </xf>
    <xf numFmtId="0" fontId="45" fillId="0" borderId="93" xfId="15" applyFont="1" applyBorder="1" applyAlignment="1">
      <alignment horizontal="center" vertical="center"/>
    </xf>
    <xf numFmtId="0" fontId="45" fillId="0" borderId="97" xfId="15" applyFont="1" applyBorder="1" applyAlignment="1">
      <alignment horizontal="center" vertical="center"/>
    </xf>
    <xf numFmtId="0" fontId="45" fillId="0" borderId="112" xfId="15" applyFont="1" applyBorder="1" applyAlignment="1">
      <alignment horizontal="center" vertical="center"/>
    </xf>
    <xf numFmtId="0" fontId="45" fillId="0" borderId="120" xfId="15" applyFont="1" applyBorder="1" applyAlignment="1">
      <alignment horizontal="center" vertical="center"/>
    </xf>
    <xf numFmtId="0" fontId="45" fillId="0" borderId="121" xfId="15" applyFont="1" applyBorder="1" applyAlignment="1">
      <alignment horizontal="center" vertical="center"/>
    </xf>
    <xf numFmtId="0" fontId="45" fillId="0" borderId="96" xfId="15" applyFont="1" applyBorder="1" applyAlignment="1">
      <alignment horizontal="center" vertical="center"/>
    </xf>
    <xf numFmtId="0" fontId="45" fillId="0" borderId="111" xfId="15" applyFont="1" applyBorder="1" applyAlignment="1">
      <alignment horizontal="center" vertical="center"/>
    </xf>
    <xf numFmtId="0" fontId="45" fillId="0" borderId="105" xfId="15" applyFont="1" applyBorder="1" applyAlignment="1">
      <alignment horizontal="center" vertical="center"/>
    </xf>
    <xf numFmtId="0" fontId="45" fillId="0" borderId="100" xfId="15" applyFont="1" applyBorder="1" applyAlignment="1">
      <alignment horizontal="center" vertical="center"/>
    </xf>
    <xf numFmtId="0" fontId="45" fillId="0" borderId="103" xfId="15" applyFont="1" applyBorder="1" applyAlignment="1">
      <alignment horizontal="center" vertical="center"/>
    </xf>
    <xf numFmtId="0" fontId="45" fillId="0" borderId="98" xfId="15" applyFont="1" applyBorder="1" applyAlignment="1">
      <alignment horizontal="center" vertical="center"/>
    </xf>
    <xf numFmtId="0" fontId="49" fillId="0" borderId="0" xfId="0" applyFont="1" applyAlignment="1">
      <alignment horizontal="center" vertical="center" wrapText="1"/>
    </xf>
    <xf numFmtId="0" fontId="78" fillId="0" borderId="0" xfId="29" applyFont="1" applyBorder="1" applyAlignment="1">
      <alignment horizontal="left" vertical="center" wrapText="1"/>
    </xf>
    <xf numFmtId="0" fontId="40" fillId="0" borderId="0" xfId="0" applyFont="1" applyAlignment="1">
      <alignment horizontal="left" vertical="center" wrapText="1"/>
    </xf>
    <xf numFmtId="164" fontId="56" fillId="11" borderId="21" xfId="39" applyFont="1" applyFill="1" applyBorder="1" applyAlignment="1">
      <alignment horizontal="center" vertical="center" wrapText="1"/>
    </xf>
    <xf numFmtId="164" fontId="56" fillId="11" borderId="0" xfId="39" applyFont="1" applyFill="1" applyAlignment="1">
      <alignment horizontal="center" vertical="center" wrapText="1"/>
    </xf>
    <xf numFmtId="164" fontId="56" fillId="11" borderId="16" xfId="39" applyFont="1" applyFill="1" applyBorder="1" applyAlignment="1">
      <alignment horizontal="center" vertical="center" wrapText="1"/>
    </xf>
    <xf numFmtId="164" fontId="56" fillId="11" borderId="17" xfId="39" applyFont="1" applyFill="1" applyBorder="1" applyAlignment="1">
      <alignment horizontal="center" vertical="center" wrapText="1"/>
    </xf>
    <xf numFmtId="164" fontId="61" fillId="15" borderId="0" xfId="39" applyFont="1" applyFill="1" applyAlignment="1">
      <alignment horizontal="center" vertical="center" wrapText="1"/>
    </xf>
    <xf numFmtId="0" fontId="56" fillId="14" borderId="16" xfId="15" applyFont="1" applyFill="1" applyBorder="1" applyAlignment="1">
      <alignment horizontal="center" vertical="center" wrapText="1"/>
    </xf>
    <xf numFmtId="0" fontId="56" fillId="14" borderId="17" xfId="15" applyFont="1" applyFill="1" applyBorder="1" applyAlignment="1">
      <alignment horizontal="center" vertical="center" wrapText="1"/>
    </xf>
    <xf numFmtId="0" fontId="41" fillId="10" borderId="57" xfId="0" applyFont="1" applyFill="1" applyBorder="1" applyAlignment="1">
      <alignment horizontal="center" vertical="center" wrapText="1"/>
    </xf>
    <xf numFmtId="0" fontId="41" fillId="10" borderId="61" xfId="0" applyFont="1" applyFill="1" applyBorder="1" applyAlignment="1">
      <alignment horizontal="center" vertical="center" wrapText="1"/>
    </xf>
    <xf numFmtId="0" fontId="41" fillId="10" borderId="58" xfId="0" applyFont="1" applyFill="1" applyBorder="1" applyAlignment="1">
      <alignment horizontal="center" vertical="center" wrapText="1"/>
    </xf>
    <xf numFmtId="173" fontId="64" fillId="0" borderId="0" xfId="39" applyNumberFormat="1" applyFont="1" applyBorder="1" applyAlignment="1">
      <alignment horizontal="left" vertical="center" wrapText="1"/>
    </xf>
    <xf numFmtId="0" fontId="45" fillId="0" borderId="62" xfId="0" applyFont="1" applyBorder="1" applyAlignment="1">
      <alignment horizontal="left" vertical="center" wrapText="1"/>
    </xf>
    <xf numFmtId="0" fontId="45" fillId="0" borderId="64" xfId="0" applyFont="1" applyBorder="1" applyAlignment="1">
      <alignment horizontal="left" vertical="center" wrapText="1"/>
    </xf>
    <xf numFmtId="0" fontId="41" fillId="10" borderId="59" xfId="0" applyFont="1" applyFill="1" applyBorder="1" applyAlignment="1">
      <alignment horizontal="center" vertical="center" wrapText="1"/>
    </xf>
    <xf numFmtId="0" fontId="41" fillId="10" borderId="22" xfId="0" applyFont="1" applyFill="1" applyBorder="1" applyAlignment="1">
      <alignment horizontal="center" vertical="center" wrapText="1"/>
    </xf>
    <xf numFmtId="0" fontId="64" fillId="0" borderId="0" xfId="0" applyFont="1" applyAlignment="1">
      <alignment horizontal="left" vertical="center" wrapText="1"/>
    </xf>
    <xf numFmtId="0" fontId="40" fillId="0" borderId="53" xfId="0" applyFont="1" applyBorder="1" applyAlignment="1">
      <alignment horizontal="left" vertical="center" wrapText="1"/>
    </xf>
    <xf numFmtId="0" fontId="40" fillId="0" borderId="54" xfId="0" applyFont="1" applyBorder="1" applyAlignment="1">
      <alignment horizontal="left" vertical="center" wrapText="1"/>
    </xf>
    <xf numFmtId="0" fontId="40" fillId="0" borderId="50" xfId="0" applyFont="1" applyBorder="1" applyAlignment="1">
      <alignment horizontal="left" vertical="center" wrapText="1"/>
    </xf>
    <xf numFmtId="0" fontId="40" fillId="0" borderId="51" xfId="0" applyFont="1" applyBorder="1" applyAlignment="1">
      <alignment horizontal="left" vertical="center" wrapText="1"/>
    </xf>
    <xf numFmtId="0" fontId="40" fillId="0" borderId="59" xfId="0" applyFont="1" applyBorder="1" applyAlignment="1">
      <alignment horizontal="left" vertical="center" wrapText="1"/>
    </xf>
    <xf numFmtId="0" fontId="40" fillId="0" borderId="22" xfId="0" applyFont="1" applyBorder="1" applyAlignment="1">
      <alignment horizontal="left" vertical="center" wrapText="1"/>
    </xf>
    <xf numFmtId="0" fontId="60" fillId="0" borderId="0" xfId="15" applyFont="1" applyAlignment="1">
      <alignment horizontal="center" vertical="center" wrapText="1"/>
    </xf>
    <xf numFmtId="0" fontId="73" fillId="11" borderId="16" xfId="15" applyFont="1" applyFill="1" applyBorder="1" applyAlignment="1">
      <alignment horizontal="center" vertical="center" wrapText="1"/>
    </xf>
    <xf numFmtId="0" fontId="73" fillId="11" borderId="17" xfId="15" applyFont="1" applyFill="1" applyBorder="1" applyAlignment="1">
      <alignment horizontal="center" vertical="center" wrapText="1"/>
    </xf>
    <xf numFmtId="0" fontId="56" fillId="11" borderId="0" xfId="29"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56" fillId="14" borderId="0" xfId="29" applyFont="1" applyFill="1" applyBorder="1" applyAlignment="1">
      <alignment horizontal="center" vertical="center" wrapText="1"/>
    </xf>
    <xf numFmtId="0" fontId="39" fillId="10" borderId="50" xfId="3" applyFont="1" applyFill="1" applyBorder="1" applyAlignment="1">
      <alignment horizontal="center" vertical="center" wrapText="1"/>
    </xf>
    <xf numFmtId="0" fontId="39" fillId="10" borderId="53" xfId="3" applyFont="1" applyFill="1" applyBorder="1" applyAlignment="1">
      <alignment horizontal="center" vertical="center" wrapText="1"/>
    </xf>
    <xf numFmtId="0" fontId="39" fillId="10" borderId="51" xfId="3" applyFont="1" applyFill="1" applyBorder="1" applyAlignment="1">
      <alignment horizontal="center" vertical="center" wrapText="1"/>
    </xf>
    <xf numFmtId="0" fontId="39" fillId="10" borderId="52" xfId="3" applyFont="1" applyFill="1" applyBorder="1" applyAlignment="1">
      <alignment horizontal="center" vertical="center" wrapText="1"/>
    </xf>
    <xf numFmtId="0" fontId="92" fillId="31" borderId="0" xfId="40" applyFont="1" applyFill="1" applyAlignment="1">
      <alignment horizontal="center" vertical="center"/>
    </xf>
    <xf numFmtId="0" fontId="40" fillId="0" borderId="54" xfId="0" applyFont="1" applyBorder="1" applyAlignment="1">
      <alignment horizontal="center" vertical="center" wrapText="1"/>
    </xf>
    <xf numFmtId="0" fontId="39" fillId="10" borderId="52" xfId="0" applyFont="1" applyFill="1" applyBorder="1" applyAlignment="1">
      <alignment horizontal="center" vertical="center" wrapText="1"/>
    </xf>
    <xf numFmtId="0" fontId="39" fillId="10" borderId="55" xfId="0" applyFont="1" applyFill="1" applyBorder="1" applyAlignment="1">
      <alignment horizontal="center" vertical="center" wrapText="1"/>
    </xf>
    <xf numFmtId="0" fontId="39" fillId="10" borderId="51" xfId="0" applyFont="1" applyFill="1" applyBorder="1" applyAlignment="1">
      <alignment horizontal="center" vertical="center" wrapText="1"/>
    </xf>
    <xf numFmtId="0" fontId="39" fillId="10" borderId="54" xfId="0" applyFont="1" applyFill="1" applyBorder="1" applyAlignment="1">
      <alignment horizontal="center" vertical="center" wrapText="1"/>
    </xf>
    <xf numFmtId="0" fontId="1" fillId="0" borderId="0" xfId="0" applyFont="1" applyAlignment="1">
      <alignment vertical="center" wrapText="1"/>
    </xf>
    <xf numFmtId="0" fontId="39" fillId="10" borderId="50" xfId="15" applyFont="1" applyFill="1" applyBorder="1" applyAlignment="1">
      <alignment horizontal="center" vertical="center"/>
    </xf>
    <xf numFmtId="0" fontId="39" fillId="10" borderId="59" xfId="15" applyFont="1" applyFill="1" applyBorder="1" applyAlignment="1">
      <alignment horizontal="center" vertical="center"/>
    </xf>
    <xf numFmtId="0" fontId="39" fillId="10" borderId="53" xfId="15" applyFont="1" applyFill="1" applyBorder="1" applyAlignment="1">
      <alignment horizontal="center" vertical="center"/>
    </xf>
    <xf numFmtId="0" fontId="39" fillId="10" borderId="51" xfId="15" applyFont="1" applyFill="1" applyBorder="1" applyAlignment="1">
      <alignment horizontal="center" vertical="center"/>
    </xf>
    <xf numFmtId="0" fontId="40" fillId="0" borderId="22" xfId="0" applyFont="1" applyBorder="1" applyAlignment="1">
      <alignment horizontal="center" vertical="center"/>
    </xf>
    <xf numFmtId="0" fontId="40" fillId="0" borderId="54" xfId="0" applyFont="1" applyBorder="1" applyAlignment="1">
      <alignment horizontal="center" vertical="center"/>
    </xf>
    <xf numFmtId="0" fontId="39" fillId="10" borderId="22" xfId="15" applyFont="1" applyFill="1" applyBorder="1" applyAlignment="1">
      <alignment horizontal="center" vertical="center" wrapText="1"/>
    </xf>
    <xf numFmtId="0" fontId="39" fillId="10" borderId="54" xfId="15" applyFont="1" applyFill="1" applyBorder="1" applyAlignment="1">
      <alignment horizontal="center" vertical="center" wrapText="1"/>
    </xf>
    <xf numFmtId="0" fontId="39" fillId="10" borderId="60" xfId="15" applyFont="1" applyFill="1" applyBorder="1" applyAlignment="1">
      <alignment horizontal="center" vertical="center" wrapText="1"/>
    </xf>
    <xf numFmtId="0" fontId="39" fillId="10" borderId="55" xfId="15" applyFont="1" applyFill="1" applyBorder="1" applyAlignment="1">
      <alignment horizontal="center" vertical="center" wrapText="1"/>
    </xf>
    <xf numFmtId="0" fontId="56" fillId="11" borderId="12" xfId="15" applyFont="1" applyFill="1" applyBorder="1" applyAlignment="1">
      <alignment horizontal="center" vertical="center" wrapText="1"/>
    </xf>
    <xf numFmtId="0" fontId="39" fillId="10" borderId="51" xfId="15" applyFont="1" applyFill="1" applyBorder="1" applyAlignment="1">
      <alignment horizontal="center" vertical="center" wrapText="1"/>
    </xf>
    <xf numFmtId="0" fontId="40" fillId="0" borderId="22" xfId="0" applyFont="1" applyBorder="1" applyAlignment="1">
      <alignment horizontal="center" vertical="center" wrapText="1"/>
    </xf>
    <xf numFmtId="0" fontId="39" fillId="10" borderId="22" xfId="15" applyFont="1" applyFill="1" applyBorder="1" applyAlignment="1">
      <alignment horizontal="center" vertical="center"/>
    </xf>
    <xf numFmtId="0" fontId="56" fillId="11" borderId="12" xfId="15" applyFont="1" applyFill="1" applyBorder="1" applyAlignment="1">
      <alignment horizontal="center" vertical="center"/>
    </xf>
    <xf numFmtId="0" fontId="41" fillId="10" borderId="60" xfId="0" applyFont="1" applyFill="1" applyBorder="1" applyAlignment="1">
      <alignment horizontal="center" vertical="center" wrapText="1"/>
    </xf>
    <xf numFmtId="0" fontId="41" fillId="10" borderId="56" xfId="0" applyFont="1" applyFill="1" applyBorder="1" applyAlignment="1">
      <alignment horizontal="center" vertical="center" wrapText="1"/>
    </xf>
    <xf numFmtId="0" fontId="41" fillId="10" borderId="94" xfId="0"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10" borderId="73" xfId="0" applyFont="1" applyFill="1" applyBorder="1" applyAlignment="1">
      <alignment horizontal="center" vertical="center" wrapText="1"/>
    </xf>
    <xf numFmtId="0" fontId="40" fillId="0" borderId="76" xfId="0" applyFont="1" applyBorder="1" applyAlignment="1">
      <alignment horizontal="center" vertical="center" wrapText="1"/>
    </xf>
    <xf numFmtId="0" fontId="41" fillId="10" borderId="74" xfId="0" applyFont="1" applyFill="1" applyBorder="1" applyAlignment="1">
      <alignment horizontal="center" vertical="center" wrapText="1"/>
    </xf>
    <xf numFmtId="0" fontId="41" fillId="10" borderId="77" xfId="0" applyFont="1" applyFill="1" applyBorder="1" applyAlignment="1">
      <alignment horizontal="center" vertical="center" wrapText="1"/>
    </xf>
    <xf numFmtId="0" fontId="39" fillId="10" borderId="74" xfId="15" applyFont="1" applyFill="1" applyBorder="1" applyAlignment="1">
      <alignment horizontal="center" vertical="center" wrapText="1"/>
    </xf>
    <xf numFmtId="0" fontId="39" fillId="10" borderId="75" xfId="15" applyFont="1" applyFill="1" applyBorder="1" applyAlignment="1">
      <alignment horizontal="center" vertical="center" wrapText="1"/>
    </xf>
    <xf numFmtId="0" fontId="39" fillId="10" borderId="78" xfId="15" applyFont="1" applyFill="1" applyBorder="1" applyAlignment="1">
      <alignment horizontal="center" vertical="center" wrapText="1"/>
    </xf>
    <xf numFmtId="0" fontId="40" fillId="0" borderId="77" xfId="0" applyFont="1" applyBorder="1" applyAlignment="1">
      <alignment horizontal="center" vertical="center" wrapText="1"/>
    </xf>
    <xf numFmtId="0" fontId="39" fillId="10" borderId="50" xfId="15" applyFont="1" applyFill="1" applyBorder="1" applyAlignment="1">
      <alignment horizontal="center" vertical="center" wrapText="1"/>
    </xf>
    <xf numFmtId="0" fontId="39" fillId="10" borderId="59" xfId="15" applyFont="1" applyFill="1" applyBorder="1" applyAlignment="1">
      <alignment horizontal="center" vertical="center" wrapText="1"/>
    </xf>
    <xf numFmtId="0" fontId="39" fillId="10" borderId="53" xfId="15" applyFont="1" applyFill="1" applyBorder="1" applyAlignment="1">
      <alignment horizontal="center" vertical="center" wrapText="1"/>
    </xf>
    <xf numFmtId="0" fontId="73" fillId="11" borderId="0" xfId="29" applyFont="1" applyFill="1" applyBorder="1" applyAlignment="1">
      <alignment horizontal="center" vertical="center" wrapText="1"/>
    </xf>
    <xf numFmtId="0" fontId="91" fillId="11" borderId="0" xfId="0" applyFont="1" applyFill="1" applyAlignment="1">
      <alignment horizontal="center" vertical="center" wrapText="1"/>
    </xf>
    <xf numFmtId="0" fontId="39" fillId="10" borderId="50" xfId="0" applyFont="1" applyFill="1" applyBorder="1" applyAlignment="1">
      <alignment horizontal="center" vertical="center" wrapText="1"/>
    </xf>
    <xf numFmtId="0" fontId="39" fillId="10" borderId="59" xfId="0" applyFont="1" applyFill="1" applyBorder="1" applyAlignment="1">
      <alignment horizontal="center" vertical="center" wrapText="1"/>
    </xf>
    <xf numFmtId="0" fontId="39" fillId="10" borderId="22" xfId="0" applyFont="1" applyFill="1" applyBorder="1" applyAlignment="1">
      <alignment horizontal="center" vertical="center" wrapText="1"/>
    </xf>
    <xf numFmtId="0" fontId="39" fillId="10" borderId="53" xfId="0" applyFont="1" applyFill="1" applyBorder="1" applyAlignment="1">
      <alignment horizontal="center" vertical="center" wrapText="1"/>
    </xf>
    <xf numFmtId="0" fontId="39" fillId="10" borderId="51" xfId="0" applyFont="1" applyFill="1" applyBorder="1" applyAlignment="1">
      <alignment horizontal="center" vertical="center"/>
    </xf>
    <xf numFmtId="0" fontId="39" fillId="0" borderId="54" xfId="0" applyFont="1" applyBorder="1" applyAlignment="1">
      <alignment horizontal="center" vertical="center" wrapText="1"/>
    </xf>
    <xf numFmtId="0" fontId="39" fillId="10" borderId="22" xfId="0" applyFont="1" applyFill="1" applyBorder="1" applyAlignment="1">
      <alignment horizontal="center" vertical="center"/>
    </xf>
    <xf numFmtId="0" fontId="39" fillId="10" borderId="54" xfId="0" applyFont="1" applyFill="1" applyBorder="1" applyAlignment="1">
      <alignment horizontal="center" vertical="center"/>
    </xf>
    <xf numFmtId="0" fontId="39" fillId="10" borderId="60" xfId="0" applyFont="1" applyFill="1" applyBorder="1" applyAlignment="1">
      <alignment horizontal="center" vertical="center" wrapText="1"/>
    </xf>
    <xf numFmtId="0" fontId="1" fillId="0" borderId="0" xfId="0" applyFont="1"/>
    <xf numFmtId="0" fontId="92" fillId="11" borderId="0" xfId="0" applyFont="1" applyFill="1" applyAlignment="1">
      <alignment horizontal="center" vertical="center" wrapText="1"/>
    </xf>
    <xf numFmtId="0" fontId="39" fillId="10" borderId="57" xfId="0"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39" fillId="10" borderId="58" xfId="0" applyFont="1" applyFill="1" applyBorder="1" applyAlignment="1">
      <alignment horizontal="center" vertical="center" wrapText="1"/>
    </xf>
    <xf numFmtId="172" fontId="39" fillId="10" borderId="51" xfId="39" applyNumberFormat="1" applyFont="1" applyFill="1" applyBorder="1" applyAlignment="1" applyProtection="1">
      <alignment horizontal="center" vertical="center" wrapText="1"/>
    </xf>
    <xf numFmtId="172" fontId="39" fillId="10" borderId="22" xfId="39" applyNumberFormat="1" applyFont="1" applyFill="1" applyBorder="1" applyAlignment="1" applyProtection="1">
      <alignment horizontal="center" vertical="center" wrapText="1"/>
    </xf>
    <xf numFmtId="172" fontId="39" fillId="10" borderId="22" xfId="39" applyNumberFormat="1" applyFont="1" applyFill="1" applyBorder="1" applyAlignment="1" applyProtection="1">
      <alignment horizontal="center" vertical="center"/>
    </xf>
    <xf numFmtId="172" fontId="39" fillId="10" borderId="52" xfId="39" applyNumberFormat="1" applyFont="1" applyFill="1" applyBorder="1" applyAlignment="1" applyProtection="1">
      <alignment horizontal="center" vertical="center" wrapText="1"/>
    </xf>
    <xf numFmtId="0" fontId="39" fillId="10" borderId="59" xfId="3" applyFont="1" applyFill="1" applyBorder="1" applyAlignment="1">
      <alignment horizontal="center" vertical="center" wrapText="1"/>
    </xf>
    <xf numFmtId="0" fontId="39" fillId="10" borderId="52" xfId="0" applyFont="1" applyFill="1" applyBorder="1" applyAlignment="1">
      <alignment horizontal="center" vertical="center"/>
    </xf>
    <xf numFmtId="0" fontId="39" fillId="10" borderId="60" xfId="0" applyFont="1" applyFill="1" applyBorder="1" applyAlignment="1">
      <alignment horizontal="center" vertical="center"/>
    </xf>
    <xf numFmtId="0" fontId="64" fillId="0" borderId="0" xfId="0" applyFont="1" applyAlignment="1">
      <alignment vertical="center"/>
    </xf>
    <xf numFmtId="0" fontId="102" fillId="0" borderId="0" xfId="0" applyFont="1" applyAlignment="1">
      <alignment vertical="center"/>
    </xf>
    <xf numFmtId="0" fontId="39" fillId="10" borderId="52" xfId="15" applyFont="1" applyFill="1" applyBorder="1" applyAlignment="1">
      <alignment horizontal="center" vertical="center" wrapText="1"/>
    </xf>
    <xf numFmtId="0" fontId="1" fillId="0" borderId="0" xfId="0" applyFont="1" applyAlignment="1">
      <alignment horizontal="center" vertical="center" wrapText="1"/>
    </xf>
    <xf numFmtId="0" fontId="64" fillId="0" borderId="0" xfId="29" applyFont="1" applyFill="1" applyBorder="1" applyAlignment="1">
      <alignment horizontal="left" vertical="center" wrapText="1"/>
    </xf>
    <xf numFmtId="0" fontId="107" fillId="10" borderId="50" xfId="0" applyFont="1" applyFill="1" applyBorder="1" applyAlignment="1">
      <alignment horizontal="center"/>
    </xf>
    <xf numFmtId="0" fontId="107" fillId="10" borderId="51" xfId="0" applyFont="1" applyFill="1" applyBorder="1" applyAlignment="1">
      <alignment horizontal="center"/>
    </xf>
    <xf numFmtId="0" fontId="107" fillId="10" borderId="52" xfId="0" applyFont="1" applyFill="1" applyBorder="1" applyAlignment="1">
      <alignment horizontal="center"/>
    </xf>
    <xf numFmtId="0" fontId="56" fillId="11" borderId="0" xfId="0" applyFont="1" applyFill="1" applyAlignment="1">
      <alignment horizontal="center" vertical="center"/>
    </xf>
    <xf numFmtId="0" fontId="43" fillId="15" borderId="0" xfId="0" applyFont="1" applyFill="1" applyAlignment="1">
      <alignment horizontal="center" vertical="center"/>
    </xf>
    <xf numFmtId="0" fontId="39" fillId="10" borderId="22" xfId="15" applyFont="1" applyFill="1" applyBorder="1" applyAlignment="1">
      <alignment horizontal="center" vertical="center" textRotation="90" wrapText="1"/>
    </xf>
    <xf numFmtId="0" fontId="39" fillId="10" borderId="54" xfId="15" applyFont="1" applyFill="1" applyBorder="1" applyAlignment="1">
      <alignment horizontal="center" vertical="center" textRotation="90" wrapText="1"/>
    </xf>
    <xf numFmtId="0" fontId="39" fillId="10" borderId="60" xfId="15" applyFont="1" applyFill="1" applyBorder="1" applyAlignment="1">
      <alignment horizontal="center" vertical="center" textRotation="90" wrapText="1"/>
    </xf>
    <xf numFmtId="0" fontId="39" fillId="10" borderId="55" xfId="15" applyFont="1" applyFill="1" applyBorder="1" applyAlignment="1">
      <alignment horizontal="center" vertical="center" textRotation="90" wrapText="1"/>
    </xf>
    <xf numFmtId="0" fontId="39" fillId="10" borderId="57" xfId="3" applyFont="1" applyFill="1" applyBorder="1" applyAlignment="1">
      <alignment horizontal="center" vertical="center" wrapText="1"/>
    </xf>
    <xf numFmtId="0" fontId="39" fillId="10" borderId="58" xfId="3" applyFont="1" applyFill="1" applyBorder="1" applyAlignment="1">
      <alignment horizontal="center" vertical="center" wrapText="1"/>
    </xf>
    <xf numFmtId="0" fontId="39" fillId="10" borderId="54" xfId="3" applyFont="1" applyFill="1" applyBorder="1" applyAlignment="1">
      <alignment horizontal="center" vertical="center" wrapText="1"/>
    </xf>
    <xf numFmtId="0" fontId="64" fillId="5" borderId="0" xfId="0" applyFont="1" applyFill="1" applyAlignment="1">
      <alignment horizontal="left" vertical="center" wrapText="1"/>
    </xf>
    <xf numFmtId="0" fontId="41" fillId="10" borderId="48" xfId="0" applyFont="1" applyFill="1" applyBorder="1" applyAlignment="1">
      <alignment horizontal="center" vertical="center" wrapText="1"/>
    </xf>
    <xf numFmtId="0" fontId="41" fillId="10" borderId="134" xfId="0" applyFont="1" applyFill="1" applyBorder="1" applyAlignment="1">
      <alignment horizontal="center" vertical="center" wrapText="1"/>
    </xf>
    <xf numFmtId="0" fontId="1" fillId="15" borderId="0" xfId="0" applyFont="1" applyFill="1" applyAlignment="1">
      <alignment horizontal="center"/>
    </xf>
    <xf numFmtId="0" fontId="41" fillId="10" borderId="73" xfId="35" applyFont="1" applyFill="1" applyBorder="1" applyAlignment="1">
      <alignment horizontal="center" vertical="center" wrapText="1"/>
    </xf>
    <xf numFmtId="0" fontId="41" fillId="10" borderId="82" xfId="35" applyFont="1" applyFill="1" applyBorder="1" applyAlignment="1">
      <alignment horizontal="center" vertical="center" wrapText="1"/>
    </xf>
    <xf numFmtId="0" fontId="41" fillId="10" borderId="74" xfId="35" applyFont="1" applyFill="1" applyBorder="1" applyAlignment="1">
      <alignment horizontal="center" vertical="center" wrapText="1"/>
    </xf>
    <xf numFmtId="0" fontId="41" fillId="10" borderId="20" xfId="35" applyFont="1" applyFill="1" applyBorder="1" applyAlignment="1">
      <alignment horizontal="center" vertical="center" wrapText="1"/>
    </xf>
    <xf numFmtId="0" fontId="41" fillId="10" borderId="75" xfId="35" applyFont="1" applyFill="1" applyBorder="1" applyAlignment="1">
      <alignment horizontal="center" vertical="center" wrapText="1"/>
    </xf>
    <xf numFmtId="0" fontId="41" fillId="10" borderId="83" xfId="35" applyFont="1" applyFill="1" applyBorder="1" applyAlignment="1">
      <alignment horizontal="center" vertical="center" wrapText="1"/>
    </xf>
    <xf numFmtId="0" fontId="41" fillId="10" borderId="79" xfId="35" applyFont="1" applyFill="1" applyBorder="1" applyAlignment="1">
      <alignment horizontal="center" vertical="center" wrapText="1"/>
    </xf>
    <xf numFmtId="0" fontId="41" fillId="10" borderId="84" xfId="35" applyFont="1" applyFill="1" applyBorder="1" applyAlignment="1">
      <alignment horizontal="center" vertical="center" wrapText="1"/>
    </xf>
    <xf numFmtId="0" fontId="41" fillId="10" borderId="80" xfId="35" applyFont="1" applyFill="1" applyBorder="1" applyAlignment="1">
      <alignment horizontal="center" vertical="center" wrapText="1"/>
    </xf>
    <xf numFmtId="0" fontId="44" fillId="0" borderId="56" xfId="30" applyFont="1" applyFill="1" applyBorder="1" applyAlignment="1">
      <alignment horizontal="center" vertical="center" wrapText="1"/>
    </xf>
    <xf numFmtId="0" fontId="44" fillId="0" borderId="94" xfId="30" applyFont="1" applyFill="1" applyBorder="1" applyAlignment="1">
      <alignment horizontal="center" vertical="center" wrapText="1"/>
    </xf>
    <xf numFmtId="0" fontId="44" fillId="0" borderId="110" xfId="30" applyFont="1" applyFill="1" applyBorder="1" applyAlignment="1">
      <alignment horizontal="center" vertical="center" wrapText="1"/>
    </xf>
    <xf numFmtId="0" fontId="56" fillId="11" borderId="0" xfId="29" applyFont="1" applyFill="1" applyBorder="1" applyAlignment="1">
      <alignment horizontal="center" vertical="center"/>
    </xf>
    <xf numFmtId="0" fontId="56" fillId="11" borderId="0" xfId="29" applyFont="1" applyFill="1" applyBorder="1" applyAlignment="1">
      <alignment horizontal="left" vertical="center" wrapText="1"/>
    </xf>
    <xf numFmtId="0" fontId="39" fillId="23" borderId="73" xfId="0" applyFont="1" applyFill="1" applyBorder="1" applyAlignment="1">
      <alignment horizontal="center" vertical="center" wrapText="1"/>
    </xf>
    <xf numFmtId="0" fontId="39" fillId="23" borderId="74" xfId="0" applyFont="1" applyFill="1" applyBorder="1" applyAlignment="1">
      <alignment horizontal="center" vertical="center" wrapText="1"/>
    </xf>
    <xf numFmtId="0" fontId="39" fillId="23" borderId="75" xfId="0" applyFont="1" applyFill="1" applyBorder="1" applyAlignment="1">
      <alignment horizontal="center" vertical="center" wrapText="1"/>
    </xf>
    <xf numFmtId="0" fontId="45" fillId="0" borderId="0" xfId="0" applyFont="1"/>
    <xf numFmtId="0" fontId="39" fillId="23" borderId="79" xfId="0" applyFont="1" applyFill="1" applyBorder="1" applyAlignment="1">
      <alignment horizontal="center" vertical="center" wrapText="1"/>
    </xf>
    <xf numFmtId="0" fontId="39" fillId="23" borderId="80" xfId="0" applyFont="1" applyFill="1" applyBorder="1" applyAlignment="1">
      <alignment horizontal="center" vertical="center" wrapText="1"/>
    </xf>
    <xf numFmtId="0" fontId="63" fillId="0" borderId="0" xfId="0" applyFont="1"/>
    <xf numFmtId="0" fontId="45" fillId="0" borderId="0" xfId="0" applyFont="1" applyAlignment="1">
      <alignment vertical="center" textRotation="90"/>
    </xf>
    <xf numFmtId="0" fontId="1" fillId="15" borderId="0" xfId="0" applyFont="1" applyFill="1" applyAlignment="1">
      <alignment horizontal="center" vertical="center"/>
    </xf>
    <xf numFmtId="0" fontId="59" fillId="15" borderId="0" xfId="0" applyFont="1" applyFill="1" applyAlignment="1">
      <alignment horizontal="center" vertical="center"/>
    </xf>
    <xf numFmtId="0" fontId="1" fillId="15" borderId="0" xfId="0" applyFont="1" applyFill="1" applyAlignment="1">
      <alignment horizontal="center" vertical="top"/>
    </xf>
    <xf numFmtId="0" fontId="125" fillId="0" borderId="0" xfId="56" applyFont="1" applyFill="1" applyBorder="1" applyAlignment="1">
      <alignment horizontal="left" vertical="center" wrapText="1"/>
    </xf>
    <xf numFmtId="0" fontId="48" fillId="0" borderId="0" xfId="56" applyFont="1" applyBorder="1" applyAlignment="1">
      <alignment horizontal="left" vertical="center" wrapText="1"/>
    </xf>
    <xf numFmtId="0" fontId="41" fillId="10" borderId="20" xfId="0" applyFont="1" applyFill="1" applyBorder="1" applyAlignment="1">
      <alignment horizontal="center" vertical="center" wrapText="1"/>
    </xf>
    <xf numFmtId="0" fontId="41" fillId="10" borderId="83" xfId="0" applyFont="1" applyFill="1" applyBorder="1" applyAlignment="1">
      <alignment horizontal="center" vertical="center" wrapText="1"/>
    </xf>
    <xf numFmtId="0" fontId="41" fillId="10" borderId="78" xfId="0" applyFont="1" applyFill="1" applyBorder="1" applyAlignment="1">
      <alignment horizontal="center" vertical="center" wrapText="1"/>
    </xf>
    <xf numFmtId="0" fontId="39" fillId="10" borderId="73" xfId="45" applyFont="1" applyFill="1" applyBorder="1" applyAlignment="1">
      <alignment horizontal="center" vertical="center" wrapText="1"/>
    </xf>
    <xf numFmtId="0" fontId="39" fillId="10" borderId="74" xfId="45" applyFont="1" applyFill="1" applyBorder="1" applyAlignment="1">
      <alignment horizontal="center" vertical="center" wrapText="1"/>
    </xf>
    <xf numFmtId="0" fontId="39" fillId="10" borderId="75" xfId="45"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1" fillId="10" borderId="76" xfId="0" applyFont="1" applyFill="1" applyBorder="1" applyAlignment="1">
      <alignment horizontal="center" vertical="center" wrapText="1"/>
    </xf>
    <xf numFmtId="0" fontId="41" fillId="10" borderId="75" xfId="0" applyFont="1" applyFill="1" applyBorder="1" applyAlignment="1">
      <alignment horizontal="center" vertical="center" wrapText="1"/>
    </xf>
    <xf numFmtId="0" fontId="41" fillId="10" borderId="79" xfId="15" applyFont="1" applyFill="1" applyBorder="1" applyAlignment="1">
      <alignment horizontal="center" vertical="center" wrapText="1"/>
    </xf>
    <xf numFmtId="0" fontId="41" fillId="10" borderId="80" xfId="15" applyFont="1" applyFill="1" applyBorder="1" applyAlignment="1">
      <alignment horizontal="center" vertical="center" wrapText="1"/>
    </xf>
    <xf numFmtId="0" fontId="41" fillId="10" borderId="73" xfId="15" applyFont="1" applyFill="1" applyBorder="1" applyAlignment="1">
      <alignment horizontal="center" vertical="center" wrapText="1"/>
    </xf>
    <xf numFmtId="0" fontId="40" fillId="0" borderId="76" xfId="15" applyFont="1" applyBorder="1" applyAlignment="1">
      <alignment horizontal="center" vertical="center" wrapText="1"/>
    </xf>
    <xf numFmtId="0" fontId="41" fillId="10" borderId="74" xfId="15" applyFont="1" applyFill="1" applyBorder="1" applyAlignment="1">
      <alignment horizontal="center" vertical="center" wrapText="1"/>
    </xf>
    <xf numFmtId="0" fontId="40" fillId="0" borderId="77" xfId="15" applyFont="1" applyBorder="1" applyAlignment="1">
      <alignment horizontal="center" vertical="center" wrapText="1"/>
    </xf>
    <xf numFmtId="0" fontId="41" fillId="10" borderId="75" xfId="15" applyFont="1" applyFill="1" applyBorder="1" applyAlignment="1">
      <alignment horizontal="center" vertical="center" wrapText="1"/>
    </xf>
    <xf numFmtId="0" fontId="68" fillId="10" borderId="43" xfId="15" applyFont="1" applyFill="1" applyBorder="1" applyAlignment="1">
      <alignment horizontal="center" vertical="center" wrapText="1"/>
    </xf>
    <xf numFmtId="0" fontId="68" fillId="10" borderId="42" xfId="15" applyFont="1" applyFill="1" applyBorder="1" applyAlignment="1">
      <alignment horizontal="center" vertical="center" wrapText="1"/>
    </xf>
    <xf numFmtId="0" fontId="68" fillId="18" borderId="43" xfId="15" applyFont="1" applyFill="1" applyBorder="1" applyAlignment="1">
      <alignment horizontal="center" vertical="center" wrapText="1"/>
    </xf>
    <xf numFmtId="0" fontId="68" fillId="18" borderId="42" xfId="15" applyFont="1" applyFill="1" applyBorder="1" applyAlignment="1">
      <alignment horizontal="center" vertical="center" wrapText="1"/>
    </xf>
    <xf numFmtId="0" fontId="68" fillId="10" borderId="73" xfId="15" applyFont="1" applyFill="1" applyBorder="1" applyAlignment="1">
      <alignment horizontal="center" vertical="center" wrapText="1"/>
    </xf>
    <xf numFmtId="0" fontId="68" fillId="10" borderId="75" xfId="15" applyFont="1" applyFill="1" applyBorder="1" applyAlignment="1">
      <alignment horizontal="center" vertical="center" wrapText="1"/>
    </xf>
    <xf numFmtId="0" fontId="68" fillId="18" borderId="73" xfId="15" applyFont="1" applyFill="1" applyBorder="1" applyAlignment="1">
      <alignment horizontal="center" vertical="center" wrapText="1"/>
    </xf>
    <xf numFmtId="0" fontId="68" fillId="18" borderId="75" xfId="15" applyFont="1" applyFill="1" applyBorder="1" applyAlignment="1">
      <alignment horizontal="center" vertical="center" wrapText="1"/>
    </xf>
    <xf numFmtId="173" fontId="41" fillId="10" borderId="96" xfId="0" applyNumberFormat="1" applyFont="1" applyFill="1" applyBorder="1" applyAlignment="1" applyProtection="1">
      <alignment horizontal="center" vertical="center" wrapText="1"/>
      <protection locked="0"/>
    </xf>
    <xf numFmtId="0" fontId="0" fillId="0" borderId="98" xfId="0" applyBorder="1" applyAlignment="1">
      <alignment horizontal="center" vertical="center" wrapText="1"/>
    </xf>
    <xf numFmtId="0" fontId="0" fillId="0" borderId="99" xfId="0" applyBorder="1" applyAlignment="1">
      <alignment horizontal="center" vertical="center" wrapText="1"/>
    </xf>
    <xf numFmtId="0" fontId="41" fillId="10" borderId="47" xfId="0" applyFont="1" applyFill="1" applyBorder="1" applyAlignment="1">
      <alignment horizontal="center" vertical="center" wrapText="1"/>
    </xf>
    <xf numFmtId="0" fontId="0" fillId="0" borderId="107"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12">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808080"/>
      <color rgb="FFE0DCD8"/>
      <color rgb="FFFF84D3"/>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ams/RegFin-APRopex/Shared%20Documents/2022-2023/01%20Accounting%20Seperation/04%20Year%20End/Workings/Table%202C,%204D,%204E/PU%20@%20PC%20and%20Service%20Level%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 Service Level"/>
    </sheetNames>
    <sheetDataSet>
      <sheetData sheetId="0">
        <row r="28">
          <cell r="F28">
            <v>203558.70909909997</v>
          </cell>
          <cell r="G28">
            <v>270401.32874439994</v>
          </cell>
          <cell r="H28">
            <v>3612425.8144491995</v>
          </cell>
          <cell r="I28">
            <v>11646192.550307298</v>
          </cell>
          <cell r="J28">
            <v>-8658652.889304148</v>
          </cell>
          <cell r="K28">
            <v>-3183328.2681265241</v>
          </cell>
          <cell r="L28">
            <v>-891331.91507542669</v>
          </cell>
          <cell r="M28">
            <v>-8851286.9386808574</v>
          </cell>
          <cell r="N28">
            <v>-151470.36388973892</v>
          </cell>
          <cell r="O28">
            <v>103830.54650649999</v>
          </cell>
          <cell r="P28">
            <v>1842903.1093830997</v>
          </cell>
          <cell r="Q28">
            <v>29934.387776199997</v>
          </cell>
        </row>
        <row r="29">
          <cell r="D29">
            <v>969736.00230549974</v>
          </cell>
        </row>
      </sheetData>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72.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74.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customProperty" Target="../customProperty76.bin"/><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8.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79.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abSelected="1" topLeftCell="A28" zoomScaleNormal="100" workbookViewId="0">
      <selection activeCell="B52" sqref="B52"/>
    </sheetView>
  </sheetViews>
  <sheetFormatPr defaultRowHeight="14"/>
  <cols>
    <col min="2" max="2" width="26.5" bestFit="1" customWidth="1"/>
    <col min="3" max="3" width="50.5" bestFit="1" customWidth="1"/>
  </cols>
  <sheetData>
    <row r="1" spans="1:12" ht="28" thickBot="1">
      <c r="A1" s="2407" t="s">
        <v>1856</v>
      </c>
      <c r="B1" s="2407"/>
      <c r="C1" s="2408"/>
      <c r="D1" s="2407"/>
      <c r="E1" s="2407"/>
      <c r="F1" s="2407"/>
      <c r="G1" s="2407"/>
      <c r="H1" s="2616"/>
      <c r="I1" s="2616"/>
    </row>
    <row r="2" spans="1:12" ht="16.5" thickTop="1">
      <c r="A2" s="2409"/>
      <c r="B2" s="2409"/>
      <c r="C2" s="2409"/>
      <c r="D2" s="2409"/>
      <c r="E2" s="2409"/>
      <c r="F2" s="2409"/>
      <c r="G2" s="2409"/>
      <c r="H2" s="2617"/>
      <c r="I2" s="2617"/>
    </row>
    <row r="3" spans="1:12" ht="16">
      <c r="A3" s="2409"/>
      <c r="B3" s="2410" t="s">
        <v>1857</v>
      </c>
      <c r="C3" s="2410" t="s">
        <v>1858</v>
      </c>
      <c r="D3" s="2409"/>
      <c r="E3" s="2409"/>
      <c r="F3" s="2409"/>
      <c r="G3" s="2409"/>
      <c r="H3" s="2618"/>
      <c r="I3" s="2618"/>
    </row>
    <row r="4" spans="1:12" ht="16">
      <c r="A4" s="2409"/>
      <c r="B4" s="2410" t="s">
        <v>1859</v>
      </c>
      <c r="C4" s="2411">
        <v>1.1000000000000001</v>
      </c>
      <c r="D4" s="2409"/>
      <c r="E4" s="2409"/>
      <c r="F4" s="2409"/>
      <c r="G4" s="2409"/>
      <c r="H4" s="2618"/>
      <c r="I4" s="2618"/>
    </row>
    <row r="5" spans="1:12" ht="16">
      <c r="A5" s="2409"/>
      <c r="B5" s="2410" t="s">
        <v>1860</v>
      </c>
      <c r="C5" s="2410" t="s">
        <v>1861</v>
      </c>
      <c r="D5" s="2409"/>
      <c r="E5" s="2409"/>
      <c r="F5" s="2409"/>
      <c r="G5" s="2409"/>
      <c r="H5" s="2618"/>
      <c r="I5" s="2618"/>
    </row>
    <row r="6" spans="1:12" ht="16">
      <c r="A6" s="2409"/>
      <c r="B6" s="2410" t="s">
        <v>1862</v>
      </c>
      <c r="C6" s="2445">
        <v>45078</v>
      </c>
      <c r="D6" s="2409"/>
      <c r="E6" s="2409"/>
      <c r="F6" s="2409"/>
      <c r="G6" s="2409"/>
      <c r="H6" s="2618"/>
      <c r="I6" s="2618"/>
    </row>
    <row r="7" spans="1:12" ht="16">
      <c r="A7" s="2409"/>
      <c r="B7" s="2410" t="s">
        <v>1863</v>
      </c>
      <c r="C7" s="2410" t="s">
        <v>1864</v>
      </c>
      <c r="D7" s="2409"/>
      <c r="E7" s="2409"/>
      <c r="F7" s="2409"/>
      <c r="G7" s="2409"/>
      <c r="H7" s="2618"/>
      <c r="I7" s="2618"/>
    </row>
    <row r="8" spans="1:12" ht="16">
      <c r="A8" s="2409"/>
      <c r="B8" s="2410" t="s">
        <v>1865</v>
      </c>
      <c r="C8" s="2412" t="s">
        <v>1866</v>
      </c>
      <c r="D8" s="2409"/>
      <c r="E8" s="2409"/>
      <c r="F8" s="2409"/>
      <c r="G8" s="2409"/>
      <c r="H8" s="2618"/>
      <c r="I8" s="2618"/>
    </row>
    <row r="9" spans="1:12" ht="16">
      <c r="A9" s="2409"/>
      <c r="B9" s="2409"/>
      <c r="C9" s="2409"/>
      <c r="D9" s="2409"/>
      <c r="E9" s="2409"/>
      <c r="F9" s="2409"/>
      <c r="G9" s="2409"/>
      <c r="H9" s="2618"/>
      <c r="I9" s="2618"/>
    </row>
    <row r="11" spans="1:12" ht="14.5" thickBot="1"/>
    <row r="12" spans="1:12" ht="16" thickBot="1">
      <c r="A12" s="2613" t="s">
        <v>1867</v>
      </c>
      <c r="B12" s="2614"/>
      <c r="C12" s="2614"/>
      <c r="D12" s="2614"/>
      <c r="E12" s="2614"/>
      <c r="F12" s="2614"/>
      <c r="G12" s="2614"/>
      <c r="H12" s="2614"/>
      <c r="I12" s="2614"/>
      <c r="J12" s="2614"/>
      <c r="K12" s="2614"/>
      <c r="L12" s="2615"/>
    </row>
    <row r="13" spans="1:12">
      <c r="A13" s="2619" t="s">
        <v>1868</v>
      </c>
      <c r="B13" s="2620"/>
      <c r="C13" s="2620"/>
      <c r="D13" s="2620"/>
      <c r="E13" s="2620"/>
      <c r="F13" s="2620"/>
      <c r="G13" s="2620"/>
      <c r="H13" s="2620"/>
      <c r="I13" s="2620"/>
      <c r="J13" s="2620"/>
      <c r="K13" s="2620"/>
      <c r="L13" s="2621"/>
    </row>
    <row r="14" spans="1:12">
      <c r="A14" s="2619"/>
      <c r="B14" s="2620"/>
      <c r="C14" s="2620"/>
      <c r="D14" s="2620"/>
      <c r="E14" s="2620"/>
      <c r="F14" s="2620"/>
      <c r="G14" s="2620"/>
      <c r="H14" s="2620"/>
      <c r="I14" s="2620"/>
      <c r="J14" s="2620"/>
      <c r="K14" s="2620"/>
      <c r="L14" s="2621"/>
    </row>
    <row r="15" spans="1:12">
      <c r="A15" s="2619"/>
      <c r="B15" s="2620"/>
      <c r="C15" s="2620"/>
      <c r="D15" s="2620"/>
      <c r="E15" s="2620"/>
      <c r="F15" s="2620"/>
      <c r="G15" s="2620"/>
      <c r="H15" s="2620"/>
      <c r="I15" s="2620"/>
      <c r="J15" s="2620"/>
      <c r="K15" s="2620"/>
      <c r="L15" s="2621"/>
    </row>
    <row r="16" spans="1:12">
      <c r="A16" s="2619"/>
      <c r="B16" s="2620"/>
      <c r="C16" s="2620"/>
      <c r="D16" s="2620"/>
      <c r="E16" s="2620"/>
      <c r="F16" s="2620"/>
      <c r="G16" s="2620"/>
      <c r="H16" s="2620"/>
      <c r="I16" s="2620"/>
      <c r="J16" s="2620"/>
      <c r="K16" s="2620"/>
      <c r="L16" s="2621"/>
    </row>
    <row r="17" spans="1:12" ht="14.5" thickBot="1">
      <c r="A17" s="2619"/>
      <c r="B17" s="2620"/>
      <c r="C17" s="2620"/>
      <c r="D17" s="2620"/>
      <c r="E17" s="2620"/>
      <c r="F17" s="2620"/>
      <c r="G17" s="2620"/>
      <c r="H17" s="2620"/>
      <c r="I17" s="2620"/>
      <c r="J17" s="2620"/>
      <c r="K17" s="2620"/>
      <c r="L17" s="2621"/>
    </row>
    <row r="18" spans="1:12" ht="16" thickBot="1">
      <c r="A18" s="2613" t="s">
        <v>1869</v>
      </c>
      <c r="B18" s="2614"/>
      <c r="C18" s="2614"/>
      <c r="D18" s="2614"/>
      <c r="E18" s="2614"/>
      <c r="F18" s="2614"/>
      <c r="G18" s="2614"/>
      <c r="H18" s="2614"/>
      <c r="I18" s="2614"/>
      <c r="J18" s="2614"/>
      <c r="K18" s="2614"/>
      <c r="L18" s="2615"/>
    </row>
    <row r="19" spans="1:12">
      <c r="A19" s="2625" t="s">
        <v>1870</v>
      </c>
      <c r="B19" s="2626"/>
      <c r="C19" s="2626"/>
      <c r="D19" s="2626"/>
      <c r="E19" s="2626"/>
      <c r="F19" s="2626"/>
      <c r="G19" s="2626"/>
      <c r="H19" s="2626"/>
      <c r="I19" s="2626"/>
      <c r="J19" s="2626"/>
      <c r="K19" s="2626"/>
      <c r="L19" s="2627"/>
    </row>
    <row r="20" spans="1:12">
      <c r="A20" s="2625"/>
      <c r="B20" s="2626"/>
      <c r="C20" s="2626"/>
      <c r="D20" s="2626"/>
      <c r="E20" s="2626"/>
      <c r="F20" s="2626"/>
      <c r="G20" s="2626"/>
      <c r="H20" s="2626"/>
      <c r="I20" s="2626"/>
      <c r="J20" s="2626"/>
      <c r="K20" s="2626"/>
      <c r="L20" s="2627"/>
    </row>
    <row r="21" spans="1:12">
      <c r="A21" s="2625"/>
      <c r="B21" s="2626"/>
      <c r="C21" s="2626"/>
      <c r="D21" s="2626"/>
      <c r="E21" s="2626"/>
      <c r="F21" s="2626"/>
      <c r="G21" s="2626"/>
      <c r="H21" s="2626"/>
      <c r="I21" s="2626"/>
      <c r="J21" s="2626"/>
      <c r="K21" s="2626"/>
      <c r="L21" s="2627"/>
    </row>
    <row r="22" spans="1:12">
      <c r="A22" s="2625"/>
      <c r="B22" s="2626"/>
      <c r="C22" s="2626"/>
      <c r="D22" s="2626"/>
      <c r="E22" s="2626"/>
      <c r="F22" s="2626"/>
      <c r="G22" s="2626"/>
      <c r="H22" s="2626"/>
      <c r="I22" s="2626"/>
      <c r="J22" s="2626"/>
      <c r="K22" s="2626"/>
      <c r="L22" s="2627"/>
    </row>
    <row r="23" spans="1:12">
      <c r="A23" s="2625"/>
      <c r="B23" s="2626"/>
      <c r="C23" s="2626"/>
      <c r="D23" s="2626"/>
      <c r="E23" s="2626"/>
      <c r="F23" s="2626"/>
      <c r="G23" s="2626"/>
      <c r="H23" s="2626"/>
      <c r="I23" s="2626"/>
      <c r="J23" s="2626"/>
      <c r="K23" s="2626"/>
      <c r="L23" s="2627"/>
    </row>
    <row r="24" spans="1:12">
      <c r="A24" s="2625"/>
      <c r="B24" s="2626"/>
      <c r="C24" s="2626"/>
      <c r="D24" s="2626"/>
      <c r="E24" s="2626"/>
      <c r="F24" s="2626"/>
      <c r="G24" s="2626"/>
      <c r="H24" s="2626"/>
      <c r="I24" s="2626"/>
      <c r="J24" s="2626"/>
      <c r="K24" s="2626"/>
      <c r="L24" s="2627"/>
    </row>
    <row r="25" spans="1:12">
      <c r="A25" s="2625"/>
      <c r="B25" s="2626"/>
      <c r="C25" s="2626"/>
      <c r="D25" s="2626"/>
      <c r="E25" s="2626"/>
      <c r="F25" s="2626"/>
      <c r="G25" s="2626"/>
      <c r="H25" s="2626"/>
      <c r="I25" s="2626"/>
      <c r="J25" s="2626"/>
      <c r="K25" s="2626"/>
      <c r="L25" s="2627"/>
    </row>
    <row r="26" spans="1:12">
      <c r="A26" s="2625"/>
      <c r="B26" s="2626"/>
      <c r="C26" s="2626"/>
      <c r="D26" s="2626"/>
      <c r="E26" s="2626"/>
      <c r="F26" s="2626"/>
      <c r="G26" s="2626"/>
      <c r="H26" s="2626"/>
      <c r="I26" s="2626"/>
      <c r="J26" s="2626"/>
      <c r="K26" s="2626"/>
      <c r="L26" s="2627"/>
    </row>
    <row r="27" spans="1:12">
      <c r="A27" s="2625"/>
      <c r="B27" s="2626"/>
      <c r="C27" s="2626"/>
      <c r="D27" s="2626"/>
      <c r="E27" s="2626"/>
      <c r="F27" s="2626"/>
      <c r="G27" s="2626"/>
      <c r="H27" s="2626"/>
      <c r="I27" s="2626"/>
      <c r="J27" s="2626"/>
      <c r="K27" s="2626"/>
      <c r="L27" s="2627"/>
    </row>
    <row r="28" spans="1:12">
      <c r="A28" s="2625"/>
      <c r="B28" s="2626"/>
      <c r="C28" s="2626"/>
      <c r="D28" s="2626"/>
      <c r="E28" s="2626"/>
      <c r="F28" s="2626"/>
      <c r="G28" s="2626"/>
      <c r="H28" s="2626"/>
      <c r="I28" s="2626"/>
      <c r="J28" s="2626"/>
      <c r="K28" s="2626"/>
      <c r="L28" s="2627"/>
    </row>
    <row r="29" spans="1:12">
      <c r="A29" s="2625"/>
      <c r="B29" s="2626"/>
      <c r="C29" s="2626"/>
      <c r="D29" s="2626"/>
      <c r="E29" s="2626"/>
      <c r="F29" s="2626"/>
      <c r="G29" s="2626"/>
      <c r="H29" s="2626"/>
      <c r="I29" s="2626"/>
      <c r="J29" s="2626"/>
      <c r="K29" s="2626"/>
      <c r="L29" s="2627"/>
    </row>
    <row r="30" spans="1:12">
      <c r="A30" s="2625"/>
      <c r="B30" s="2626"/>
      <c r="C30" s="2626"/>
      <c r="D30" s="2626"/>
      <c r="E30" s="2626"/>
      <c r="F30" s="2626"/>
      <c r="G30" s="2626"/>
      <c r="H30" s="2626"/>
      <c r="I30" s="2626"/>
      <c r="J30" s="2626"/>
      <c r="K30" s="2626"/>
      <c r="L30" s="2627"/>
    </row>
    <row r="31" spans="1:12" ht="147.75" customHeight="1">
      <c r="A31" s="2625"/>
      <c r="B31" s="2626"/>
      <c r="C31" s="2626"/>
      <c r="D31" s="2626"/>
      <c r="E31" s="2626"/>
      <c r="F31" s="2626"/>
      <c r="G31" s="2626"/>
      <c r="H31" s="2626"/>
      <c r="I31" s="2626"/>
      <c r="J31" s="2626"/>
      <c r="K31" s="2626"/>
      <c r="L31" s="2627"/>
    </row>
    <row r="32" spans="1:12" ht="14.5" thickBot="1">
      <c r="A32" s="2429"/>
      <c r="B32" s="2430"/>
      <c r="C32" s="2430"/>
      <c r="D32" s="2430"/>
      <c r="E32" s="2430"/>
      <c r="F32" s="2430"/>
      <c r="G32" s="2430"/>
      <c r="H32" s="2430"/>
      <c r="I32" s="2430"/>
      <c r="J32" s="2430"/>
      <c r="K32" s="2430"/>
      <c r="L32" s="2431"/>
    </row>
    <row r="33" spans="1:12" ht="16" thickBot="1">
      <c r="A33" s="2613" t="s">
        <v>1871</v>
      </c>
      <c r="B33" s="2614"/>
      <c r="C33" s="2614"/>
      <c r="D33" s="2614"/>
      <c r="E33" s="2614"/>
      <c r="F33" s="2614"/>
      <c r="G33" s="2614"/>
      <c r="H33" s="2614"/>
      <c r="I33" s="2614"/>
      <c r="J33" s="2614"/>
      <c r="K33" s="2614"/>
      <c r="L33" s="2615"/>
    </row>
    <row r="34" spans="1:12">
      <c r="A34" s="2426" t="s">
        <v>1872</v>
      </c>
      <c r="B34" s="2427"/>
      <c r="C34" s="2427"/>
      <c r="D34" s="2427"/>
      <c r="E34" s="2427"/>
      <c r="F34" s="2427"/>
      <c r="G34" s="2427"/>
      <c r="H34" s="2427"/>
      <c r="I34" s="2427"/>
      <c r="J34" s="2427"/>
      <c r="K34" s="2427"/>
      <c r="L34" s="2428"/>
    </row>
    <row r="35" spans="1:12" ht="14.5" thickBot="1">
      <c r="A35" s="2426"/>
      <c r="B35" s="2427"/>
      <c r="C35" s="2427"/>
      <c r="D35" s="2427"/>
      <c r="E35" s="2427"/>
      <c r="F35" s="2427"/>
      <c r="G35" s="2427"/>
      <c r="H35" s="2427"/>
      <c r="I35" s="2427"/>
      <c r="J35" s="2427"/>
      <c r="K35" s="2427"/>
      <c r="L35" s="2428"/>
    </row>
    <row r="36" spans="1:12" ht="16" thickBot="1">
      <c r="A36" s="2613" t="s">
        <v>1873</v>
      </c>
      <c r="B36" s="2614"/>
      <c r="C36" s="2614"/>
      <c r="D36" s="2614"/>
      <c r="E36" s="2614"/>
      <c r="F36" s="2614"/>
      <c r="G36" s="2614"/>
      <c r="H36" s="2614"/>
      <c r="I36" s="2614"/>
      <c r="J36" s="2614"/>
      <c r="K36" s="2614"/>
      <c r="L36" s="2615"/>
    </row>
    <row r="37" spans="1:12">
      <c r="A37" s="2628" t="s">
        <v>1874</v>
      </c>
      <c r="B37" s="2629"/>
      <c r="C37" s="2629"/>
      <c r="D37" s="2629"/>
      <c r="E37" s="2629"/>
      <c r="F37" s="2629"/>
      <c r="G37" s="2629"/>
      <c r="H37" s="2629"/>
      <c r="I37" s="2629"/>
      <c r="J37" s="2629"/>
      <c r="K37" s="2629"/>
      <c r="L37" s="2630"/>
    </row>
    <row r="38" spans="1:12">
      <c r="A38" s="2625"/>
      <c r="B38" s="2626"/>
      <c r="C38" s="2626"/>
      <c r="D38" s="2626"/>
      <c r="E38" s="2626"/>
      <c r="F38" s="2626"/>
      <c r="G38" s="2626"/>
      <c r="H38" s="2626"/>
      <c r="I38" s="2626"/>
      <c r="J38" s="2626"/>
      <c r="K38" s="2626"/>
      <c r="L38" s="2627"/>
    </row>
    <row r="39" spans="1:12" ht="14.5" thickBot="1">
      <c r="A39" s="2631"/>
      <c r="B39" s="2632"/>
      <c r="C39" s="2632"/>
      <c r="D39" s="2632"/>
      <c r="E39" s="2632"/>
      <c r="F39" s="2632"/>
      <c r="G39" s="2632"/>
      <c r="H39" s="2632"/>
      <c r="I39" s="2632"/>
      <c r="J39" s="2632"/>
      <c r="K39" s="2632"/>
      <c r="L39" s="2633"/>
    </row>
    <row r="40" spans="1:12" ht="16" thickBot="1">
      <c r="A40" s="2613" t="s">
        <v>1875</v>
      </c>
      <c r="B40" s="2614"/>
      <c r="C40" s="2614"/>
      <c r="D40" s="2614"/>
      <c r="E40" s="2614"/>
      <c r="F40" s="2614"/>
      <c r="G40" s="2614"/>
      <c r="H40" s="2614"/>
      <c r="I40" s="2614"/>
      <c r="J40" s="2614"/>
      <c r="K40" s="2614"/>
      <c r="L40" s="2615"/>
    </row>
    <row r="41" spans="1:12">
      <c r="A41" s="2622" t="s">
        <v>1876</v>
      </c>
      <c r="B41" s="2623"/>
      <c r="C41" s="2623"/>
      <c r="D41" s="2623"/>
      <c r="E41" s="2623"/>
      <c r="F41" s="2623"/>
      <c r="G41" s="2623"/>
      <c r="H41" s="2623"/>
      <c r="I41" s="2623"/>
      <c r="J41" s="2623"/>
      <c r="K41" s="2623"/>
      <c r="L41" s="2624"/>
    </row>
    <row r="42" spans="1:12">
      <c r="A42" s="2622" t="s">
        <v>1877</v>
      </c>
      <c r="B42" s="2623"/>
      <c r="C42" s="2623"/>
      <c r="D42" s="2623"/>
      <c r="E42" s="2623"/>
      <c r="F42" s="2623"/>
      <c r="G42" s="2623"/>
      <c r="H42" s="2623"/>
      <c r="I42" s="2623"/>
      <c r="J42" s="2623"/>
      <c r="K42" s="2623"/>
      <c r="L42" s="2624"/>
    </row>
    <row r="43" spans="1:12" ht="14.5" thickBot="1">
      <c r="A43" s="2565"/>
      <c r="B43" s="2566"/>
      <c r="C43" s="2566"/>
      <c r="D43" s="2566"/>
      <c r="E43" s="2566"/>
      <c r="F43" s="2566"/>
      <c r="G43" s="2566"/>
      <c r="H43" s="2566"/>
      <c r="I43" s="2566"/>
      <c r="J43" s="2566"/>
      <c r="K43" s="2566"/>
      <c r="L43" s="2567"/>
    </row>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pageSetup paperSize="9" orientation="portrait" r:id="rId4"/>
  <customProperties>
    <customPr name="_pios_id" r:id="rId5"/>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zoomScale="55" zoomScaleNormal="55" workbookViewId="0">
      <selection activeCell="J45" sqref="J45"/>
    </sheetView>
  </sheetViews>
  <sheetFormatPr defaultColWidth="8.58203125" defaultRowHeight="15.5"/>
  <cols>
    <col min="1" max="1" width="8.58203125" style="222"/>
    <col min="2" max="2" width="56.58203125" style="222" bestFit="1" customWidth="1"/>
    <col min="3" max="3" width="11.08203125" style="222" customWidth="1"/>
    <col min="4" max="4" width="9.58203125" style="222" customWidth="1"/>
    <col min="5" max="16" width="17.08203125" style="222" customWidth="1"/>
    <col min="17" max="19" width="8.58203125" style="222"/>
    <col min="20" max="20" width="19.58203125" style="222" customWidth="1"/>
    <col min="21" max="21" width="8.58203125" style="222"/>
    <col min="22" max="22" width="3.08203125" style="222" customWidth="1"/>
    <col min="23" max="23" width="29.08203125" style="222" bestFit="1" customWidth="1"/>
    <col min="24" max="24" width="3.5" style="222" customWidth="1"/>
    <col min="25" max="25" width="27.58203125" style="222" hidden="1" customWidth="1"/>
    <col min="26" max="37" width="8.58203125" style="222" hidden="1" customWidth="1"/>
    <col min="38" max="38" width="8.58203125" style="222"/>
    <col min="39" max="39" width="60.58203125" style="222" bestFit="1" customWidth="1"/>
    <col min="40" max="40" width="6.08203125" style="222" bestFit="1" customWidth="1"/>
    <col min="41" max="41" width="5.08203125" style="222" bestFit="1" customWidth="1"/>
    <col min="42" max="42" width="46.58203125" style="222" bestFit="1" customWidth="1"/>
    <col min="43" max="43" width="44.58203125" style="222" bestFit="1" customWidth="1"/>
    <col min="44" max="44" width="43" style="222" bestFit="1" customWidth="1"/>
    <col min="45" max="45" width="46.58203125" style="222" bestFit="1" customWidth="1"/>
    <col min="46" max="46" width="44.58203125" style="222" bestFit="1" customWidth="1"/>
    <col min="47" max="47" width="43" style="222" bestFit="1" customWidth="1"/>
    <col min="48" max="48" width="46.58203125" style="222" bestFit="1" customWidth="1"/>
    <col min="49" max="49" width="44.58203125" style="222" bestFit="1" customWidth="1"/>
    <col min="50" max="50" width="43" style="222" bestFit="1" customWidth="1"/>
    <col min="51" max="51" width="46.58203125" style="222" bestFit="1" customWidth="1"/>
    <col min="52" max="52" width="44.58203125" style="222" bestFit="1" customWidth="1"/>
    <col min="53" max="53" width="43" style="222" bestFit="1" customWidth="1"/>
    <col min="54" max="16384" width="8.58203125" style="222"/>
  </cols>
  <sheetData>
    <row r="1" spans="1:56" s="385" customFormat="1" ht="22.5">
      <c r="A1" s="1667"/>
      <c r="B1" s="2725" t="s">
        <v>2537</v>
      </c>
      <c r="C1" s="2725"/>
      <c r="D1" s="2725"/>
      <c r="E1" s="2725"/>
      <c r="F1" s="2725"/>
      <c r="G1" s="2725"/>
      <c r="H1" s="2725"/>
      <c r="I1" s="2725"/>
      <c r="J1" s="1679"/>
      <c r="K1" s="1679"/>
      <c r="L1" s="1679"/>
      <c r="M1" s="1679"/>
      <c r="N1" s="1679"/>
      <c r="O1" s="1679"/>
      <c r="P1" s="1679"/>
      <c r="Q1" s="1679"/>
      <c r="R1" s="1679"/>
      <c r="S1" s="1679"/>
      <c r="T1" s="1679"/>
      <c r="U1" s="1667"/>
      <c r="V1" s="305"/>
      <c r="W1" s="239"/>
      <c r="X1" s="1680"/>
      <c r="Y1" s="206"/>
      <c r="Z1" s="206"/>
      <c r="AA1" s="206"/>
      <c r="AB1" s="206"/>
      <c r="AC1" s="206"/>
      <c r="AD1" s="206"/>
      <c r="AE1" s="206"/>
      <c r="AF1" s="206"/>
      <c r="AG1" s="206"/>
      <c r="AH1" s="206"/>
      <c r="AI1" s="206"/>
      <c r="AJ1" s="206"/>
      <c r="AK1" s="1680"/>
      <c r="AL1" s="1667"/>
      <c r="AM1" s="1731" t="s">
        <v>1887</v>
      </c>
      <c r="AN1" s="1681"/>
      <c r="AO1" s="1681"/>
      <c r="AP1" s="1681"/>
      <c r="AQ1" s="1681"/>
      <c r="AR1" s="1668"/>
      <c r="AS1" s="1669"/>
      <c r="AT1" s="1669"/>
      <c r="AU1" s="1669"/>
      <c r="AV1" s="1669"/>
      <c r="AW1" s="1669"/>
      <c r="AX1" s="1668"/>
      <c r="AY1" s="1669"/>
      <c r="AZ1" s="1667"/>
      <c r="BA1" s="1667"/>
      <c r="BB1" s="1667"/>
      <c r="BC1" s="1667"/>
      <c r="BD1" s="1667"/>
    </row>
    <row r="2" spans="1:56" s="385" customFormat="1" ht="22.5">
      <c r="A2" s="1667"/>
      <c r="B2" s="2725" t="str">
        <f>SelectCompany!B4</f>
        <v>Yorkshire Water</v>
      </c>
      <c r="C2" s="2725"/>
      <c r="D2" s="2725"/>
      <c r="E2" s="2725"/>
      <c r="F2" s="2725"/>
      <c r="G2" s="2725"/>
      <c r="H2" s="2725"/>
      <c r="I2" s="2725"/>
      <c r="J2" s="1679"/>
      <c r="K2" s="1679"/>
      <c r="L2" s="1679"/>
      <c r="M2" s="1679"/>
      <c r="N2" s="1679"/>
      <c r="O2" s="1679"/>
      <c r="P2" s="1679"/>
      <c r="Q2" s="1679"/>
      <c r="R2" s="1679"/>
      <c r="S2" s="1684"/>
      <c r="T2" s="1684"/>
      <c r="U2" s="1684"/>
      <c r="V2" s="305"/>
      <c r="W2" s="239"/>
      <c r="X2" s="1680"/>
      <c r="Y2" s="206"/>
      <c r="Z2" s="206"/>
      <c r="AA2" s="206"/>
      <c r="AB2" s="206"/>
      <c r="AC2" s="206"/>
      <c r="AD2" s="206"/>
      <c r="AE2" s="206"/>
      <c r="AF2" s="206"/>
      <c r="AG2" s="206"/>
      <c r="AH2" s="206"/>
      <c r="AI2" s="206"/>
      <c r="AJ2" s="206"/>
      <c r="AK2" s="1680"/>
      <c r="AL2" s="1667"/>
      <c r="AM2" s="1679"/>
      <c r="AN2" s="1669"/>
      <c r="AO2" s="1669"/>
      <c r="AP2" s="1669"/>
      <c r="AQ2" s="1669"/>
      <c r="AR2" s="1668"/>
      <c r="AS2" s="1669"/>
      <c r="AT2" s="1669"/>
      <c r="AU2" s="1669"/>
      <c r="AV2" s="1669"/>
      <c r="AW2" s="1669"/>
      <c r="AX2" s="1668"/>
      <c r="AY2" s="1669"/>
      <c r="AZ2" s="1667"/>
      <c r="BA2" s="1667"/>
      <c r="BB2" s="1667"/>
      <c r="BC2" s="1667"/>
      <c r="BD2" s="1667"/>
    </row>
    <row r="3" spans="1:56" s="385" customFormat="1" ht="20">
      <c r="A3" s="1667"/>
      <c r="B3" s="2708" t="s">
        <v>2538</v>
      </c>
      <c r="C3" s="2708"/>
      <c r="D3" s="2708"/>
      <c r="E3" s="2708"/>
      <c r="F3" s="2708"/>
      <c r="G3" s="2708"/>
      <c r="H3" s="2708"/>
      <c r="I3" s="2708"/>
      <c r="J3" s="2708"/>
      <c r="K3" s="2708"/>
      <c r="L3" s="2708"/>
      <c r="M3" s="2708"/>
      <c r="N3" s="2708"/>
      <c r="O3" s="2708"/>
      <c r="P3" s="2708"/>
      <c r="Q3" s="2708"/>
      <c r="R3" s="2708"/>
      <c r="S3" s="2708"/>
      <c r="T3" s="2708"/>
      <c r="U3" s="1684"/>
      <c r="V3" s="305"/>
      <c r="W3" s="1682" t="s">
        <v>1889</v>
      </c>
      <c r="X3" s="1680"/>
      <c r="Y3" s="206"/>
      <c r="Z3" s="206"/>
      <c r="AA3" s="206"/>
      <c r="AB3" s="206"/>
      <c r="AC3" s="206"/>
      <c r="AD3" s="206"/>
      <c r="AE3" s="206"/>
      <c r="AF3" s="206"/>
      <c r="AG3" s="206"/>
      <c r="AH3" s="206"/>
      <c r="AI3" s="206"/>
      <c r="AJ3" s="206"/>
      <c r="AK3" s="1680"/>
      <c r="AL3" s="1667"/>
      <c r="AM3" s="2707" t="s">
        <v>2538</v>
      </c>
      <c r="AN3" s="2708"/>
      <c r="AO3" s="2708"/>
      <c r="AP3" s="2708"/>
      <c r="AQ3" s="2708"/>
      <c r="AR3" s="2708"/>
      <c r="AS3" s="2708"/>
      <c r="AT3" s="2708"/>
      <c r="AU3" s="2708"/>
      <c r="AV3" s="2708"/>
      <c r="AW3" s="2708"/>
      <c r="AX3" s="2708"/>
      <c r="AY3" s="2708"/>
      <c r="AZ3" s="2708"/>
      <c r="BA3" s="2708"/>
      <c r="BB3" s="1667"/>
      <c r="BC3" s="1667"/>
      <c r="BD3" s="1667"/>
    </row>
    <row r="4" spans="1:56" ht="16" thickBot="1">
      <c r="A4" s="1684"/>
      <c r="B4" s="853"/>
      <c r="C4" s="853"/>
      <c r="D4" s="853"/>
      <c r="E4" s="853"/>
      <c r="F4" s="853"/>
      <c r="G4" s="853"/>
      <c r="H4" s="853"/>
      <c r="I4" s="853"/>
      <c r="J4" s="853"/>
      <c r="K4" s="853"/>
      <c r="L4" s="853"/>
      <c r="M4" s="853"/>
      <c r="N4" s="853"/>
      <c r="O4" s="853"/>
      <c r="P4" s="853"/>
      <c r="Q4" s="853"/>
      <c r="R4" s="853"/>
      <c r="S4" s="853"/>
      <c r="T4" s="853"/>
      <c r="U4" s="853"/>
      <c r="V4" s="305"/>
      <c r="W4" s="1684"/>
      <c r="X4" s="1680"/>
      <c r="Y4" s="1685" t="s">
        <v>1890</v>
      </c>
      <c r="AK4" s="1680"/>
      <c r="AL4" s="1684"/>
      <c r="AM4" s="1684"/>
      <c r="AN4" s="1684"/>
      <c r="AO4" s="1684"/>
      <c r="AP4" s="1792"/>
      <c r="AQ4" s="1684"/>
      <c r="AR4" s="1684"/>
      <c r="AS4" s="1684"/>
      <c r="AT4" s="1684"/>
      <c r="AU4" s="1684"/>
      <c r="AV4" s="1684"/>
      <c r="AW4" s="1684"/>
      <c r="AX4" s="1684"/>
      <c r="AY4" s="1684"/>
      <c r="AZ4" s="1684"/>
      <c r="BA4" s="1684"/>
      <c r="BB4" s="1684"/>
      <c r="BC4" s="1684"/>
      <c r="BD4" s="1684"/>
    </row>
    <row r="5" spans="1:56" ht="16.5" thickTop="1" thickBot="1">
      <c r="A5" s="1684"/>
      <c r="B5" s="1687"/>
      <c r="C5" s="1686"/>
      <c r="D5" s="1686"/>
      <c r="E5" s="2714" t="s">
        <v>2539</v>
      </c>
      <c r="F5" s="2715"/>
      <c r="G5" s="2715"/>
      <c r="H5" s="2715"/>
      <c r="I5" s="2715"/>
      <c r="J5" s="2715"/>
      <c r="K5" s="2715" t="s">
        <v>2540</v>
      </c>
      <c r="L5" s="2715"/>
      <c r="M5" s="2715"/>
      <c r="N5" s="2715"/>
      <c r="O5" s="2715"/>
      <c r="P5" s="2723"/>
      <c r="Q5" s="1684"/>
      <c r="R5" s="2711" t="s">
        <v>1896</v>
      </c>
      <c r="S5" s="1684"/>
      <c r="T5" s="2711" t="s">
        <v>1897</v>
      </c>
      <c r="U5" s="1684"/>
      <c r="V5" s="305"/>
      <c r="W5" s="1684"/>
      <c r="X5" s="1680"/>
      <c r="Y5" s="222" t="s">
        <v>1898</v>
      </c>
      <c r="AK5" s="1680"/>
      <c r="AL5" s="1684"/>
      <c r="AM5" s="1686"/>
      <c r="AN5" s="1686"/>
      <c r="AO5" s="1686"/>
      <c r="AP5" s="2714" t="s">
        <v>2541</v>
      </c>
      <c r="AQ5" s="2715"/>
      <c r="AR5" s="2715"/>
      <c r="AS5" s="2715"/>
      <c r="AT5" s="2715"/>
      <c r="AU5" s="2715"/>
      <c r="AV5" s="2715" t="s">
        <v>2540</v>
      </c>
      <c r="AW5" s="2715"/>
      <c r="AX5" s="2715"/>
      <c r="AY5" s="2715"/>
      <c r="AZ5" s="2715"/>
      <c r="BA5" s="2723"/>
      <c r="BB5" s="1684"/>
      <c r="BC5" s="1684"/>
      <c r="BD5" s="1684"/>
    </row>
    <row r="6" spans="1:56" ht="16" thickTop="1">
      <c r="A6" s="1684"/>
      <c r="B6" s="2716" t="s">
        <v>1891</v>
      </c>
      <c r="C6" s="2715"/>
      <c r="D6" s="2719"/>
      <c r="E6" s="2709" t="s">
        <v>2542</v>
      </c>
      <c r="F6" s="2709" t="s">
        <v>2543</v>
      </c>
      <c r="G6" s="2709" t="s">
        <v>2544</v>
      </c>
      <c r="H6" s="2709" t="s">
        <v>2542</v>
      </c>
      <c r="I6" s="2709" t="s">
        <v>2543</v>
      </c>
      <c r="J6" s="2709" t="s">
        <v>2544</v>
      </c>
      <c r="K6" s="2709" t="s">
        <v>2542</v>
      </c>
      <c r="L6" s="2709" t="s">
        <v>2543</v>
      </c>
      <c r="M6" s="2709" t="s">
        <v>2544</v>
      </c>
      <c r="N6" s="2709" t="s">
        <v>2542</v>
      </c>
      <c r="O6" s="2709" t="s">
        <v>2543</v>
      </c>
      <c r="P6" s="2721" t="s">
        <v>2544</v>
      </c>
      <c r="Q6" s="1684"/>
      <c r="R6" s="2712"/>
      <c r="S6" s="1684"/>
      <c r="T6" s="2712"/>
      <c r="U6" s="1684"/>
      <c r="V6" s="305"/>
      <c r="W6" s="1684"/>
      <c r="X6" s="1680"/>
      <c r="AK6" s="1680"/>
      <c r="AL6" s="1684"/>
      <c r="AM6" s="2716" t="s">
        <v>1891</v>
      </c>
      <c r="AN6" s="2715" t="s">
        <v>1892</v>
      </c>
      <c r="AO6" s="2719" t="s">
        <v>136</v>
      </c>
      <c r="AP6" s="2709" t="s">
        <v>2542</v>
      </c>
      <c r="AQ6" s="2709" t="s">
        <v>2543</v>
      </c>
      <c r="AR6" s="2709" t="s">
        <v>2544</v>
      </c>
      <c r="AS6" s="2709" t="s">
        <v>2542</v>
      </c>
      <c r="AT6" s="2709" t="s">
        <v>2543</v>
      </c>
      <c r="AU6" s="2709" t="s">
        <v>2544</v>
      </c>
      <c r="AV6" s="2709" t="s">
        <v>2542</v>
      </c>
      <c r="AW6" s="2709" t="s">
        <v>2543</v>
      </c>
      <c r="AX6" s="2709" t="s">
        <v>2544</v>
      </c>
      <c r="AY6" s="2709" t="s">
        <v>2542</v>
      </c>
      <c r="AZ6" s="2709" t="s">
        <v>2543</v>
      </c>
      <c r="BA6" s="2721" t="s">
        <v>2544</v>
      </c>
      <c r="BB6" s="1684"/>
      <c r="BC6" s="1684"/>
      <c r="BD6" s="1684"/>
    </row>
    <row r="7" spans="1:56" ht="47.9" customHeight="1" thickBot="1">
      <c r="A7" s="1684"/>
      <c r="B7" s="2717"/>
      <c r="C7" s="2718"/>
      <c r="D7" s="2720"/>
      <c r="E7" s="2724"/>
      <c r="F7" s="2724"/>
      <c r="G7" s="2724"/>
      <c r="H7" s="2710"/>
      <c r="I7" s="2710"/>
      <c r="J7" s="2710"/>
      <c r="K7" s="2710"/>
      <c r="L7" s="2710"/>
      <c r="M7" s="2710"/>
      <c r="N7" s="2710"/>
      <c r="O7" s="2710"/>
      <c r="P7" s="2722"/>
      <c r="Q7" s="1684"/>
      <c r="R7" s="2713"/>
      <c r="S7" s="1684"/>
      <c r="T7" s="2713"/>
      <c r="U7" s="1684"/>
      <c r="V7" s="305"/>
      <c r="W7" s="1684"/>
      <c r="X7" s="1680"/>
      <c r="Y7" s="1732"/>
      <c r="AK7" s="1680"/>
      <c r="AL7" s="1684"/>
      <c r="AM7" s="2717"/>
      <c r="AN7" s="2718"/>
      <c r="AO7" s="2720"/>
      <c r="AP7" s="2710"/>
      <c r="AQ7" s="2710"/>
      <c r="AR7" s="2710"/>
      <c r="AS7" s="2710"/>
      <c r="AT7" s="2710"/>
      <c r="AU7" s="2710"/>
      <c r="AV7" s="2710"/>
      <c r="AW7" s="2710"/>
      <c r="AX7" s="2710"/>
      <c r="AY7" s="2710"/>
      <c r="AZ7" s="2710"/>
      <c r="BA7" s="2722"/>
      <c r="BB7" s="1684"/>
      <c r="BC7" s="1684"/>
      <c r="BD7" s="1684"/>
    </row>
    <row r="8" spans="1:56" ht="16.5" thickTop="1" thickBot="1">
      <c r="A8" s="1684"/>
      <c r="B8" s="1686"/>
      <c r="C8" s="2732" t="s">
        <v>1892</v>
      </c>
      <c r="D8" s="2733"/>
      <c r="E8" s="2736" t="s">
        <v>1344</v>
      </c>
      <c r="F8" s="2737"/>
      <c r="G8" s="2738"/>
      <c r="H8" s="2736" t="s">
        <v>137</v>
      </c>
      <c r="I8" s="2737"/>
      <c r="J8" s="2738"/>
      <c r="K8" s="2736" t="s">
        <v>1344</v>
      </c>
      <c r="L8" s="2737"/>
      <c r="M8" s="2738"/>
      <c r="N8" s="2726" t="s">
        <v>137</v>
      </c>
      <c r="O8" s="2727"/>
      <c r="P8" s="2728"/>
      <c r="Q8" s="1684"/>
      <c r="R8" s="1684"/>
      <c r="S8" s="1684"/>
      <c r="T8" s="1684"/>
      <c r="U8" s="1684"/>
      <c r="V8" s="305"/>
      <c r="W8" s="1684"/>
      <c r="X8" s="1680"/>
      <c r="AK8" s="1680"/>
      <c r="AL8" s="1684"/>
      <c r="AM8" s="1686"/>
      <c r="AN8" s="1686"/>
      <c r="AO8" s="1686"/>
      <c r="AP8" s="1686"/>
      <c r="AQ8" s="1686"/>
      <c r="AR8" s="1686"/>
      <c r="AS8" s="1686"/>
      <c r="AT8" s="1686"/>
      <c r="AU8" s="1686"/>
      <c r="AV8" s="1686"/>
      <c r="AW8" s="1686"/>
      <c r="AX8" s="1686"/>
      <c r="AY8" s="1686"/>
      <c r="AZ8" s="1686"/>
      <c r="BA8" s="1686"/>
      <c r="BB8" s="1684"/>
      <c r="BC8" s="1684"/>
      <c r="BD8" s="1684"/>
    </row>
    <row r="9" spans="1:56" ht="16.5" thickTop="1" thickBot="1">
      <c r="A9" s="1684"/>
      <c r="B9" s="2110" t="s">
        <v>2545</v>
      </c>
      <c r="C9" s="2734" t="s">
        <v>136</v>
      </c>
      <c r="D9" s="2735"/>
      <c r="E9" s="2739">
        <v>2</v>
      </c>
      <c r="F9" s="2740"/>
      <c r="G9" s="2735"/>
      <c r="H9" s="2739">
        <v>3</v>
      </c>
      <c r="I9" s="2740"/>
      <c r="J9" s="2735"/>
      <c r="K9" s="2739">
        <v>2</v>
      </c>
      <c r="L9" s="2740"/>
      <c r="M9" s="2735"/>
      <c r="N9" s="2729">
        <v>3</v>
      </c>
      <c r="O9" s="2730"/>
      <c r="P9" s="2731"/>
      <c r="Q9" s="1684"/>
      <c r="R9" s="1684"/>
      <c r="S9" s="1684"/>
      <c r="T9" s="1684"/>
      <c r="U9" s="1684"/>
      <c r="V9" s="305"/>
      <c r="W9" s="1684"/>
      <c r="X9" s="1680"/>
      <c r="AK9" s="1680"/>
      <c r="AL9" s="1684"/>
      <c r="AM9" s="2110" t="s">
        <v>2545</v>
      </c>
      <c r="AN9" s="1686"/>
      <c r="AO9" s="1686"/>
      <c r="AP9" s="1686"/>
      <c r="AQ9" s="1686"/>
      <c r="AR9" s="1686"/>
      <c r="AS9" s="1686"/>
      <c r="AT9" s="1686"/>
      <c r="AU9" s="1686"/>
      <c r="AV9" s="1686"/>
      <c r="AW9" s="1686"/>
      <c r="AX9" s="1686"/>
      <c r="AY9" s="1686"/>
      <c r="AZ9" s="1686"/>
      <c r="BA9" s="1686"/>
      <c r="BB9" s="1684"/>
      <c r="BC9" s="1684"/>
      <c r="BD9" s="1684"/>
    </row>
    <row r="10" spans="1:56" ht="16.5" thickTop="1" thickBot="1">
      <c r="A10" s="1684"/>
      <c r="B10" s="382" t="s">
        <v>2545</v>
      </c>
      <c r="C10" s="2122" t="s">
        <v>137</v>
      </c>
      <c r="D10" s="2123">
        <v>3</v>
      </c>
      <c r="E10" s="2146">
        <v>2841.5660371397175</v>
      </c>
      <c r="F10" s="2124">
        <v>2841.5660371397175</v>
      </c>
      <c r="G10" s="2146">
        <v>2282.4645767725979</v>
      </c>
      <c r="H10" s="2182"/>
      <c r="I10" s="2182"/>
      <c r="J10" s="2182"/>
      <c r="K10" s="2146">
        <v>2737.6872764574223</v>
      </c>
      <c r="L10" s="2124">
        <v>2737.6872764574223</v>
      </c>
      <c r="M10" s="2146">
        <v>1887.4045539203137</v>
      </c>
      <c r="N10" s="2182"/>
      <c r="O10" s="2182"/>
      <c r="P10" s="2183"/>
      <c r="Q10" s="1684"/>
      <c r="R10" s="1689" t="s">
        <v>2546</v>
      </c>
      <c r="S10" s="1684"/>
      <c r="T10" s="1690"/>
      <c r="U10" s="1684"/>
      <c r="V10" s="305"/>
      <c r="W10" s="1683">
        <f>IF( SUM( Y10:AJ10 ) = 0, 0, $Y$5 )</f>
        <v>0</v>
      </c>
      <c r="X10" s="1680"/>
      <c r="Y10" s="1685">
        <f xml:space="preserve"> IF( ISNUMBER( E10 ), 0, 1 )</f>
        <v>0</v>
      </c>
      <c r="AA10" s="1685">
        <f xml:space="preserve"> IF( ISNUMBER( G10 ), 0, 1 )</f>
        <v>0</v>
      </c>
      <c r="AE10" s="1685">
        <f xml:space="preserve"> IF( ISNUMBER( K10 ), 0, 1 )</f>
        <v>0</v>
      </c>
      <c r="AG10" s="1685">
        <f xml:space="preserve"> IF( ISNUMBER( M10 ), 0, 1 )</f>
        <v>0</v>
      </c>
      <c r="AK10" s="1680"/>
      <c r="AL10" s="1684"/>
      <c r="AM10" s="382" t="s">
        <v>2545</v>
      </c>
      <c r="AN10" s="1688" t="s">
        <v>2547</v>
      </c>
      <c r="AO10" s="1688">
        <v>2</v>
      </c>
      <c r="AP10" s="1752" t="s">
        <v>2548</v>
      </c>
      <c r="AQ10" s="1766" t="s">
        <v>2549</v>
      </c>
      <c r="AR10" s="1752" t="s">
        <v>2550</v>
      </c>
      <c r="AS10" s="1766" t="s">
        <v>2548</v>
      </c>
      <c r="AT10" s="1766" t="s">
        <v>2549</v>
      </c>
      <c r="AU10" s="1766" t="s">
        <v>2550</v>
      </c>
      <c r="AV10" s="1752" t="s">
        <v>2551</v>
      </c>
      <c r="AW10" s="1766" t="s">
        <v>2552</v>
      </c>
      <c r="AX10" s="1752" t="s">
        <v>2553</v>
      </c>
      <c r="AY10" s="1766" t="s">
        <v>2551</v>
      </c>
      <c r="AZ10" s="1766" t="s">
        <v>2552</v>
      </c>
      <c r="BA10" s="1767" t="s">
        <v>2553</v>
      </c>
      <c r="BB10" s="1684"/>
      <c r="BC10" s="1684"/>
      <c r="BD10" s="1684"/>
    </row>
    <row r="11" spans="1:56" ht="16.5" thickTop="1" thickBot="1">
      <c r="A11" s="1684"/>
      <c r="B11" s="1687"/>
      <c r="C11" s="1686"/>
      <c r="D11" s="1686"/>
      <c r="E11" s="2114"/>
      <c r="F11" s="2114"/>
      <c r="G11" s="2114"/>
      <c r="H11" s="2125"/>
      <c r="I11" s="2125"/>
      <c r="J11" s="2125"/>
      <c r="K11" s="2114"/>
      <c r="L11" s="2114"/>
      <c r="M11" s="2114"/>
      <c r="N11" s="2125"/>
      <c r="O11" s="2125"/>
      <c r="P11" s="2125"/>
      <c r="Q11" s="1684"/>
      <c r="R11" s="1684"/>
      <c r="S11" s="1684"/>
      <c r="T11" s="1684"/>
      <c r="U11" s="1684"/>
      <c r="V11" s="305"/>
      <c r="W11" s="1684"/>
      <c r="X11" s="1680"/>
      <c r="AK11" s="1680"/>
      <c r="AL11" s="1684"/>
      <c r="AM11" s="1687"/>
      <c r="AN11" s="1686"/>
      <c r="AO11" s="1686"/>
      <c r="AP11" s="1686"/>
      <c r="AQ11" s="1686"/>
      <c r="AR11" s="1686"/>
      <c r="AS11" s="1686"/>
      <c r="AT11" s="1686"/>
      <c r="AU11" s="1686"/>
      <c r="AV11" s="1686"/>
      <c r="AW11" s="1686"/>
      <c r="AX11" s="1686"/>
      <c r="AY11" s="1686"/>
      <c r="AZ11" s="1686"/>
      <c r="BA11" s="1686"/>
      <c r="BB11" s="1684"/>
      <c r="BC11" s="1684"/>
      <c r="BD11" s="1684"/>
    </row>
    <row r="12" spans="1:56" ht="16.5" thickTop="1" thickBot="1">
      <c r="A12" s="1684"/>
      <c r="B12" s="355" t="s">
        <v>2554</v>
      </c>
      <c r="C12" s="1686"/>
      <c r="D12" s="1686"/>
      <c r="E12" s="2114"/>
      <c r="F12" s="2114"/>
      <c r="G12" s="2114"/>
      <c r="H12" s="2125"/>
      <c r="I12" s="2125"/>
      <c r="J12" s="2125"/>
      <c r="K12" s="2114"/>
      <c r="L12" s="2114"/>
      <c r="M12" s="2114"/>
      <c r="N12" s="2125"/>
      <c r="O12" s="1694"/>
      <c r="P12" s="1694"/>
      <c r="Q12" s="1684"/>
      <c r="R12" s="1684"/>
      <c r="S12" s="1684"/>
      <c r="T12" s="1684"/>
      <c r="U12" s="1684"/>
      <c r="V12" s="305"/>
      <c r="W12" s="1684"/>
      <c r="X12" s="1680"/>
      <c r="AK12" s="1680"/>
      <c r="AL12" s="1684"/>
      <c r="AM12" s="355" t="s">
        <v>2554</v>
      </c>
      <c r="AN12" s="1686"/>
      <c r="AO12" s="1686"/>
      <c r="AP12" s="1686"/>
      <c r="AQ12" s="1686"/>
      <c r="AR12" s="1686"/>
      <c r="AS12" s="1686"/>
      <c r="AT12" s="1686"/>
      <c r="AU12" s="1686"/>
      <c r="AV12" s="1686"/>
      <c r="AW12" s="1686"/>
      <c r="AX12" s="1686"/>
      <c r="AY12" s="1686"/>
      <c r="AZ12" s="1686"/>
      <c r="BA12" s="1686"/>
      <c r="BB12" s="1684"/>
      <c r="BC12" s="1684"/>
      <c r="BD12" s="1684"/>
    </row>
    <row r="13" spans="1:56" ht="16.5" thickTop="1" thickBot="1">
      <c r="A13" s="1684"/>
      <c r="B13" s="382" t="s">
        <v>2554</v>
      </c>
      <c r="C13" s="2745" t="s">
        <v>2555</v>
      </c>
      <c r="D13" s="2746"/>
      <c r="E13" s="1840">
        <v>4.3871298502241522E-2</v>
      </c>
      <c r="F13" s="1850">
        <v>3.5239260133182487E-2</v>
      </c>
      <c r="G13" s="1854">
        <v>4.3871298502241522E-2</v>
      </c>
      <c r="H13" s="2126">
        <v>124.66319182918807</v>
      </c>
      <c r="I13" s="2127">
        <v>100.134684768383</v>
      </c>
      <c r="J13" s="2126">
        <v>100.134684768383</v>
      </c>
      <c r="K13" s="1840">
        <v>4.3680969079060182E-2</v>
      </c>
      <c r="L13" s="1850">
        <v>3.0114345297375601E-2</v>
      </c>
      <c r="M13" s="1854">
        <v>4.3680969079060182E-2</v>
      </c>
      <c r="N13" s="2126">
        <v>119.58483327107315</v>
      </c>
      <c r="O13" s="2127">
        <v>82.443659959470594</v>
      </c>
      <c r="P13" s="2164">
        <v>82.443659959470594</v>
      </c>
      <c r="Q13" s="1684"/>
      <c r="R13" s="1689" t="s">
        <v>2556</v>
      </c>
      <c r="S13" s="1692"/>
      <c r="T13" s="1689"/>
      <c r="U13" s="1684"/>
      <c r="V13" s="305"/>
      <c r="W13" s="1683">
        <f>IF( SUM( Y13:AJ13 ) = 0, 0, $Y$5 )</f>
        <v>0</v>
      </c>
      <c r="X13" s="1680"/>
      <c r="Y13" s="1685">
        <f xml:space="preserve"> IF( ISNUMBER( E13 ), 0, 1 )</f>
        <v>0</v>
      </c>
      <c r="AE13" s="1685">
        <f xml:space="preserve"> IF( ISNUMBER( K13 ), 0, 1 )</f>
        <v>0</v>
      </c>
      <c r="AK13" s="1680"/>
      <c r="AL13" s="1684"/>
      <c r="AM13" s="382" t="s">
        <v>2554</v>
      </c>
      <c r="AN13" s="1688" t="s">
        <v>1344</v>
      </c>
      <c r="AO13" s="1688">
        <v>2</v>
      </c>
      <c r="AP13" s="1753" t="s">
        <v>2557</v>
      </c>
      <c r="AQ13" s="1733" t="s">
        <v>2558</v>
      </c>
      <c r="AR13" s="1769" t="s">
        <v>2559</v>
      </c>
      <c r="AS13" s="1734" t="s">
        <v>2560</v>
      </c>
      <c r="AT13" s="1768" t="s">
        <v>2561</v>
      </c>
      <c r="AU13" s="1734" t="s">
        <v>2562</v>
      </c>
      <c r="AV13" s="1753" t="s">
        <v>2563</v>
      </c>
      <c r="AW13" s="1733" t="s">
        <v>2564</v>
      </c>
      <c r="AX13" s="1769" t="s">
        <v>2565</v>
      </c>
      <c r="AY13" s="1734" t="s">
        <v>2566</v>
      </c>
      <c r="AZ13" s="1768" t="s">
        <v>2567</v>
      </c>
      <c r="BA13" s="1739" t="s">
        <v>2568</v>
      </c>
      <c r="BB13" s="1684"/>
      <c r="BC13" s="1684"/>
      <c r="BD13" s="1684"/>
    </row>
    <row r="14" spans="1:56" ht="16" thickTop="1">
      <c r="A14" s="1684"/>
      <c r="B14" s="1686"/>
      <c r="C14" s="1693"/>
      <c r="D14" s="1693"/>
      <c r="E14" s="2114"/>
      <c r="F14" s="2114"/>
      <c r="G14" s="2115"/>
      <c r="H14" s="1694"/>
      <c r="I14" s="1694"/>
      <c r="J14" s="1694"/>
      <c r="K14" s="2114"/>
      <c r="L14" s="2114"/>
      <c r="M14" s="2114"/>
      <c r="N14" s="2125"/>
      <c r="O14" s="2125"/>
      <c r="P14" s="2125"/>
      <c r="Q14" s="1684"/>
      <c r="R14" s="1684"/>
      <c r="S14" s="1684"/>
      <c r="T14" s="1684"/>
      <c r="U14" s="1684"/>
      <c r="V14" s="305"/>
      <c r="W14" s="1684"/>
      <c r="X14" s="1680"/>
      <c r="AK14" s="1680"/>
      <c r="AL14" s="1684"/>
      <c r="AM14" s="1686"/>
      <c r="AN14" s="1693"/>
      <c r="AO14" s="1693"/>
      <c r="AP14" s="1694"/>
      <c r="AQ14" s="1694"/>
      <c r="AR14" s="1694"/>
      <c r="AS14" s="1695"/>
      <c r="AT14" s="1695"/>
      <c r="AU14" s="1695"/>
      <c r="AV14" s="1694"/>
      <c r="AW14" s="1694"/>
      <c r="AX14" s="1694"/>
      <c r="AY14" s="1695"/>
      <c r="AZ14" s="1695"/>
      <c r="BA14" s="1695"/>
      <c r="BB14" s="1684"/>
      <c r="BC14" s="1684"/>
      <c r="BD14" s="1684"/>
    </row>
    <row r="15" spans="1:56" ht="16" thickBot="1">
      <c r="A15" s="1684"/>
      <c r="B15" s="1686"/>
      <c r="C15" s="1693"/>
      <c r="D15" s="1693"/>
      <c r="E15" s="2114"/>
      <c r="F15" s="2114"/>
      <c r="G15" s="2114"/>
      <c r="H15" s="2125"/>
      <c r="I15" s="2125"/>
      <c r="J15" s="2125"/>
      <c r="K15" s="2114"/>
      <c r="L15" s="2114"/>
      <c r="M15" s="2114"/>
      <c r="N15" s="2125"/>
      <c r="O15" s="2125"/>
      <c r="P15" s="2125"/>
      <c r="Q15" s="1684"/>
      <c r="R15" s="1684"/>
      <c r="S15" s="1684"/>
      <c r="T15" s="1684"/>
      <c r="U15" s="1684"/>
      <c r="V15" s="305"/>
      <c r="W15" s="1684"/>
      <c r="X15" s="1680"/>
      <c r="AK15" s="1680"/>
      <c r="AL15" s="1684"/>
      <c r="AM15" s="1686"/>
      <c r="AN15" s="1693"/>
      <c r="AO15" s="1693"/>
      <c r="AP15" s="1694"/>
      <c r="AQ15" s="1694"/>
      <c r="AR15" s="1694"/>
      <c r="AS15" s="1695"/>
      <c r="AT15" s="1695"/>
      <c r="AU15" s="1695"/>
      <c r="AV15" s="1694"/>
      <c r="AW15" s="1694"/>
      <c r="AX15" s="1694"/>
      <c r="AY15" s="1695"/>
      <c r="AZ15" s="1695"/>
      <c r="BA15" s="1695"/>
      <c r="BB15" s="1684"/>
      <c r="BC15" s="1684"/>
      <c r="BD15" s="1684"/>
    </row>
    <row r="16" spans="1:56" ht="16.5" thickTop="1" thickBot="1">
      <c r="A16" s="1684"/>
      <c r="B16" s="355" t="s">
        <v>2569</v>
      </c>
      <c r="C16" s="1693"/>
      <c r="D16" s="1693"/>
      <c r="E16" s="2114"/>
      <c r="F16" s="2114"/>
      <c r="G16" s="2114"/>
      <c r="H16" s="2125"/>
      <c r="I16" s="2125"/>
      <c r="J16" s="2125"/>
      <c r="K16" s="2114"/>
      <c r="L16" s="2114"/>
      <c r="M16" s="2114"/>
      <c r="N16" s="2125"/>
      <c r="O16" s="2125"/>
      <c r="P16" s="2125"/>
      <c r="Q16" s="1684"/>
      <c r="R16" s="1684"/>
      <c r="S16" s="1684"/>
      <c r="T16" s="1684"/>
      <c r="U16" s="1684"/>
      <c r="V16" s="305"/>
      <c r="W16" s="1684"/>
      <c r="X16" s="1680"/>
      <c r="AK16" s="1680"/>
      <c r="AL16" s="1684"/>
      <c r="AM16" s="355" t="s">
        <v>2569</v>
      </c>
      <c r="AN16" s="1693"/>
      <c r="AO16" s="1693"/>
      <c r="AP16" s="1694"/>
      <c r="AQ16" s="1694"/>
      <c r="AR16" s="1694"/>
      <c r="AS16" s="1695"/>
      <c r="AT16" s="1695"/>
      <c r="AU16" s="1695"/>
      <c r="AV16" s="1694"/>
      <c r="AW16" s="1694"/>
      <c r="AX16" s="1694"/>
      <c r="AY16" s="1695"/>
      <c r="AZ16" s="1695"/>
      <c r="BA16" s="1695"/>
      <c r="BB16" s="1684"/>
      <c r="BC16" s="1684"/>
      <c r="BD16" s="1684"/>
    </row>
    <row r="17" spans="1:56" ht="16" thickTop="1">
      <c r="A17" s="1684"/>
      <c r="B17" s="1696" t="s">
        <v>2570</v>
      </c>
      <c r="C17" s="2747" t="s">
        <v>2555</v>
      </c>
      <c r="D17" s="2748"/>
      <c r="E17" s="2111"/>
      <c r="F17" s="1851">
        <v>8.6320383690590349E-3</v>
      </c>
      <c r="G17" s="1851">
        <v>5.4064783087458658E-3</v>
      </c>
      <c r="H17" s="2128"/>
      <c r="I17" s="2129">
        <v>24.528507060805069</v>
      </c>
      <c r="J17" s="2130">
        <v>12.340095224801864</v>
      </c>
      <c r="K17" s="2111"/>
      <c r="L17" s="1851">
        <v>1.3566623781684582E-2</v>
      </c>
      <c r="M17" s="1851">
        <v>8.1330535974547397E-3</v>
      </c>
      <c r="N17" s="2128"/>
      <c r="O17" s="2129">
        <v>37.141173311602557</v>
      </c>
      <c r="P17" s="2165">
        <v>18.563406737183389</v>
      </c>
      <c r="Q17" s="1684"/>
      <c r="R17" s="1699" t="s">
        <v>2571</v>
      </c>
      <c r="S17" s="1692"/>
      <c r="T17" s="1699"/>
      <c r="U17" s="1684"/>
      <c r="V17" s="305"/>
      <c r="W17" s="1683">
        <f t="shared" ref="W17:W22" si="0">IF( SUM( Y17:AJ17 ) = 0, 0, $Y$5 )</f>
        <v>0</v>
      </c>
      <c r="X17" s="1680"/>
      <c r="AD17" s="1685">
        <f xml:space="preserve"> IF( ISNUMBER( J17 ), 0, 1 )</f>
        <v>0</v>
      </c>
      <c r="AJ17" s="1685">
        <f xml:space="preserve"> IF( ISNUMBER( P17 ), 0, 1 )</f>
        <v>0</v>
      </c>
      <c r="AK17" s="1680"/>
      <c r="AL17" s="1684"/>
      <c r="AM17" s="1696" t="s">
        <v>2570</v>
      </c>
      <c r="AN17" s="1697" t="s">
        <v>1344</v>
      </c>
      <c r="AO17" s="1697">
        <v>2</v>
      </c>
      <c r="AP17" s="1698"/>
      <c r="AQ17" s="1735" t="s">
        <v>2572</v>
      </c>
      <c r="AR17" s="1735" t="s">
        <v>2573</v>
      </c>
      <c r="AS17" s="1698"/>
      <c r="AT17" s="1738" t="s">
        <v>2574</v>
      </c>
      <c r="AU17" s="1759" t="s">
        <v>2575</v>
      </c>
      <c r="AV17" s="1698"/>
      <c r="AW17" s="1735" t="s">
        <v>2576</v>
      </c>
      <c r="AX17" s="1735" t="s">
        <v>2577</v>
      </c>
      <c r="AY17" s="1698"/>
      <c r="AZ17" s="1738" t="s">
        <v>2578</v>
      </c>
      <c r="BA17" s="1754" t="s">
        <v>2579</v>
      </c>
      <c r="BB17" s="1684"/>
      <c r="BC17" s="1684"/>
      <c r="BD17" s="1684"/>
    </row>
    <row r="18" spans="1:56">
      <c r="A18" s="1684"/>
      <c r="B18" s="1700" t="s">
        <v>2580</v>
      </c>
      <c r="C18" s="2741" t="s">
        <v>2555</v>
      </c>
      <c r="D18" s="2742"/>
      <c r="E18" s="2112"/>
      <c r="F18" s="1852">
        <v>0</v>
      </c>
      <c r="G18" s="1852">
        <v>0</v>
      </c>
      <c r="H18" s="2131"/>
      <c r="I18" s="2132">
        <v>0</v>
      </c>
      <c r="J18" s="2133">
        <v>0</v>
      </c>
      <c r="K18" s="2112"/>
      <c r="L18" s="1852">
        <v>0</v>
      </c>
      <c r="M18" s="1852">
        <v>0</v>
      </c>
      <c r="N18" s="2131"/>
      <c r="O18" s="2132">
        <v>0</v>
      </c>
      <c r="P18" s="2166">
        <v>0</v>
      </c>
      <c r="Q18" s="1684"/>
      <c r="R18" s="1703" t="s">
        <v>2581</v>
      </c>
      <c r="S18" s="1692"/>
      <c r="T18" s="1703"/>
      <c r="U18" s="1684"/>
      <c r="V18" s="305"/>
      <c r="W18" s="1683">
        <f t="shared" si="0"/>
        <v>0</v>
      </c>
      <c r="X18" s="1680"/>
      <c r="AD18" s="1685">
        <f t="shared" ref="AC18:AD22" si="1" xml:space="preserve"> IF( ISNUMBER( J18 ), 0, 1 )</f>
        <v>0</v>
      </c>
      <c r="AJ18" s="1685">
        <f t="shared" ref="AI18:AJ22" si="2" xml:space="preserve"> IF( ISNUMBER( P18 ), 0, 1 )</f>
        <v>0</v>
      </c>
      <c r="AK18" s="1680"/>
      <c r="AL18" s="1684"/>
      <c r="AM18" s="1700" t="s">
        <v>2580</v>
      </c>
      <c r="AN18" s="1701" t="s">
        <v>1344</v>
      </c>
      <c r="AO18" s="1701">
        <v>2</v>
      </c>
      <c r="AP18" s="1702"/>
      <c r="AQ18" s="1736" t="s">
        <v>2582</v>
      </c>
      <c r="AR18" s="1736" t="s">
        <v>2583</v>
      </c>
      <c r="AS18" s="1702"/>
      <c r="AT18" s="1770" t="s">
        <v>2584</v>
      </c>
      <c r="AU18" s="1757" t="s">
        <v>2585</v>
      </c>
      <c r="AV18" s="1702"/>
      <c r="AW18" s="1736" t="s">
        <v>2586</v>
      </c>
      <c r="AX18" s="1736" t="s">
        <v>2587</v>
      </c>
      <c r="AY18" s="1702"/>
      <c r="AZ18" s="1770" t="s">
        <v>2588</v>
      </c>
      <c r="BA18" s="1755" t="s">
        <v>2589</v>
      </c>
      <c r="BB18" s="1684"/>
      <c r="BC18" s="1684"/>
      <c r="BD18" s="1684"/>
    </row>
    <row r="19" spans="1:56">
      <c r="A19" s="1684"/>
      <c r="B19" s="1700" t="s">
        <v>2590</v>
      </c>
      <c r="C19" s="2741" t="s">
        <v>2555</v>
      </c>
      <c r="D19" s="2742"/>
      <c r="E19" s="2112"/>
      <c r="F19" s="1852">
        <v>2.0332146240503869E-2</v>
      </c>
      <c r="G19" s="1852">
        <v>2.5312610240316523E-2</v>
      </c>
      <c r="H19" s="2131"/>
      <c r="I19" s="2132">
        <v>57.775136219173781</v>
      </c>
      <c r="J19" s="2133">
        <v>57.775136219173781</v>
      </c>
      <c r="K19" s="2112"/>
      <c r="L19" s="1852">
        <v>1.070067875572539E-2</v>
      </c>
      <c r="M19" s="1852">
        <v>1.3321865161038678E-2</v>
      </c>
      <c r="N19" s="2131"/>
      <c r="O19" s="2132">
        <v>30.406685326611761</v>
      </c>
      <c r="P19" s="2166">
        <v>30.406685326611761</v>
      </c>
      <c r="Q19" s="1684"/>
      <c r="R19" s="1703" t="s">
        <v>2591</v>
      </c>
      <c r="S19" s="1692"/>
      <c r="T19" s="1703"/>
      <c r="U19" s="1684"/>
      <c r="V19" s="305"/>
      <c r="W19" s="1683">
        <f t="shared" si="0"/>
        <v>0</v>
      </c>
      <c r="X19" s="1680"/>
      <c r="AD19" s="1685">
        <f t="shared" si="1"/>
        <v>0</v>
      </c>
      <c r="AJ19" s="1685">
        <f t="shared" si="2"/>
        <v>0</v>
      </c>
      <c r="AK19" s="1680"/>
      <c r="AL19" s="1684"/>
      <c r="AM19" s="1700" t="s">
        <v>2590</v>
      </c>
      <c r="AN19" s="1701" t="s">
        <v>1344</v>
      </c>
      <c r="AO19" s="1701">
        <v>2</v>
      </c>
      <c r="AP19" s="1702"/>
      <c r="AQ19" s="1736" t="s">
        <v>2592</v>
      </c>
      <c r="AR19" s="1736" t="s">
        <v>2593</v>
      </c>
      <c r="AS19" s="1702"/>
      <c r="AT19" s="1770" t="s">
        <v>2594</v>
      </c>
      <c r="AU19" s="1757" t="s">
        <v>2595</v>
      </c>
      <c r="AV19" s="1702"/>
      <c r="AW19" s="1736" t="s">
        <v>2596</v>
      </c>
      <c r="AX19" s="1736" t="s">
        <v>2597</v>
      </c>
      <c r="AY19" s="1702"/>
      <c r="AZ19" s="1770" t="s">
        <v>2598</v>
      </c>
      <c r="BA19" s="1755" t="s">
        <v>2599</v>
      </c>
      <c r="BB19" s="1684"/>
      <c r="BC19" s="1684"/>
      <c r="BD19" s="1684"/>
    </row>
    <row r="20" spans="1:56">
      <c r="A20" s="1684"/>
      <c r="B20" s="1700" t="s">
        <v>2600</v>
      </c>
      <c r="C20" s="2741" t="s">
        <v>2555</v>
      </c>
      <c r="D20" s="2742"/>
      <c r="E20" s="2112"/>
      <c r="F20" s="1852">
        <v>0</v>
      </c>
      <c r="G20" s="1852">
        <v>0</v>
      </c>
      <c r="H20" s="2131"/>
      <c r="I20" s="2132">
        <v>0</v>
      </c>
      <c r="J20" s="2133">
        <v>0</v>
      </c>
      <c r="K20" s="2112"/>
      <c r="L20" s="1852">
        <v>0</v>
      </c>
      <c r="M20" s="1852">
        <v>0</v>
      </c>
      <c r="N20" s="2131"/>
      <c r="O20" s="2132">
        <v>0</v>
      </c>
      <c r="P20" s="2166">
        <v>0</v>
      </c>
      <c r="Q20" s="1684"/>
      <c r="R20" s="1703" t="s">
        <v>2601</v>
      </c>
      <c r="S20" s="1692"/>
      <c r="T20" s="1703"/>
      <c r="U20" s="1684"/>
      <c r="V20" s="305"/>
      <c r="W20" s="1683">
        <f t="shared" si="0"/>
        <v>0</v>
      </c>
      <c r="X20" s="1680"/>
      <c r="AD20" s="1685">
        <f t="shared" si="1"/>
        <v>0</v>
      </c>
      <c r="AJ20" s="1685">
        <f t="shared" si="2"/>
        <v>0</v>
      </c>
      <c r="AK20" s="1680"/>
      <c r="AL20" s="1684"/>
      <c r="AM20" s="1700" t="s">
        <v>2600</v>
      </c>
      <c r="AN20" s="1701" t="s">
        <v>1344</v>
      </c>
      <c r="AO20" s="1701">
        <v>2</v>
      </c>
      <c r="AP20" s="1702"/>
      <c r="AQ20" s="1736" t="s">
        <v>2602</v>
      </c>
      <c r="AR20" s="1736" t="s">
        <v>2603</v>
      </c>
      <c r="AS20" s="1702"/>
      <c r="AT20" s="1770" t="s">
        <v>2604</v>
      </c>
      <c r="AU20" s="1757" t="s">
        <v>2605</v>
      </c>
      <c r="AV20" s="1702"/>
      <c r="AW20" s="1736" t="s">
        <v>2606</v>
      </c>
      <c r="AX20" s="1736" t="s">
        <v>2607</v>
      </c>
      <c r="AY20" s="1702"/>
      <c r="AZ20" s="1770" t="s">
        <v>2608</v>
      </c>
      <c r="BA20" s="1755" t="s">
        <v>2609</v>
      </c>
      <c r="BB20" s="1684"/>
      <c r="BC20" s="1684"/>
      <c r="BD20" s="1684"/>
    </row>
    <row r="21" spans="1:56">
      <c r="A21" s="1684"/>
      <c r="B21" s="1700" t="s">
        <v>2610</v>
      </c>
      <c r="C21" s="2741" t="s">
        <v>2555</v>
      </c>
      <c r="D21" s="2742"/>
      <c r="E21" s="2112"/>
      <c r="F21" s="1852">
        <v>6.4902395540822569E-2</v>
      </c>
      <c r="G21" s="1852">
        <v>9.1399355959158435E-2</v>
      </c>
      <c r="H21" s="2131"/>
      <c r="I21" s="2133">
        <v>184.42444289780966</v>
      </c>
      <c r="J21" s="2133">
        <v>208.61579231660858</v>
      </c>
      <c r="K21" s="2112"/>
      <c r="L21" s="1852">
        <v>2.5281449895356606E-2</v>
      </c>
      <c r="M21" s="1852">
        <v>3.5968446305388854E-2</v>
      </c>
      <c r="N21" s="2131"/>
      <c r="O21" s="2133">
        <v>71.838909392294795</v>
      </c>
      <c r="P21" s="2166">
        <v>82.096704573597279</v>
      </c>
      <c r="Q21" s="1684"/>
      <c r="R21" s="1703" t="s">
        <v>2611</v>
      </c>
      <c r="S21" s="1692"/>
      <c r="T21" s="1703"/>
      <c r="U21" s="1684"/>
      <c r="V21" s="305"/>
      <c r="W21" s="1683">
        <f t="shared" si="0"/>
        <v>0</v>
      </c>
      <c r="X21" s="1680"/>
      <c r="AC21" s="1685">
        <f t="shared" si="1"/>
        <v>0</v>
      </c>
      <c r="AD21" s="1685">
        <f t="shared" si="1"/>
        <v>0</v>
      </c>
      <c r="AI21" s="1685">
        <f t="shared" si="2"/>
        <v>0</v>
      </c>
      <c r="AJ21" s="1685">
        <f t="shared" si="2"/>
        <v>0</v>
      </c>
      <c r="AK21" s="1680"/>
      <c r="AL21" s="1684"/>
      <c r="AM21" s="1700" t="s">
        <v>2610</v>
      </c>
      <c r="AN21" s="1701" t="s">
        <v>1344</v>
      </c>
      <c r="AO21" s="1701">
        <v>2</v>
      </c>
      <c r="AP21" s="1702"/>
      <c r="AQ21" s="1736" t="s">
        <v>2612</v>
      </c>
      <c r="AR21" s="1736" t="s">
        <v>2613</v>
      </c>
      <c r="AS21" s="1702"/>
      <c r="AT21" s="1757" t="s">
        <v>2614</v>
      </c>
      <c r="AU21" s="1757" t="s">
        <v>2615</v>
      </c>
      <c r="AV21" s="1702"/>
      <c r="AW21" s="1736" t="s">
        <v>2616</v>
      </c>
      <c r="AX21" s="1736" t="s">
        <v>2617</v>
      </c>
      <c r="AY21" s="1702"/>
      <c r="AZ21" s="1757" t="s">
        <v>2618</v>
      </c>
      <c r="BA21" s="1755" t="s">
        <v>2619</v>
      </c>
      <c r="BB21" s="1684"/>
      <c r="BC21" s="1684"/>
      <c r="BD21" s="1684"/>
    </row>
    <row r="22" spans="1:56" ht="16" thickBot="1">
      <c r="A22" s="1684"/>
      <c r="B22" s="1704" t="s">
        <v>2620</v>
      </c>
      <c r="C22" s="2743" t="s">
        <v>2555</v>
      </c>
      <c r="D22" s="2744"/>
      <c r="E22" s="2113"/>
      <c r="F22" s="1853">
        <v>-6.6107555657410597E-2</v>
      </c>
      <c r="G22" s="1853">
        <v>-9.309653304431742E-2</v>
      </c>
      <c r="H22" s="2134"/>
      <c r="I22" s="2135">
        <v>-187.84898495442152</v>
      </c>
      <c r="J22" s="2136">
        <v>-212.48953889399414</v>
      </c>
      <c r="K22" s="2113"/>
      <c r="L22" s="1853">
        <v>-3.3155586766946236E-2</v>
      </c>
      <c r="M22" s="1853">
        <v>-4.7800162962250509E-2</v>
      </c>
      <c r="N22" s="2134"/>
      <c r="O22" s="2135">
        <v>-94.213789298393479</v>
      </c>
      <c r="P22" s="2167">
        <v>-109.10217872529431</v>
      </c>
      <c r="Q22" s="1684"/>
      <c r="R22" s="1707" t="s">
        <v>2621</v>
      </c>
      <c r="S22" s="1692"/>
      <c r="T22" s="1707"/>
      <c r="U22" s="1684"/>
      <c r="V22" s="305"/>
      <c r="W22" s="1683">
        <f t="shared" si="0"/>
        <v>0</v>
      </c>
      <c r="X22" s="1680"/>
      <c r="AC22" s="1685">
        <f t="shared" si="1"/>
        <v>0</v>
      </c>
      <c r="AD22" s="1685">
        <f t="shared" si="1"/>
        <v>0</v>
      </c>
      <c r="AI22" s="1685">
        <f t="shared" si="2"/>
        <v>0</v>
      </c>
      <c r="AJ22" s="1685">
        <f t="shared" si="2"/>
        <v>0</v>
      </c>
      <c r="AK22" s="1680"/>
      <c r="AL22" s="1684"/>
      <c r="AM22" s="1704" t="s">
        <v>2620</v>
      </c>
      <c r="AN22" s="1705" t="s">
        <v>1344</v>
      </c>
      <c r="AO22" s="1705">
        <v>2</v>
      </c>
      <c r="AP22" s="1706"/>
      <c r="AQ22" s="1737" t="s">
        <v>2622</v>
      </c>
      <c r="AR22" s="1737" t="s">
        <v>2623</v>
      </c>
      <c r="AS22" s="1706"/>
      <c r="AT22" s="1758" t="s">
        <v>2624</v>
      </c>
      <c r="AU22" s="1760" t="s">
        <v>2625</v>
      </c>
      <c r="AV22" s="1706"/>
      <c r="AW22" s="1737" t="s">
        <v>2626</v>
      </c>
      <c r="AX22" s="1737" t="s">
        <v>2627</v>
      </c>
      <c r="AY22" s="1706"/>
      <c r="AZ22" s="1758" t="s">
        <v>2628</v>
      </c>
      <c r="BA22" s="1756" t="s">
        <v>2629</v>
      </c>
      <c r="BB22" s="1684"/>
      <c r="BC22" s="1684"/>
      <c r="BD22" s="1684"/>
    </row>
    <row r="23" spans="1:56" ht="16.5" thickTop="1" thickBot="1">
      <c r="A23" s="1684"/>
      <c r="B23" s="1687"/>
      <c r="C23" s="1693"/>
      <c r="D23" s="1693"/>
      <c r="E23" s="2116"/>
      <c r="F23" s="2116"/>
      <c r="G23" s="2116"/>
      <c r="H23" s="2137"/>
      <c r="I23" s="2137"/>
      <c r="J23" s="2137"/>
      <c r="K23" s="2116"/>
      <c r="L23" s="2116"/>
      <c r="M23" s="2116"/>
      <c r="N23" s="2137"/>
      <c r="O23" s="2137"/>
      <c r="P23" s="2137"/>
      <c r="Q23" s="1684"/>
      <c r="S23" s="1684"/>
      <c r="T23" s="1684"/>
      <c r="U23" s="1684"/>
      <c r="V23" s="305"/>
      <c r="W23" s="1684"/>
      <c r="X23" s="1680"/>
      <c r="AK23" s="1680"/>
      <c r="AL23" s="1684"/>
      <c r="AM23" s="1687"/>
      <c r="AN23" s="1693"/>
      <c r="AO23" s="1693"/>
      <c r="AP23" s="1708"/>
      <c r="AQ23" s="1708"/>
      <c r="AR23" s="1708"/>
      <c r="AS23" s="1709"/>
      <c r="AT23" s="1709"/>
      <c r="AU23" s="1709"/>
      <c r="AV23" s="1708"/>
      <c r="AW23" s="1708"/>
      <c r="AX23" s="1708"/>
      <c r="AY23" s="1709"/>
      <c r="AZ23" s="1709"/>
      <c r="BA23" s="1709"/>
      <c r="BB23" s="1684"/>
      <c r="BC23" s="1684"/>
      <c r="BD23" s="1684"/>
    </row>
    <row r="24" spans="1:56" ht="16.5" thickTop="1" thickBot="1">
      <c r="A24" s="1684"/>
      <c r="B24" s="1691" t="s">
        <v>2630</v>
      </c>
      <c r="C24" s="2745" t="s">
        <v>2555</v>
      </c>
      <c r="D24" s="2746"/>
      <c r="E24" s="1850">
        <v>4.3871298502241522E-2</v>
      </c>
      <c r="F24" s="1850">
        <v>6.2998284626157364E-2</v>
      </c>
      <c r="G24" s="1850">
        <v>7.2893209966144928E-2</v>
      </c>
      <c r="H24" s="2138">
        <v>124.66319182918807</v>
      </c>
      <c r="I24" s="2138">
        <v>179.01378599174996</v>
      </c>
      <c r="J24" s="2138">
        <v>166.37616963497305</v>
      </c>
      <c r="K24" s="1850">
        <v>4.3680969079060182E-2</v>
      </c>
      <c r="L24" s="1850">
        <v>4.6507510963195942E-2</v>
      </c>
      <c r="M24" s="1850">
        <v>5.3304171180691945E-2</v>
      </c>
      <c r="N24" s="2138">
        <v>119.58483327107315</v>
      </c>
      <c r="O24" s="2138">
        <v>127.61663869158625</v>
      </c>
      <c r="P24" s="2168">
        <v>104.40827787156871</v>
      </c>
      <c r="Q24" s="1684"/>
      <c r="R24" s="1689" t="s">
        <v>2631</v>
      </c>
      <c r="S24" s="1692"/>
      <c r="T24" s="1689"/>
      <c r="U24" s="1684"/>
      <c r="V24" s="305"/>
      <c r="W24" s="1684"/>
      <c r="X24" s="1680"/>
      <c r="AK24" s="1680"/>
      <c r="AL24" s="1684"/>
      <c r="AM24" s="1691" t="s">
        <v>2630</v>
      </c>
      <c r="AN24" s="1688" t="s">
        <v>1344</v>
      </c>
      <c r="AO24" s="1688">
        <v>2</v>
      </c>
      <c r="AP24" s="1733" t="s">
        <v>2632</v>
      </c>
      <c r="AQ24" s="1733" t="s">
        <v>2633</v>
      </c>
      <c r="AR24" s="1733" t="s">
        <v>2634</v>
      </c>
      <c r="AS24" s="1740" t="s">
        <v>2635</v>
      </c>
      <c r="AT24" s="1740" t="s">
        <v>2636</v>
      </c>
      <c r="AU24" s="1740" t="s">
        <v>2637</v>
      </c>
      <c r="AV24" s="1733" t="s">
        <v>2638</v>
      </c>
      <c r="AW24" s="1733" t="s">
        <v>2639</v>
      </c>
      <c r="AX24" s="1733" t="s">
        <v>2640</v>
      </c>
      <c r="AY24" s="1740" t="s">
        <v>2641</v>
      </c>
      <c r="AZ24" s="1740" t="s">
        <v>2642</v>
      </c>
      <c r="BA24" s="1741" t="s">
        <v>2643</v>
      </c>
      <c r="BB24" s="1684"/>
      <c r="BC24" s="1684"/>
      <c r="BD24" s="1684"/>
    </row>
    <row r="25" spans="1:56" ht="16" thickTop="1">
      <c r="A25" s="1684"/>
      <c r="B25" s="1686"/>
      <c r="C25" s="1693"/>
      <c r="D25" s="1693"/>
      <c r="E25" s="2114"/>
      <c r="F25" s="2114"/>
      <c r="G25" s="2114"/>
      <c r="H25" s="2137"/>
      <c r="I25" s="2137"/>
      <c r="J25" s="2137"/>
      <c r="K25" s="2114"/>
      <c r="L25" s="2114"/>
      <c r="M25" s="2114"/>
      <c r="N25" s="2137"/>
      <c r="O25" s="2137"/>
      <c r="P25" s="2137"/>
      <c r="Q25" s="1684"/>
      <c r="R25" s="1684"/>
      <c r="S25" s="1684"/>
      <c r="T25" s="1684"/>
      <c r="U25" s="1684"/>
      <c r="V25" s="305"/>
      <c r="W25" s="1684"/>
      <c r="X25" s="1680"/>
      <c r="AK25" s="1680"/>
      <c r="AL25" s="1684"/>
      <c r="AM25" s="1686"/>
      <c r="AN25" s="1693"/>
      <c r="AO25" s="1693"/>
      <c r="AP25" s="1694"/>
      <c r="AQ25" s="1694"/>
      <c r="AR25" s="1694"/>
      <c r="AS25" s="1709"/>
      <c r="AT25" s="1709"/>
      <c r="AU25" s="1709"/>
      <c r="AV25" s="1694"/>
      <c r="AW25" s="1694"/>
      <c r="AX25" s="1694"/>
      <c r="AY25" s="1709"/>
      <c r="AZ25" s="1709"/>
      <c r="BA25" s="1709"/>
      <c r="BB25" s="1684"/>
      <c r="BC25" s="1684"/>
      <c r="BD25" s="1684"/>
    </row>
    <row r="26" spans="1:56" ht="16" thickBot="1">
      <c r="A26" s="1684"/>
      <c r="B26" s="1684"/>
      <c r="C26" s="1684"/>
      <c r="D26" s="1684"/>
      <c r="E26" s="2117"/>
      <c r="F26" s="2117"/>
      <c r="G26" s="2117"/>
      <c r="H26" s="2139"/>
      <c r="I26" s="2139"/>
      <c r="J26" s="2139"/>
      <c r="K26" s="2117"/>
      <c r="L26" s="2117"/>
      <c r="M26" s="2117"/>
      <c r="N26" s="2139"/>
      <c r="O26" s="2139"/>
      <c r="P26" s="2139"/>
      <c r="Q26" s="1684"/>
      <c r="R26" s="1684"/>
      <c r="S26" s="1684"/>
      <c r="T26" s="1684"/>
      <c r="U26" s="1684"/>
      <c r="V26" s="305"/>
      <c r="W26" s="1684"/>
      <c r="X26" s="1680"/>
      <c r="AK26" s="1680"/>
      <c r="AL26" s="1684"/>
      <c r="AM26" s="1684"/>
      <c r="AN26" s="1684"/>
      <c r="AO26" s="1684"/>
      <c r="AP26" s="1684"/>
      <c r="AQ26" s="1684"/>
      <c r="AR26" s="1684"/>
      <c r="AS26" s="1710"/>
      <c r="AT26" s="1710"/>
      <c r="AU26" s="1710"/>
      <c r="AV26" s="1684"/>
      <c r="AW26" s="1684"/>
      <c r="AX26" s="1684"/>
      <c r="AY26" s="1710"/>
      <c r="AZ26" s="1710"/>
      <c r="BA26" s="1710"/>
      <c r="BB26" s="1684"/>
      <c r="BC26" s="1684"/>
      <c r="BD26" s="1684"/>
    </row>
    <row r="27" spans="1:56" ht="16.5" thickTop="1" thickBot="1">
      <c r="A27" s="1684"/>
      <c r="B27" s="355" t="s">
        <v>2644</v>
      </c>
      <c r="C27" s="1686"/>
      <c r="D27" s="1686"/>
      <c r="E27" s="2114"/>
      <c r="F27" s="2114"/>
      <c r="G27" s="2114"/>
      <c r="H27" s="2137"/>
      <c r="I27" s="2137"/>
      <c r="J27" s="2137"/>
      <c r="K27" s="2114"/>
      <c r="L27" s="2114"/>
      <c r="M27" s="2114"/>
      <c r="N27" s="2137"/>
      <c r="O27" s="2137"/>
      <c r="P27" s="2137"/>
      <c r="Q27" s="1684"/>
      <c r="R27" s="1684"/>
      <c r="S27" s="1684"/>
      <c r="T27" s="1684"/>
      <c r="U27" s="1684"/>
      <c r="V27" s="305"/>
      <c r="W27" s="1684"/>
      <c r="X27" s="1680"/>
      <c r="AK27" s="1680"/>
      <c r="AL27" s="1684"/>
      <c r="AM27" s="355" t="s">
        <v>2644</v>
      </c>
      <c r="AN27" s="1686"/>
      <c r="AO27" s="1686"/>
      <c r="AP27" s="1686"/>
      <c r="AQ27" s="1686"/>
      <c r="AR27" s="1686"/>
      <c r="AS27" s="1709"/>
      <c r="AT27" s="1709"/>
      <c r="AU27" s="1709"/>
      <c r="AV27" s="1686"/>
      <c r="AW27" s="1686"/>
      <c r="AX27" s="1686"/>
      <c r="AY27" s="1709"/>
      <c r="AZ27" s="1709"/>
      <c r="BA27" s="1709"/>
      <c r="BB27" s="1684"/>
      <c r="BC27" s="1684"/>
      <c r="BD27" s="1684"/>
    </row>
    <row r="28" spans="1:56" ht="16" thickTop="1">
      <c r="A28" s="1684"/>
      <c r="B28" s="1696" t="s">
        <v>2645</v>
      </c>
      <c r="C28" s="2747" t="s">
        <v>2555</v>
      </c>
      <c r="D28" s="2748"/>
      <c r="E28" s="2111"/>
      <c r="F28" s="1851">
        <v>-1.5667164132470875E-2</v>
      </c>
      <c r="G28" s="1851">
        <v>-1.9504916724741899E-2</v>
      </c>
      <c r="H28" s="2140"/>
      <c r="I28" s="2141">
        <v>-44.519281497122783</v>
      </c>
      <c r="J28" s="2130">
        <v>-44.519281497122783</v>
      </c>
      <c r="K28" s="2111"/>
      <c r="L28" s="1851">
        <v>-1.5577232290950154E-2</v>
      </c>
      <c r="M28" s="1851">
        <v>-1.9392955615192477E-2</v>
      </c>
      <c r="N28" s="2128"/>
      <c r="O28" s="2141">
        <v>-44.263734230600072</v>
      </c>
      <c r="P28" s="2165">
        <v>-44.263734230600072</v>
      </c>
      <c r="Q28" s="1684"/>
      <c r="R28" s="1699" t="s">
        <v>2646</v>
      </c>
      <c r="S28" s="1692"/>
      <c r="T28" s="1699"/>
      <c r="U28" s="1684"/>
      <c r="V28" s="305"/>
      <c r="W28" s="1683">
        <f t="shared" ref="W28:W33" si="3">IF( SUM( Y28:AJ28 ) = 0, 0, $Y$5 )</f>
        <v>0</v>
      </c>
      <c r="X28" s="1680"/>
      <c r="AD28" s="1685">
        <f xml:space="preserve"> IF( ISNUMBER( J28 ), 0, 1 )</f>
        <v>0</v>
      </c>
      <c r="AJ28" s="1685">
        <f xml:space="preserve"> IF( ISNUMBER( P28 ), 0, 1 )</f>
        <v>0</v>
      </c>
      <c r="AK28" s="1680"/>
      <c r="AL28" s="1684"/>
      <c r="AM28" s="1696" t="s">
        <v>2645</v>
      </c>
      <c r="AN28" s="1697" t="s">
        <v>1344</v>
      </c>
      <c r="AO28" s="1697">
        <v>2</v>
      </c>
      <c r="AP28" s="1698"/>
      <c r="AQ28" s="1735" t="s">
        <v>2647</v>
      </c>
      <c r="AR28" s="1735" t="s">
        <v>2648</v>
      </c>
      <c r="AS28" s="1698"/>
      <c r="AT28" s="1771" t="s">
        <v>2649</v>
      </c>
      <c r="AU28" s="1759" t="s">
        <v>2650</v>
      </c>
      <c r="AV28" s="1698"/>
      <c r="AW28" s="1735" t="s">
        <v>2651</v>
      </c>
      <c r="AX28" s="1735" t="s">
        <v>2652</v>
      </c>
      <c r="AY28" s="1698"/>
      <c r="AZ28" s="1771" t="s">
        <v>2653</v>
      </c>
      <c r="BA28" s="1754" t="s">
        <v>2654</v>
      </c>
      <c r="BB28" s="1684"/>
      <c r="BC28" s="1684"/>
      <c r="BD28" s="1684"/>
    </row>
    <row r="29" spans="1:56">
      <c r="A29" s="1684"/>
      <c r="B29" s="1700" t="s">
        <v>2655</v>
      </c>
      <c r="C29" s="2741" t="s">
        <v>2555</v>
      </c>
      <c r="D29" s="2742"/>
      <c r="E29" s="2112"/>
      <c r="F29" s="1852">
        <v>-6.8483085844543807E-3</v>
      </c>
      <c r="G29" s="1852">
        <v>-8.5258370637910398E-3</v>
      </c>
      <c r="H29" s="2142"/>
      <c r="I29" s="2132">
        <v>-19.459921085437944</v>
      </c>
      <c r="J29" s="2133">
        <v>-19.459921085437944</v>
      </c>
      <c r="K29" s="2112"/>
      <c r="L29" s="1852">
        <v>-4.1632566634551942E-3</v>
      </c>
      <c r="M29" s="1852">
        <v>-5.183067837792139E-3</v>
      </c>
      <c r="N29" s="2131"/>
      <c r="O29" s="2132">
        <v>-11.830168738769899</v>
      </c>
      <c r="P29" s="2166">
        <v>-11.830168738769899</v>
      </c>
      <c r="Q29" s="1684"/>
      <c r="R29" s="1703" t="s">
        <v>2656</v>
      </c>
      <c r="S29" s="1692"/>
      <c r="T29" s="1703"/>
      <c r="U29" s="1684"/>
      <c r="V29" s="305"/>
      <c r="W29" s="1683">
        <f t="shared" si="3"/>
        <v>0</v>
      </c>
      <c r="X29" s="1680"/>
      <c r="AD29" s="1685">
        <f t="shared" ref="AD29:AD33" si="4" xml:space="preserve"> IF( ISNUMBER( J29 ), 0, 1 )</f>
        <v>0</v>
      </c>
      <c r="AJ29" s="1685">
        <f t="shared" ref="AJ29:AJ33" si="5" xml:space="preserve"> IF( ISNUMBER( P29 ), 0, 1 )</f>
        <v>0</v>
      </c>
      <c r="AK29" s="1680"/>
      <c r="AL29" s="1684"/>
      <c r="AM29" s="1700" t="s">
        <v>2655</v>
      </c>
      <c r="AN29" s="1701" t="s">
        <v>1344</v>
      </c>
      <c r="AO29" s="1701">
        <v>2</v>
      </c>
      <c r="AP29" s="1702"/>
      <c r="AQ29" s="1736" t="s">
        <v>2657</v>
      </c>
      <c r="AR29" s="1736" t="s">
        <v>2658</v>
      </c>
      <c r="AS29" s="1702"/>
      <c r="AT29" s="1770" t="s">
        <v>2659</v>
      </c>
      <c r="AU29" s="1757" t="s">
        <v>2660</v>
      </c>
      <c r="AV29" s="1702"/>
      <c r="AW29" s="1736" t="s">
        <v>2661</v>
      </c>
      <c r="AX29" s="1736" t="s">
        <v>2662</v>
      </c>
      <c r="AY29" s="1702"/>
      <c r="AZ29" s="1770" t="s">
        <v>2663</v>
      </c>
      <c r="BA29" s="1755" t="s">
        <v>2664</v>
      </c>
      <c r="BB29" s="1684"/>
      <c r="BC29" s="1684"/>
      <c r="BD29" s="1684"/>
    </row>
    <row r="30" spans="1:56">
      <c r="A30" s="1684"/>
      <c r="B30" s="1700" t="s">
        <v>2665</v>
      </c>
      <c r="C30" s="2741" t="s">
        <v>2555</v>
      </c>
      <c r="D30" s="2742"/>
      <c r="E30" s="2112"/>
      <c r="F30" s="1852">
        <v>-4.9268606877397135E-6</v>
      </c>
      <c r="G30" s="1852">
        <v>-6.133720602926501E-6</v>
      </c>
      <c r="H30" s="2142"/>
      <c r="I30" s="2132">
        <v>-1.4E-2</v>
      </c>
      <c r="J30" s="2133">
        <v>-1.4E-2</v>
      </c>
      <c r="K30" s="2112"/>
      <c r="L30" s="1852">
        <v>7.9535617064463305E-5</v>
      </c>
      <c r="M30" s="1852">
        <v>9.9018276337458375E-5</v>
      </c>
      <c r="N30" s="2131"/>
      <c r="O30" s="2132">
        <v>0.22600570819332907</v>
      </c>
      <c r="P30" s="2166">
        <v>0.22600570819332907</v>
      </c>
      <c r="Q30" s="1684"/>
      <c r="R30" s="1703" t="s">
        <v>2666</v>
      </c>
      <c r="S30" s="1692"/>
      <c r="T30" s="1703"/>
      <c r="U30" s="1684"/>
      <c r="V30" s="305"/>
      <c r="W30" s="1683">
        <f t="shared" si="3"/>
        <v>0</v>
      </c>
      <c r="X30" s="1680"/>
      <c r="AD30" s="1685">
        <f t="shared" si="4"/>
        <v>0</v>
      </c>
      <c r="AJ30" s="1685">
        <f t="shared" si="5"/>
        <v>0</v>
      </c>
      <c r="AK30" s="1680"/>
      <c r="AL30" s="1684"/>
      <c r="AM30" s="1700" t="s">
        <v>2665</v>
      </c>
      <c r="AN30" s="1701" t="s">
        <v>1344</v>
      </c>
      <c r="AO30" s="1701">
        <v>2</v>
      </c>
      <c r="AP30" s="1702"/>
      <c r="AQ30" s="1736" t="s">
        <v>2667</v>
      </c>
      <c r="AR30" s="1736" t="s">
        <v>2668</v>
      </c>
      <c r="AS30" s="1702"/>
      <c r="AT30" s="1770" t="s">
        <v>2669</v>
      </c>
      <c r="AU30" s="1757" t="s">
        <v>2670</v>
      </c>
      <c r="AV30" s="1702"/>
      <c r="AW30" s="1736" t="s">
        <v>2671</v>
      </c>
      <c r="AX30" s="1736" t="s">
        <v>2672</v>
      </c>
      <c r="AY30" s="1702"/>
      <c r="AZ30" s="1770" t="s">
        <v>2673</v>
      </c>
      <c r="BA30" s="1755" t="s">
        <v>2674</v>
      </c>
      <c r="BB30" s="1684"/>
      <c r="BC30" s="1684"/>
      <c r="BD30" s="1684"/>
    </row>
    <row r="31" spans="1:56">
      <c r="A31" s="1684"/>
      <c r="B31" s="1700" t="s">
        <v>2675</v>
      </c>
      <c r="C31" s="2741" t="s">
        <v>2555</v>
      </c>
      <c r="D31" s="2742"/>
      <c r="E31" s="2112"/>
      <c r="F31" s="1852">
        <v>-1.1958194726385391E-3</v>
      </c>
      <c r="G31" s="1852">
        <v>-1.4887416149103037E-3</v>
      </c>
      <c r="H31" s="2142"/>
      <c r="I31" s="2132">
        <v>-3.3980000000000001</v>
      </c>
      <c r="J31" s="2133">
        <v>-3.3980000000000001</v>
      </c>
      <c r="K31" s="2112"/>
      <c r="L31" s="1852">
        <v>-1.1054376896583653E-3</v>
      </c>
      <c r="M31" s="1852">
        <v>-1.3762203484222403E-3</v>
      </c>
      <c r="N31" s="2131"/>
      <c r="O31" s="2132">
        <v>-3.1411741951074061</v>
      </c>
      <c r="P31" s="2166">
        <v>-3.1411741951074061</v>
      </c>
      <c r="Q31" s="1684"/>
      <c r="R31" s="1703" t="s">
        <v>2676</v>
      </c>
      <c r="S31" s="1692"/>
      <c r="T31" s="1703"/>
      <c r="U31" s="1684"/>
      <c r="V31" s="305"/>
      <c r="W31" s="1683">
        <f t="shared" si="3"/>
        <v>0</v>
      </c>
      <c r="X31" s="1680"/>
      <c r="AD31" s="1685">
        <f t="shared" si="4"/>
        <v>0</v>
      </c>
      <c r="AJ31" s="1685">
        <f t="shared" si="5"/>
        <v>0</v>
      </c>
      <c r="AK31" s="1680"/>
      <c r="AL31" s="1684"/>
      <c r="AM31" s="1700" t="s">
        <v>2675</v>
      </c>
      <c r="AN31" s="1701" t="s">
        <v>1344</v>
      </c>
      <c r="AO31" s="1701">
        <v>2</v>
      </c>
      <c r="AP31" s="1702"/>
      <c r="AQ31" s="1736" t="s">
        <v>2677</v>
      </c>
      <c r="AR31" s="1736" t="s">
        <v>2678</v>
      </c>
      <c r="AS31" s="1702"/>
      <c r="AT31" s="1770" t="s">
        <v>2679</v>
      </c>
      <c r="AU31" s="1757" t="s">
        <v>2680</v>
      </c>
      <c r="AV31" s="1702"/>
      <c r="AW31" s="1736" t="s">
        <v>2681</v>
      </c>
      <c r="AX31" s="1736" t="s">
        <v>2682</v>
      </c>
      <c r="AY31" s="1702"/>
      <c r="AZ31" s="1770" t="s">
        <v>2683</v>
      </c>
      <c r="BA31" s="1755" t="s">
        <v>2684</v>
      </c>
      <c r="BB31" s="1684"/>
      <c r="BC31" s="1684"/>
      <c r="BD31" s="1684"/>
    </row>
    <row r="32" spans="1:56">
      <c r="A32" s="1684"/>
      <c r="B32" s="1700" t="s">
        <v>2685</v>
      </c>
      <c r="C32" s="2741" t="s">
        <v>2555</v>
      </c>
      <c r="D32" s="2742"/>
      <c r="E32" s="2112"/>
      <c r="F32" s="1852">
        <v>-1.9058039259484628E-3</v>
      </c>
      <c r="G32" s="1852">
        <v>-2.3726404188406523E-3</v>
      </c>
      <c r="H32" s="2142"/>
      <c r="I32" s="2132">
        <v>-5.4154677094226891</v>
      </c>
      <c r="J32" s="2133">
        <v>-5.4154677094226891</v>
      </c>
      <c r="K32" s="2112"/>
      <c r="L32" s="1852">
        <v>-4.9376780050980349E-3</v>
      </c>
      <c r="M32" s="1852">
        <v>-6.1471876779169189E-3</v>
      </c>
      <c r="N32" s="2131"/>
      <c r="O32" s="2132">
        <v>-14.03073812161837</v>
      </c>
      <c r="P32" s="2166">
        <v>-14.03073812161837</v>
      </c>
      <c r="Q32" s="1684"/>
      <c r="R32" s="1703" t="s">
        <v>2686</v>
      </c>
      <c r="S32" s="1692"/>
      <c r="T32" s="1703"/>
      <c r="U32" s="1684"/>
      <c r="V32" s="305"/>
      <c r="W32" s="1683">
        <f t="shared" si="3"/>
        <v>0</v>
      </c>
      <c r="X32" s="1680"/>
      <c r="AD32" s="1685">
        <f t="shared" si="4"/>
        <v>0</v>
      </c>
      <c r="AJ32" s="1685">
        <f t="shared" si="5"/>
        <v>0</v>
      </c>
      <c r="AK32" s="1680"/>
      <c r="AL32" s="1684"/>
      <c r="AM32" s="1700" t="s">
        <v>2685</v>
      </c>
      <c r="AN32" s="1701" t="s">
        <v>1344</v>
      </c>
      <c r="AO32" s="1701">
        <v>2</v>
      </c>
      <c r="AP32" s="1702"/>
      <c r="AQ32" s="1736" t="s">
        <v>2687</v>
      </c>
      <c r="AR32" s="1736" t="s">
        <v>2688</v>
      </c>
      <c r="AS32" s="1702"/>
      <c r="AT32" s="1770" t="s">
        <v>2689</v>
      </c>
      <c r="AU32" s="1757" t="s">
        <v>2690</v>
      </c>
      <c r="AV32" s="1702"/>
      <c r="AW32" s="1736" t="s">
        <v>2691</v>
      </c>
      <c r="AX32" s="1736" t="s">
        <v>2692</v>
      </c>
      <c r="AY32" s="1702"/>
      <c r="AZ32" s="1770" t="s">
        <v>2693</v>
      </c>
      <c r="BA32" s="1755" t="s">
        <v>2694</v>
      </c>
      <c r="BB32" s="1684"/>
      <c r="BC32" s="1684"/>
      <c r="BD32" s="1684"/>
    </row>
    <row r="33" spans="1:56">
      <c r="A33" s="1684"/>
      <c r="B33" s="1700" t="s">
        <v>2695</v>
      </c>
      <c r="C33" s="2741" t="s">
        <v>2555</v>
      </c>
      <c r="D33" s="2742"/>
      <c r="E33" s="2112"/>
      <c r="F33" s="1852">
        <v>7.0168153524304455E-4</v>
      </c>
      <c r="G33" s="1852">
        <v>8.7356204329533437E-4</v>
      </c>
      <c r="H33" s="2142"/>
      <c r="I33" s="2132">
        <v>1.9938744194346911</v>
      </c>
      <c r="J33" s="2133">
        <v>1.9938744194346911</v>
      </c>
      <c r="K33" s="2112"/>
      <c r="L33" s="1852">
        <v>4.9175545813730378E-4</v>
      </c>
      <c r="M33" s="1852">
        <v>6.1221349178478977E-4</v>
      </c>
      <c r="N33" s="2131"/>
      <c r="O33" s="2132">
        <v>1.3973556084210446</v>
      </c>
      <c r="P33" s="2166">
        <v>1.3973556084210446</v>
      </c>
      <c r="Q33" s="1684"/>
      <c r="R33" s="1703" t="s">
        <v>2696</v>
      </c>
      <c r="S33" s="1692"/>
      <c r="T33" s="1703"/>
      <c r="U33" s="1684"/>
      <c r="V33" s="305"/>
      <c r="W33" s="1683">
        <f t="shared" si="3"/>
        <v>0</v>
      </c>
      <c r="X33" s="1680"/>
      <c r="AD33" s="1685">
        <f t="shared" si="4"/>
        <v>0</v>
      </c>
      <c r="AJ33" s="1685">
        <f t="shared" si="5"/>
        <v>0</v>
      </c>
      <c r="AK33" s="1680"/>
      <c r="AL33" s="1684"/>
      <c r="AM33" s="1700" t="s">
        <v>2695</v>
      </c>
      <c r="AN33" s="1701" t="s">
        <v>1344</v>
      </c>
      <c r="AO33" s="1701">
        <v>2</v>
      </c>
      <c r="AP33" s="1702"/>
      <c r="AQ33" s="1736" t="s">
        <v>2697</v>
      </c>
      <c r="AR33" s="1736" t="s">
        <v>2698</v>
      </c>
      <c r="AS33" s="1702"/>
      <c r="AT33" s="1770" t="s">
        <v>2699</v>
      </c>
      <c r="AU33" s="1757" t="s">
        <v>2700</v>
      </c>
      <c r="AV33" s="1702"/>
      <c r="AW33" s="1736" t="s">
        <v>2701</v>
      </c>
      <c r="AX33" s="1736" t="s">
        <v>2702</v>
      </c>
      <c r="AY33" s="1702"/>
      <c r="AZ33" s="1770" t="s">
        <v>2703</v>
      </c>
      <c r="BA33" s="1755" t="s">
        <v>2704</v>
      </c>
      <c r="BB33" s="1684"/>
      <c r="BC33" s="1684"/>
      <c r="BD33" s="1684"/>
    </row>
    <row r="34" spans="1:56" ht="16" thickBot="1">
      <c r="A34" s="1684"/>
      <c r="B34" s="1704" t="s">
        <v>2705</v>
      </c>
      <c r="C34" s="2743" t="s">
        <v>2555</v>
      </c>
      <c r="D34" s="2744"/>
      <c r="E34" s="2113"/>
      <c r="F34" s="1853">
        <v>-2.4920341440956954E-2</v>
      </c>
      <c r="G34" s="1853">
        <v>-3.1024707499591492E-2</v>
      </c>
      <c r="H34" s="2143"/>
      <c r="I34" s="2144">
        <v>-70.812795872548733</v>
      </c>
      <c r="J34" s="2144">
        <v>-70.812795872548733</v>
      </c>
      <c r="K34" s="2113"/>
      <c r="L34" s="1853">
        <v>-2.521231357395998E-2</v>
      </c>
      <c r="M34" s="1853">
        <v>-3.1388199711201527E-2</v>
      </c>
      <c r="N34" s="2134"/>
      <c r="O34" s="2144">
        <v>-71.642453969481366</v>
      </c>
      <c r="P34" s="2169">
        <v>-71.642453969481366</v>
      </c>
      <c r="Q34" s="1684"/>
      <c r="R34" s="1707" t="s">
        <v>2706</v>
      </c>
      <c r="S34" s="1692"/>
      <c r="T34" s="1707"/>
      <c r="U34" s="1684"/>
      <c r="V34" s="305"/>
      <c r="W34" s="1684"/>
      <c r="X34" s="1680"/>
      <c r="AK34" s="1680"/>
      <c r="AL34" s="1684"/>
      <c r="AM34" s="1704" t="s">
        <v>2705</v>
      </c>
      <c r="AN34" s="1705" t="s">
        <v>1344</v>
      </c>
      <c r="AO34" s="1705">
        <v>2</v>
      </c>
      <c r="AP34" s="1706"/>
      <c r="AQ34" s="1737" t="s">
        <v>2707</v>
      </c>
      <c r="AR34" s="1737" t="s">
        <v>2708</v>
      </c>
      <c r="AS34" s="1706"/>
      <c r="AT34" s="1742" t="s">
        <v>2709</v>
      </c>
      <c r="AU34" s="1742" t="s">
        <v>2710</v>
      </c>
      <c r="AV34" s="1706"/>
      <c r="AW34" s="1737" t="s">
        <v>2711</v>
      </c>
      <c r="AX34" s="1737" t="s">
        <v>2712</v>
      </c>
      <c r="AY34" s="1706"/>
      <c r="AZ34" s="1742" t="s">
        <v>2713</v>
      </c>
      <c r="BA34" s="1743" t="s">
        <v>2714</v>
      </c>
      <c r="BB34" s="1684"/>
      <c r="BC34" s="1684"/>
      <c r="BD34" s="1684"/>
    </row>
    <row r="35" spans="1:56" ht="16.5" thickTop="1" thickBot="1">
      <c r="A35" s="1684"/>
      <c r="B35" s="1686"/>
      <c r="C35" s="1693"/>
      <c r="D35" s="1693"/>
      <c r="E35" s="2114"/>
      <c r="F35" s="2114"/>
      <c r="G35" s="2114"/>
      <c r="H35" s="2137"/>
      <c r="I35" s="2137"/>
      <c r="J35" s="2137"/>
      <c r="K35" s="2114"/>
      <c r="L35" s="2114"/>
      <c r="M35" s="2114"/>
      <c r="N35" s="2137"/>
      <c r="O35" s="2137"/>
      <c r="P35" s="2137"/>
      <c r="Q35" s="1684"/>
      <c r="S35" s="1684"/>
      <c r="T35" s="1684"/>
      <c r="U35" s="1684"/>
      <c r="V35" s="305"/>
      <c r="W35" s="1684"/>
      <c r="X35" s="1680"/>
      <c r="AK35" s="1680"/>
      <c r="AL35" s="1684"/>
      <c r="AM35" s="1686"/>
      <c r="AN35" s="1693"/>
      <c r="AO35" s="1693"/>
      <c r="AP35" s="1694"/>
      <c r="AQ35" s="1694"/>
      <c r="AR35" s="1694"/>
      <c r="AS35" s="1709"/>
      <c r="AT35" s="1709"/>
      <c r="AU35" s="1709"/>
      <c r="AV35" s="1694"/>
      <c r="AW35" s="1694"/>
      <c r="AX35" s="1694"/>
      <c r="AY35" s="1709"/>
      <c r="AZ35" s="1709"/>
      <c r="BA35" s="1709"/>
      <c r="BB35" s="1684"/>
      <c r="BC35" s="1684"/>
      <c r="BD35" s="1684"/>
    </row>
    <row r="36" spans="1:56" ht="16.5" thickTop="1" thickBot="1">
      <c r="A36" s="1684"/>
      <c r="B36" s="1691" t="s">
        <v>2715</v>
      </c>
      <c r="C36" s="2745" t="s">
        <v>2555</v>
      </c>
      <c r="D36" s="2746"/>
      <c r="E36" s="1850">
        <v>4.3871298502241522E-2</v>
      </c>
      <c r="F36" s="1850">
        <v>3.8077943185200414E-2</v>
      </c>
      <c r="G36" s="1850">
        <v>4.1868502466553437E-2</v>
      </c>
      <c r="H36" s="2138">
        <v>124.66319182918807</v>
      </c>
      <c r="I36" s="2138">
        <v>108.20099011920122</v>
      </c>
      <c r="J36" s="2138">
        <v>95.56337376242432</v>
      </c>
      <c r="K36" s="1850">
        <v>4.3680969079060182E-2</v>
      </c>
      <c r="L36" s="1850">
        <v>2.1295197389235961E-2</v>
      </c>
      <c r="M36" s="1850">
        <v>2.1915971469490418E-2</v>
      </c>
      <c r="N36" s="2138">
        <v>119.58483327107315</v>
      </c>
      <c r="O36" s="2138">
        <v>55.97418472210488</v>
      </c>
      <c r="P36" s="2168">
        <v>32.765823902087348</v>
      </c>
      <c r="Q36" s="1684"/>
      <c r="R36" s="1689" t="s">
        <v>2716</v>
      </c>
      <c r="S36" s="1692"/>
      <c r="T36" s="1689"/>
      <c r="U36" s="1684"/>
      <c r="V36" s="305"/>
      <c r="W36" s="1684"/>
      <c r="X36" s="1680"/>
      <c r="AK36" s="1680"/>
      <c r="AL36" s="1684"/>
      <c r="AM36" s="1691" t="s">
        <v>2715</v>
      </c>
      <c r="AN36" s="1688" t="s">
        <v>1344</v>
      </c>
      <c r="AO36" s="1688">
        <v>2</v>
      </c>
      <c r="AP36" s="1733" t="s">
        <v>2717</v>
      </c>
      <c r="AQ36" s="1733" t="s">
        <v>2718</v>
      </c>
      <c r="AR36" s="1733" t="s">
        <v>2719</v>
      </c>
      <c r="AS36" s="1740" t="s">
        <v>2720</v>
      </c>
      <c r="AT36" s="1740" t="s">
        <v>2721</v>
      </c>
      <c r="AU36" s="1740" t="s">
        <v>2722</v>
      </c>
      <c r="AV36" s="1733" t="s">
        <v>2723</v>
      </c>
      <c r="AW36" s="1733" t="s">
        <v>2724</v>
      </c>
      <c r="AX36" s="1733" t="s">
        <v>2725</v>
      </c>
      <c r="AY36" s="1740" t="s">
        <v>2726</v>
      </c>
      <c r="AZ36" s="1740" t="s">
        <v>2727</v>
      </c>
      <c r="BA36" s="1741" t="s">
        <v>2728</v>
      </c>
      <c r="BB36" s="1684"/>
      <c r="BC36" s="1684"/>
      <c r="BD36" s="1684"/>
    </row>
    <row r="37" spans="1:56" ht="16.5" thickTop="1" thickBot="1">
      <c r="A37" s="1684"/>
      <c r="B37" s="1686"/>
      <c r="C37" s="1693"/>
      <c r="D37" s="1693"/>
      <c r="E37" s="2114"/>
      <c r="F37" s="2114"/>
      <c r="G37" s="2114"/>
      <c r="H37" s="2137"/>
      <c r="I37" s="2137"/>
      <c r="J37" s="2137"/>
      <c r="K37" s="2114"/>
      <c r="L37" s="2114"/>
      <c r="M37" s="2114"/>
      <c r="N37" s="2137"/>
      <c r="O37" s="2137"/>
      <c r="P37" s="2137"/>
      <c r="Q37" s="1684"/>
      <c r="S37" s="1684"/>
      <c r="U37" s="1684"/>
      <c r="V37" s="305"/>
      <c r="W37" s="1684"/>
      <c r="X37" s="1680"/>
      <c r="AK37" s="1680"/>
      <c r="AL37" s="1684"/>
      <c r="AM37" s="1686"/>
      <c r="AN37" s="1693"/>
      <c r="AO37" s="1693"/>
      <c r="AP37" s="1694"/>
      <c r="AQ37" s="1694"/>
      <c r="AR37" s="1694"/>
      <c r="AS37" s="1709"/>
      <c r="AT37" s="1709"/>
      <c r="AU37" s="1709"/>
      <c r="AV37" s="1694"/>
      <c r="AW37" s="1694"/>
      <c r="AX37" s="1694"/>
      <c r="AY37" s="1709"/>
      <c r="AZ37" s="1709"/>
      <c r="BA37" s="1709"/>
      <c r="BB37" s="1684"/>
      <c r="BC37" s="1684"/>
      <c r="BD37" s="1684"/>
    </row>
    <row r="38" spans="1:56" ht="16.5" thickTop="1" thickBot="1">
      <c r="A38" s="1684"/>
      <c r="B38" s="1691" t="s">
        <v>2729</v>
      </c>
      <c r="C38" s="2745" t="s">
        <v>2555</v>
      </c>
      <c r="D38" s="2746"/>
      <c r="E38" s="1840">
        <v>0.1191</v>
      </c>
      <c r="F38" s="1854">
        <v>0.1191</v>
      </c>
      <c r="G38" s="1854">
        <v>0.1191</v>
      </c>
      <c r="H38" s="2138">
        <v>338.43051502334038</v>
      </c>
      <c r="I38" s="2138">
        <v>338.43051502334038</v>
      </c>
      <c r="J38" s="2138">
        <v>271.84153109361642</v>
      </c>
      <c r="K38" s="1840">
        <v>6.890604784665226E-2</v>
      </c>
      <c r="L38" s="1854">
        <v>6.890604784665226E-2</v>
      </c>
      <c r="M38" s="1854">
        <v>6.890604784665226E-2</v>
      </c>
      <c r="N38" s="2138">
        <v>188.64321046074625</v>
      </c>
      <c r="O38" s="2138">
        <v>188.64321046074625</v>
      </c>
      <c r="P38" s="2168">
        <v>130.0535884984225</v>
      </c>
      <c r="Q38" s="1684"/>
      <c r="R38" s="1689" t="s">
        <v>2730</v>
      </c>
      <c r="S38" s="1692"/>
      <c r="T38" s="1689"/>
      <c r="U38" s="1684"/>
      <c r="V38" s="305"/>
      <c r="W38" s="1683">
        <f t="shared" ref="W38" si="6">IF( SUM( Y38:AJ38 ) = 0, 0, $Y$5 )</f>
        <v>0</v>
      </c>
      <c r="X38" s="1680"/>
      <c r="Y38" s="1685">
        <f t="shared" ref="Y38" si="7" xml:space="preserve"> IF( ISNUMBER( E38 ), 0, 1 )</f>
        <v>0</v>
      </c>
      <c r="AE38" s="1685">
        <f t="shared" ref="AE38" si="8" xml:space="preserve"> IF( ISNUMBER( K38 ), 0, 1 )</f>
        <v>0</v>
      </c>
      <c r="AK38" s="1680"/>
      <c r="AL38" s="1684"/>
      <c r="AM38" s="1691" t="s">
        <v>2729</v>
      </c>
      <c r="AN38" s="1688" t="s">
        <v>1344</v>
      </c>
      <c r="AO38" s="1688">
        <v>2</v>
      </c>
      <c r="AP38" s="1753" t="s">
        <v>2731</v>
      </c>
      <c r="AQ38" s="1769" t="str">
        <f>AP38</f>
        <v>CR12517NNP</v>
      </c>
      <c r="AR38" s="1769" t="str">
        <f>AP38</f>
        <v>CR12517NNP</v>
      </c>
      <c r="AS38" s="1744" t="s">
        <v>2732</v>
      </c>
      <c r="AT38" s="1740" t="s">
        <v>2733</v>
      </c>
      <c r="AU38" s="1744" t="s">
        <v>2734</v>
      </c>
      <c r="AV38" s="1753" t="s">
        <v>2735</v>
      </c>
      <c r="AW38" s="1769" t="str">
        <f>AV38</f>
        <v>CR12517NNPA</v>
      </c>
      <c r="AX38" s="1769" t="str">
        <f>AV38</f>
        <v>CR12517NNPA</v>
      </c>
      <c r="AY38" s="1744" t="s">
        <v>2736</v>
      </c>
      <c r="AZ38" s="1740" t="s">
        <v>2737</v>
      </c>
      <c r="BA38" s="1745" t="s">
        <v>2738</v>
      </c>
      <c r="BB38" s="1684"/>
      <c r="BC38" s="1684"/>
      <c r="BD38" s="1684"/>
    </row>
    <row r="39" spans="1:56" ht="16.5" thickTop="1" thickBot="1">
      <c r="A39" s="1684"/>
      <c r="B39" s="1686"/>
      <c r="C39" s="1693"/>
      <c r="D39" s="1693"/>
      <c r="E39" s="1841"/>
      <c r="F39" s="1842"/>
      <c r="G39" s="1842"/>
      <c r="H39" s="2137"/>
      <c r="I39" s="2137"/>
      <c r="J39" s="2137"/>
      <c r="K39" s="1841"/>
      <c r="L39" s="1842"/>
      <c r="M39" s="1842"/>
      <c r="N39" s="2137"/>
      <c r="O39" s="2137"/>
      <c r="P39" s="2137"/>
      <c r="Q39" s="1684"/>
      <c r="S39" s="1684"/>
      <c r="U39" s="1684"/>
      <c r="V39" s="305"/>
      <c r="W39" s="1684"/>
      <c r="X39" s="1680"/>
      <c r="AK39" s="1680"/>
      <c r="AL39" s="1684"/>
      <c r="AM39" s="1686"/>
      <c r="AN39" s="1693"/>
      <c r="AO39" s="1693"/>
      <c r="AP39" s="1711"/>
      <c r="AQ39" s="1712"/>
      <c r="AR39" s="1712"/>
      <c r="AS39" s="1709"/>
      <c r="AT39" s="1708"/>
      <c r="AU39" s="1709"/>
      <c r="AV39" s="1711"/>
      <c r="AW39" s="1712"/>
      <c r="AX39" s="1712"/>
      <c r="AY39" s="1709"/>
      <c r="AZ39" s="1708"/>
      <c r="BA39" s="1709"/>
      <c r="BB39" s="1684"/>
      <c r="BC39" s="1684"/>
      <c r="BD39" s="1684"/>
    </row>
    <row r="40" spans="1:56" ht="16.5" thickTop="1" thickBot="1">
      <c r="A40" s="1684"/>
      <c r="B40" s="1691" t="s">
        <v>2739</v>
      </c>
      <c r="C40" s="2745" t="s">
        <v>2555</v>
      </c>
      <c r="D40" s="2746"/>
      <c r="E40" s="1843"/>
      <c r="F40" s="1850">
        <v>-6.4845753639060659E-4</v>
      </c>
      <c r="G40" s="1850">
        <v>-8.0730055164331344E-4</v>
      </c>
      <c r="H40" s="2145"/>
      <c r="I40" s="2124">
        <v>-1.8426349119348402</v>
      </c>
      <c r="J40" s="2146">
        <v>-1.8426349119348402</v>
      </c>
      <c r="K40" s="1843"/>
      <c r="L40" s="1850">
        <v>-8.4883952961762319E-4</v>
      </c>
      <c r="M40" s="1850">
        <v>-1.2312448728394791E-3</v>
      </c>
      <c r="N40" s="2145"/>
      <c r="O40" s="2124">
        <v>-2.3238571799882703</v>
      </c>
      <c r="P40" s="2170">
        <v>-2.3238571799882703</v>
      </c>
      <c r="Q40" s="1684"/>
      <c r="R40" s="1689" t="s">
        <v>2740</v>
      </c>
      <c r="S40" s="1692"/>
      <c r="T40" s="1689"/>
      <c r="U40" s="1684"/>
      <c r="V40" s="305"/>
      <c r="W40" s="1684"/>
      <c r="X40" s="1680"/>
      <c r="AK40" s="1680"/>
      <c r="AL40" s="1684"/>
      <c r="AM40" s="1691" t="s">
        <v>2739</v>
      </c>
      <c r="AN40" s="1688" t="s">
        <v>1344</v>
      </c>
      <c r="AO40" s="1688">
        <v>2</v>
      </c>
      <c r="AP40" s="1780"/>
      <c r="AQ40" s="1733" t="s">
        <v>2741</v>
      </c>
      <c r="AR40" s="1733" t="s">
        <v>2742</v>
      </c>
      <c r="AS40" s="1781"/>
      <c r="AT40" s="1789" t="s">
        <v>2743</v>
      </c>
      <c r="AU40" s="1790" t="s">
        <v>2743</v>
      </c>
      <c r="AV40" s="1780"/>
      <c r="AW40" s="1733" t="s">
        <v>2744</v>
      </c>
      <c r="AX40" s="1733" t="s">
        <v>2745</v>
      </c>
      <c r="AY40" s="1781"/>
      <c r="AZ40" s="1789" t="s">
        <v>2746</v>
      </c>
      <c r="BA40" s="1791" t="s">
        <v>2747</v>
      </c>
      <c r="BB40" s="1684"/>
      <c r="BC40" s="1684"/>
      <c r="BD40" s="1684"/>
    </row>
    <row r="41" spans="1:56" ht="16.5" thickTop="1" thickBot="1">
      <c r="A41" s="1684"/>
      <c r="B41" s="1686"/>
      <c r="C41" s="1693"/>
      <c r="D41" s="1693"/>
      <c r="E41" s="2114"/>
      <c r="F41" s="2115"/>
      <c r="G41" s="2115"/>
      <c r="H41" s="2137"/>
      <c r="I41" s="2137"/>
      <c r="J41" s="2137"/>
      <c r="K41" s="2114"/>
      <c r="L41" s="2115"/>
      <c r="M41" s="2115"/>
      <c r="N41" s="2137"/>
      <c r="O41" s="2137"/>
      <c r="P41" s="2137"/>
      <c r="Q41" s="1684"/>
      <c r="S41" s="1684"/>
      <c r="U41" s="1684"/>
      <c r="V41" s="305"/>
      <c r="W41" s="1684"/>
      <c r="X41" s="1680"/>
      <c r="AK41" s="1680"/>
      <c r="AL41" s="1684"/>
      <c r="AM41" s="1686"/>
      <c r="AN41" s="1693"/>
      <c r="AO41" s="1693"/>
      <c r="AP41" s="1694"/>
      <c r="AQ41" s="1694"/>
      <c r="AR41" s="1694"/>
      <c r="AS41" s="1709"/>
      <c r="AT41" s="1709"/>
      <c r="AU41" s="1709"/>
      <c r="AV41" s="1694"/>
      <c r="AW41" s="1694"/>
      <c r="AX41" s="1694"/>
      <c r="AY41" s="1709"/>
      <c r="AZ41" s="1709"/>
      <c r="BA41" s="1709"/>
      <c r="BB41" s="1684"/>
      <c r="BC41" s="1684"/>
      <c r="BD41" s="1684"/>
    </row>
    <row r="42" spans="1:56" ht="16.5" thickTop="1" thickBot="1">
      <c r="A42" s="1684"/>
      <c r="B42" s="1691" t="s">
        <v>2748</v>
      </c>
      <c r="C42" s="2745" t="s">
        <v>2555</v>
      </c>
      <c r="D42" s="2746"/>
      <c r="E42" s="1850">
        <v>0.16297129850224151</v>
      </c>
      <c r="F42" s="1850">
        <v>0.15652948564880978</v>
      </c>
      <c r="G42" s="1850">
        <v>0.1601612019149101</v>
      </c>
      <c r="H42" s="2138">
        <v>463.09370685252844</v>
      </c>
      <c r="I42" s="2138">
        <v>444.78887023060673</v>
      </c>
      <c r="J42" s="2138">
        <v>365.56226994410588</v>
      </c>
      <c r="K42" s="1850">
        <v>0.11258701692571244</v>
      </c>
      <c r="L42" s="1850">
        <v>8.9352405706270607E-2</v>
      </c>
      <c r="M42" s="1850">
        <v>8.9590774443303198E-2</v>
      </c>
      <c r="N42" s="2138">
        <v>308.22804373181941</v>
      </c>
      <c r="O42" s="2138">
        <v>242.29353800286285</v>
      </c>
      <c r="P42" s="2168">
        <v>160.4955552205216</v>
      </c>
      <c r="Q42" s="1684"/>
      <c r="R42" s="1689" t="s">
        <v>2749</v>
      </c>
      <c r="S42" s="1692"/>
      <c r="T42" s="1689"/>
      <c r="U42" s="1684"/>
      <c r="V42" s="305"/>
      <c r="W42" s="1684"/>
      <c r="X42" s="305"/>
      <c r="AK42" s="1680"/>
      <c r="AL42" s="1684"/>
      <c r="AM42" s="1691" t="s">
        <v>2748</v>
      </c>
      <c r="AN42" s="1688" t="s">
        <v>1344</v>
      </c>
      <c r="AO42" s="1688">
        <v>2</v>
      </c>
      <c r="AP42" s="1733" t="s">
        <v>2750</v>
      </c>
      <c r="AQ42" s="1733" t="s">
        <v>2751</v>
      </c>
      <c r="AR42" s="1733" t="s">
        <v>2752</v>
      </c>
      <c r="AS42" s="1740" t="s">
        <v>2753</v>
      </c>
      <c r="AT42" s="1740" t="s">
        <v>2754</v>
      </c>
      <c r="AU42" s="1740" t="s">
        <v>2755</v>
      </c>
      <c r="AV42" s="1733" t="s">
        <v>2756</v>
      </c>
      <c r="AW42" s="1733" t="s">
        <v>2757</v>
      </c>
      <c r="AX42" s="1733" t="s">
        <v>2758</v>
      </c>
      <c r="AY42" s="1740" t="s">
        <v>2759</v>
      </c>
      <c r="AZ42" s="1740" t="s">
        <v>2760</v>
      </c>
      <c r="BA42" s="1741" t="s">
        <v>2761</v>
      </c>
      <c r="BB42" s="1684"/>
      <c r="BC42" s="1684"/>
      <c r="BD42" s="1684"/>
    </row>
    <row r="43" spans="1:56" ht="16.5" thickTop="1" thickBot="1">
      <c r="A43" s="1684"/>
      <c r="B43" s="1684"/>
      <c r="C43" s="1684"/>
      <c r="D43" s="1684"/>
      <c r="E43" s="2117"/>
      <c r="F43" s="2117"/>
      <c r="G43" s="2117"/>
      <c r="H43" s="2147"/>
      <c r="I43" s="2147"/>
      <c r="J43" s="2147"/>
      <c r="K43" s="2117"/>
      <c r="L43" s="2117"/>
      <c r="M43" s="2117"/>
      <c r="N43" s="2147"/>
      <c r="O43" s="2147"/>
      <c r="P43" s="2147"/>
      <c r="Q43" s="1684"/>
      <c r="R43" s="1684"/>
      <c r="S43" s="1684"/>
      <c r="T43" s="1684"/>
      <c r="U43" s="1684"/>
      <c r="V43" s="305"/>
      <c r="W43" s="1684"/>
      <c r="X43" s="305"/>
      <c r="Y43" s="1684"/>
      <c r="Z43" s="1684"/>
      <c r="AA43" s="1684"/>
      <c r="AB43" s="1684"/>
      <c r="AC43" s="1684"/>
      <c r="AD43" s="1684"/>
      <c r="AE43" s="1684"/>
      <c r="AF43" s="1684"/>
      <c r="AG43" s="1684"/>
      <c r="AH43" s="1684"/>
      <c r="AI43" s="1684"/>
      <c r="AJ43" s="1684"/>
      <c r="AK43" s="1680"/>
      <c r="AL43" s="1684"/>
      <c r="AM43" s="1684"/>
      <c r="AN43" s="1684"/>
      <c r="AO43" s="1684"/>
      <c r="AP43" s="1684"/>
      <c r="AQ43" s="1684"/>
      <c r="AR43" s="1684"/>
      <c r="AS43" s="1684"/>
      <c r="AT43" s="1684"/>
      <c r="AU43" s="1684"/>
      <c r="AV43" s="1684"/>
      <c r="AW43" s="1684"/>
      <c r="AX43" s="1684"/>
      <c r="AY43" s="1684"/>
      <c r="AZ43" s="1684"/>
      <c r="BA43" s="1684"/>
      <c r="BB43" s="1684"/>
      <c r="BC43" s="1684"/>
      <c r="BD43" s="1684"/>
    </row>
    <row r="44" spans="1:56" ht="16.5" thickTop="1" thickBot="1">
      <c r="A44" s="1684"/>
      <c r="B44" s="1665" t="s">
        <v>2762</v>
      </c>
      <c r="C44" s="1684"/>
      <c r="D44" s="1684"/>
      <c r="E44" s="2117"/>
      <c r="F44" s="2117"/>
      <c r="G44" s="2117"/>
      <c r="H44" s="2147"/>
      <c r="I44" s="2147"/>
      <c r="J44" s="2147"/>
      <c r="K44" s="2117"/>
      <c r="L44" s="2117"/>
      <c r="M44" s="2117"/>
      <c r="N44" s="2147"/>
      <c r="O44" s="2147"/>
      <c r="P44" s="2147"/>
      <c r="Q44" s="1684"/>
      <c r="R44" s="1684"/>
      <c r="S44" s="1684"/>
      <c r="T44" s="1684"/>
      <c r="V44" s="305"/>
      <c r="W44" s="1684"/>
      <c r="X44" s="305"/>
      <c r="Y44" s="1684"/>
      <c r="Z44" s="1684"/>
      <c r="AA44" s="1684"/>
      <c r="AB44" s="1684"/>
      <c r="AC44" s="1684"/>
      <c r="AD44" s="1684"/>
      <c r="AE44" s="1684"/>
      <c r="AF44" s="1684"/>
      <c r="AG44" s="1684"/>
      <c r="AH44" s="1684"/>
      <c r="AI44" s="1684"/>
      <c r="AJ44" s="1684"/>
      <c r="AK44" s="1680"/>
      <c r="AL44" s="1684"/>
      <c r="AM44" s="1665" t="s">
        <v>2762</v>
      </c>
      <c r="AN44" s="1684"/>
      <c r="AO44" s="1684"/>
      <c r="AP44" s="1684"/>
      <c r="AQ44" s="1684"/>
      <c r="AR44" s="1684"/>
      <c r="AS44" s="1684"/>
      <c r="AT44" s="1684"/>
      <c r="AU44" s="1684"/>
      <c r="AV44" s="1684"/>
      <c r="AW44" s="1684"/>
      <c r="AX44" s="1684"/>
      <c r="AY44" s="1684"/>
      <c r="AZ44" s="1684"/>
      <c r="BA44" s="1684"/>
      <c r="BB44" s="1684"/>
      <c r="BC44" s="1684"/>
      <c r="BD44" s="1684"/>
    </row>
    <row r="45" spans="1:56" ht="16" thickTop="1">
      <c r="A45" s="1684"/>
      <c r="B45" s="1716" t="s">
        <v>2763</v>
      </c>
      <c r="C45" s="2752" t="s">
        <v>2555</v>
      </c>
      <c r="D45" s="2752"/>
      <c r="E45" s="1844">
        <v>3.1800000000000002E-2</v>
      </c>
      <c r="F45" s="1855">
        <v>1.8581238292465819E-2</v>
      </c>
      <c r="G45" s="1855">
        <v>2.313280836740509E-2</v>
      </c>
      <c r="H45" s="2148">
        <v>90.361799981043021</v>
      </c>
      <c r="I45" s="2149">
        <v>52.799815659870873</v>
      </c>
      <c r="J45" s="2150">
        <v>52.799815659870873</v>
      </c>
      <c r="K45" s="1845">
        <v>3.1800000000000009E-2</v>
      </c>
      <c r="L45" s="1855">
        <v>1.7795578621240621E-2</v>
      </c>
      <c r="M45" s="1855">
        <v>2.5812552516827864E-2</v>
      </c>
      <c r="N45" s="2148">
        <v>87.058455391346058</v>
      </c>
      <c r="O45" s="2149">
        <v>48.718729168568167</v>
      </c>
      <c r="P45" s="2171">
        <v>48.718729168568167</v>
      </c>
      <c r="Q45" s="1684"/>
      <c r="R45" s="1699" t="s">
        <v>2764</v>
      </c>
      <c r="S45" s="1684"/>
      <c r="T45" s="1699"/>
      <c r="U45" s="1684"/>
      <c r="V45" s="305"/>
      <c r="W45" s="1683">
        <f t="shared" ref="W45:W46" si="9">IF( SUM( Y45:AJ45 ) = 0, 0, $Y$5 )</f>
        <v>0</v>
      </c>
      <c r="X45" s="305"/>
      <c r="Y45" s="1685">
        <f t="shared" ref="Y45" si="10" xml:space="preserve"> IF( ISNUMBER( E45 ), 0, 1 )</f>
        <v>0</v>
      </c>
      <c r="Z45" s="1684"/>
      <c r="AA45" s="1684"/>
      <c r="AB45" s="1684"/>
      <c r="AC45" s="1684"/>
      <c r="AD45" s="1685">
        <f t="shared" ref="AD45:AE46" si="11" xml:space="preserve"> IF( ISNUMBER( J45 ), 0, 1 )</f>
        <v>0</v>
      </c>
      <c r="AE45" s="1685">
        <f t="shared" si="11"/>
        <v>0</v>
      </c>
      <c r="AF45" s="1684"/>
      <c r="AG45" s="1684"/>
      <c r="AH45" s="1684"/>
      <c r="AI45" s="1684"/>
      <c r="AJ45" s="1685">
        <f t="shared" ref="AJ45:AJ46" si="12" xml:space="preserve"> IF( ISNUMBER( P45 ), 0, 1 )</f>
        <v>0</v>
      </c>
      <c r="AK45" s="1680"/>
      <c r="AL45" s="1684"/>
      <c r="AM45" s="1716" t="s">
        <v>2763</v>
      </c>
      <c r="AN45" s="1717" t="s">
        <v>1344</v>
      </c>
      <c r="AO45" s="1717">
        <v>2</v>
      </c>
      <c r="AP45" s="1761" t="s">
        <v>2765</v>
      </c>
      <c r="AQ45" s="1746" t="s">
        <v>2766</v>
      </c>
      <c r="AR45" s="1746" t="s">
        <v>2767</v>
      </c>
      <c r="AS45" s="1748" t="s">
        <v>2768</v>
      </c>
      <c r="AT45" s="1772" t="str">
        <f>AU45</f>
        <v>CR12520AAV</v>
      </c>
      <c r="AU45" s="1762" t="s">
        <v>2769</v>
      </c>
      <c r="AV45" s="1761" t="s">
        <v>2770</v>
      </c>
      <c r="AW45" s="1746" t="s">
        <v>2771</v>
      </c>
      <c r="AX45" s="1746" t="s">
        <v>2772</v>
      </c>
      <c r="AY45" s="1748" t="s">
        <v>2773</v>
      </c>
      <c r="AZ45" s="1772" t="str">
        <f>BA45</f>
        <v>CR12520AAVA</v>
      </c>
      <c r="BA45" s="1764" t="s">
        <v>2774</v>
      </c>
      <c r="BB45" s="1684"/>
      <c r="BC45" s="1684"/>
      <c r="BD45" s="1684"/>
    </row>
    <row r="46" spans="1:56" ht="16" thickBot="1">
      <c r="A46" s="1684"/>
      <c r="B46" s="1718" t="s">
        <v>2775</v>
      </c>
      <c r="C46" s="2750" t="s">
        <v>2555</v>
      </c>
      <c r="D46" s="2750"/>
      <c r="E46" s="1846"/>
      <c r="F46" s="1856">
        <v>-6.5706428437016223E-3</v>
      </c>
      <c r="G46" s="1856">
        <v>-8.1801556689384911E-3</v>
      </c>
      <c r="H46" s="2151"/>
      <c r="I46" s="2152">
        <v>-18.670915546837662</v>
      </c>
      <c r="J46" s="2153">
        <v>-18.670915546837662</v>
      </c>
      <c r="K46" s="1847"/>
      <c r="L46" s="1856">
        <v>-9.6532887170650231E-3</v>
      </c>
      <c r="M46" s="1856">
        <v>-1.4002130937845922E-2</v>
      </c>
      <c r="N46" s="2151"/>
      <c r="O46" s="2152">
        <v>-26.427685696678907</v>
      </c>
      <c r="P46" s="2172">
        <v>-26.427685696678907</v>
      </c>
      <c r="Q46" s="1684"/>
      <c r="R46" s="1707" t="s">
        <v>2776</v>
      </c>
      <c r="S46" s="1684"/>
      <c r="T46" s="1707"/>
      <c r="U46" s="1684"/>
      <c r="V46" s="305"/>
      <c r="W46" s="1683">
        <f t="shared" si="9"/>
        <v>0</v>
      </c>
      <c r="X46" s="305"/>
      <c r="Y46" s="1684"/>
      <c r="Z46" s="1684"/>
      <c r="AA46" s="1684"/>
      <c r="AB46" s="1684"/>
      <c r="AC46" s="1684"/>
      <c r="AD46" s="1685">
        <f t="shared" si="11"/>
        <v>0</v>
      </c>
      <c r="AE46" s="1684"/>
      <c r="AF46" s="1684"/>
      <c r="AG46" s="1684"/>
      <c r="AH46" s="1684"/>
      <c r="AI46" s="1684"/>
      <c r="AJ46" s="1685">
        <f t="shared" si="12"/>
        <v>0</v>
      </c>
      <c r="AK46" s="1680"/>
      <c r="AL46" s="1684"/>
      <c r="AM46" s="1718" t="s">
        <v>2775</v>
      </c>
      <c r="AN46" s="1719" t="s">
        <v>1344</v>
      </c>
      <c r="AO46" s="1719">
        <v>2</v>
      </c>
      <c r="AP46" s="1783"/>
      <c r="AQ46" s="1747" t="s">
        <v>2777</v>
      </c>
      <c r="AR46" s="1747" t="s">
        <v>2778</v>
      </c>
      <c r="AS46" s="1782"/>
      <c r="AT46" s="1773" t="str">
        <f>AU46</f>
        <v>CR12521AAV</v>
      </c>
      <c r="AU46" s="1763" t="s">
        <v>2779</v>
      </c>
      <c r="AV46" s="1783"/>
      <c r="AW46" s="1747" t="s">
        <v>2780</v>
      </c>
      <c r="AX46" s="1747" t="s">
        <v>2781</v>
      </c>
      <c r="AY46" s="1782"/>
      <c r="AZ46" s="1773" t="str">
        <f>BA46</f>
        <v>CR12521AAVA</v>
      </c>
      <c r="BA46" s="1765" t="s">
        <v>2782</v>
      </c>
      <c r="BB46" s="1684"/>
      <c r="BC46" s="1684"/>
      <c r="BD46" s="1684"/>
    </row>
    <row r="47" spans="1:56" ht="16.5" thickTop="1" thickBot="1">
      <c r="A47" s="1684"/>
      <c r="B47" s="1687"/>
      <c r="C47" s="1714"/>
      <c r="D47" s="1714"/>
      <c r="E47" s="2118"/>
      <c r="F47" s="2118"/>
      <c r="G47" s="2118"/>
      <c r="H47" s="2154"/>
      <c r="I47" s="2154"/>
      <c r="J47" s="2154"/>
      <c r="K47" s="2118"/>
      <c r="L47" s="2118"/>
      <c r="M47" s="2118"/>
      <c r="N47" s="2154"/>
      <c r="O47" s="2154"/>
      <c r="P47" s="2154"/>
      <c r="Q47" s="1684"/>
      <c r="R47" s="1684"/>
      <c r="S47" s="1684"/>
      <c r="T47" s="1684"/>
      <c r="U47" s="1684"/>
      <c r="V47" s="305"/>
      <c r="W47" s="1684"/>
      <c r="X47" s="305"/>
      <c r="Y47" s="1684"/>
      <c r="Z47" s="1684"/>
      <c r="AA47" s="1684"/>
      <c r="AB47" s="1684"/>
      <c r="AC47" s="1684"/>
      <c r="AD47" s="1684"/>
      <c r="AE47" s="1684"/>
      <c r="AF47" s="1684"/>
      <c r="AG47" s="1684"/>
      <c r="AH47" s="1684"/>
      <c r="AI47" s="1684"/>
      <c r="AJ47" s="1684"/>
      <c r="AK47" s="1680"/>
      <c r="AL47" s="1684"/>
      <c r="AM47" s="1687"/>
      <c r="AN47" s="1714"/>
      <c r="AO47" s="1714"/>
      <c r="AP47" s="1715"/>
      <c r="AQ47" s="1715"/>
      <c r="AR47" s="1715"/>
      <c r="AS47" s="1713"/>
      <c r="AT47" s="1713"/>
      <c r="AU47" s="1713"/>
      <c r="AV47" s="1715"/>
      <c r="AW47" s="1715"/>
      <c r="AX47" s="1715"/>
      <c r="AY47" s="1713"/>
      <c r="AZ47" s="1713"/>
      <c r="BA47" s="1713"/>
      <c r="BB47" s="1684"/>
      <c r="BC47" s="1684"/>
      <c r="BD47" s="1684"/>
    </row>
    <row r="48" spans="1:56" ht="16.5" thickTop="1" thickBot="1">
      <c r="A48" s="1684"/>
      <c r="B48" s="1720" t="s">
        <v>2783</v>
      </c>
      <c r="C48" s="2751" t="s">
        <v>2555</v>
      </c>
      <c r="D48" s="2751"/>
      <c r="E48" s="1857">
        <v>0.13117129850224152</v>
      </c>
      <c r="F48" s="1857">
        <v>0.14451889020004557</v>
      </c>
      <c r="G48" s="1857">
        <v>0.14520854921644349</v>
      </c>
      <c r="H48" s="2155">
        <v>372.73190687148542</v>
      </c>
      <c r="I48" s="2155">
        <v>410.65997011757349</v>
      </c>
      <c r="J48" s="2155">
        <v>331.43336983107264</v>
      </c>
      <c r="K48" s="1857">
        <v>8.0787016925712427E-2</v>
      </c>
      <c r="L48" s="1857">
        <v>8.1210115802095015E-2</v>
      </c>
      <c r="M48" s="1857">
        <v>7.7780352864321264E-2</v>
      </c>
      <c r="N48" s="2155">
        <v>221.16958834047335</v>
      </c>
      <c r="O48" s="2155">
        <v>220.00249453097359</v>
      </c>
      <c r="P48" s="2173">
        <v>138.20451174863234</v>
      </c>
      <c r="Q48" s="1684"/>
      <c r="R48" s="1689" t="s">
        <v>2784</v>
      </c>
      <c r="S48" s="1684"/>
      <c r="T48" s="1689"/>
      <c r="U48" s="1684"/>
      <c r="V48" s="305"/>
      <c r="W48" s="1684"/>
      <c r="X48" s="305"/>
      <c r="Y48" s="1684"/>
      <c r="Z48" s="1684"/>
      <c r="AA48" s="1684"/>
      <c r="AB48" s="1684"/>
      <c r="AC48" s="1684"/>
      <c r="AD48" s="1684"/>
      <c r="AE48" s="1684"/>
      <c r="AF48" s="1684"/>
      <c r="AG48" s="1684"/>
      <c r="AH48" s="1684"/>
      <c r="AI48" s="1684"/>
      <c r="AJ48" s="1684"/>
      <c r="AK48" s="1680"/>
      <c r="AL48" s="1684"/>
      <c r="AM48" s="1720" t="s">
        <v>2783</v>
      </c>
      <c r="AN48" s="1721" t="s">
        <v>1344</v>
      </c>
      <c r="AO48" s="1721">
        <v>2</v>
      </c>
      <c r="AP48" s="1775" t="s">
        <v>2785</v>
      </c>
      <c r="AQ48" s="1775" t="s">
        <v>2786</v>
      </c>
      <c r="AR48" s="1775" t="s">
        <v>2787</v>
      </c>
      <c r="AS48" s="1776" t="s">
        <v>2788</v>
      </c>
      <c r="AT48" s="1776" t="s">
        <v>2789</v>
      </c>
      <c r="AU48" s="1776" t="s">
        <v>2790</v>
      </c>
      <c r="AV48" s="1775" t="s">
        <v>2791</v>
      </c>
      <c r="AW48" s="1775" t="s">
        <v>2792</v>
      </c>
      <c r="AX48" s="1775" t="s">
        <v>2793</v>
      </c>
      <c r="AY48" s="1776" t="s">
        <v>2794</v>
      </c>
      <c r="AZ48" s="1776" t="s">
        <v>2795</v>
      </c>
      <c r="BA48" s="1777" t="s">
        <v>2796</v>
      </c>
      <c r="BB48" s="1684"/>
      <c r="BC48" s="1684"/>
      <c r="BD48" s="1684"/>
    </row>
    <row r="49" spans="1:56" ht="16" thickTop="1">
      <c r="A49" s="1684"/>
      <c r="B49" s="1684"/>
      <c r="C49" s="1684"/>
      <c r="D49" s="1684"/>
      <c r="E49" s="2119"/>
      <c r="F49" s="2119"/>
      <c r="G49" s="2119"/>
      <c r="H49" s="2156"/>
      <c r="I49" s="2156"/>
      <c r="J49" s="2156"/>
      <c r="K49" s="2119"/>
      <c r="L49" s="2119"/>
      <c r="M49" s="2119"/>
      <c r="N49" s="2121"/>
      <c r="O49" s="2121"/>
      <c r="P49" s="2121"/>
      <c r="Q49" s="1684"/>
      <c r="R49" s="1684"/>
      <c r="S49" s="1684"/>
      <c r="T49" s="1684"/>
      <c r="U49" s="1684"/>
      <c r="V49" s="305"/>
      <c r="W49" s="1684"/>
      <c r="X49" s="305"/>
      <c r="Y49" s="1684"/>
      <c r="Z49" s="1684"/>
      <c r="AA49" s="1684"/>
      <c r="AB49" s="1684"/>
      <c r="AC49" s="1684"/>
      <c r="AD49" s="1684"/>
      <c r="AE49" s="1684"/>
      <c r="AF49" s="1684"/>
      <c r="AG49" s="1684"/>
      <c r="AH49" s="1684"/>
      <c r="AI49" s="1684"/>
      <c r="AJ49" s="1684"/>
      <c r="AK49" s="1680"/>
      <c r="AL49" s="1684"/>
      <c r="AM49" s="1684"/>
      <c r="AN49" s="1684"/>
      <c r="AO49" s="1684"/>
      <c r="AP49" s="1684"/>
      <c r="AQ49" s="1684"/>
      <c r="AR49" s="1684"/>
      <c r="AS49" s="1684"/>
      <c r="AT49" s="1684"/>
      <c r="AU49" s="1684"/>
      <c r="AV49" s="1684"/>
      <c r="AW49" s="1684"/>
      <c r="AX49" s="1684"/>
      <c r="AY49" s="1684"/>
      <c r="AZ49" s="1684"/>
      <c r="BA49" s="1684"/>
      <c r="BB49" s="1684"/>
      <c r="BC49" s="1684"/>
      <c r="BD49" s="1684"/>
    </row>
    <row r="50" spans="1:56" ht="16" thickBot="1">
      <c r="A50" s="1684"/>
      <c r="B50" s="1684"/>
      <c r="C50" s="1684"/>
      <c r="D50" s="1684"/>
      <c r="E50" s="2117"/>
      <c r="F50" s="2117"/>
      <c r="G50" s="2117"/>
      <c r="H50" s="2147"/>
      <c r="I50" s="2147"/>
      <c r="J50" s="2147"/>
      <c r="K50" s="2117"/>
      <c r="L50" s="2117"/>
      <c r="M50" s="2117"/>
      <c r="N50" s="2120"/>
      <c r="O50" s="2120"/>
      <c r="P50" s="2120"/>
      <c r="Q50" s="1684"/>
      <c r="R50" s="1684"/>
      <c r="S50" s="1684"/>
      <c r="T50" s="1684"/>
      <c r="U50" s="1684"/>
      <c r="V50" s="305"/>
      <c r="W50" s="1684"/>
      <c r="X50" s="305"/>
      <c r="Y50" s="1684"/>
      <c r="Z50" s="1684"/>
      <c r="AA50" s="1684"/>
      <c r="AB50" s="1684"/>
      <c r="AC50" s="1684"/>
      <c r="AD50" s="1684"/>
      <c r="AE50" s="1684"/>
      <c r="AF50" s="1684"/>
      <c r="AG50" s="1684"/>
      <c r="AH50" s="1684"/>
      <c r="AI50" s="1684"/>
      <c r="AJ50" s="1684"/>
      <c r="AK50" s="1680"/>
      <c r="AL50" s="1684"/>
      <c r="AM50" s="1684"/>
      <c r="AN50" s="1684"/>
      <c r="AO50" s="1684"/>
      <c r="AP50" s="1684"/>
      <c r="AQ50" s="1684"/>
      <c r="AR50" s="1684"/>
      <c r="AS50" s="1684"/>
      <c r="AT50" s="1684"/>
      <c r="AU50" s="1684"/>
      <c r="AV50" s="1684"/>
      <c r="AW50" s="1684"/>
      <c r="AX50" s="1684"/>
      <c r="AY50" s="1684"/>
      <c r="AZ50" s="1684"/>
      <c r="BA50" s="1684"/>
      <c r="BB50" s="1684"/>
      <c r="BC50" s="1684"/>
      <c r="BD50" s="1684"/>
    </row>
    <row r="51" spans="1:56" ht="16.5" thickTop="1" thickBot="1">
      <c r="A51" s="1684"/>
      <c r="B51" s="355" t="s">
        <v>2797</v>
      </c>
      <c r="C51" s="1684"/>
      <c r="D51" s="1684"/>
      <c r="E51" s="2117"/>
      <c r="F51" s="2117"/>
      <c r="G51" s="2117"/>
      <c r="H51" s="2147"/>
      <c r="I51" s="2147"/>
      <c r="J51" s="2147"/>
      <c r="K51" s="2117"/>
      <c r="L51" s="2117"/>
      <c r="M51" s="2117"/>
      <c r="N51" s="2120"/>
      <c r="O51" s="2121"/>
      <c r="P51" s="2120"/>
      <c r="Q51" s="1684"/>
      <c r="R51" s="1684"/>
      <c r="S51" s="1684"/>
      <c r="T51" s="1684"/>
      <c r="U51" s="1684"/>
      <c r="V51" s="305"/>
      <c r="W51" s="1684"/>
      <c r="X51" s="305"/>
      <c r="Y51" s="1684"/>
      <c r="Z51" s="1684"/>
      <c r="AA51" s="1684"/>
      <c r="AB51" s="1684"/>
      <c r="AC51" s="1684"/>
      <c r="AD51" s="1684"/>
      <c r="AE51" s="1684"/>
      <c r="AF51" s="1684"/>
      <c r="AG51" s="1684"/>
      <c r="AH51" s="1684"/>
      <c r="AI51" s="1684"/>
      <c r="AJ51" s="1684"/>
      <c r="AK51" s="1680"/>
      <c r="AL51" s="1684"/>
      <c r="AM51" s="355" t="s">
        <v>2797</v>
      </c>
      <c r="AN51" s="1684"/>
      <c r="AO51" s="1684"/>
      <c r="AP51" s="1684"/>
      <c r="AQ51" s="1684"/>
      <c r="AR51" s="1684"/>
      <c r="AS51" s="1684"/>
      <c r="AT51" s="1684"/>
      <c r="AU51" s="1684"/>
      <c r="AV51" s="1684"/>
      <c r="AW51" s="1684"/>
      <c r="AX51" s="1684"/>
      <c r="AY51" s="1684"/>
      <c r="AZ51" s="1684"/>
      <c r="BA51" s="1684"/>
      <c r="BB51" s="1684"/>
      <c r="BC51" s="1684"/>
      <c r="BD51" s="1684"/>
    </row>
    <row r="52" spans="1:56" ht="16" thickTop="1">
      <c r="A52" s="1684"/>
      <c r="B52" s="1716" t="s">
        <v>2798</v>
      </c>
      <c r="C52" s="2752" t="s">
        <v>2555</v>
      </c>
      <c r="D52" s="2752"/>
      <c r="E52" s="1848"/>
      <c r="F52" s="1855">
        <v>1.8581303165189777E-4</v>
      </c>
      <c r="G52" s="1855">
        <v>2.3132889131037091E-4</v>
      </c>
      <c r="H52" s="2157"/>
      <c r="I52" s="2149">
        <v>0.52800000000000002</v>
      </c>
      <c r="J52" s="2158">
        <v>0.52800000000000002</v>
      </c>
      <c r="K52" s="1848"/>
      <c r="L52" s="1858">
        <v>1.9286351824786724E-4</v>
      </c>
      <c r="M52" s="1859">
        <v>2.7974924554637488E-4</v>
      </c>
      <c r="N52" s="2174"/>
      <c r="O52" s="2175">
        <v>0.52800000000000002</v>
      </c>
      <c r="P52" s="2171">
        <v>0.52800000000000002</v>
      </c>
      <c r="Q52" s="1684"/>
      <c r="R52" s="1699" t="s">
        <v>2799</v>
      </c>
      <c r="S52" s="1684"/>
      <c r="T52" s="1699"/>
      <c r="U52" s="1684"/>
      <c r="V52" s="305"/>
      <c r="W52" s="1683">
        <f t="shared" ref="W52:W53" si="13">IF( SUM( Y52:AJ52 ) = 0, 0, $Y$5 )</f>
        <v>0</v>
      </c>
      <c r="X52" s="305"/>
      <c r="Y52" s="1684"/>
      <c r="Z52" s="1684"/>
      <c r="AA52" s="1684"/>
      <c r="AB52" s="1684"/>
      <c r="AC52" s="1684"/>
      <c r="AD52" s="1685">
        <f t="shared" ref="AD52:AD53" si="14" xml:space="preserve"> IF( ISNUMBER( J52 ), 0, 1 )</f>
        <v>0</v>
      </c>
      <c r="AE52" s="1684"/>
      <c r="AF52" s="1684"/>
      <c r="AG52" s="1684"/>
      <c r="AH52" s="1684"/>
      <c r="AI52" s="1684"/>
      <c r="AJ52" s="1685">
        <f t="shared" ref="AJ52:AJ53" si="15" xml:space="preserve"> IF( ISNUMBER( P52 ), 0, 1 )</f>
        <v>0</v>
      </c>
      <c r="AK52" s="1680"/>
      <c r="AL52" s="1684"/>
      <c r="AM52" s="1716" t="s">
        <v>2798</v>
      </c>
      <c r="AN52" s="1717" t="s">
        <v>1344</v>
      </c>
      <c r="AO52" s="1717">
        <v>2</v>
      </c>
      <c r="AP52" s="1784"/>
      <c r="AQ52" s="1746" t="s">
        <v>2800</v>
      </c>
      <c r="AR52" s="1746" t="s">
        <v>2801</v>
      </c>
      <c r="AS52" s="1786"/>
      <c r="AT52" s="1772" t="s">
        <v>2802</v>
      </c>
      <c r="AU52" s="1762" t="s">
        <v>2802</v>
      </c>
      <c r="AV52" s="1784"/>
      <c r="AW52" s="1746" t="s">
        <v>2803</v>
      </c>
      <c r="AX52" s="1746" t="s">
        <v>2804</v>
      </c>
      <c r="AY52" s="1786"/>
      <c r="AZ52" s="1772" t="s">
        <v>2805</v>
      </c>
      <c r="BA52" s="1764" t="s">
        <v>2805</v>
      </c>
    </row>
    <row r="53" spans="1:56">
      <c r="A53" s="1684"/>
      <c r="B53" s="1722" t="s">
        <v>2806</v>
      </c>
      <c r="C53" s="2749" t="s">
        <v>2555</v>
      </c>
      <c r="D53" s="2749"/>
      <c r="E53" s="1849"/>
      <c r="F53" s="1864">
        <v>6.6192373339783051E-3</v>
      </c>
      <c r="G53" s="1864">
        <v>8.2406536300317548E-3</v>
      </c>
      <c r="H53" s="2159"/>
      <c r="I53" s="2160">
        <v>18.809000000000001</v>
      </c>
      <c r="J53" s="2161">
        <v>18.809000000000001</v>
      </c>
      <c r="K53" s="1849"/>
      <c r="L53" s="1860">
        <v>6.8703975657654071E-3</v>
      </c>
      <c r="M53" s="1861">
        <v>9.9655370444730416E-3</v>
      </c>
      <c r="N53" s="2176"/>
      <c r="O53" s="2177">
        <v>18.809000000000001</v>
      </c>
      <c r="P53" s="2178">
        <v>18.809000000000001</v>
      </c>
      <c r="Q53" s="1684"/>
      <c r="R53" s="1703" t="s">
        <v>2807</v>
      </c>
      <c r="S53" s="1684"/>
      <c r="T53" s="1703"/>
      <c r="U53" s="1684"/>
      <c r="V53" s="305"/>
      <c r="W53" s="1683">
        <f t="shared" si="13"/>
        <v>0</v>
      </c>
      <c r="X53" s="305"/>
      <c r="Y53" s="1684"/>
      <c r="Z53" s="1684"/>
      <c r="AA53" s="1684"/>
      <c r="AB53" s="1684"/>
      <c r="AC53" s="1684"/>
      <c r="AD53" s="1685">
        <f t="shared" si="14"/>
        <v>0</v>
      </c>
      <c r="AE53" s="1684"/>
      <c r="AF53" s="1684"/>
      <c r="AG53" s="1684"/>
      <c r="AH53" s="1684"/>
      <c r="AI53" s="1684"/>
      <c r="AJ53" s="1685">
        <f t="shared" si="15"/>
        <v>0</v>
      </c>
      <c r="AK53" s="1680"/>
      <c r="AL53" s="1684"/>
      <c r="AM53" s="1722" t="s">
        <v>2806</v>
      </c>
      <c r="AN53" s="1723" t="s">
        <v>1344</v>
      </c>
      <c r="AO53" s="1723">
        <v>2</v>
      </c>
      <c r="AP53" s="1785"/>
      <c r="AQ53" s="1751" t="s">
        <v>2808</v>
      </c>
      <c r="AR53" s="1751" t="s">
        <v>2809</v>
      </c>
      <c r="AS53" s="1787"/>
      <c r="AT53" s="1774" t="s">
        <v>2810</v>
      </c>
      <c r="AU53" s="1778" t="s">
        <v>2810</v>
      </c>
      <c r="AV53" s="1785"/>
      <c r="AW53" s="1751" t="s">
        <v>2811</v>
      </c>
      <c r="AX53" s="1751" t="s">
        <v>2812</v>
      </c>
      <c r="AY53" s="1787"/>
      <c r="AZ53" s="1774" t="s">
        <v>2813</v>
      </c>
      <c r="BA53" s="1779" t="s">
        <v>2813</v>
      </c>
    </row>
    <row r="54" spans="1:56" ht="16" thickBot="1">
      <c r="A54" s="1684"/>
      <c r="B54" s="1718" t="s">
        <v>2814</v>
      </c>
      <c r="C54" s="2750" t="s">
        <v>2555</v>
      </c>
      <c r="D54" s="2750"/>
      <c r="E54" s="1846"/>
      <c r="F54" s="1856">
        <v>6.8050503656302032E-3</v>
      </c>
      <c r="G54" s="1856">
        <v>8.4719825213421251E-3</v>
      </c>
      <c r="H54" s="2162"/>
      <c r="I54" s="2163">
        <v>19.337</v>
      </c>
      <c r="J54" s="2163">
        <v>19.337</v>
      </c>
      <c r="K54" s="1846"/>
      <c r="L54" s="1862">
        <v>7.0632610840132741E-3</v>
      </c>
      <c r="M54" s="1863">
        <v>1.0245286290019416E-2</v>
      </c>
      <c r="N54" s="2179"/>
      <c r="O54" s="2180">
        <v>19.337</v>
      </c>
      <c r="P54" s="2181">
        <v>19.337</v>
      </c>
      <c r="Q54" s="1684"/>
      <c r="R54" s="1707" t="s">
        <v>2815</v>
      </c>
      <c r="S54" s="1684"/>
      <c r="T54" s="1707"/>
      <c r="U54" s="1684"/>
      <c r="V54" s="305"/>
      <c r="W54" s="1684"/>
      <c r="X54" s="305"/>
      <c r="Y54" s="1684"/>
      <c r="Z54" s="1684"/>
      <c r="AA54" s="1684"/>
      <c r="AB54" s="1684"/>
      <c r="AC54" s="1684"/>
      <c r="AD54" s="1684"/>
      <c r="AE54" s="1684"/>
      <c r="AF54" s="1684"/>
      <c r="AG54" s="1684"/>
      <c r="AH54" s="1684"/>
      <c r="AI54" s="1684"/>
      <c r="AJ54" s="1684"/>
      <c r="AK54" s="1680"/>
      <c r="AL54" s="1684"/>
      <c r="AM54" s="1718" t="s">
        <v>2814</v>
      </c>
      <c r="AN54" s="1719" t="s">
        <v>1344</v>
      </c>
      <c r="AO54" s="1719">
        <v>2</v>
      </c>
      <c r="AP54" s="1783"/>
      <c r="AQ54" s="1747" t="s">
        <v>2816</v>
      </c>
      <c r="AR54" s="1747" t="s">
        <v>2817</v>
      </c>
      <c r="AS54" s="1788"/>
      <c r="AT54" s="1749" t="s">
        <v>2818</v>
      </c>
      <c r="AU54" s="1749" t="s">
        <v>2819</v>
      </c>
      <c r="AV54" s="1783"/>
      <c r="AW54" s="1747" t="s">
        <v>2820</v>
      </c>
      <c r="AX54" s="1747" t="s">
        <v>2821</v>
      </c>
      <c r="AY54" s="1788"/>
      <c r="AZ54" s="1749" t="s">
        <v>2822</v>
      </c>
      <c r="BA54" s="1750" t="s">
        <v>2823</v>
      </c>
    </row>
    <row r="55" spans="1:56" ht="16" thickTop="1">
      <c r="A55" s="1684"/>
      <c r="B55" s="1684"/>
      <c r="C55" s="1684"/>
      <c r="D55" s="1684"/>
      <c r="E55" s="1684"/>
      <c r="F55" s="1684"/>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4"/>
      <c r="AM55" s="1684"/>
      <c r="AN55" s="1684"/>
      <c r="AO55" s="1684"/>
      <c r="AP55" s="1684"/>
      <c r="AQ55" s="1684"/>
      <c r="AR55" s="1684"/>
      <c r="AS55" s="1684"/>
      <c r="AT55" s="1684"/>
      <c r="AU55" s="1684"/>
      <c r="AV55" s="1684"/>
      <c r="AW55" s="1684"/>
      <c r="AX55" s="1684"/>
      <c r="AY55" s="1684"/>
      <c r="AZ55" s="1684"/>
      <c r="BA55" s="1684"/>
    </row>
    <row r="56" spans="1:56">
      <c r="A56" s="1684"/>
      <c r="B56" s="1684"/>
      <c r="C56" s="1684"/>
      <c r="D56" s="1684"/>
      <c r="E56" s="1684"/>
      <c r="F56" s="1684"/>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4"/>
      <c r="AM56" s="1684"/>
      <c r="AN56" s="1684"/>
      <c r="AO56" s="1684"/>
      <c r="AP56" s="1684"/>
      <c r="AQ56" s="1684"/>
      <c r="AR56" s="1684"/>
      <c r="AS56" s="1684"/>
      <c r="AT56" s="1684"/>
      <c r="AU56" s="1684"/>
      <c r="AV56" s="1684"/>
      <c r="AW56" s="1684"/>
      <c r="AX56" s="1684"/>
      <c r="AY56" s="1684"/>
      <c r="AZ56" s="1684"/>
      <c r="BA56" s="1684"/>
    </row>
    <row r="57" spans="1:56">
      <c r="A57" s="1684"/>
      <c r="B57" s="1684"/>
      <c r="C57" s="1684"/>
      <c r="D57" s="1684"/>
      <c r="E57" s="1684"/>
      <c r="F57" s="1684"/>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4"/>
      <c r="AM57" s="1684"/>
      <c r="AN57" s="1684"/>
      <c r="AO57" s="1684"/>
      <c r="AP57" s="1684"/>
      <c r="AQ57" s="1684"/>
      <c r="AR57" s="1684"/>
      <c r="AS57" s="1684"/>
      <c r="AT57" s="1684"/>
      <c r="AU57" s="1684"/>
      <c r="AV57" s="1684"/>
      <c r="AW57" s="1684"/>
      <c r="AX57" s="1684"/>
      <c r="AY57" s="1684"/>
      <c r="AZ57" s="1684"/>
      <c r="BA57" s="1684"/>
    </row>
    <row r="58" spans="1:56">
      <c r="W58" s="1684"/>
    </row>
    <row r="59" spans="1:56">
      <c r="W59" s="1684"/>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193" priority="10" operator="equal">
      <formula>0</formula>
    </cfRule>
  </conditionalFormatting>
  <conditionalFormatting sqref="W13">
    <cfRule type="cellIs" dxfId="192" priority="8" operator="equal">
      <formula>0</formula>
    </cfRule>
  </conditionalFormatting>
  <conditionalFormatting sqref="W17:W22">
    <cfRule type="cellIs" dxfId="191" priority="7" operator="equal">
      <formula>0</formula>
    </cfRule>
  </conditionalFormatting>
  <conditionalFormatting sqref="W28:W33">
    <cfRule type="cellIs" dxfId="190" priority="6" operator="equal">
      <formula>0</formula>
    </cfRule>
  </conditionalFormatting>
  <conditionalFormatting sqref="W38">
    <cfRule type="cellIs" dxfId="189" priority="5" operator="equal">
      <formula>0</formula>
    </cfRule>
  </conditionalFormatting>
  <conditionalFormatting sqref="W45:W46">
    <cfRule type="cellIs" dxfId="188" priority="3" operator="equal">
      <formula>0</formula>
    </cfRule>
  </conditionalFormatting>
  <conditionalFormatting sqref="W52:W53">
    <cfRule type="cellIs" dxfId="187" priority="1" operator="equal">
      <formula>0</formula>
    </cfRule>
  </conditionalFormatting>
  <pageMargins left="0.7" right="0.7" top="0.75" bottom="0.75" header="0.3" footer="0.3"/>
  <pageSetup paperSize="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Normal="100" zoomScaleSheetLayoutView="100" workbookViewId="0">
      <selection activeCell="P11" sqref="P11"/>
    </sheetView>
  </sheetViews>
  <sheetFormatPr defaultColWidth="9.08203125" defaultRowHeight="16.399999999999999" customHeight="1"/>
  <cols>
    <col min="1" max="1" width="1.58203125" style="220" customWidth="1"/>
    <col min="2" max="2" width="55" style="220" customWidth="1"/>
    <col min="3" max="3" width="5.5" style="220" bestFit="1" customWidth="1"/>
    <col min="4" max="4" width="4.58203125" style="220" bestFit="1" customWidth="1"/>
    <col min="5" max="5" width="10.58203125" style="220" bestFit="1" customWidth="1"/>
    <col min="6" max="6" width="9.08203125" style="220" bestFit="1" customWidth="1"/>
    <col min="7" max="7" width="9.58203125" style="220" bestFit="1" customWidth="1"/>
    <col min="8" max="8" width="9.08203125" style="220" bestFit="1" customWidth="1"/>
    <col min="9" max="9" width="11.08203125" style="220" bestFit="1" customWidth="1"/>
    <col min="10" max="10" width="12.5" style="220" customWidth="1"/>
    <col min="11" max="11" width="9.58203125" style="220" bestFit="1" customWidth="1"/>
    <col min="12" max="12" width="10" style="220" customWidth="1"/>
    <col min="13" max="13" width="1.58203125" style="220" customWidth="1"/>
    <col min="14" max="14" width="9.08203125" style="220" bestFit="1" customWidth="1"/>
    <col min="15" max="15" width="1.58203125" style="220" customWidth="1"/>
    <col min="16" max="16" width="29.5" style="220" bestFit="1" customWidth="1"/>
    <col min="17" max="18" width="1.58203125" style="220" customWidth="1"/>
    <col min="19" max="19" width="20.58203125" style="220" bestFit="1" customWidth="1"/>
    <col min="20" max="20" width="1.58203125" style="230" customWidth="1"/>
    <col min="21" max="21" width="20.58203125" style="230" hidden="1" customWidth="1"/>
    <col min="22" max="29" width="1.58203125" style="230" hidden="1" customWidth="1"/>
    <col min="30" max="30" width="3.08203125" style="220" customWidth="1"/>
    <col min="31" max="31" width="50.5" style="220" bestFit="1" customWidth="1"/>
    <col min="32" max="32" width="16.58203125" style="220" bestFit="1" customWidth="1"/>
    <col min="33" max="33" width="19.58203125" style="220" bestFit="1" customWidth="1"/>
    <col min="34" max="34" width="18.58203125" style="220" bestFit="1" customWidth="1"/>
    <col min="35" max="35" width="17.08203125" style="220" bestFit="1" customWidth="1"/>
    <col min="36" max="37" width="18.58203125" style="220" bestFit="1" customWidth="1"/>
    <col min="38" max="39" width="19.58203125" style="220" bestFit="1" customWidth="1"/>
    <col min="40" max="40" width="1.58203125" style="220" customWidth="1"/>
    <col min="41" max="16384" width="9.08203125" style="220"/>
  </cols>
  <sheetData>
    <row r="1" spans="1:39" s="351" customFormat="1" ht="29.25" customHeight="1">
      <c r="B1" s="2673" t="s">
        <v>2824</v>
      </c>
      <c r="C1" s="2673"/>
      <c r="D1" s="2673"/>
      <c r="E1" s="2754"/>
      <c r="F1" s="2754"/>
      <c r="G1" s="2754"/>
      <c r="H1" s="2754"/>
      <c r="I1" s="2754"/>
      <c r="J1" s="405"/>
      <c r="K1" s="227"/>
      <c r="L1" s="227"/>
      <c r="M1" s="2673"/>
      <c r="N1" s="2673"/>
      <c r="R1" s="305"/>
      <c r="S1" s="2573"/>
      <c r="T1" s="2577"/>
      <c r="U1" s="2572"/>
      <c r="V1" s="2572"/>
      <c r="W1" s="2572"/>
      <c r="X1" s="2572"/>
      <c r="Y1" s="2572"/>
      <c r="Z1" s="2572"/>
      <c r="AA1" s="2572"/>
      <c r="AB1" s="2572"/>
      <c r="AC1" s="2577"/>
      <c r="AE1" s="2673" t="s">
        <v>1887</v>
      </c>
      <c r="AF1" s="2754"/>
      <c r="AG1" s="2754"/>
      <c r="AH1" s="2754"/>
      <c r="AI1" s="2754"/>
      <c r="AJ1" s="2754"/>
      <c r="AK1" s="405"/>
      <c r="AL1" s="405"/>
      <c r="AM1" s="227"/>
    </row>
    <row r="2" spans="1:39" s="351" customFormat="1" ht="31.4" customHeight="1">
      <c r="B2" s="2673" t="str">
        <f>SelectCompany!B4</f>
        <v>Yorkshire Water</v>
      </c>
      <c r="C2" s="2673"/>
      <c r="D2" s="2673"/>
      <c r="E2" s="2754"/>
      <c r="F2" s="2754"/>
      <c r="G2" s="2754"/>
      <c r="H2" s="2754"/>
      <c r="I2" s="2754"/>
      <c r="J2" s="352"/>
      <c r="K2" s="304"/>
      <c r="L2" s="227"/>
      <c r="M2" s="352"/>
      <c r="N2" s="352"/>
      <c r="R2" s="305"/>
      <c r="S2" s="2573"/>
      <c r="T2" s="2577"/>
      <c r="U2" s="2572"/>
      <c r="V2" s="2572"/>
      <c r="W2" s="2572"/>
      <c r="X2" s="2572"/>
      <c r="Y2" s="2572"/>
      <c r="Z2" s="2572"/>
      <c r="AA2" s="2572"/>
      <c r="AB2" s="2572"/>
      <c r="AC2" s="2577"/>
      <c r="AE2" s="2673"/>
      <c r="AF2" s="2754"/>
      <c r="AG2" s="2754"/>
      <c r="AH2" s="2754"/>
      <c r="AI2" s="2754"/>
      <c r="AJ2" s="2754"/>
      <c r="AK2" s="405"/>
      <c r="AL2" s="352"/>
      <c r="AM2" s="227"/>
    </row>
    <row r="3" spans="1:39" ht="33" customHeight="1">
      <c r="A3" s="2562"/>
      <c r="B3" s="2674" t="s">
        <v>2825</v>
      </c>
      <c r="C3" s="2675"/>
      <c r="D3" s="2675"/>
      <c r="E3" s="2675"/>
      <c r="F3" s="2675"/>
      <c r="G3" s="2675"/>
      <c r="H3" s="2675"/>
      <c r="I3" s="2675"/>
      <c r="J3" s="2675"/>
      <c r="K3" s="2675"/>
      <c r="L3" s="2675"/>
      <c r="M3" s="2675"/>
      <c r="N3" s="2675"/>
      <c r="O3" s="2675"/>
      <c r="P3" s="2675"/>
      <c r="Q3" s="2562"/>
      <c r="R3" s="307"/>
      <c r="S3" s="232" t="s">
        <v>1889</v>
      </c>
      <c r="T3" s="2577"/>
      <c r="U3" s="2572"/>
      <c r="V3" s="2572"/>
      <c r="W3" s="2572"/>
      <c r="X3" s="2572"/>
      <c r="Y3" s="2572"/>
      <c r="Z3" s="2572"/>
      <c r="AA3" s="2572"/>
      <c r="AB3" s="2572"/>
      <c r="AC3" s="2577"/>
      <c r="AD3" s="2562"/>
      <c r="AE3" s="2676" t="s">
        <v>2825</v>
      </c>
      <c r="AF3" s="2677"/>
      <c r="AG3" s="2677"/>
      <c r="AH3" s="2677"/>
      <c r="AI3" s="2677"/>
      <c r="AJ3" s="2677"/>
      <c r="AK3" s="2677"/>
      <c r="AL3" s="2677"/>
      <c r="AM3" s="2677"/>
    </row>
    <row r="4" spans="1:39" ht="16.399999999999999" customHeight="1" thickBot="1">
      <c r="A4" s="2562"/>
      <c r="B4" s="233"/>
      <c r="C4" s="233"/>
      <c r="D4" s="233"/>
      <c r="E4" s="2753"/>
      <c r="F4" s="2753"/>
      <c r="G4" s="2753"/>
      <c r="H4" s="2753"/>
      <c r="I4" s="406"/>
      <c r="J4" s="406"/>
      <c r="K4" s="406"/>
      <c r="L4" s="2562"/>
      <c r="M4" s="2562"/>
      <c r="N4" s="2562"/>
      <c r="O4" s="2562"/>
      <c r="P4" s="2562"/>
      <c r="Q4" s="2562"/>
      <c r="R4" s="2576"/>
      <c r="S4" s="2573"/>
      <c r="T4" s="2577"/>
      <c r="U4" s="2662" t="s">
        <v>1890</v>
      </c>
      <c r="V4" s="2662"/>
      <c r="W4" s="2662"/>
      <c r="X4" s="2662"/>
      <c r="Y4" s="2662"/>
      <c r="Z4" s="2662"/>
      <c r="AA4" s="2662"/>
      <c r="AB4" s="2662"/>
      <c r="AC4" s="2577"/>
      <c r="AD4" s="2562"/>
      <c r="AE4" s="233"/>
      <c r="AF4" s="2753"/>
      <c r="AG4" s="2753"/>
      <c r="AH4" s="2753"/>
      <c r="AI4" s="2753"/>
      <c r="AJ4" s="406"/>
      <c r="AK4" s="406"/>
      <c r="AL4" s="406"/>
      <c r="AM4" s="2562"/>
    </row>
    <row r="5" spans="1:39" ht="47.5" thickTop="1" thickBot="1">
      <c r="A5" s="197"/>
      <c r="B5" s="407" t="s">
        <v>1891</v>
      </c>
      <c r="C5" s="408" t="s">
        <v>1892</v>
      </c>
      <c r="D5" s="408" t="s">
        <v>136</v>
      </c>
      <c r="E5" s="408" t="s">
        <v>2826</v>
      </c>
      <c r="F5" s="408" t="s">
        <v>2827</v>
      </c>
      <c r="G5" s="408" t="s">
        <v>2828</v>
      </c>
      <c r="H5" s="408" t="s">
        <v>2829</v>
      </c>
      <c r="I5" s="408" t="s">
        <v>2830</v>
      </c>
      <c r="J5" s="408" t="s">
        <v>2831</v>
      </c>
      <c r="K5" s="408" t="s">
        <v>2832</v>
      </c>
      <c r="L5" s="409" t="s">
        <v>2148</v>
      </c>
      <c r="M5" s="197"/>
      <c r="N5" s="410" t="s">
        <v>1896</v>
      </c>
      <c r="O5" s="197"/>
      <c r="P5" s="411" t="s">
        <v>1897</v>
      </c>
      <c r="Q5" s="197"/>
      <c r="R5" s="2576"/>
      <c r="S5" s="2573"/>
      <c r="T5" s="2577"/>
      <c r="U5" s="236" t="s">
        <v>1898</v>
      </c>
      <c r="V5" s="237"/>
      <c r="W5" s="237"/>
      <c r="X5" s="237"/>
      <c r="Y5" s="237"/>
      <c r="Z5" s="237"/>
      <c r="AA5" s="237"/>
      <c r="AB5" s="237"/>
      <c r="AC5" s="2577"/>
      <c r="AD5" s="2562"/>
      <c r="AE5" s="407" t="s">
        <v>1891</v>
      </c>
      <c r="AF5" s="408" t="s">
        <v>2833</v>
      </c>
      <c r="AG5" s="408" t="s">
        <v>2834</v>
      </c>
      <c r="AH5" s="408" t="s">
        <v>2828</v>
      </c>
      <c r="AI5" s="408" t="s">
        <v>2829</v>
      </c>
      <c r="AJ5" s="408" t="s">
        <v>2830</v>
      </c>
      <c r="AK5" s="408" t="s">
        <v>2831</v>
      </c>
      <c r="AL5" s="408" t="s">
        <v>2832</v>
      </c>
      <c r="AM5" s="409" t="s">
        <v>2148</v>
      </c>
    </row>
    <row r="6" spans="1:39" ht="16.399999999999999" customHeight="1" thickTop="1" thickBot="1">
      <c r="A6" s="197"/>
      <c r="B6" s="311"/>
      <c r="C6" s="311"/>
      <c r="D6" s="311"/>
      <c r="E6" s="83"/>
      <c r="F6" s="83"/>
      <c r="G6" s="83"/>
      <c r="H6" s="83"/>
      <c r="I6" s="83"/>
      <c r="J6" s="83"/>
      <c r="K6" s="83"/>
      <c r="L6" s="313"/>
      <c r="M6" s="197"/>
      <c r="N6" s="412"/>
      <c r="O6" s="197"/>
      <c r="P6" s="197"/>
      <c r="Q6" s="197"/>
      <c r="R6" s="2576"/>
      <c r="S6" s="2573"/>
      <c r="T6" s="2577"/>
      <c r="U6" s="2562"/>
      <c r="V6" s="2562"/>
      <c r="W6" s="2562"/>
      <c r="X6" s="2562"/>
      <c r="Y6" s="2562"/>
      <c r="Z6" s="2562"/>
      <c r="AA6" s="2562"/>
      <c r="AB6" s="2562"/>
      <c r="AC6" s="2577"/>
      <c r="AD6" s="2562"/>
      <c r="AE6" s="311"/>
      <c r="AF6" s="83"/>
      <c r="AG6" s="83"/>
      <c r="AH6" s="83"/>
      <c r="AI6" s="83"/>
      <c r="AJ6" s="83"/>
      <c r="AK6" s="83"/>
      <c r="AL6" s="83"/>
      <c r="AM6" s="313"/>
    </row>
    <row r="7" spans="1:39" ht="16.399999999999999" customHeight="1" thickTop="1">
      <c r="A7" s="197"/>
      <c r="B7" s="413" t="s">
        <v>2835</v>
      </c>
      <c r="C7" s="244" t="s">
        <v>137</v>
      </c>
      <c r="D7" s="244">
        <v>3</v>
      </c>
      <c r="E7" s="314">
        <f>IFERROR('2I'!E36,0)</f>
        <v>65.989999999999995</v>
      </c>
      <c r="F7" s="314">
        <f>IFERROR('2I'!F36,0)</f>
        <v>0.53200000000000003</v>
      </c>
      <c r="G7" s="314">
        <f>IFERROR('2I'!H11,0)</f>
        <v>71.021999999999991</v>
      </c>
      <c r="H7" s="314">
        <f>IFERROR('2I'!I11,0)</f>
        <v>414.29599999999999</v>
      </c>
      <c r="I7" s="314">
        <f>IFERROR('2I'!H23,0)</f>
        <v>509.53900000000004</v>
      </c>
      <c r="J7" s="314">
        <f>IFERROR('2I'!I23,0)</f>
        <v>80.72699999999999</v>
      </c>
      <c r="K7" s="414">
        <f>IFERROR('2I'!G28,0)</f>
        <v>0</v>
      </c>
      <c r="L7" s="247">
        <f>IFERROR(SUM(E7:K7),0)</f>
        <v>1142.106</v>
      </c>
      <c r="M7" s="197"/>
      <c r="N7" s="248" t="s">
        <v>2836</v>
      </c>
      <c r="O7" s="197"/>
      <c r="P7" s="250"/>
      <c r="Q7" s="197"/>
      <c r="R7" s="2576"/>
      <c r="S7" s="2573"/>
      <c r="T7" s="2577"/>
      <c r="U7" s="2573"/>
      <c r="V7" s="2573"/>
      <c r="W7" s="2573"/>
      <c r="X7" s="2573"/>
      <c r="Y7" s="2573"/>
      <c r="Z7" s="2573"/>
      <c r="AA7" s="2562"/>
      <c r="AB7" s="2573"/>
      <c r="AC7" s="2577"/>
      <c r="AD7" s="2562"/>
      <c r="AE7" s="413" t="s">
        <v>2835</v>
      </c>
      <c r="AF7" s="314" t="s">
        <v>2837</v>
      </c>
      <c r="AG7" s="314" t="s">
        <v>2838</v>
      </c>
      <c r="AH7" s="314" t="s">
        <v>2839</v>
      </c>
      <c r="AI7" s="314" t="s">
        <v>2840</v>
      </c>
      <c r="AJ7" s="314" t="s">
        <v>2841</v>
      </c>
      <c r="AK7" s="314" t="s">
        <v>2842</v>
      </c>
      <c r="AL7" s="414" t="s">
        <v>2843</v>
      </c>
      <c r="AM7" s="247" t="s">
        <v>2844</v>
      </c>
    </row>
    <row r="8" spans="1:39" ht="16.399999999999999" customHeight="1" thickBot="1">
      <c r="A8" s="197"/>
      <c r="B8" s="415" t="s">
        <v>2845</v>
      </c>
      <c r="C8" s="297" t="s">
        <v>137</v>
      </c>
      <c r="D8" s="297">
        <v>3</v>
      </c>
      <c r="E8" s="416">
        <v>0</v>
      </c>
      <c r="F8" s="416">
        <v>0</v>
      </c>
      <c r="G8" s="416">
        <v>0.43731007999999999</v>
      </c>
      <c r="H8" s="416">
        <v>0.71</v>
      </c>
      <c r="I8" s="416">
        <v>8.5000000000000006E-2</v>
      </c>
      <c r="J8" s="416">
        <v>0</v>
      </c>
      <c r="K8" s="416">
        <v>0</v>
      </c>
      <c r="L8" s="280">
        <f>IFERROR(SUM(E8:K8),0)</f>
        <v>1.23231008</v>
      </c>
      <c r="M8" s="197"/>
      <c r="N8" s="320" t="s">
        <v>2846</v>
      </c>
      <c r="O8" s="197"/>
      <c r="P8" s="269"/>
      <c r="Q8" s="197"/>
      <c r="R8" s="2576"/>
      <c r="S8" s="251">
        <f>IF( SUM( U8:AB8 ) = 0, 0, $U$5 )</f>
        <v>0</v>
      </c>
      <c r="T8" s="2577"/>
      <c r="U8" s="252">
        <f t="shared" ref="U8" si="0" xml:space="preserve"> IF( ISNUMBER( E8 ), 0, 1 )</f>
        <v>0</v>
      </c>
      <c r="V8" s="252">
        <f t="shared" ref="V8" si="1" xml:space="preserve"> IF( ISNUMBER( F8 ), 0, 1 )</f>
        <v>0</v>
      </c>
      <c r="W8" s="252">
        <f t="shared" ref="W8" si="2" xml:space="preserve"> IF( ISNUMBER( G8 ), 0, 1 )</f>
        <v>0</v>
      </c>
      <c r="X8" s="252">
        <f t="shared" ref="X8" si="3" xml:space="preserve"> IF( ISNUMBER( H8 ), 0, 1 )</f>
        <v>0</v>
      </c>
      <c r="Y8" s="252">
        <f t="shared" ref="Y8" si="4" xml:space="preserve"> IF( ISNUMBER( I8 ), 0, 1 )</f>
        <v>0</v>
      </c>
      <c r="Z8" s="252">
        <f t="shared" ref="Z8" si="5" xml:space="preserve"> IF( ISNUMBER( J8 ), 0, 1 )</f>
        <v>0</v>
      </c>
      <c r="AA8" s="252">
        <f t="shared" ref="AA8" si="6" xml:space="preserve"> IF( ISNUMBER( K8 ), 0, 1 )</f>
        <v>0</v>
      </c>
      <c r="AB8" s="2573"/>
      <c r="AC8" s="2577"/>
      <c r="AD8" s="2562"/>
      <c r="AE8" s="415" t="s">
        <v>2845</v>
      </c>
      <c r="AF8" s="416" t="s">
        <v>2847</v>
      </c>
      <c r="AG8" s="416" t="s">
        <v>2848</v>
      </c>
      <c r="AH8" s="416" t="s">
        <v>2849</v>
      </c>
      <c r="AI8" s="416" t="s">
        <v>2850</v>
      </c>
      <c r="AJ8" s="416" t="s">
        <v>2851</v>
      </c>
      <c r="AK8" s="416" t="s">
        <v>2852</v>
      </c>
      <c r="AL8" s="416" t="s">
        <v>2853</v>
      </c>
      <c r="AM8" s="280" t="s">
        <v>2854</v>
      </c>
    </row>
    <row r="9" spans="1:39" ht="16.399999999999999" customHeight="1" thickTop="1" thickBot="1">
      <c r="A9" s="197"/>
      <c r="B9" s="417"/>
      <c r="C9" s="417"/>
      <c r="D9" s="417"/>
      <c r="E9" s="329"/>
      <c r="F9" s="328"/>
      <c r="G9" s="328"/>
      <c r="H9" s="328"/>
      <c r="I9" s="328"/>
      <c r="J9" s="328"/>
      <c r="K9" s="329"/>
      <c r="L9" s="329"/>
      <c r="M9" s="197"/>
      <c r="N9" s="249"/>
      <c r="O9" s="197"/>
      <c r="P9" s="197"/>
      <c r="Q9" s="197"/>
      <c r="R9" s="2578"/>
      <c r="S9" s="251"/>
      <c r="T9" s="2577"/>
      <c r="U9" s="237"/>
      <c r="V9" s="2573"/>
      <c r="W9" s="2573"/>
      <c r="X9" s="2573"/>
      <c r="Y9" s="2573"/>
      <c r="Z9" s="2573"/>
      <c r="AA9" s="2573"/>
      <c r="AB9" s="2573"/>
      <c r="AC9" s="2577"/>
      <c r="AD9" s="2562"/>
      <c r="AE9" s="417"/>
      <c r="AF9" s="329"/>
      <c r="AG9" s="328"/>
      <c r="AH9" s="328"/>
      <c r="AI9" s="328"/>
      <c r="AJ9" s="328"/>
      <c r="AK9" s="328"/>
      <c r="AL9" s="329"/>
      <c r="AM9" s="329"/>
    </row>
    <row r="10" spans="1:39" ht="16.399999999999999" customHeight="1" thickTop="1">
      <c r="A10" s="197"/>
      <c r="B10" s="413" t="s">
        <v>2855</v>
      </c>
      <c r="C10" s="244" t="s">
        <v>137</v>
      </c>
      <c r="D10" s="244">
        <v>3</v>
      </c>
      <c r="E10" s="418">
        <f>IFERROR(('2C'!E15 + '2C'!E32+'2C'!E33) * -1,0)</f>
        <v>-62.387999999999991</v>
      </c>
      <c r="F10" s="246">
        <f>IFERROR(('2C'!F15 + '2C'!F32+'2C'!F33) * -1,0)</f>
        <v>0</v>
      </c>
      <c r="G10" s="245">
        <f>G12--0.97</f>
        <v>-41.741999999999997</v>
      </c>
      <c r="H10" s="245">
        <f>H12--15.733</f>
        <v>-258.97000000000003</v>
      </c>
      <c r="I10" s="245">
        <f>I12-21.737</f>
        <v>-189.89400000000001</v>
      </c>
      <c r="J10" s="245">
        <f>J12--1.977</f>
        <v>-31.645</v>
      </c>
      <c r="K10" s="652">
        <v>0</v>
      </c>
      <c r="L10" s="421">
        <f>IFERROR(SUM(E10:K10),0)</f>
        <v>-584.63900000000001</v>
      </c>
      <c r="M10" s="197"/>
      <c r="N10" s="248" t="s">
        <v>2856</v>
      </c>
      <c r="O10" s="200"/>
      <c r="P10" s="250"/>
      <c r="Q10" s="197"/>
      <c r="R10" s="2578"/>
      <c r="S10" s="251">
        <f>IF( SUM( U10:AB10 ) = 0, 0, $U$5 )</f>
        <v>0</v>
      </c>
      <c r="T10" s="2577"/>
      <c r="U10" s="237"/>
      <c r="V10" s="2573"/>
      <c r="W10" s="252">
        <f t="shared" ref="W10" si="7" xml:space="preserve"> IF( ISNUMBER( G10 ), 0, 1 )</f>
        <v>0</v>
      </c>
      <c r="X10" s="252">
        <f t="shared" ref="X10" si="8" xml:space="preserve"> IF( ISNUMBER( H10 ), 0, 1 )</f>
        <v>0</v>
      </c>
      <c r="Y10" s="252">
        <f t="shared" ref="Y10" si="9" xml:space="preserve"> IF( ISNUMBER( I10 ), 0, 1 )</f>
        <v>0</v>
      </c>
      <c r="Z10" s="252">
        <f t="shared" ref="Z10" si="10" xml:space="preserve"> IF( ISNUMBER( J10 ), 0, 1 )</f>
        <v>0</v>
      </c>
      <c r="AA10" s="252">
        <f t="shared" ref="AA10" si="11" xml:space="preserve"> IF( ISNUMBER( K10 ), 0, 1 )</f>
        <v>0</v>
      </c>
      <c r="AB10" s="2573"/>
      <c r="AC10" s="2577"/>
      <c r="AD10" s="2562"/>
      <c r="AE10" s="413" t="s">
        <v>2855</v>
      </c>
      <c r="AF10" s="418" t="s">
        <v>2857</v>
      </c>
      <c r="AG10" s="246" t="s">
        <v>2858</v>
      </c>
      <c r="AH10" s="419" t="s">
        <v>2859</v>
      </c>
      <c r="AI10" s="419" t="s">
        <v>2860</v>
      </c>
      <c r="AJ10" s="419" t="s">
        <v>2861</v>
      </c>
      <c r="AK10" s="419" t="s">
        <v>2862</v>
      </c>
      <c r="AL10" s="420" t="s">
        <v>2863</v>
      </c>
      <c r="AM10" s="421" t="s">
        <v>2864</v>
      </c>
    </row>
    <row r="11" spans="1:39" ht="16.399999999999999" customHeight="1">
      <c r="A11" s="197"/>
      <c r="B11" s="422" t="s">
        <v>2865</v>
      </c>
      <c r="C11" s="253" t="s">
        <v>137</v>
      </c>
      <c r="D11" s="253">
        <v>3</v>
      </c>
      <c r="E11" s="423">
        <f>IFERROR('2C'!E28,0) * -1</f>
        <v>-3.0570000000000004</v>
      </c>
      <c r="F11" s="423">
        <f>IFERROR('2C'!F28,0) * -1</f>
        <v>0</v>
      </c>
      <c r="G11" s="255">
        <f>IFERROR(G12 - G10,0)</f>
        <v>-0.96999999999999886</v>
      </c>
      <c r="H11" s="255">
        <f t="shared" ref="H11:K11" si="12">IFERROR(H12 - H10,0)</f>
        <v>-15.733000000000004</v>
      </c>
      <c r="I11" s="255">
        <f>IFERROR(I12 - I10,0)</f>
        <v>21.736999999999995</v>
      </c>
      <c r="J11" s="255">
        <f t="shared" si="12"/>
        <v>-1.9770000000000003</v>
      </c>
      <c r="K11" s="277">
        <f t="shared" si="12"/>
        <v>0</v>
      </c>
      <c r="L11" s="424">
        <f>IFERROR(SUM(E11:K11),0)</f>
        <v>-1.0658141036401503E-14</v>
      </c>
      <c r="M11" s="197"/>
      <c r="N11" s="257" t="s">
        <v>2866</v>
      </c>
      <c r="O11" s="200"/>
      <c r="P11" s="258"/>
      <c r="Q11" s="197"/>
      <c r="R11" s="2578"/>
      <c r="S11" s="251"/>
      <c r="T11" s="2577"/>
      <c r="U11" s="237"/>
      <c r="V11" s="2573"/>
      <c r="W11" s="2573"/>
      <c r="X11" s="2573"/>
      <c r="Y11" s="2573"/>
      <c r="Z11" s="2573"/>
      <c r="AA11" s="2573"/>
      <c r="AB11" s="2573"/>
      <c r="AC11" s="2577"/>
      <c r="AD11" s="2562"/>
      <c r="AE11" s="422" t="s">
        <v>2865</v>
      </c>
      <c r="AF11" s="423" t="s">
        <v>2867</v>
      </c>
      <c r="AG11" s="423" t="s">
        <v>2868</v>
      </c>
      <c r="AH11" s="255" t="s">
        <v>2869</v>
      </c>
      <c r="AI11" s="255" t="s">
        <v>2870</v>
      </c>
      <c r="AJ11" s="255" t="s">
        <v>2871</v>
      </c>
      <c r="AK11" s="255" t="s">
        <v>2872</v>
      </c>
      <c r="AL11" s="277" t="s">
        <v>2873</v>
      </c>
      <c r="AM11" s="424" t="s">
        <v>2874</v>
      </c>
    </row>
    <row r="12" spans="1:39" ht="16.399999999999999" customHeight="1" thickBot="1">
      <c r="A12" s="197"/>
      <c r="B12" s="425" t="s">
        <v>2875</v>
      </c>
      <c r="C12" s="319" t="s">
        <v>137</v>
      </c>
      <c r="D12" s="319">
        <v>3</v>
      </c>
      <c r="E12" s="426">
        <f>IFERROR(SUM(E10:E11),0)</f>
        <v>-65.444999999999993</v>
      </c>
      <c r="F12" s="265">
        <f>IFERROR(SUM(F10:F11),0)</f>
        <v>0</v>
      </c>
      <c r="G12" s="265">
        <f>IFERROR('2B'!E23,0) *-1</f>
        <v>-42.711999999999996</v>
      </c>
      <c r="H12" s="265">
        <f>IFERROR('2B'!F23,0) *-1</f>
        <v>-274.70300000000003</v>
      </c>
      <c r="I12" s="265">
        <f>IFERROR('2B'!G23,0) *-1</f>
        <v>-168.15700000000001</v>
      </c>
      <c r="J12" s="265">
        <f>IFERROR('2B'!H23,0) *-1</f>
        <v>-33.622</v>
      </c>
      <c r="K12" s="279">
        <f>IFERROR('2B'!I23,0) *-1</f>
        <v>0</v>
      </c>
      <c r="L12" s="427">
        <f>IFERROR(SUM(E12:K12),0)</f>
        <v>-584.63900000000001</v>
      </c>
      <c r="M12" s="197"/>
      <c r="N12" s="320" t="s">
        <v>2876</v>
      </c>
      <c r="O12" s="197"/>
      <c r="P12" s="269"/>
      <c r="Q12" s="197"/>
      <c r="R12" s="2578"/>
      <c r="S12" s="251"/>
      <c r="T12" s="2577"/>
      <c r="U12" s="237"/>
      <c r="V12" s="2573"/>
      <c r="W12" s="2573"/>
      <c r="X12" s="2573"/>
      <c r="Y12" s="2573"/>
      <c r="Z12" s="2573"/>
      <c r="AA12" s="2573"/>
      <c r="AB12" s="2573"/>
      <c r="AC12" s="2577"/>
      <c r="AD12" s="2562"/>
      <c r="AE12" s="425" t="s">
        <v>2875</v>
      </c>
      <c r="AF12" s="426" t="s">
        <v>2877</v>
      </c>
      <c r="AG12" s="265" t="s">
        <v>2878</v>
      </c>
      <c r="AH12" s="265" t="s">
        <v>2879</v>
      </c>
      <c r="AI12" s="265" t="s">
        <v>2880</v>
      </c>
      <c r="AJ12" s="265" t="s">
        <v>2881</v>
      </c>
      <c r="AK12" s="265" t="s">
        <v>2882</v>
      </c>
      <c r="AL12" s="279" t="s">
        <v>2883</v>
      </c>
      <c r="AM12" s="427" t="s">
        <v>2884</v>
      </c>
    </row>
    <row r="13" spans="1:39" ht="16.399999999999999" customHeight="1" thickTop="1" thickBot="1">
      <c r="A13" s="197"/>
      <c r="B13" s="327"/>
      <c r="C13" s="327"/>
      <c r="D13" s="327"/>
      <c r="E13" s="428"/>
      <c r="F13" s="328"/>
      <c r="G13" s="328"/>
      <c r="H13" s="328"/>
      <c r="I13" s="328"/>
      <c r="J13" s="328"/>
      <c r="K13" s="329"/>
      <c r="L13" s="428"/>
      <c r="M13" s="197"/>
      <c r="N13" s="249"/>
      <c r="O13" s="197"/>
      <c r="P13" s="197"/>
      <c r="Q13" s="197"/>
      <c r="R13" s="2578"/>
      <c r="S13" s="251"/>
      <c r="T13" s="2577"/>
      <c r="U13" s="237"/>
      <c r="V13" s="2573"/>
      <c r="W13" s="2573"/>
      <c r="X13" s="2573"/>
      <c r="Y13" s="2573"/>
      <c r="Z13" s="2573"/>
      <c r="AA13" s="2573"/>
      <c r="AB13" s="2573"/>
      <c r="AC13" s="2577"/>
      <c r="AD13" s="2562"/>
      <c r="AE13" s="327"/>
      <c r="AF13" s="428"/>
      <c r="AG13" s="328"/>
      <c r="AH13" s="328"/>
      <c r="AI13" s="328"/>
      <c r="AJ13" s="328"/>
      <c r="AK13" s="328"/>
      <c r="AL13" s="329"/>
      <c r="AM13" s="428"/>
    </row>
    <row r="14" spans="1:39" ht="16.399999999999999" customHeight="1" thickTop="1">
      <c r="A14" s="197"/>
      <c r="B14" s="413" t="s">
        <v>2885</v>
      </c>
      <c r="C14" s="244" t="s">
        <v>137</v>
      </c>
      <c r="D14" s="244">
        <v>3</v>
      </c>
      <c r="E14" s="314">
        <f>IFERROR('2D'!E19,0)</f>
        <v>-3.1349999999999998</v>
      </c>
      <c r="F14" s="314">
        <f>IFERROR('2D'!F19,0)</f>
        <v>0</v>
      </c>
      <c r="G14" s="314">
        <f>IFERROR('2D'!G19,0)</f>
        <v>-11.119</v>
      </c>
      <c r="H14" s="314">
        <f>IFERROR('2D'!H19,0)</f>
        <v>-123.301</v>
      </c>
      <c r="I14" s="314">
        <f>IFERROR('2D'!I19,0)</f>
        <v>-148.268</v>
      </c>
      <c r="J14" s="314">
        <f>IFERROR('2D'!J19,0)</f>
        <v>-19.521999999999998</v>
      </c>
      <c r="K14" s="314">
        <f>IFERROR('2D'!K19,0)</f>
        <v>0</v>
      </c>
      <c r="L14" s="247">
        <f>IFERROR(SUM(E14:K14),0)</f>
        <v>-305.34499999999997</v>
      </c>
      <c r="M14" s="197"/>
      <c r="N14" s="248" t="s">
        <v>2886</v>
      </c>
      <c r="O14" s="200"/>
      <c r="P14" s="250"/>
      <c r="Q14" s="197"/>
      <c r="R14" s="2578"/>
      <c r="S14" s="251"/>
      <c r="T14" s="2577"/>
      <c r="U14" s="237"/>
      <c r="V14" s="2573"/>
      <c r="W14" s="2573"/>
      <c r="X14" s="2573"/>
      <c r="Y14" s="2573"/>
      <c r="Z14" s="2573"/>
      <c r="AA14" s="2573"/>
      <c r="AB14" s="2573"/>
      <c r="AC14" s="2577"/>
      <c r="AD14" s="2562"/>
      <c r="AE14" s="413" t="s">
        <v>2885</v>
      </c>
      <c r="AF14" s="314" t="s">
        <v>2887</v>
      </c>
      <c r="AG14" s="314" t="s">
        <v>2888</v>
      </c>
      <c r="AH14" s="314" t="s">
        <v>2889</v>
      </c>
      <c r="AI14" s="314" t="s">
        <v>2890</v>
      </c>
      <c r="AJ14" s="314" t="s">
        <v>2891</v>
      </c>
      <c r="AK14" s="314" t="s">
        <v>2892</v>
      </c>
      <c r="AL14" s="314" t="s">
        <v>2893</v>
      </c>
      <c r="AM14" s="247" t="s">
        <v>2894</v>
      </c>
    </row>
    <row r="15" spans="1:39" ht="16.399999999999999" customHeight="1" thickBot="1">
      <c r="A15" s="197"/>
      <c r="B15" s="425" t="s">
        <v>2895</v>
      </c>
      <c r="C15" s="319" t="s">
        <v>137</v>
      </c>
      <c r="D15" s="319">
        <v>3</v>
      </c>
      <c r="E15" s="430">
        <f>IFERROR('2O'!E19,0)</f>
        <v>-2.609</v>
      </c>
      <c r="F15" s="430">
        <f>IFERROR('2O'!F19,0)</f>
        <v>0</v>
      </c>
      <c r="G15" s="430">
        <f>IFERROR('2O'!G19,0)</f>
        <v>-0.29899999999999999</v>
      </c>
      <c r="H15" s="430">
        <f>IFERROR('2O'!H19,0)</f>
        <v>-2.5880000000000001</v>
      </c>
      <c r="I15" s="430">
        <f>IFERROR('2O'!I19,0)</f>
        <v>-27.744000000000003</v>
      </c>
      <c r="J15" s="430">
        <f>IFERROR('2O'!J19,0)</f>
        <v>-1.9E-2</v>
      </c>
      <c r="K15" s="430">
        <f>IFERROR('2O'!K19,0)</f>
        <v>0</v>
      </c>
      <c r="L15" s="266">
        <f>IFERROR(SUM(E15:K15),0)</f>
        <v>-33.259</v>
      </c>
      <c r="M15" s="197"/>
      <c r="N15" s="320" t="s">
        <v>2896</v>
      </c>
      <c r="O15" s="200"/>
      <c r="P15" s="269"/>
      <c r="Q15" s="197"/>
      <c r="R15" s="2578"/>
      <c r="S15" s="251"/>
      <c r="T15" s="2577"/>
      <c r="U15" s="237"/>
      <c r="V15" s="2573"/>
      <c r="W15" s="2573"/>
      <c r="X15" s="2573"/>
      <c r="Y15" s="2573"/>
      <c r="Z15" s="2573"/>
      <c r="AA15" s="2573"/>
      <c r="AB15" s="2573"/>
      <c r="AC15" s="2577"/>
      <c r="AD15" s="2562"/>
      <c r="AE15" s="425" t="s">
        <v>2895</v>
      </c>
      <c r="AF15" s="430" t="s">
        <v>2897</v>
      </c>
      <c r="AG15" s="430" t="s">
        <v>2898</v>
      </c>
      <c r="AH15" s="430" t="s">
        <v>2899</v>
      </c>
      <c r="AI15" s="430" t="s">
        <v>2900</v>
      </c>
      <c r="AJ15" s="430" t="s">
        <v>2901</v>
      </c>
      <c r="AK15" s="430" t="s">
        <v>2902</v>
      </c>
      <c r="AL15" s="430" t="s">
        <v>2903</v>
      </c>
      <c r="AM15" s="266" t="s">
        <v>2904</v>
      </c>
    </row>
    <row r="16" spans="1:39" ht="16.399999999999999" customHeight="1" thickTop="1" thickBot="1">
      <c r="A16" s="197"/>
      <c r="B16" s="327"/>
      <c r="C16" s="327"/>
      <c r="D16" s="327"/>
      <c r="E16" s="328"/>
      <c r="F16" s="328"/>
      <c r="G16" s="328"/>
      <c r="H16" s="328"/>
      <c r="I16" s="328"/>
      <c r="J16" s="328"/>
      <c r="K16" s="329"/>
      <c r="L16" s="328"/>
      <c r="M16" s="197"/>
      <c r="N16" s="249"/>
      <c r="O16" s="197"/>
      <c r="P16" s="197"/>
      <c r="Q16" s="197"/>
      <c r="R16" s="2578"/>
      <c r="S16" s="251"/>
      <c r="T16" s="2577"/>
      <c r="U16" s="237"/>
      <c r="V16" s="2573"/>
      <c r="W16" s="2573"/>
      <c r="X16" s="2573"/>
      <c r="Y16" s="2573"/>
      <c r="Z16" s="2573"/>
      <c r="AA16" s="2573"/>
      <c r="AB16" s="2573"/>
      <c r="AC16" s="2577"/>
      <c r="AD16" s="2562"/>
      <c r="AE16" s="327"/>
      <c r="AF16" s="328"/>
      <c r="AG16" s="328"/>
      <c r="AH16" s="328"/>
      <c r="AI16" s="328"/>
      <c r="AJ16" s="328"/>
      <c r="AK16" s="328"/>
      <c r="AL16" s="329"/>
      <c r="AM16" s="328"/>
    </row>
    <row r="17" spans="1:39" ht="16.399999999999999" customHeight="1" thickTop="1" thickBot="1">
      <c r="A17" s="197"/>
      <c r="B17" s="431" t="s">
        <v>1916</v>
      </c>
      <c r="C17" s="333" t="s">
        <v>137</v>
      </c>
      <c r="D17" s="333">
        <v>3</v>
      </c>
      <c r="E17" s="432">
        <v>0</v>
      </c>
      <c r="F17" s="432">
        <v>0</v>
      </c>
      <c r="G17" s="432">
        <v>4.5900000000000003E-2</v>
      </c>
      <c r="H17" s="432">
        <v>0.52469938000000005</v>
      </c>
      <c r="I17" s="432">
        <v>6.5389384300000009</v>
      </c>
      <c r="J17" s="432">
        <v>0</v>
      </c>
      <c r="K17" s="432">
        <v>0</v>
      </c>
      <c r="L17" s="433">
        <f>IFERROR(SUM(E17:K17),0)</f>
        <v>7.1095378100000008</v>
      </c>
      <c r="M17" s="197"/>
      <c r="N17" s="336" t="s">
        <v>2905</v>
      </c>
      <c r="O17" s="197"/>
      <c r="P17" s="337"/>
      <c r="Q17" s="197"/>
      <c r="R17" s="2578"/>
      <c r="S17" s="251">
        <f>IF( SUM( U17:AB17 ) = 0, 0, $U$5 )</f>
        <v>0</v>
      </c>
      <c r="T17" s="2577"/>
      <c r="U17" s="252">
        <f t="shared" ref="U17" si="13" xml:space="preserve"> IF( ISNUMBER( E17 ), 0, 1 )</f>
        <v>0</v>
      </c>
      <c r="V17" s="252">
        <f t="shared" ref="V17" si="14" xml:space="preserve"> IF( ISNUMBER( F17 ), 0, 1 )</f>
        <v>0</v>
      </c>
      <c r="W17" s="252">
        <f t="shared" ref="W17" si="15" xml:space="preserve"> IF( ISNUMBER( G17 ), 0, 1 )</f>
        <v>0</v>
      </c>
      <c r="X17" s="252">
        <f t="shared" ref="X17" si="16" xml:space="preserve"> IF( ISNUMBER( H17 ), 0, 1 )</f>
        <v>0</v>
      </c>
      <c r="Y17" s="252">
        <f t="shared" ref="Y17" si="17" xml:space="preserve"> IF( ISNUMBER( I17 ), 0, 1 )</f>
        <v>0</v>
      </c>
      <c r="Z17" s="252">
        <f t="shared" ref="Z17" si="18" xml:space="preserve"> IF( ISNUMBER( J17 ), 0, 1 )</f>
        <v>0</v>
      </c>
      <c r="AA17" s="252">
        <f t="shared" ref="AA17" si="19" xml:space="preserve"> IF( ISNUMBER( K17 ), 0, 1 )</f>
        <v>0</v>
      </c>
      <c r="AB17" s="2573"/>
      <c r="AC17" s="2577"/>
      <c r="AD17" s="2562"/>
      <c r="AE17" s="431" t="s">
        <v>1916</v>
      </c>
      <c r="AF17" s="432" t="s">
        <v>2906</v>
      </c>
      <c r="AG17" s="432" t="s">
        <v>2907</v>
      </c>
      <c r="AH17" s="432" t="s">
        <v>2908</v>
      </c>
      <c r="AI17" s="432" t="s">
        <v>2909</v>
      </c>
      <c r="AJ17" s="432" t="s">
        <v>2910</v>
      </c>
      <c r="AK17" s="432" t="s">
        <v>2911</v>
      </c>
      <c r="AL17" s="432" t="s">
        <v>2912</v>
      </c>
      <c r="AM17" s="433" t="s">
        <v>2913</v>
      </c>
    </row>
    <row r="18" spans="1:39" ht="16.399999999999999" customHeight="1" thickTop="1" thickBot="1">
      <c r="A18" s="197"/>
      <c r="B18" s="327"/>
      <c r="C18" s="327"/>
      <c r="D18" s="327"/>
      <c r="E18" s="328"/>
      <c r="F18" s="328"/>
      <c r="G18" s="328"/>
      <c r="H18" s="328"/>
      <c r="I18" s="328"/>
      <c r="J18" s="328"/>
      <c r="K18" s="329"/>
      <c r="L18" s="328"/>
      <c r="M18" s="197"/>
      <c r="N18" s="249"/>
      <c r="O18" s="197"/>
      <c r="P18" s="197"/>
      <c r="Q18" s="197"/>
      <c r="R18" s="2578"/>
      <c r="S18" s="251"/>
      <c r="T18" s="2577"/>
      <c r="U18" s="237"/>
      <c r="V18" s="2573"/>
      <c r="W18" s="2573"/>
      <c r="X18" s="2573"/>
      <c r="Y18" s="2573"/>
      <c r="Z18" s="2573"/>
      <c r="AA18" s="2573"/>
      <c r="AB18" s="2573"/>
      <c r="AC18" s="2577"/>
      <c r="AD18" s="2562"/>
      <c r="AE18" s="327"/>
      <c r="AF18" s="328"/>
      <c r="AG18" s="328"/>
      <c r="AH18" s="328"/>
      <c r="AI18" s="328"/>
      <c r="AJ18" s="328"/>
      <c r="AK18" s="328"/>
      <c r="AL18" s="329"/>
      <c r="AM18" s="328"/>
    </row>
    <row r="19" spans="1:39" ht="16.399999999999999" customHeight="1" thickTop="1" thickBot="1">
      <c r="A19" s="197"/>
      <c r="B19" s="431" t="s">
        <v>1923</v>
      </c>
      <c r="C19" s="333" t="s">
        <v>137</v>
      </c>
      <c r="D19" s="333">
        <v>3</v>
      </c>
      <c r="E19" s="347">
        <f>IFERROR(E7+E8+E12+E14+E15+E17,0)</f>
        <v>-5.1989999999999981</v>
      </c>
      <c r="F19" s="347">
        <f t="shared" ref="F19:K19" si="20">IFERROR(F7+F8+F12+F14+F15+F17,0)</f>
        <v>0.53200000000000003</v>
      </c>
      <c r="G19" s="347">
        <f t="shared" si="20"/>
        <v>17.375210079999999</v>
      </c>
      <c r="H19" s="347">
        <f t="shared" si="20"/>
        <v>14.938699379999937</v>
      </c>
      <c r="I19" s="347">
        <f t="shared" si="20"/>
        <v>171.99393842999999</v>
      </c>
      <c r="J19" s="347">
        <f t="shared" si="20"/>
        <v>27.563999999999993</v>
      </c>
      <c r="K19" s="347">
        <f t="shared" si="20"/>
        <v>0</v>
      </c>
      <c r="L19" s="433">
        <f>IFERROR(SUM(E19:K19),0)</f>
        <v>227.20484788999991</v>
      </c>
      <c r="M19" s="197"/>
      <c r="N19" s="336" t="s">
        <v>2914</v>
      </c>
      <c r="O19" s="197"/>
      <c r="P19" s="337"/>
      <c r="Q19" s="197"/>
      <c r="R19" s="2578"/>
      <c r="S19" s="251"/>
      <c r="T19" s="2577"/>
      <c r="U19" s="237"/>
      <c r="V19" s="2573"/>
      <c r="W19" s="2573"/>
      <c r="X19" s="2573"/>
      <c r="Y19" s="2573"/>
      <c r="Z19" s="2573"/>
      <c r="AA19" s="2573"/>
      <c r="AB19" s="2573"/>
      <c r="AC19" s="2577"/>
      <c r="AD19" s="2562"/>
      <c r="AE19" s="431" t="s">
        <v>1923</v>
      </c>
      <c r="AF19" s="347" t="s">
        <v>2915</v>
      </c>
      <c r="AG19" s="347" t="s">
        <v>2916</v>
      </c>
      <c r="AH19" s="347" t="s">
        <v>2917</v>
      </c>
      <c r="AI19" s="347" t="s">
        <v>2918</v>
      </c>
      <c r="AJ19" s="347" t="s">
        <v>2919</v>
      </c>
      <c r="AK19" s="347" t="s">
        <v>2920</v>
      </c>
      <c r="AL19" s="347" t="s">
        <v>2921</v>
      </c>
      <c r="AM19" s="433" t="s">
        <v>2922</v>
      </c>
    </row>
    <row r="20" spans="1:39" ht="16.399999999999999" customHeight="1" thickTop="1" thickBot="1">
      <c r="A20" s="197"/>
      <c r="B20" s="322"/>
      <c r="C20" s="322"/>
      <c r="D20" s="322"/>
      <c r="E20" s="271"/>
      <c r="F20" s="271"/>
      <c r="G20" s="271"/>
      <c r="H20" s="271"/>
      <c r="I20" s="271"/>
      <c r="J20" s="271"/>
      <c r="K20" s="271"/>
      <c r="L20" s="329"/>
      <c r="M20" s="197"/>
      <c r="N20" s="249"/>
      <c r="O20" s="197"/>
      <c r="P20" s="197"/>
      <c r="Q20" s="197"/>
      <c r="R20" s="2578"/>
      <c r="S20" s="251"/>
      <c r="T20" s="2577"/>
      <c r="U20" s="237"/>
      <c r="V20" s="2573"/>
      <c r="W20" s="2573"/>
      <c r="X20" s="2573"/>
      <c r="Y20" s="2573"/>
      <c r="Z20" s="2573"/>
      <c r="AA20" s="2573"/>
      <c r="AB20" s="2573"/>
      <c r="AC20" s="2577"/>
      <c r="AD20" s="2562"/>
      <c r="AE20" s="322"/>
      <c r="AF20" s="271"/>
      <c r="AG20" s="271"/>
      <c r="AH20" s="271"/>
      <c r="AI20" s="271"/>
      <c r="AJ20" s="271"/>
      <c r="AK20" s="271"/>
      <c r="AL20" s="271"/>
      <c r="AM20" s="329"/>
    </row>
    <row r="21" spans="1:39" ht="16.399999999999999" customHeight="1" thickTop="1" thickBot="1">
      <c r="A21" s="197"/>
      <c r="B21" s="355" t="s">
        <v>2923</v>
      </c>
      <c r="C21" s="356"/>
      <c r="D21" s="356"/>
      <c r="E21" s="435"/>
      <c r="F21" s="435"/>
      <c r="G21" s="435"/>
      <c r="H21" s="435"/>
      <c r="I21" s="435"/>
      <c r="J21" s="435"/>
      <c r="K21" s="435"/>
      <c r="L21" s="397"/>
      <c r="M21" s="197"/>
      <c r="N21" s="249"/>
      <c r="O21" s="197"/>
      <c r="P21" s="197"/>
      <c r="Q21" s="197"/>
      <c r="R21" s="2578"/>
      <c r="S21" s="251"/>
      <c r="T21" s="332"/>
      <c r="U21" s="237"/>
      <c r="V21" s="2573"/>
      <c r="W21" s="2573"/>
      <c r="X21" s="2573"/>
      <c r="Y21" s="2573"/>
      <c r="Z21" s="2573"/>
      <c r="AA21" s="2573"/>
      <c r="AB21" s="2573"/>
      <c r="AC21" s="332"/>
      <c r="AD21" s="2562"/>
      <c r="AE21" s="355" t="s">
        <v>2923</v>
      </c>
      <c r="AF21" s="435"/>
      <c r="AG21" s="435"/>
      <c r="AH21" s="435"/>
      <c r="AI21" s="435"/>
      <c r="AJ21" s="435"/>
      <c r="AK21" s="435"/>
      <c r="AL21" s="435"/>
      <c r="AM21" s="397"/>
    </row>
    <row r="22" spans="1:39" ht="16.399999999999999" customHeight="1" thickTop="1" thickBot="1">
      <c r="A22" s="197"/>
      <c r="B22" s="382" t="s">
        <v>2923</v>
      </c>
      <c r="C22" s="333" t="s">
        <v>137</v>
      </c>
      <c r="D22" s="333">
        <v>3</v>
      </c>
      <c r="E22" s="436"/>
      <c r="F22" s="436"/>
      <c r="G22" s="436"/>
      <c r="H22" s="436"/>
      <c r="I22" s="436"/>
      <c r="J22" s="436"/>
      <c r="K22" s="437"/>
      <c r="L22" s="438">
        <v>0.44500000000000001</v>
      </c>
      <c r="M22" s="197"/>
      <c r="N22" s="336" t="s">
        <v>2924</v>
      </c>
      <c r="O22" s="197"/>
      <c r="P22" s="439"/>
      <c r="Q22" s="197"/>
      <c r="R22" s="2578"/>
      <c r="S22" s="251">
        <f>IF( SUM( U22:AB22 ) = 0, 0, $U$5 )</f>
        <v>0</v>
      </c>
      <c r="T22" s="332"/>
      <c r="U22" s="237"/>
      <c r="V22" s="2573"/>
      <c r="W22" s="2573"/>
      <c r="X22" s="2573"/>
      <c r="Y22" s="2573"/>
      <c r="Z22" s="2573"/>
      <c r="AA22" s="2573"/>
      <c r="AB22" s="252">
        <f t="shared" ref="AB22" si="21" xml:space="preserve"> IF( ISNUMBER( L22 ), 0, 1 )</f>
        <v>0</v>
      </c>
      <c r="AC22" s="332"/>
      <c r="AD22" s="2562"/>
      <c r="AE22" s="382" t="s">
        <v>2923</v>
      </c>
      <c r="AF22" s="436"/>
      <c r="AG22" s="436"/>
      <c r="AH22" s="436"/>
      <c r="AI22" s="436"/>
      <c r="AJ22" s="436"/>
      <c r="AK22" s="436"/>
      <c r="AL22" s="437"/>
      <c r="AM22" s="438" t="s">
        <v>2925</v>
      </c>
    </row>
    <row r="23" spans="1:39" ht="16.399999999999999" customHeight="1" thickTop="1">
      <c r="A23" s="197"/>
      <c r="B23" s="197"/>
      <c r="C23" s="197"/>
      <c r="D23" s="197"/>
      <c r="E23" s="197"/>
      <c r="F23" s="197"/>
      <c r="G23" s="197"/>
      <c r="H23" s="197"/>
      <c r="I23" s="197"/>
      <c r="J23" s="197"/>
      <c r="K23" s="197"/>
      <c r="L23" s="197"/>
      <c r="M23" s="197"/>
      <c r="N23" s="197"/>
      <c r="O23" s="197"/>
      <c r="P23" s="197"/>
      <c r="Q23" s="197"/>
      <c r="R23" s="2562"/>
      <c r="S23" s="251"/>
      <c r="T23" s="323"/>
      <c r="U23" s="2574"/>
      <c r="V23" s="2573"/>
      <c r="W23" s="2573"/>
      <c r="X23" s="2573"/>
      <c r="Y23" s="2573"/>
      <c r="Z23" s="2573"/>
      <c r="AA23" s="2573"/>
      <c r="AB23" s="2573"/>
      <c r="AC23" s="323"/>
      <c r="AD23" s="2562"/>
      <c r="AE23" s="2562"/>
      <c r="AF23" s="2562"/>
      <c r="AG23" s="2562"/>
      <c r="AH23" s="2562"/>
      <c r="AI23" s="2562"/>
      <c r="AJ23" s="2562"/>
      <c r="AK23" s="2562"/>
      <c r="AL23" s="2562"/>
      <c r="AM23" s="2562"/>
    </row>
    <row r="24" spans="1:39" ht="16.399999999999999" customHeight="1">
      <c r="A24" s="197"/>
      <c r="B24" s="197"/>
      <c r="C24" s="197"/>
      <c r="D24" s="197"/>
      <c r="E24" s="197"/>
      <c r="F24" s="197"/>
      <c r="G24" s="197"/>
      <c r="H24" s="197"/>
      <c r="I24" s="197"/>
      <c r="J24" s="197"/>
      <c r="K24" s="197"/>
      <c r="L24" s="197"/>
      <c r="M24" s="197"/>
      <c r="N24" s="197"/>
      <c r="O24" s="197"/>
      <c r="P24" s="197"/>
      <c r="Q24" s="197"/>
      <c r="R24" s="2562"/>
      <c r="S24" s="350"/>
      <c r="T24" s="2572"/>
      <c r="U24" s="237"/>
      <c r="V24" s="2573"/>
      <c r="W24" s="2573"/>
      <c r="X24" s="2573"/>
      <c r="Y24" s="2573"/>
      <c r="Z24" s="2573"/>
      <c r="AA24" s="2573"/>
      <c r="AB24" s="2573"/>
      <c r="AC24" s="2572"/>
      <c r="AD24" s="2562"/>
      <c r="AE24" s="2562"/>
      <c r="AF24" s="2562"/>
      <c r="AG24" s="2562"/>
      <c r="AH24" s="2562"/>
      <c r="AI24" s="2562"/>
      <c r="AJ24" s="2562"/>
      <c r="AK24" s="2562"/>
      <c r="AL24" s="2562"/>
      <c r="AM24" s="2562"/>
    </row>
    <row r="25" spans="1:39" ht="16.399999999999999" customHeight="1">
      <c r="A25" s="197"/>
      <c r="B25" s="197"/>
      <c r="C25" s="197"/>
      <c r="D25" s="197"/>
      <c r="E25" s="197"/>
      <c r="F25" s="197"/>
      <c r="G25" s="197"/>
      <c r="H25" s="197"/>
      <c r="I25" s="197"/>
      <c r="J25" s="197"/>
      <c r="K25" s="197"/>
      <c r="L25" s="197"/>
      <c r="M25" s="197"/>
      <c r="N25" s="197"/>
      <c r="O25" s="197"/>
      <c r="P25" s="197"/>
      <c r="Q25" s="197"/>
      <c r="R25" s="2562"/>
      <c r="S25" s="350"/>
      <c r="T25" s="2572"/>
      <c r="U25" s="237"/>
      <c r="V25" s="237"/>
      <c r="W25" s="237"/>
      <c r="X25" s="237"/>
      <c r="Y25" s="237"/>
      <c r="Z25" s="237"/>
      <c r="AA25" s="237"/>
      <c r="AB25" s="237"/>
      <c r="AC25" s="2572"/>
      <c r="AD25" s="2562"/>
      <c r="AE25" s="2562"/>
      <c r="AF25" s="2562"/>
      <c r="AG25" s="2562"/>
      <c r="AH25" s="2562"/>
      <c r="AI25" s="2562"/>
      <c r="AJ25" s="2562"/>
      <c r="AK25" s="2562"/>
      <c r="AL25" s="2562"/>
      <c r="AM25" s="2562"/>
    </row>
    <row r="26" spans="1:39" ht="16.399999999999999" customHeight="1">
      <c r="A26" s="197"/>
      <c r="B26" s="197"/>
      <c r="C26" s="197"/>
      <c r="D26" s="197"/>
      <c r="E26" s="197"/>
      <c r="F26" s="197"/>
      <c r="G26" s="197"/>
      <c r="H26" s="197"/>
      <c r="I26" s="197"/>
      <c r="J26" s="197"/>
      <c r="K26" s="197"/>
      <c r="L26" s="197"/>
      <c r="M26" s="197"/>
      <c r="N26" s="197"/>
      <c r="O26" s="197"/>
      <c r="P26" s="197"/>
      <c r="Q26" s="197"/>
      <c r="R26" s="2562"/>
      <c r="S26" s="2562"/>
      <c r="T26" s="2572"/>
      <c r="U26" s="237"/>
      <c r="V26" s="237"/>
      <c r="W26" s="237"/>
      <c r="X26" s="237"/>
      <c r="Y26" s="237"/>
      <c r="Z26" s="237"/>
      <c r="AA26" s="237"/>
      <c r="AB26" s="237"/>
      <c r="AC26" s="2572"/>
      <c r="AD26" s="2562"/>
      <c r="AE26" s="2562"/>
      <c r="AF26" s="2562"/>
      <c r="AG26" s="2562"/>
      <c r="AH26" s="2562"/>
      <c r="AI26" s="2562"/>
      <c r="AJ26" s="2562"/>
      <c r="AK26" s="2562"/>
      <c r="AL26" s="2562"/>
      <c r="AM26" s="2562"/>
    </row>
    <row r="27" spans="1:39" ht="16.399999999999999" customHeight="1">
      <c r="A27" s="197"/>
      <c r="B27" s="197"/>
      <c r="C27" s="197"/>
      <c r="D27" s="197"/>
      <c r="E27" s="197"/>
      <c r="F27" s="197"/>
      <c r="G27" s="197"/>
      <c r="H27" s="197"/>
      <c r="I27" s="197"/>
      <c r="J27" s="197"/>
      <c r="K27" s="197"/>
      <c r="L27" s="197"/>
      <c r="M27" s="197"/>
      <c r="N27" s="197"/>
      <c r="O27" s="197"/>
      <c r="P27" s="197"/>
      <c r="Q27" s="197"/>
      <c r="R27" s="2562"/>
      <c r="S27" s="2562"/>
      <c r="T27" s="2572"/>
      <c r="U27" s="237"/>
      <c r="V27" s="237"/>
      <c r="W27" s="237"/>
      <c r="X27" s="237"/>
      <c r="Y27" s="237"/>
      <c r="Z27" s="237"/>
      <c r="AA27" s="237"/>
      <c r="AB27" s="237"/>
      <c r="AC27" s="2572"/>
      <c r="AD27" s="2562"/>
      <c r="AE27" s="2562"/>
      <c r="AF27" s="2562"/>
      <c r="AG27" s="2562"/>
      <c r="AH27" s="2562"/>
      <c r="AI27" s="2562"/>
      <c r="AJ27" s="2562"/>
      <c r="AK27" s="2562"/>
      <c r="AL27" s="2562"/>
      <c r="AM27" s="2562"/>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86"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11" zoomScaleNormal="100" zoomScaleSheetLayoutView="145" workbookViewId="0">
      <selection activeCell="J23" sqref="J23"/>
    </sheetView>
  </sheetViews>
  <sheetFormatPr defaultColWidth="8.58203125" defaultRowHeight="14"/>
  <cols>
    <col min="1" max="1" width="9.58203125" style="220" customWidth="1"/>
    <col min="2" max="2" width="59.08203125" style="225" customWidth="1"/>
    <col min="3" max="3" width="5.5" style="220" bestFit="1" customWidth="1"/>
    <col min="4" max="4" width="4.58203125" style="220" bestFit="1" customWidth="1"/>
    <col min="5" max="5" width="15.58203125" style="220" bestFit="1" customWidth="1"/>
    <col min="6" max="6" width="15.08203125" style="220" bestFit="1" customWidth="1"/>
    <col min="7" max="7" width="20.58203125" style="220" bestFit="1" customWidth="1"/>
    <col min="8" max="8" width="12.5" style="220" bestFit="1" customWidth="1"/>
    <col min="9" max="9" width="16.58203125" style="220" bestFit="1" customWidth="1"/>
    <col min="10" max="10" width="11.58203125" style="220" customWidth="1"/>
    <col min="11" max="11" width="15.08203125" style="220" customWidth="1"/>
    <col min="12" max="12" width="15.58203125" style="489" bestFit="1" customWidth="1"/>
    <col min="13" max="13" width="15.5" style="220" customWidth="1"/>
    <col min="14" max="14" width="26" style="220" customWidth="1"/>
    <col min="15" max="16" width="1.58203125" style="220" customWidth="1"/>
    <col min="17" max="17" width="25.08203125" style="234" customWidth="1"/>
    <col min="18" max="18" width="1.58203125" style="230" customWidth="1"/>
    <col min="19" max="24" width="8.08203125" style="230" hidden="1" customWidth="1"/>
    <col min="25" max="25" width="1.58203125" style="230" hidden="1" customWidth="1"/>
    <col min="26" max="26" width="1.58203125" style="220" customWidth="1"/>
    <col min="27" max="27" width="3.08203125" style="220" hidden="1" customWidth="1"/>
    <col min="28" max="28" width="1.58203125" style="220" hidden="1" customWidth="1"/>
    <col min="29" max="29" width="1.58203125" style="220" customWidth="1"/>
    <col min="30" max="30" width="84.08203125" style="225" customWidth="1"/>
    <col min="31" max="31" width="14.58203125" style="220" customWidth="1"/>
    <col min="32" max="33" width="12.08203125" style="220" customWidth="1"/>
    <col min="34" max="34" width="15.08203125" style="220" customWidth="1"/>
    <col min="35" max="36" width="12.08203125" style="220" customWidth="1"/>
    <col min="37" max="37" width="1.58203125" style="220" customWidth="1"/>
    <col min="38" max="16384" width="8.58203125" style="220"/>
  </cols>
  <sheetData>
    <row r="1" spans="1:36" s="351" customFormat="1" ht="22.5">
      <c r="B1" s="2673" t="s">
        <v>2926</v>
      </c>
      <c r="C1" s="2673"/>
      <c r="D1" s="2673"/>
      <c r="E1" s="2673"/>
      <c r="F1" s="2673"/>
      <c r="G1" s="2673"/>
      <c r="H1" s="2673"/>
      <c r="I1" s="2673"/>
      <c r="J1" s="2673"/>
      <c r="K1" s="304"/>
      <c r="L1" s="227"/>
      <c r="P1" s="305"/>
      <c r="Q1" s="2573"/>
      <c r="R1" s="2577"/>
      <c r="S1" s="2572"/>
      <c r="T1" s="2572"/>
      <c r="U1" s="2572"/>
      <c r="V1" s="2572"/>
      <c r="W1" s="2572"/>
      <c r="X1" s="2572"/>
      <c r="Y1" s="2577"/>
      <c r="AB1" s="305"/>
      <c r="AD1" s="441" t="s">
        <v>1887</v>
      </c>
    </row>
    <row r="2" spans="1:36" s="351" customFormat="1" ht="22.5">
      <c r="B2" s="2673" t="str">
        <f>SelectCompany!B4</f>
        <v>Yorkshire Water</v>
      </c>
      <c r="C2" s="2673"/>
      <c r="D2" s="2673"/>
      <c r="E2" s="2673"/>
      <c r="F2" s="2673"/>
      <c r="G2" s="2673"/>
      <c r="H2" s="2673"/>
      <c r="I2" s="2673"/>
      <c r="J2" s="2673"/>
      <c r="K2" s="304"/>
      <c r="L2" s="227"/>
      <c r="P2" s="305"/>
      <c r="Q2" s="2573"/>
      <c r="R2" s="2577"/>
      <c r="S2" s="2572"/>
      <c r="T2" s="2572"/>
      <c r="U2" s="2572"/>
      <c r="V2" s="2572"/>
      <c r="W2" s="2572"/>
      <c r="X2" s="2572"/>
      <c r="Y2" s="2577"/>
      <c r="AB2" s="305"/>
      <c r="AD2" s="441"/>
    </row>
    <row r="3" spans="1:36" ht="19">
      <c r="A3" s="2562"/>
      <c r="B3" s="2674" t="s">
        <v>2927</v>
      </c>
      <c r="C3" s="2675"/>
      <c r="D3" s="2675"/>
      <c r="E3" s="2675"/>
      <c r="F3" s="2675"/>
      <c r="G3" s="2675"/>
      <c r="H3" s="2675"/>
      <c r="I3" s="2675"/>
      <c r="J3" s="2675"/>
      <c r="K3" s="2675"/>
      <c r="L3" s="2675"/>
      <c r="M3" s="2675"/>
      <c r="N3" s="2675"/>
      <c r="O3" s="2562"/>
      <c r="P3" s="307"/>
      <c r="Q3" s="232" t="s">
        <v>1889</v>
      </c>
      <c r="R3" s="2577"/>
      <c r="S3" s="2572"/>
      <c r="T3" s="2572"/>
      <c r="U3" s="2572"/>
      <c r="V3" s="2572"/>
      <c r="W3" s="2572"/>
      <c r="X3" s="2572"/>
      <c r="Y3" s="2577"/>
      <c r="Z3" s="2562"/>
      <c r="AA3" s="2562"/>
      <c r="AB3" s="307"/>
      <c r="AC3" s="2562"/>
      <c r="AD3" s="2690" t="s">
        <v>2927</v>
      </c>
      <c r="AE3" s="2691"/>
      <c r="AF3" s="2691"/>
      <c r="AG3" s="2691"/>
      <c r="AH3" s="2691"/>
      <c r="AI3" s="2691"/>
      <c r="AJ3" s="2691"/>
    </row>
    <row r="4" spans="1:36" ht="19.5" thickBot="1">
      <c r="A4" s="2562"/>
      <c r="B4" s="442"/>
      <c r="C4" s="442"/>
      <c r="D4" s="442"/>
      <c r="E4" s="442"/>
      <c r="F4" s="442"/>
      <c r="G4" s="442"/>
      <c r="H4" s="442"/>
      <c r="I4" s="442"/>
      <c r="J4" s="442"/>
      <c r="K4" s="442"/>
      <c r="L4" s="442"/>
      <c r="M4" s="2562"/>
      <c r="N4" s="2562"/>
      <c r="O4" s="2562"/>
      <c r="P4" s="2576"/>
      <c r="Q4" s="2573"/>
      <c r="R4" s="2577"/>
      <c r="S4" s="2662" t="s">
        <v>1890</v>
      </c>
      <c r="T4" s="2662"/>
      <c r="U4" s="2662"/>
      <c r="V4" s="2662"/>
      <c r="W4" s="2662"/>
      <c r="X4" s="2662"/>
      <c r="Y4" s="2577"/>
      <c r="Z4" s="2562"/>
      <c r="AA4" s="2562"/>
      <c r="AB4" s="2576"/>
      <c r="AC4" s="2562"/>
      <c r="AD4" s="442"/>
      <c r="AE4" s="442"/>
      <c r="AF4" s="442"/>
      <c r="AG4" s="442"/>
      <c r="AH4" s="442"/>
      <c r="AI4" s="442"/>
      <c r="AJ4" s="442"/>
    </row>
    <row r="5" spans="1:36" ht="47.5" thickTop="1" thickBot="1">
      <c r="A5" s="197"/>
      <c r="B5" s="407" t="s">
        <v>1891</v>
      </c>
      <c r="C5" s="408" t="s">
        <v>1892</v>
      </c>
      <c r="D5" s="408" t="s">
        <v>136</v>
      </c>
      <c r="E5" s="408" t="s">
        <v>2828</v>
      </c>
      <c r="F5" s="408" t="s">
        <v>2829</v>
      </c>
      <c r="G5" s="408" t="s">
        <v>2830</v>
      </c>
      <c r="H5" s="408" t="s">
        <v>2831</v>
      </c>
      <c r="I5" s="408" t="s">
        <v>2832</v>
      </c>
      <c r="J5" s="409" t="s">
        <v>2112</v>
      </c>
      <c r="K5" s="406"/>
      <c r="L5" s="410" t="s">
        <v>1896</v>
      </c>
      <c r="M5" s="197"/>
      <c r="N5" s="411" t="s">
        <v>1897</v>
      </c>
      <c r="O5" s="197"/>
      <c r="P5" s="2576"/>
      <c r="Q5" s="2573"/>
      <c r="R5" s="2577"/>
      <c r="S5" s="236"/>
      <c r="T5" s="237"/>
      <c r="U5" s="237" t="s">
        <v>1898</v>
      </c>
      <c r="V5" s="237"/>
      <c r="W5" s="237"/>
      <c r="X5" s="237"/>
      <c r="Y5" s="2577"/>
      <c r="Z5" s="2562"/>
      <c r="AA5" s="2562"/>
      <c r="AB5" s="2576"/>
      <c r="AC5" s="2562"/>
      <c r="AD5" s="407" t="s">
        <v>1891</v>
      </c>
      <c r="AE5" s="408" t="s">
        <v>2828</v>
      </c>
      <c r="AF5" s="408" t="s">
        <v>2829</v>
      </c>
      <c r="AG5" s="408" t="s">
        <v>2830</v>
      </c>
      <c r="AH5" s="408" t="s">
        <v>2831</v>
      </c>
      <c r="AI5" s="408" t="s">
        <v>2928</v>
      </c>
      <c r="AJ5" s="409" t="s">
        <v>2112</v>
      </c>
    </row>
    <row r="6" spans="1:36" ht="16.5" thickTop="1" thickBot="1">
      <c r="A6" s="197"/>
      <c r="B6" s="233"/>
      <c r="C6" s="233"/>
      <c r="D6" s="233"/>
      <c r="E6" s="443"/>
      <c r="F6" s="443"/>
      <c r="G6" s="443"/>
      <c r="H6" s="443"/>
      <c r="I6" s="443"/>
      <c r="J6" s="406"/>
      <c r="K6" s="406"/>
      <c r="L6" s="197"/>
      <c r="M6" s="197"/>
      <c r="N6" s="197"/>
      <c r="O6" s="197"/>
      <c r="P6" s="2576"/>
      <c r="Q6" s="2573"/>
      <c r="R6" s="2577"/>
      <c r="S6" s="2562"/>
      <c r="T6" s="2562"/>
      <c r="U6" s="2562"/>
      <c r="V6" s="2562"/>
      <c r="W6" s="2562"/>
      <c r="X6" s="2562"/>
      <c r="Y6" s="2577"/>
      <c r="Z6" s="2562"/>
      <c r="AA6" s="2562"/>
      <c r="AB6" s="2576"/>
      <c r="AC6" s="2562"/>
      <c r="AD6" s="233"/>
      <c r="AE6" s="443"/>
      <c r="AF6" s="443"/>
      <c r="AG6" s="443"/>
      <c r="AH6" s="443"/>
      <c r="AI6" s="443"/>
      <c r="AJ6" s="406"/>
    </row>
    <row r="7" spans="1:36" ht="16.5" thickTop="1" thickBot="1">
      <c r="A7" s="197"/>
      <c r="B7" s="355" t="s">
        <v>2929</v>
      </c>
      <c r="C7" s="356"/>
      <c r="D7" s="356"/>
      <c r="E7" s="444"/>
      <c r="F7" s="444"/>
      <c r="G7" s="444"/>
      <c r="H7" s="444"/>
      <c r="I7" s="444"/>
      <c r="J7" s="444"/>
      <c r="K7" s="444"/>
      <c r="L7" s="444"/>
      <c r="M7" s="197"/>
      <c r="N7" s="197"/>
      <c r="O7" s="197"/>
      <c r="P7" s="2576"/>
      <c r="Q7" s="2573"/>
      <c r="R7" s="2577"/>
      <c r="S7" s="2573"/>
      <c r="T7" s="2573"/>
      <c r="U7" s="2573"/>
      <c r="V7" s="2573"/>
      <c r="W7" s="2573"/>
      <c r="X7" s="2573"/>
      <c r="Y7" s="2577"/>
      <c r="Z7" s="2562"/>
      <c r="AA7" s="2562"/>
      <c r="AB7" s="2576"/>
      <c r="AC7" s="2562"/>
      <c r="AD7" s="355" t="s">
        <v>2929</v>
      </c>
      <c r="AE7" s="444"/>
      <c r="AF7" s="444"/>
      <c r="AG7" s="444"/>
      <c r="AH7" s="444"/>
      <c r="AI7" s="444"/>
      <c r="AJ7" s="444"/>
    </row>
    <row r="8" spans="1:36" ht="16" thickTop="1">
      <c r="A8" s="197"/>
      <c r="B8" s="445" t="s">
        <v>2930</v>
      </c>
      <c r="C8" s="446" t="s">
        <v>137</v>
      </c>
      <c r="D8" s="447">
        <v>3</v>
      </c>
      <c r="E8" s="1865">
        <f>IFERROR('4J'!E9,0)</f>
        <v>5.2149999999999999</v>
      </c>
      <c r="F8" s="1866">
        <f>IFERROR(SUM('4J'!F9:I9),0)</f>
        <v>57.451999999999998</v>
      </c>
      <c r="G8" s="1866">
        <f>IFERROR(SUM('4K'!E10:I10),0)</f>
        <v>55.220999999999997</v>
      </c>
      <c r="H8" s="1866">
        <f>IFERROR(SUM('4K'!J10:L10),0)</f>
        <v>-7.3129999999999997</v>
      </c>
      <c r="I8" s="450">
        <v>0</v>
      </c>
      <c r="J8" s="1878">
        <f t="shared" ref="J8:J16" si="0">IFERROR(SUM(E8:I8),0)</f>
        <v>110.575</v>
      </c>
      <c r="K8" s="452"/>
      <c r="L8" s="453" t="s">
        <v>2931</v>
      </c>
      <c r="M8" s="197"/>
      <c r="N8" s="250"/>
      <c r="O8" s="197"/>
      <c r="P8" s="2576"/>
      <c r="Q8" s="251">
        <f>IF( SUM( S8:X8 ) = 0, 0, $U$5 )</f>
        <v>0</v>
      </c>
      <c r="R8" s="2577"/>
      <c r="S8" s="237"/>
      <c r="T8" s="237"/>
      <c r="U8" s="237"/>
      <c r="V8" s="237"/>
      <c r="W8" s="252">
        <f t="shared" ref="W8:W15" si="1" xml:space="preserve"> IF( ISNUMBER( I8 ), 0, 1 )</f>
        <v>0</v>
      </c>
      <c r="X8" s="237"/>
      <c r="Y8" s="2577"/>
      <c r="Z8" s="2562"/>
      <c r="AA8" s="2562"/>
      <c r="AB8" s="2576"/>
      <c r="AC8" s="2562"/>
      <c r="AD8" s="445" t="s">
        <v>2930</v>
      </c>
      <c r="AE8" s="448" t="s">
        <v>2932</v>
      </c>
      <c r="AF8" s="449" t="s">
        <v>2933</v>
      </c>
      <c r="AG8" s="449" t="s">
        <v>2934</v>
      </c>
      <c r="AH8" s="449" t="s">
        <v>2935</v>
      </c>
      <c r="AI8" s="450" t="s">
        <v>2936</v>
      </c>
      <c r="AJ8" s="451" t="s">
        <v>2937</v>
      </c>
    </row>
    <row r="9" spans="1:36" ht="15.5">
      <c r="A9" s="197"/>
      <c r="B9" s="454" t="s">
        <v>2938</v>
      </c>
      <c r="C9" s="455" t="s">
        <v>137</v>
      </c>
      <c r="D9" s="455">
        <v>3</v>
      </c>
      <c r="E9" s="1867">
        <f>IFERROR('4J'!E10,0)</f>
        <v>0</v>
      </c>
      <c r="F9" s="1868">
        <f>IFERROR(SUM('4J'!F10:I10),0)</f>
        <v>0</v>
      </c>
      <c r="G9" s="1868">
        <f>IFERROR(SUM('4K'!E11:I11),0)</f>
        <v>0</v>
      </c>
      <c r="H9" s="1868">
        <f>IFERROR(SUM('4K'!J11:L11),0)</f>
        <v>-1.7709999999999999</v>
      </c>
      <c r="I9" s="458">
        <v>0</v>
      </c>
      <c r="J9" s="1879">
        <f t="shared" si="0"/>
        <v>-1.7709999999999999</v>
      </c>
      <c r="K9" s="452"/>
      <c r="L9" s="460" t="s">
        <v>2939</v>
      </c>
      <c r="M9" s="197"/>
      <c r="N9" s="258"/>
      <c r="O9" s="197"/>
      <c r="P9" s="2578"/>
      <c r="Q9" s="251">
        <f t="shared" ref="Q9:Q15" si="2">IF( SUM( S9:X9 ) = 0, 0, $U$5 )</f>
        <v>0</v>
      </c>
      <c r="R9" s="2577"/>
      <c r="S9" s="237"/>
      <c r="T9" s="237"/>
      <c r="U9" s="237"/>
      <c r="V9" s="237"/>
      <c r="W9" s="252">
        <f t="shared" si="1"/>
        <v>0</v>
      </c>
      <c r="X9" s="237"/>
      <c r="Y9" s="2577"/>
      <c r="Z9" s="2562"/>
      <c r="AA9" s="2562"/>
      <c r="AB9" s="2578"/>
      <c r="AC9" s="2562"/>
      <c r="AD9" s="454" t="s">
        <v>2938</v>
      </c>
      <c r="AE9" s="456" t="s">
        <v>2940</v>
      </c>
      <c r="AF9" s="457" t="s">
        <v>2941</v>
      </c>
      <c r="AG9" s="457" t="s">
        <v>2942</v>
      </c>
      <c r="AH9" s="457" t="s">
        <v>2943</v>
      </c>
      <c r="AI9" s="458" t="s">
        <v>2944</v>
      </c>
      <c r="AJ9" s="459" t="s">
        <v>2945</v>
      </c>
    </row>
    <row r="10" spans="1:36" ht="15.5">
      <c r="A10" s="197"/>
      <c r="B10" s="454" t="s">
        <v>2946</v>
      </c>
      <c r="C10" s="455" t="s">
        <v>137</v>
      </c>
      <c r="D10" s="455">
        <v>3</v>
      </c>
      <c r="E10" s="1868">
        <f>IFERROR(SUM('4J'!E18:E20),0)</f>
        <v>10.229000000000001</v>
      </c>
      <c r="F10" s="1868">
        <f>IFERROR(SUM('4J'!F18:I20),0)</f>
        <v>0.251</v>
      </c>
      <c r="G10" s="1868">
        <f>IFERROR(SUM('4K'!E19:I21),0)</f>
        <v>6.2919999999999998</v>
      </c>
      <c r="H10" s="1868">
        <f>IFERROR(SUM('4K'!J19:L21),0)</f>
        <v>0.214</v>
      </c>
      <c r="I10" s="458">
        <v>0</v>
      </c>
      <c r="J10" s="1879">
        <f t="shared" si="0"/>
        <v>16.985999999999997</v>
      </c>
      <c r="K10" s="452"/>
      <c r="L10" s="460" t="s">
        <v>2947</v>
      </c>
      <c r="M10" s="197"/>
      <c r="N10" s="258"/>
      <c r="O10" s="197"/>
      <c r="P10" s="2578"/>
      <c r="Q10" s="251">
        <f t="shared" si="2"/>
        <v>0</v>
      </c>
      <c r="R10" s="2577"/>
      <c r="S10" s="237"/>
      <c r="T10" s="237"/>
      <c r="U10" s="237"/>
      <c r="V10" s="237"/>
      <c r="W10" s="252">
        <f t="shared" si="1"/>
        <v>0</v>
      </c>
      <c r="X10" s="237"/>
      <c r="Y10" s="2577"/>
      <c r="Z10" s="2562"/>
      <c r="AA10" s="2562"/>
      <c r="AB10" s="2578"/>
      <c r="AC10" s="2562"/>
      <c r="AD10" s="454" t="s">
        <v>2948</v>
      </c>
      <c r="AE10" s="457" t="s">
        <v>2949</v>
      </c>
      <c r="AF10" s="457" t="s">
        <v>2950</v>
      </c>
      <c r="AG10" s="457" t="s">
        <v>2951</v>
      </c>
      <c r="AH10" s="457" t="s">
        <v>2952</v>
      </c>
      <c r="AI10" s="458" t="s">
        <v>2953</v>
      </c>
      <c r="AJ10" s="459" t="s">
        <v>2954</v>
      </c>
    </row>
    <row r="11" spans="1:36" ht="15.5">
      <c r="A11" s="197"/>
      <c r="B11" s="454" t="s">
        <v>2955</v>
      </c>
      <c r="C11" s="461" t="s">
        <v>137</v>
      </c>
      <c r="D11" s="461">
        <v>3</v>
      </c>
      <c r="E11" s="1869">
        <f>IFERROR('4J'!E11,0)</f>
        <v>4.0819999999999999</v>
      </c>
      <c r="F11" s="1868">
        <f>IFERROR(SUM('4J'!F11:I11),0)</f>
        <v>0</v>
      </c>
      <c r="G11" s="1868">
        <f>IFERROR(SUM('4K'!E12:I12),0)</f>
        <v>0</v>
      </c>
      <c r="H11" s="1868">
        <f>IFERROR(SUM('4K'!J12:L12),0)</f>
        <v>0</v>
      </c>
      <c r="I11" s="458">
        <v>0</v>
      </c>
      <c r="J11" s="1879">
        <f t="shared" si="0"/>
        <v>4.0819999999999999</v>
      </c>
      <c r="K11" s="452"/>
      <c r="L11" s="460" t="s">
        <v>2956</v>
      </c>
      <c r="M11" s="197"/>
      <c r="N11" s="258"/>
      <c r="O11" s="197"/>
      <c r="P11" s="2578"/>
      <c r="Q11" s="251">
        <f t="shared" si="2"/>
        <v>0</v>
      </c>
      <c r="R11" s="2577"/>
      <c r="S11" s="237"/>
      <c r="T11" s="237"/>
      <c r="U11" s="237"/>
      <c r="V11" s="237"/>
      <c r="W11" s="252">
        <f t="shared" si="1"/>
        <v>0</v>
      </c>
      <c r="X11" s="237"/>
      <c r="Y11" s="2577"/>
      <c r="Z11" s="2562"/>
      <c r="AA11" s="2562"/>
      <c r="AB11" s="2578"/>
      <c r="AC11" s="2562"/>
      <c r="AD11" s="454" t="s">
        <v>2955</v>
      </c>
      <c r="AE11" s="462" t="s">
        <v>2957</v>
      </c>
      <c r="AF11" s="457" t="s">
        <v>2958</v>
      </c>
      <c r="AG11" s="457" t="s">
        <v>2959</v>
      </c>
      <c r="AH11" s="457" t="s">
        <v>2960</v>
      </c>
      <c r="AI11" s="458" t="s">
        <v>2961</v>
      </c>
      <c r="AJ11" s="459" t="s">
        <v>2962</v>
      </c>
    </row>
    <row r="12" spans="1:36" ht="15.5">
      <c r="A12" s="197"/>
      <c r="B12" s="454" t="s">
        <v>2963</v>
      </c>
      <c r="C12" s="455" t="s">
        <v>137</v>
      </c>
      <c r="D12" s="455">
        <v>3</v>
      </c>
      <c r="E12" s="1869">
        <f>IFERROR('4J'!E12,0)</f>
        <v>0</v>
      </c>
      <c r="F12" s="1868">
        <f>IFERROR(SUM('4J'!F12:I12),0)</f>
        <v>0</v>
      </c>
      <c r="G12" s="1868">
        <f>IFERROR(SUM('4K'!E13:I13),0)</f>
        <v>0</v>
      </c>
      <c r="H12" s="1868">
        <f>IFERROR(SUM('4K'!J13:L13),0)</f>
        <v>0</v>
      </c>
      <c r="I12" s="458">
        <v>0</v>
      </c>
      <c r="J12" s="1879">
        <f t="shared" si="0"/>
        <v>0</v>
      </c>
      <c r="K12" s="463"/>
      <c r="L12" s="460" t="s">
        <v>2964</v>
      </c>
      <c r="M12" s="197"/>
      <c r="N12" s="258"/>
      <c r="O12" s="197"/>
      <c r="P12" s="2578"/>
      <c r="Q12" s="251">
        <f t="shared" si="2"/>
        <v>0</v>
      </c>
      <c r="R12" s="2577"/>
      <c r="S12" s="237"/>
      <c r="T12" s="237"/>
      <c r="U12" s="237"/>
      <c r="V12" s="237"/>
      <c r="W12" s="252">
        <f t="shared" si="1"/>
        <v>0</v>
      </c>
      <c r="X12" s="237"/>
      <c r="Y12" s="2577"/>
      <c r="Z12" s="2562"/>
      <c r="AA12" s="2562"/>
      <c r="AB12" s="2578"/>
      <c r="AC12" s="2562"/>
      <c r="AD12" s="454" t="s">
        <v>2963</v>
      </c>
      <c r="AE12" s="462" t="s">
        <v>2965</v>
      </c>
      <c r="AF12" s="457" t="s">
        <v>2966</v>
      </c>
      <c r="AG12" s="457" t="s">
        <v>2967</v>
      </c>
      <c r="AH12" s="457" t="s">
        <v>2968</v>
      </c>
      <c r="AI12" s="458" t="s">
        <v>2969</v>
      </c>
      <c r="AJ12" s="459" t="s">
        <v>2970</v>
      </c>
    </row>
    <row r="13" spans="1:36" ht="15.5">
      <c r="A13" s="197"/>
      <c r="B13" s="454" t="s">
        <v>2971</v>
      </c>
      <c r="C13" s="455" t="s">
        <v>137</v>
      </c>
      <c r="D13" s="455">
        <v>3</v>
      </c>
      <c r="E13" s="1869">
        <f>IFERROR('4J'!E13,0)</f>
        <v>0</v>
      </c>
      <c r="F13" s="1868">
        <f>IFERROR(SUM('4J'!F13:I13),0)</f>
        <v>0</v>
      </c>
      <c r="G13" s="1868">
        <f>IFERROR(SUM('4K'!E14:I14),0)</f>
        <v>0</v>
      </c>
      <c r="H13" s="1868">
        <f>IFERROR(SUM('4K'!J14:L14),0)</f>
        <v>0</v>
      </c>
      <c r="I13" s="458">
        <v>0</v>
      </c>
      <c r="J13" s="1879">
        <f t="shared" si="0"/>
        <v>0</v>
      </c>
      <c r="K13" s="463"/>
      <c r="L13" s="460" t="s">
        <v>2972</v>
      </c>
      <c r="M13" s="197"/>
      <c r="N13" s="258"/>
      <c r="O13" s="197"/>
      <c r="P13" s="2578"/>
      <c r="Q13" s="251">
        <f t="shared" si="2"/>
        <v>0</v>
      </c>
      <c r="R13" s="2577"/>
      <c r="S13" s="237"/>
      <c r="T13" s="237"/>
      <c r="U13" s="237"/>
      <c r="V13" s="237"/>
      <c r="W13" s="252">
        <f t="shared" si="1"/>
        <v>0</v>
      </c>
      <c r="X13" s="237"/>
      <c r="Y13" s="2577"/>
      <c r="Z13" s="2562"/>
      <c r="AA13" s="2562"/>
      <c r="AB13" s="2578"/>
      <c r="AC13" s="2562"/>
      <c r="AD13" s="454" t="s">
        <v>2971</v>
      </c>
      <c r="AE13" s="462" t="s">
        <v>2973</v>
      </c>
      <c r="AF13" s="457" t="s">
        <v>2974</v>
      </c>
      <c r="AG13" s="457" t="s">
        <v>2975</v>
      </c>
      <c r="AH13" s="457" t="s">
        <v>2976</v>
      </c>
      <c r="AI13" s="458" t="s">
        <v>2977</v>
      </c>
      <c r="AJ13" s="459" t="s">
        <v>2978</v>
      </c>
    </row>
    <row r="14" spans="1:36" ht="31">
      <c r="A14" s="197"/>
      <c r="B14" s="454" t="s">
        <v>2979</v>
      </c>
      <c r="C14" s="455" t="s">
        <v>137</v>
      </c>
      <c r="D14" s="455">
        <v>3</v>
      </c>
      <c r="E14" s="1870">
        <f>IFERROR(SUM('4J'!E14,'4J'!E23,'4J'!E24,'4J'!E25),0)</f>
        <v>15.265000000000001</v>
      </c>
      <c r="F14" s="1868">
        <f>IFERROR(SUM('4J'!F14:I14,'4J'!F23:I25),0)</f>
        <v>160.27000000000001</v>
      </c>
      <c r="G14" s="1868">
        <f>IFERROR(SUM('4K'!E15:I15,'4K'!E24:I26),0)</f>
        <v>90.906999999999996</v>
      </c>
      <c r="H14" s="1868">
        <f>IFERROR(SUM('4K'!J15:L15,'4K'!J24:L26),0)</f>
        <v>41.204000000000001</v>
      </c>
      <c r="I14" s="458">
        <v>0</v>
      </c>
      <c r="J14" s="1879">
        <f t="shared" si="0"/>
        <v>307.64600000000002</v>
      </c>
      <c r="K14" s="463"/>
      <c r="L14" s="460" t="s">
        <v>2980</v>
      </c>
      <c r="M14" s="197"/>
      <c r="N14" s="258"/>
      <c r="O14" s="197"/>
      <c r="P14" s="2578"/>
      <c r="Q14" s="251">
        <f t="shared" si="2"/>
        <v>0</v>
      </c>
      <c r="R14" s="2577"/>
      <c r="S14" s="237"/>
      <c r="T14" s="237"/>
      <c r="U14" s="237"/>
      <c r="V14" s="237"/>
      <c r="W14" s="252">
        <f t="shared" si="1"/>
        <v>0</v>
      </c>
      <c r="X14" s="237"/>
      <c r="Y14" s="2577"/>
      <c r="Z14" s="2562"/>
      <c r="AA14" s="2562"/>
      <c r="AB14" s="2578"/>
      <c r="AC14" s="2562"/>
      <c r="AD14" s="454" t="s">
        <v>2981</v>
      </c>
      <c r="AE14" s="464" t="s">
        <v>2982</v>
      </c>
      <c r="AF14" s="457" t="s">
        <v>2983</v>
      </c>
      <c r="AG14" s="457" t="s">
        <v>2984</v>
      </c>
      <c r="AH14" s="457" t="s">
        <v>2985</v>
      </c>
      <c r="AI14" s="458" t="s">
        <v>2986</v>
      </c>
      <c r="AJ14" s="459" t="s">
        <v>2987</v>
      </c>
    </row>
    <row r="15" spans="1:36" ht="15.5">
      <c r="A15" s="197"/>
      <c r="B15" s="454" t="s">
        <v>2988</v>
      </c>
      <c r="C15" s="461" t="s">
        <v>137</v>
      </c>
      <c r="D15" s="461">
        <v>3</v>
      </c>
      <c r="E15" s="1869">
        <f>IFERROR('4J'!E15,0)</f>
        <v>7.9210000000000003</v>
      </c>
      <c r="F15" s="1868">
        <f>IFERROR(SUM('4J'!F15:I15),0)</f>
        <v>33.098999999999997</v>
      </c>
      <c r="G15" s="1868">
        <f>IFERROR(SUM('4K'!E16:I16),0)</f>
        <v>15.382999999999999</v>
      </c>
      <c r="H15" s="1868">
        <f>IFERROR(SUM('4K'!J16:L16),0)</f>
        <v>1.288</v>
      </c>
      <c r="I15" s="458">
        <v>0</v>
      </c>
      <c r="J15" s="1879">
        <f t="shared" si="0"/>
        <v>57.690999999999988</v>
      </c>
      <c r="K15" s="463"/>
      <c r="L15" s="465" t="s">
        <v>2989</v>
      </c>
      <c r="M15" s="197"/>
      <c r="N15" s="258"/>
      <c r="O15" s="197"/>
      <c r="P15" s="2578"/>
      <c r="Q15" s="251">
        <f t="shared" si="2"/>
        <v>0</v>
      </c>
      <c r="R15" s="2577"/>
      <c r="S15" s="237"/>
      <c r="T15" s="237"/>
      <c r="U15" s="237"/>
      <c r="V15" s="237"/>
      <c r="W15" s="252">
        <f t="shared" si="1"/>
        <v>0</v>
      </c>
      <c r="X15" s="237"/>
      <c r="Y15" s="2577"/>
      <c r="Z15" s="2562"/>
      <c r="AA15" s="2562"/>
      <c r="AB15" s="2578"/>
      <c r="AC15" s="2562"/>
      <c r="AD15" s="454" t="s">
        <v>2988</v>
      </c>
      <c r="AE15" s="462" t="s">
        <v>2990</v>
      </c>
      <c r="AF15" s="457" t="s">
        <v>2991</v>
      </c>
      <c r="AG15" s="457" t="s">
        <v>2992</v>
      </c>
      <c r="AH15" s="457" t="s">
        <v>2993</v>
      </c>
      <c r="AI15" s="458" t="s">
        <v>2994</v>
      </c>
      <c r="AJ15" s="459" t="s">
        <v>2995</v>
      </c>
    </row>
    <row r="16" spans="1:36" ht="16" thickBot="1">
      <c r="A16" s="197"/>
      <c r="B16" s="466" t="s">
        <v>2996</v>
      </c>
      <c r="C16" s="467" t="s">
        <v>137</v>
      </c>
      <c r="D16" s="467">
        <v>3</v>
      </c>
      <c r="E16" s="1871">
        <f>IFERROR(SUM(E8:E15), 0)</f>
        <v>42.711999999999996</v>
      </c>
      <c r="F16" s="1871">
        <f>IFERROR(SUM(F8:F15), 0)</f>
        <v>251.072</v>
      </c>
      <c r="G16" s="1871">
        <f>IFERROR(SUM(G8:G15), 0)</f>
        <v>167.803</v>
      </c>
      <c r="H16" s="1871">
        <f>IFERROR(SUM(H8:H15), 0)</f>
        <v>33.622</v>
      </c>
      <c r="I16" s="1874">
        <f>IFERROR(SUM(I8:I15),0)</f>
        <v>0</v>
      </c>
      <c r="J16" s="1880">
        <f t="shared" si="0"/>
        <v>495.209</v>
      </c>
      <c r="K16" s="463"/>
      <c r="L16" s="471" t="s">
        <v>2997</v>
      </c>
      <c r="M16" s="197"/>
      <c r="N16" s="269"/>
      <c r="O16" s="197"/>
      <c r="P16" s="2578"/>
      <c r="Q16" s="2573"/>
      <c r="R16" s="2577"/>
      <c r="S16" s="237"/>
      <c r="T16" s="237"/>
      <c r="U16" s="237"/>
      <c r="V16" s="237"/>
      <c r="W16" s="237"/>
      <c r="X16" s="237"/>
      <c r="Y16" s="2577"/>
      <c r="Z16" s="2562"/>
      <c r="AA16" s="2562"/>
      <c r="AB16" s="2578"/>
      <c r="AC16" s="2562"/>
      <c r="AD16" s="466" t="s">
        <v>2996</v>
      </c>
      <c r="AE16" s="468" t="s">
        <v>2998</v>
      </c>
      <c r="AF16" s="468" t="s">
        <v>2999</v>
      </c>
      <c r="AG16" s="468" t="s">
        <v>3000</v>
      </c>
      <c r="AH16" s="468" t="s">
        <v>3001</v>
      </c>
      <c r="AI16" s="469" t="s">
        <v>3002</v>
      </c>
      <c r="AJ16" s="470" t="s">
        <v>3003</v>
      </c>
    </row>
    <row r="17" spans="1:36" ht="16.5" thickTop="1" thickBot="1">
      <c r="A17" s="197"/>
      <c r="B17" s="327"/>
      <c r="C17" s="327"/>
      <c r="D17" s="327"/>
      <c r="E17" s="1872"/>
      <c r="F17" s="1872"/>
      <c r="G17" s="1872"/>
      <c r="H17" s="1872"/>
      <c r="I17" s="328"/>
      <c r="J17" s="1872"/>
      <c r="K17" s="313"/>
      <c r="L17" s="92"/>
      <c r="M17" s="197"/>
      <c r="N17" s="197"/>
      <c r="O17" s="197"/>
      <c r="P17" s="2578"/>
      <c r="Q17" s="2573"/>
      <c r="R17" s="2577"/>
      <c r="S17" s="237"/>
      <c r="T17" s="237"/>
      <c r="U17" s="237"/>
      <c r="V17" s="237"/>
      <c r="W17" s="237"/>
      <c r="X17" s="237"/>
      <c r="Y17" s="2577"/>
      <c r="Z17" s="2562"/>
      <c r="AA17" s="2562"/>
      <c r="AB17" s="2578"/>
      <c r="AC17" s="2562"/>
      <c r="AD17" s="327"/>
      <c r="AE17" s="328"/>
      <c r="AF17" s="328"/>
      <c r="AG17" s="328"/>
      <c r="AH17" s="328"/>
      <c r="AI17" s="328"/>
      <c r="AJ17" s="328"/>
    </row>
    <row r="18" spans="1:36" ht="16.5" thickTop="1" thickBot="1">
      <c r="A18" s="197"/>
      <c r="B18" s="355" t="s">
        <v>2981</v>
      </c>
      <c r="C18" s="356"/>
      <c r="D18" s="356"/>
      <c r="E18" s="1873"/>
      <c r="F18" s="1873"/>
      <c r="G18" s="1873"/>
      <c r="H18" s="1873"/>
      <c r="I18" s="329"/>
      <c r="J18" s="1873"/>
      <c r="K18" s="106"/>
      <c r="L18" s="472"/>
      <c r="M18" s="197"/>
      <c r="N18" s="197"/>
      <c r="O18" s="197"/>
      <c r="P18" s="2578"/>
      <c r="Q18" s="2573"/>
      <c r="R18" s="2577"/>
      <c r="S18" s="237"/>
      <c r="T18" s="237"/>
      <c r="U18" s="237"/>
      <c r="V18" s="237"/>
      <c r="W18" s="237"/>
      <c r="X18" s="237"/>
      <c r="Y18" s="2577"/>
      <c r="Z18" s="2562"/>
      <c r="AA18" s="2562"/>
      <c r="AB18" s="2578"/>
      <c r="AC18" s="2562"/>
      <c r="AD18" s="355" t="s">
        <v>2981</v>
      </c>
      <c r="AE18" s="329"/>
      <c r="AF18" s="329"/>
      <c r="AG18" s="329"/>
      <c r="AH18" s="329"/>
      <c r="AI18" s="329"/>
      <c r="AJ18" s="329"/>
    </row>
    <row r="19" spans="1:36" ht="16.399999999999999" customHeight="1" thickTop="1">
      <c r="A19" s="197"/>
      <c r="B19" s="445" t="s">
        <v>3004</v>
      </c>
      <c r="C19" s="447" t="s">
        <v>137</v>
      </c>
      <c r="D19" s="447">
        <v>3</v>
      </c>
      <c r="E19" s="1865">
        <f>IFERROR('4D'!E10, 0)</f>
        <v>0</v>
      </c>
      <c r="F19" s="1866">
        <f>IFERROR(SUM('4D'!F10:I10), 0)</f>
        <v>22.314</v>
      </c>
      <c r="G19" s="1866">
        <f>IFERROR(SUM('4E'!E10:I10), 0)</f>
        <v>0.35399999999999998</v>
      </c>
      <c r="H19" s="1866">
        <f>IFERROR(SUM('4E'!J10:L10), 0)</f>
        <v>0</v>
      </c>
      <c r="I19" s="450">
        <v>0</v>
      </c>
      <c r="J19" s="1878">
        <f>IFERROR(SUM(E19:I19), 0)</f>
        <v>22.667999999999999</v>
      </c>
      <c r="K19" s="452"/>
      <c r="L19" s="453" t="s">
        <v>3005</v>
      </c>
      <c r="M19" s="197"/>
      <c r="N19" s="250"/>
      <c r="O19" s="197"/>
      <c r="P19" s="2578"/>
      <c r="Q19" s="251">
        <f t="shared" ref="Q19:Q20" si="3">IF( SUM( S19:X19 ) = 0, 0, $U$5 )</f>
        <v>0</v>
      </c>
      <c r="R19" s="2577"/>
      <c r="S19" s="237"/>
      <c r="T19" s="237"/>
      <c r="U19" s="237"/>
      <c r="V19" s="237"/>
      <c r="W19" s="252">
        <f t="shared" ref="W19:W20" si="4" xml:space="preserve"> IF( ISNUMBER( I19 ), 0, 1 )</f>
        <v>0</v>
      </c>
      <c r="X19" s="237"/>
      <c r="Y19" s="2577"/>
      <c r="Z19" s="2562"/>
      <c r="AA19" s="2562"/>
      <c r="AB19" s="2578"/>
      <c r="AC19" s="2562"/>
      <c r="AD19" s="445" t="s">
        <v>3004</v>
      </c>
      <c r="AE19" s="448" t="s">
        <v>3006</v>
      </c>
      <c r="AF19" s="449" t="s">
        <v>3007</v>
      </c>
      <c r="AG19" s="449" t="s">
        <v>3008</v>
      </c>
      <c r="AH19" s="449" t="s">
        <v>3009</v>
      </c>
      <c r="AI19" s="450" t="s">
        <v>3010</v>
      </c>
      <c r="AJ19" s="451" t="s">
        <v>3011</v>
      </c>
    </row>
    <row r="20" spans="1:36" ht="16.399999999999999" customHeight="1">
      <c r="A20" s="197"/>
      <c r="B20" s="454" t="s">
        <v>3012</v>
      </c>
      <c r="C20" s="455" t="s">
        <v>137</v>
      </c>
      <c r="D20" s="455">
        <v>3</v>
      </c>
      <c r="E20" s="1867">
        <f>IFERROR('4D'!E11, 0)</f>
        <v>0</v>
      </c>
      <c r="F20" s="1868">
        <f>IFERROR(SUM('4D'!F11:I11), 0)</f>
        <v>0</v>
      </c>
      <c r="G20" s="1868">
        <f>IFERROR(SUM('4E'!E11:I11), 0)</f>
        <v>0</v>
      </c>
      <c r="H20" s="1868">
        <f>IFERROR(SUM('4E'!J11:L11), 0)</f>
        <v>0</v>
      </c>
      <c r="I20" s="458">
        <v>0</v>
      </c>
      <c r="J20" s="1879">
        <f>IFERROR(SUM(E20:I20), 0)</f>
        <v>0</v>
      </c>
      <c r="K20" s="452"/>
      <c r="L20" s="460" t="s">
        <v>3013</v>
      </c>
      <c r="M20" s="197"/>
      <c r="N20" s="258"/>
      <c r="O20" s="197"/>
      <c r="P20" s="2578"/>
      <c r="Q20" s="251">
        <f t="shared" si="3"/>
        <v>0</v>
      </c>
      <c r="R20" s="2577"/>
      <c r="S20" s="237"/>
      <c r="T20" s="237"/>
      <c r="U20" s="237"/>
      <c r="V20" s="237"/>
      <c r="W20" s="252">
        <f t="shared" si="4"/>
        <v>0</v>
      </c>
      <c r="X20" s="237"/>
      <c r="Y20" s="2577"/>
      <c r="Z20" s="2562"/>
      <c r="AA20" s="2562"/>
      <c r="AB20" s="2578"/>
      <c r="AC20" s="2562"/>
      <c r="AD20" s="454" t="s">
        <v>3014</v>
      </c>
      <c r="AE20" s="456" t="s">
        <v>3015</v>
      </c>
      <c r="AF20" s="457" t="s">
        <v>3016</v>
      </c>
      <c r="AG20" s="457" t="s">
        <v>3017</v>
      </c>
      <c r="AH20" s="457" t="s">
        <v>3018</v>
      </c>
      <c r="AI20" s="458" t="s">
        <v>3019</v>
      </c>
      <c r="AJ20" s="459" t="s">
        <v>3020</v>
      </c>
    </row>
    <row r="21" spans="1:36" ht="16.399999999999999" customHeight="1">
      <c r="A21" s="197"/>
      <c r="B21" s="454" t="s">
        <v>3021</v>
      </c>
      <c r="C21" s="461" t="s">
        <v>137</v>
      </c>
      <c r="D21" s="461">
        <v>3</v>
      </c>
      <c r="E21" s="1870">
        <f>IFERROR(E16+E19+E20,0)</f>
        <v>42.711999999999996</v>
      </c>
      <c r="F21" s="1868">
        <f>IFERROR(F16+F19+F20,0)</f>
        <v>273.38600000000002</v>
      </c>
      <c r="G21" s="1868">
        <f>IFERROR(G16+G19+G20,0)</f>
        <v>168.15700000000001</v>
      </c>
      <c r="H21" s="1868">
        <f>IFERROR(H16+H19+H20,0)</f>
        <v>33.622</v>
      </c>
      <c r="I21" s="1868">
        <f>IFERROR(I16+I19+I20,0)</f>
        <v>0</v>
      </c>
      <c r="J21" s="1879">
        <f>IFERROR(SUM(E21:I21),0)</f>
        <v>517.87699999999995</v>
      </c>
      <c r="K21" s="463"/>
      <c r="L21" s="460" t="s">
        <v>3022</v>
      </c>
      <c r="M21" s="197"/>
      <c r="N21" s="258"/>
      <c r="O21" s="197"/>
      <c r="P21" s="2578"/>
      <c r="Q21" s="2573"/>
      <c r="R21" s="2577"/>
      <c r="S21" s="237"/>
      <c r="T21" s="237"/>
      <c r="U21" s="237"/>
      <c r="V21" s="237"/>
      <c r="W21" s="237"/>
      <c r="X21" s="237"/>
      <c r="Y21" s="2577"/>
      <c r="Z21" s="2562"/>
      <c r="AA21" s="2562"/>
      <c r="AB21" s="2578"/>
      <c r="AC21" s="2562"/>
      <c r="AD21" s="454" t="s">
        <v>3021</v>
      </c>
      <c r="AE21" s="464" t="s">
        <v>3023</v>
      </c>
      <c r="AF21" s="457" t="s">
        <v>3024</v>
      </c>
      <c r="AG21" s="457" t="s">
        <v>3025</v>
      </c>
      <c r="AH21" s="457" t="s">
        <v>3026</v>
      </c>
      <c r="AI21" s="457" t="s">
        <v>3027</v>
      </c>
      <c r="AJ21" s="459" t="s">
        <v>3028</v>
      </c>
    </row>
    <row r="22" spans="1:36" ht="16.399999999999999" customHeight="1">
      <c r="A22" s="197"/>
      <c r="B22" s="454" t="s">
        <v>3029</v>
      </c>
      <c r="C22" s="455" t="s">
        <v>137</v>
      </c>
      <c r="D22" s="455">
        <v>3</v>
      </c>
      <c r="E22" s="1867">
        <f>IFERROR('4D'!E13, 0)</f>
        <v>0</v>
      </c>
      <c r="F22" s="1868">
        <f>IFERROR(SUM('4D'!F13:I13), 0)</f>
        <v>1.3169999999999999</v>
      </c>
      <c r="G22" s="1868">
        <f>IFERROR(SUM('4E'!E13:I13), 0)</f>
        <v>0</v>
      </c>
      <c r="H22" s="1868">
        <f>IFERROR(SUM('4E'!J13:L13), 0)</f>
        <v>0</v>
      </c>
      <c r="I22" s="458">
        <v>0</v>
      </c>
      <c r="J22" s="1879">
        <f>IFERROR(SUM(E22:I22),0)</f>
        <v>1.3169999999999999</v>
      </c>
      <c r="K22" s="463"/>
      <c r="L22" s="460" t="s">
        <v>3030</v>
      </c>
      <c r="M22" s="197"/>
      <c r="N22" s="258"/>
      <c r="O22" s="197"/>
      <c r="P22" s="2578"/>
      <c r="Q22" s="251">
        <f>IF( SUM( S22:X22 ) = 0, 0, $U$5 )</f>
        <v>0</v>
      </c>
      <c r="R22" s="2577"/>
      <c r="S22" s="237"/>
      <c r="T22" s="237"/>
      <c r="U22" s="237"/>
      <c r="V22" s="237"/>
      <c r="W22" s="252">
        <f t="shared" ref="W22" si="5" xml:space="preserve"> IF( ISNUMBER( I22 ), 0, 1 )</f>
        <v>0</v>
      </c>
      <c r="X22" s="237"/>
      <c r="Y22" s="2577"/>
      <c r="Z22" s="2562"/>
      <c r="AA22" s="2562"/>
      <c r="AB22" s="2578"/>
      <c r="AC22" s="2562"/>
      <c r="AD22" s="454" t="s">
        <v>3029</v>
      </c>
      <c r="AE22" s="473" t="s">
        <v>3031</v>
      </c>
      <c r="AF22" s="474" t="s">
        <v>3032</v>
      </c>
      <c r="AG22" s="474" t="s">
        <v>3033</v>
      </c>
      <c r="AH22" s="474" t="s">
        <v>3034</v>
      </c>
      <c r="AI22" s="458" t="s">
        <v>3035</v>
      </c>
      <c r="AJ22" s="459" t="s">
        <v>3036</v>
      </c>
    </row>
    <row r="23" spans="1:36" ht="16.399999999999999" customHeight="1" thickBot="1">
      <c r="A23" s="197"/>
      <c r="B23" s="466" t="s">
        <v>1846</v>
      </c>
      <c r="C23" s="475" t="s">
        <v>137</v>
      </c>
      <c r="D23" s="475">
        <v>3</v>
      </c>
      <c r="E23" s="1874">
        <f>IFERROR(E21+E22,0)</f>
        <v>42.711999999999996</v>
      </c>
      <c r="F23" s="1874">
        <f>IFERROR(F21+F22,0)</f>
        <v>274.70300000000003</v>
      </c>
      <c r="G23" s="1874">
        <f>IFERROR(G21+G22,0)</f>
        <v>168.15700000000001</v>
      </c>
      <c r="H23" s="1874">
        <f>IFERROR(H21+H22,0)</f>
        <v>33.622</v>
      </c>
      <c r="I23" s="1874">
        <f>IFERROR(I21+I22,0)</f>
        <v>0</v>
      </c>
      <c r="J23" s="1880">
        <f>IFERROR(SUM(E23:I23),0)</f>
        <v>519.19399999999996</v>
      </c>
      <c r="K23" s="463"/>
      <c r="L23" s="476" t="s">
        <v>3037</v>
      </c>
      <c r="M23" s="197"/>
      <c r="N23" s="269"/>
      <c r="O23" s="197"/>
      <c r="P23" s="2578"/>
      <c r="Q23" s="2573"/>
      <c r="R23" s="332"/>
      <c r="S23" s="237"/>
      <c r="T23" s="237"/>
      <c r="U23" s="237"/>
      <c r="V23" s="237"/>
      <c r="W23" s="237"/>
      <c r="X23" s="237"/>
      <c r="Y23" s="332"/>
      <c r="Z23" s="2562"/>
      <c r="AA23" s="2562"/>
      <c r="AB23" s="2578"/>
      <c r="AC23" s="2562"/>
      <c r="AD23" s="466" t="s">
        <v>1846</v>
      </c>
      <c r="AE23" s="469" t="s">
        <v>3038</v>
      </c>
      <c r="AF23" s="469" t="s">
        <v>3039</v>
      </c>
      <c r="AG23" s="469" t="s">
        <v>3040</v>
      </c>
      <c r="AH23" s="469" t="s">
        <v>3041</v>
      </c>
      <c r="AI23" s="469" t="s">
        <v>3042</v>
      </c>
      <c r="AJ23" s="470" t="s">
        <v>3043</v>
      </c>
    </row>
    <row r="24" spans="1:36" ht="16.399999999999999" customHeight="1" thickTop="1" thickBot="1">
      <c r="A24" s="197"/>
      <c r="B24" s="327"/>
      <c r="C24" s="327"/>
      <c r="D24" s="327"/>
      <c r="E24" s="1872"/>
      <c r="F24" s="1872"/>
      <c r="G24" s="1872"/>
      <c r="H24" s="1872"/>
      <c r="I24" s="328"/>
      <c r="J24" s="1872"/>
      <c r="K24" s="106"/>
      <c r="L24" s="472"/>
      <c r="M24" s="197"/>
      <c r="N24" s="197"/>
      <c r="O24" s="197"/>
      <c r="P24" s="2578"/>
      <c r="Q24" s="2573"/>
      <c r="R24" s="332"/>
      <c r="S24" s="237"/>
      <c r="T24" s="237"/>
      <c r="U24" s="237"/>
      <c r="V24" s="237"/>
      <c r="W24" s="237"/>
      <c r="X24" s="237"/>
      <c r="Y24" s="332"/>
      <c r="Z24" s="2562"/>
      <c r="AA24" s="2562"/>
      <c r="AB24" s="2578"/>
      <c r="AC24" s="2562"/>
      <c r="AD24" s="327"/>
      <c r="AE24" s="328"/>
      <c r="AF24" s="328"/>
      <c r="AG24" s="328"/>
      <c r="AH24" s="328"/>
      <c r="AI24" s="328"/>
      <c r="AJ24" s="328"/>
    </row>
    <row r="25" spans="1:36" ht="16.399999999999999" customHeight="1" thickTop="1" thickBot="1">
      <c r="A25" s="197"/>
      <c r="B25" s="355" t="s">
        <v>3044</v>
      </c>
      <c r="C25" s="356"/>
      <c r="D25" s="356"/>
      <c r="E25" s="1875"/>
      <c r="F25" s="1875"/>
      <c r="G25" s="1875"/>
      <c r="H25" s="1875"/>
      <c r="I25" s="274"/>
      <c r="J25" s="1875"/>
      <c r="K25" s="106"/>
      <c r="L25" s="472"/>
      <c r="M25" s="197"/>
      <c r="N25" s="197"/>
      <c r="O25" s="197"/>
      <c r="P25" s="2576"/>
      <c r="Q25" s="2573"/>
      <c r="R25" s="332"/>
      <c r="S25" s="237"/>
      <c r="T25" s="237"/>
      <c r="U25" s="237"/>
      <c r="V25" s="237"/>
      <c r="W25" s="237"/>
      <c r="X25" s="237"/>
      <c r="Y25" s="332"/>
      <c r="Z25" s="2562"/>
      <c r="AA25" s="2562"/>
      <c r="AB25" s="2578"/>
      <c r="AC25" s="2562"/>
      <c r="AD25" s="355" t="s">
        <v>3044</v>
      </c>
      <c r="AE25" s="274"/>
      <c r="AF25" s="274"/>
      <c r="AG25" s="274"/>
      <c r="AH25" s="274"/>
      <c r="AI25" s="274"/>
      <c r="AJ25" s="274"/>
    </row>
    <row r="26" spans="1:36" ht="16.399999999999999" customHeight="1" thickTop="1" thickBot="1">
      <c r="A26" s="197"/>
      <c r="B26" s="477" t="s">
        <v>3045</v>
      </c>
      <c r="C26" s="478" t="s">
        <v>137</v>
      </c>
      <c r="D26" s="478">
        <v>3</v>
      </c>
      <c r="E26" s="1876">
        <f>IFERROR('4D'!E17, 0)</f>
        <v>0</v>
      </c>
      <c r="F26" s="1877">
        <f>IFERROR(SUM('4D'!F17:I17), 0)</f>
        <v>0</v>
      </c>
      <c r="G26" s="1877">
        <f>IFERROR(SUM('4E'!E17:I17), 0)</f>
        <v>0</v>
      </c>
      <c r="H26" s="1877">
        <f>IFERROR(SUM('4E'!J17:L17), 0)</f>
        <v>0</v>
      </c>
      <c r="I26" s="481">
        <v>0</v>
      </c>
      <c r="J26" s="1881">
        <f>IFERROR(SUM(E26:I26),0)</f>
        <v>0</v>
      </c>
      <c r="K26" s="463"/>
      <c r="L26" s="483" t="s">
        <v>3046</v>
      </c>
      <c r="M26" s="197"/>
      <c r="N26" s="337"/>
      <c r="O26" s="197"/>
      <c r="P26" s="2576"/>
      <c r="Q26" s="251">
        <f>IF( SUM( S26:X26 ) = 0, 0, $U$5 )</f>
        <v>0</v>
      </c>
      <c r="R26" s="2577"/>
      <c r="S26" s="237"/>
      <c r="T26" s="237"/>
      <c r="U26" s="237"/>
      <c r="V26" s="237"/>
      <c r="W26" s="252">
        <f t="shared" ref="W26" si="6" xml:space="preserve"> IF( ISNUMBER( I26 ), 0, 1 )</f>
        <v>0</v>
      </c>
      <c r="X26" s="237"/>
      <c r="Y26" s="332"/>
      <c r="Z26" s="2562"/>
      <c r="AA26" s="2562"/>
      <c r="AB26" s="2578"/>
      <c r="AC26" s="2562"/>
      <c r="AD26" s="477" t="s">
        <v>3045</v>
      </c>
      <c r="AE26" s="479" t="s">
        <v>3047</v>
      </c>
      <c r="AF26" s="480" t="s">
        <v>3048</v>
      </c>
      <c r="AG26" s="480" t="s">
        <v>3049</v>
      </c>
      <c r="AH26" s="480" t="s">
        <v>3050</v>
      </c>
      <c r="AI26" s="481" t="s">
        <v>3051</v>
      </c>
      <c r="AJ26" s="482" t="s">
        <v>3052</v>
      </c>
    </row>
    <row r="27" spans="1:36" ht="16.399999999999999" customHeight="1" thickTop="1" thickBot="1">
      <c r="A27" s="197"/>
      <c r="B27" s="484"/>
      <c r="C27" s="200"/>
      <c r="D27" s="200"/>
      <c r="E27" s="1875"/>
      <c r="F27" s="1875"/>
      <c r="G27" s="1875"/>
      <c r="H27" s="1875"/>
      <c r="I27" s="274"/>
      <c r="J27" s="1875"/>
      <c r="K27" s="106"/>
      <c r="L27" s="472"/>
      <c r="M27" s="197"/>
      <c r="N27" s="197"/>
      <c r="O27" s="197"/>
      <c r="P27" s="2576"/>
      <c r="Q27" s="2573"/>
      <c r="R27" s="332"/>
      <c r="S27" s="237"/>
      <c r="T27" s="237"/>
      <c r="U27" s="237"/>
      <c r="V27" s="237"/>
      <c r="W27" s="237"/>
      <c r="X27" s="237"/>
      <c r="Y27" s="332"/>
      <c r="Z27" s="2562"/>
      <c r="AA27" s="2562"/>
      <c r="AB27" s="2578"/>
      <c r="AC27" s="2562"/>
      <c r="AD27" s="484"/>
      <c r="AE27" s="274"/>
      <c r="AF27" s="274"/>
      <c r="AG27" s="274"/>
      <c r="AH27" s="274"/>
      <c r="AI27" s="274"/>
      <c r="AJ27" s="274"/>
    </row>
    <row r="28" spans="1:36" ht="16.399999999999999" customHeight="1" thickTop="1" thickBot="1">
      <c r="A28" s="197"/>
      <c r="B28" s="355" t="s">
        <v>2389</v>
      </c>
      <c r="C28" s="356"/>
      <c r="D28" s="356"/>
      <c r="E28" s="1875"/>
      <c r="F28" s="1875"/>
      <c r="G28" s="1875"/>
      <c r="H28" s="1875"/>
      <c r="I28" s="274"/>
      <c r="J28" s="1875"/>
      <c r="K28" s="106"/>
      <c r="L28" s="472"/>
      <c r="M28" s="197"/>
      <c r="N28" s="197"/>
      <c r="O28" s="197"/>
      <c r="P28" s="2576"/>
      <c r="Q28" s="2573"/>
      <c r="R28" s="332"/>
      <c r="S28" s="237"/>
      <c r="T28" s="237"/>
      <c r="U28" s="237"/>
      <c r="V28" s="237"/>
      <c r="W28" s="237"/>
      <c r="X28" s="237"/>
      <c r="Y28" s="332"/>
      <c r="Z28" s="2562"/>
      <c r="AA28" s="2562"/>
      <c r="AB28" s="2578"/>
      <c r="AC28" s="2562"/>
      <c r="AD28" s="355" t="s">
        <v>2389</v>
      </c>
      <c r="AE28" s="274"/>
      <c r="AF28" s="274"/>
      <c r="AG28" s="274"/>
      <c r="AH28" s="274"/>
      <c r="AI28" s="274"/>
      <c r="AJ28" s="274"/>
    </row>
    <row r="29" spans="1:36" ht="16.399999999999999" customHeight="1" thickTop="1">
      <c r="A29" s="197"/>
      <c r="B29" s="445" t="s">
        <v>3053</v>
      </c>
      <c r="C29" s="447" t="s">
        <v>137</v>
      </c>
      <c r="D29" s="447">
        <v>3</v>
      </c>
      <c r="E29" s="1865">
        <f>IFERROR('4D'!E20, 0)</f>
        <v>24.494</v>
      </c>
      <c r="F29" s="1866">
        <f>IFERROR(SUM('4D'!F20:I20), 0)</f>
        <v>125.845</v>
      </c>
      <c r="G29" s="1866">
        <f>IFERROR(SUM('4E'!E20:I20), 0)</f>
        <v>170.60600000000002</v>
      </c>
      <c r="H29" s="1866">
        <f>IFERROR(SUM('4E'!J20:L20), 0)</f>
        <v>18.995000000000001</v>
      </c>
      <c r="I29" s="450">
        <v>0</v>
      </c>
      <c r="J29" s="1878">
        <f t="shared" ref="J29:J34" si="7">IFERROR(SUM(E29:I29),0)</f>
        <v>339.94000000000005</v>
      </c>
      <c r="K29" s="463"/>
      <c r="L29" s="453" t="s">
        <v>3054</v>
      </c>
      <c r="M29" s="197"/>
      <c r="N29" s="250"/>
      <c r="O29" s="197"/>
      <c r="P29" s="2576"/>
      <c r="Q29" s="251">
        <f>IF( SUM( S29:X29 ) = 0, 0, $U$5 )</f>
        <v>0</v>
      </c>
      <c r="R29" s="2577"/>
      <c r="S29" s="237"/>
      <c r="T29" s="237"/>
      <c r="U29" s="237"/>
      <c r="V29" s="237"/>
      <c r="W29" s="252">
        <f t="shared" ref="W29:W31" si="8" xml:space="preserve"> IF( ISNUMBER( I29 ), 0, 1 )</f>
        <v>0</v>
      </c>
      <c r="X29" s="237"/>
      <c r="Y29" s="332"/>
      <c r="Z29" s="2562"/>
      <c r="AA29" s="2562"/>
      <c r="AB29" s="2578"/>
      <c r="AC29" s="2562"/>
      <c r="AD29" s="445" t="s">
        <v>3053</v>
      </c>
      <c r="AE29" s="448" t="s">
        <v>3055</v>
      </c>
      <c r="AF29" s="449" t="s">
        <v>3056</v>
      </c>
      <c r="AG29" s="449" t="s">
        <v>3057</v>
      </c>
      <c r="AH29" s="449" t="s">
        <v>3058</v>
      </c>
      <c r="AI29" s="450" t="s">
        <v>3059</v>
      </c>
      <c r="AJ29" s="451" t="s">
        <v>3060</v>
      </c>
    </row>
    <row r="30" spans="1:36" ht="16.399999999999999" customHeight="1">
      <c r="A30" s="197"/>
      <c r="B30" s="454" t="s">
        <v>3061</v>
      </c>
      <c r="C30" s="455" t="s">
        <v>137</v>
      </c>
      <c r="D30" s="455">
        <v>3</v>
      </c>
      <c r="E30" s="1867">
        <f>IFERROR('4D'!E21, 0)</f>
        <v>7.9520000000000017</v>
      </c>
      <c r="F30" s="1868">
        <f>IFERROR(SUM('4D'!F21:I21), 0)</f>
        <v>41.913000000000004</v>
      </c>
      <c r="G30" s="1868">
        <f>IFERROR(SUM('4E'!E21:I21), 0)</f>
        <v>106.06099999999999</v>
      </c>
      <c r="H30" s="1868">
        <f>IFERROR(SUM('4E'!J21:L21), 0)</f>
        <v>1.6649999999999998</v>
      </c>
      <c r="I30" s="458">
        <v>0</v>
      </c>
      <c r="J30" s="1879">
        <f t="shared" si="7"/>
        <v>157.59099999999998</v>
      </c>
      <c r="K30" s="463"/>
      <c r="L30" s="460" t="s">
        <v>3062</v>
      </c>
      <c r="M30" s="197"/>
      <c r="N30" s="258"/>
      <c r="O30" s="197"/>
      <c r="P30" s="2576"/>
      <c r="Q30" s="251">
        <f t="shared" ref="Q30:Q31" si="9">IF( SUM( S30:X30 ) = 0, 0, $U$5 )</f>
        <v>0</v>
      </c>
      <c r="R30" s="2577"/>
      <c r="S30" s="237"/>
      <c r="T30" s="237"/>
      <c r="U30" s="237"/>
      <c r="V30" s="237"/>
      <c r="W30" s="252">
        <f t="shared" si="8"/>
        <v>0</v>
      </c>
      <c r="X30" s="237"/>
      <c r="Y30" s="332"/>
      <c r="Z30" s="2562"/>
      <c r="AA30" s="2562"/>
      <c r="AB30" s="2578"/>
      <c r="AC30" s="2562"/>
      <c r="AD30" s="454" t="s">
        <v>3061</v>
      </c>
      <c r="AE30" s="456" t="s">
        <v>3063</v>
      </c>
      <c r="AF30" s="457" t="s">
        <v>3064</v>
      </c>
      <c r="AG30" s="457" t="s">
        <v>3065</v>
      </c>
      <c r="AH30" s="457" t="s">
        <v>3066</v>
      </c>
      <c r="AI30" s="458" t="s">
        <v>3067</v>
      </c>
      <c r="AJ30" s="459" t="s">
        <v>3068</v>
      </c>
    </row>
    <row r="31" spans="1:36" ht="16.399999999999999" customHeight="1">
      <c r="A31" s="197"/>
      <c r="B31" s="454" t="s">
        <v>3069</v>
      </c>
      <c r="C31" s="461" t="s">
        <v>137</v>
      </c>
      <c r="D31" s="461">
        <v>3</v>
      </c>
      <c r="E31" s="1867">
        <f>IFERROR('4D'!E22, 0)</f>
        <v>0</v>
      </c>
      <c r="F31" s="1868">
        <f>IFERROR(SUM('4D'!F22:I22), 0)</f>
        <v>27.018000000000001</v>
      </c>
      <c r="G31" s="1868">
        <f>IFERROR(SUM('4E'!E22:I22), 0)</f>
        <v>5.8979999999999997</v>
      </c>
      <c r="H31" s="1868">
        <f>IFERROR(SUM('4E'!J22:L22), 0)</f>
        <v>0</v>
      </c>
      <c r="I31" s="458">
        <v>0</v>
      </c>
      <c r="J31" s="1879">
        <f t="shared" si="7"/>
        <v>32.915999999999997</v>
      </c>
      <c r="K31" s="463"/>
      <c r="L31" s="460" t="s">
        <v>3070</v>
      </c>
      <c r="M31" s="197"/>
      <c r="N31" s="258"/>
      <c r="O31" s="197"/>
      <c r="P31" s="2576"/>
      <c r="Q31" s="251">
        <f t="shared" si="9"/>
        <v>0</v>
      </c>
      <c r="R31" s="2577"/>
      <c r="S31" s="237"/>
      <c r="T31" s="237"/>
      <c r="U31" s="237"/>
      <c r="V31" s="237"/>
      <c r="W31" s="252">
        <f t="shared" si="8"/>
        <v>0</v>
      </c>
      <c r="X31" s="237"/>
      <c r="Y31" s="332"/>
      <c r="Z31" s="2562"/>
      <c r="AA31" s="2562"/>
      <c r="AB31" s="2578"/>
      <c r="AC31" s="2562"/>
      <c r="AD31" s="454" t="s">
        <v>3071</v>
      </c>
      <c r="AE31" s="456" t="s">
        <v>3072</v>
      </c>
      <c r="AF31" s="457" t="s">
        <v>3073</v>
      </c>
      <c r="AG31" s="457" t="s">
        <v>3074</v>
      </c>
      <c r="AH31" s="457" t="s">
        <v>3075</v>
      </c>
      <c r="AI31" s="458" t="s">
        <v>3076</v>
      </c>
      <c r="AJ31" s="459" t="s">
        <v>3077</v>
      </c>
    </row>
    <row r="32" spans="1:36" ht="16.399999999999999" customHeight="1" thickBot="1">
      <c r="A32" s="197"/>
      <c r="B32" s="454" t="s">
        <v>3078</v>
      </c>
      <c r="C32" s="461" t="s">
        <v>137</v>
      </c>
      <c r="D32" s="461">
        <v>3</v>
      </c>
      <c r="E32" s="1870">
        <f>IFERROR(E29+E30+E31,0)</f>
        <v>32.445999999999998</v>
      </c>
      <c r="F32" s="1868">
        <f>IFERROR(F29+F30+F31,0)</f>
        <v>194.77600000000001</v>
      </c>
      <c r="G32" s="1868">
        <f>IFERROR(G29+G30+G31,0)</f>
        <v>282.56500000000005</v>
      </c>
      <c r="H32" s="1868">
        <f>IFERROR(H29+H30+H31,0)</f>
        <v>20.66</v>
      </c>
      <c r="I32" s="1868">
        <f>IFERROR(I29+I30+I31,0)</f>
        <v>0</v>
      </c>
      <c r="J32" s="1879">
        <f t="shared" si="7"/>
        <v>530.447</v>
      </c>
      <c r="K32" s="463"/>
      <c r="L32" s="460" t="s">
        <v>3079</v>
      </c>
      <c r="M32" s="197"/>
      <c r="N32" s="258"/>
      <c r="O32" s="197"/>
      <c r="P32" s="2576"/>
      <c r="Q32" s="2573"/>
      <c r="R32" s="332"/>
      <c r="S32" s="237"/>
      <c r="T32" s="237"/>
      <c r="U32" s="237"/>
      <c r="V32" s="237"/>
      <c r="W32" s="237"/>
      <c r="X32" s="237"/>
      <c r="Y32" s="332"/>
      <c r="Z32" s="2562"/>
      <c r="AA32" s="2562"/>
      <c r="AB32" s="2578"/>
      <c r="AC32" s="2562"/>
      <c r="AD32" s="454" t="s">
        <v>3080</v>
      </c>
      <c r="AE32" s="464" t="s">
        <v>3081</v>
      </c>
      <c r="AF32" s="457" t="s">
        <v>3082</v>
      </c>
      <c r="AG32" s="457" t="s">
        <v>3083</v>
      </c>
      <c r="AH32" s="457" t="s">
        <v>3084</v>
      </c>
      <c r="AI32" s="457" t="s">
        <v>3085</v>
      </c>
      <c r="AJ32" s="459" t="s">
        <v>3086</v>
      </c>
    </row>
    <row r="33" spans="1:36" ht="16.399999999999999" customHeight="1" thickTop="1">
      <c r="A33" s="197"/>
      <c r="B33" s="454" t="s">
        <v>3029</v>
      </c>
      <c r="C33" s="455" t="s">
        <v>137</v>
      </c>
      <c r="D33" s="455">
        <v>3</v>
      </c>
      <c r="E33" s="1867">
        <f>IFERROR('4D'!E24, 0)</f>
        <v>0</v>
      </c>
      <c r="F33" s="1868">
        <f>IFERROR(SUM('4D'!F24:I24), 0)</f>
        <v>1.6830000000000001</v>
      </c>
      <c r="G33" s="1868">
        <f>IFERROR(SUM('4E'!E24:I24), 0)</f>
        <v>2E-3</v>
      </c>
      <c r="H33" s="1868">
        <f>IFERROR(SUM('4E'!J24:L24), 0)</f>
        <v>0</v>
      </c>
      <c r="I33" s="450">
        <v>0</v>
      </c>
      <c r="J33" s="1879">
        <f t="shared" si="7"/>
        <v>1.6850000000000001</v>
      </c>
      <c r="K33" s="463"/>
      <c r="L33" s="460" t="s">
        <v>3087</v>
      </c>
      <c r="M33" s="197"/>
      <c r="N33" s="258"/>
      <c r="O33" s="197"/>
      <c r="P33" s="2576"/>
      <c r="Q33" s="251">
        <f>IF( SUM( S33:X33 ) = 0, 0, $U$5 )</f>
        <v>0</v>
      </c>
      <c r="R33" s="2577"/>
      <c r="S33" s="237"/>
      <c r="T33" s="237"/>
      <c r="U33" s="237"/>
      <c r="V33" s="237"/>
      <c r="W33" s="252">
        <f t="shared" ref="W33" si="10" xml:space="preserve"> IF( ISNUMBER( I33 ), 0, 1 )</f>
        <v>0</v>
      </c>
      <c r="X33" s="237"/>
      <c r="Y33" s="332"/>
      <c r="Z33" s="2562"/>
      <c r="AA33" s="2562"/>
      <c r="AB33" s="2578"/>
      <c r="AC33" s="2562"/>
      <c r="AD33" s="454" t="s">
        <v>3029</v>
      </c>
      <c r="AE33" s="473" t="s">
        <v>3088</v>
      </c>
      <c r="AF33" s="474" t="s">
        <v>3089</v>
      </c>
      <c r="AG33" s="474" t="s">
        <v>3090</v>
      </c>
      <c r="AH33" s="474" t="s">
        <v>3091</v>
      </c>
      <c r="AI33" s="458" t="s">
        <v>3092</v>
      </c>
      <c r="AJ33" s="459" t="s">
        <v>3093</v>
      </c>
    </row>
    <row r="34" spans="1:36" ht="16.399999999999999" customHeight="1" thickBot="1">
      <c r="A34" s="197"/>
      <c r="B34" s="466" t="s">
        <v>3094</v>
      </c>
      <c r="C34" s="475" t="s">
        <v>137</v>
      </c>
      <c r="D34" s="475">
        <v>3</v>
      </c>
      <c r="E34" s="1874">
        <f>IFERROR(E32+E33,0)</f>
        <v>32.445999999999998</v>
      </c>
      <c r="F34" s="1874">
        <f>IFERROR(F32+F33,0)</f>
        <v>196.459</v>
      </c>
      <c r="G34" s="1874">
        <f>IFERROR(G32+G33,0)</f>
        <v>282.56700000000006</v>
      </c>
      <c r="H34" s="1874">
        <f>IFERROR(H32+H33,0)</f>
        <v>20.66</v>
      </c>
      <c r="I34" s="1874">
        <f>IFERROR(I32+I33,0)</f>
        <v>0</v>
      </c>
      <c r="J34" s="1880">
        <f t="shared" si="7"/>
        <v>532.13200000000006</v>
      </c>
      <c r="K34" s="463"/>
      <c r="L34" s="476" t="s">
        <v>3095</v>
      </c>
      <c r="M34" s="197"/>
      <c r="N34" s="269"/>
      <c r="O34" s="197"/>
      <c r="P34" s="2576"/>
      <c r="Q34" s="2573"/>
      <c r="R34" s="332"/>
      <c r="S34" s="237"/>
      <c r="T34" s="237"/>
      <c r="U34" s="237"/>
      <c r="V34" s="237"/>
      <c r="W34" s="237"/>
      <c r="X34" s="237"/>
      <c r="Y34" s="332"/>
      <c r="Z34" s="2562"/>
      <c r="AA34" s="2562"/>
      <c r="AB34" s="2578"/>
      <c r="AC34" s="2562"/>
      <c r="AD34" s="466" t="s">
        <v>3094</v>
      </c>
      <c r="AE34" s="469" t="s">
        <v>3096</v>
      </c>
      <c r="AF34" s="469" t="s">
        <v>3097</v>
      </c>
      <c r="AG34" s="469" t="s">
        <v>3098</v>
      </c>
      <c r="AH34" s="469" t="s">
        <v>3099</v>
      </c>
      <c r="AI34" s="469" t="s">
        <v>3100</v>
      </c>
      <c r="AJ34" s="470" t="s">
        <v>3101</v>
      </c>
    </row>
    <row r="35" spans="1:36" ht="16.399999999999999" customHeight="1" thickTop="1" thickBot="1">
      <c r="A35" s="197"/>
      <c r="B35" s="377"/>
      <c r="C35" s="106"/>
      <c r="D35" s="106"/>
      <c r="E35" s="1875"/>
      <c r="F35" s="1875"/>
      <c r="G35" s="1875"/>
      <c r="H35" s="1875"/>
      <c r="I35" s="274"/>
      <c r="J35" s="1875"/>
      <c r="K35" s="106"/>
      <c r="L35" s="472"/>
      <c r="M35" s="197"/>
      <c r="N35" s="197"/>
      <c r="O35" s="197"/>
      <c r="P35" s="2576"/>
      <c r="Q35" s="2573"/>
      <c r="R35" s="332"/>
      <c r="S35" s="237"/>
      <c r="T35" s="237"/>
      <c r="U35" s="237"/>
      <c r="V35" s="237"/>
      <c r="W35" s="237"/>
      <c r="X35" s="237"/>
      <c r="Y35" s="332"/>
      <c r="Z35" s="2562"/>
      <c r="AA35" s="2562"/>
      <c r="AB35" s="2578"/>
      <c r="AC35" s="2562"/>
      <c r="AD35" s="377"/>
      <c r="AE35" s="274"/>
      <c r="AF35" s="274"/>
      <c r="AG35" s="274"/>
      <c r="AH35" s="274"/>
      <c r="AI35" s="274"/>
      <c r="AJ35" s="274"/>
    </row>
    <row r="36" spans="1:36" ht="16.399999999999999" customHeight="1" thickTop="1" thickBot="1">
      <c r="A36" s="197"/>
      <c r="B36" s="355" t="s">
        <v>3044</v>
      </c>
      <c r="C36" s="356"/>
      <c r="D36" s="356"/>
      <c r="E36" s="1875"/>
      <c r="F36" s="1875"/>
      <c r="G36" s="1875"/>
      <c r="H36" s="1875"/>
      <c r="I36" s="274"/>
      <c r="J36" s="1875"/>
      <c r="K36" s="106"/>
      <c r="L36" s="472"/>
      <c r="M36" s="197"/>
      <c r="N36" s="197"/>
      <c r="O36" s="197"/>
      <c r="P36" s="2576"/>
      <c r="Q36" s="2573"/>
      <c r="R36" s="332"/>
      <c r="S36" s="237"/>
      <c r="T36" s="237"/>
      <c r="U36" s="237"/>
      <c r="V36" s="237"/>
      <c r="W36" s="237"/>
      <c r="X36" s="237"/>
      <c r="Y36" s="332"/>
      <c r="Z36" s="2562"/>
      <c r="AA36" s="2562"/>
      <c r="AB36" s="2578"/>
      <c r="AC36" s="2562"/>
      <c r="AD36" s="355" t="s">
        <v>3044</v>
      </c>
      <c r="AE36" s="274"/>
      <c r="AF36" s="274"/>
      <c r="AG36" s="274"/>
      <c r="AH36" s="274"/>
      <c r="AI36" s="274"/>
      <c r="AJ36" s="274"/>
    </row>
    <row r="37" spans="1:36" ht="16.399999999999999" customHeight="1" thickTop="1" thickBot="1">
      <c r="A37" s="197"/>
      <c r="B37" s="382" t="s">
        <v>3102</v>
      </c>
      <c r="C37" s="333" t="s">
        <v>137</v>
      </c>
      <c r="D37" s="333">
        <v>3</v>
      </c>
      <c r="E37" s="1876">
        <f>IFERROR('4D'!E28, 0)</f>
        <v>0</v>
      </c>
      <c r="F37" s="1877">
        <f>IFERROR(SUM('4D'!F28:I28), 0)</f>
        <v>17.265999999999998</v>
      </c>
      <c r="G37" s="1877">
        <f>IFERROR(SUM('4E'!E28:I28), 0)</f>
        <v>8.6609999999999996</v>
      </c>
      <c r="H37" s="1877">
        <f>IFERROR(SUM('4E'!J28:L28), 0)</f>
        <v>0</v>
      </c>
      <c r="I37" s="450">
        <v>0</v>
      </c>
      <c r="J37" s="1839">
        <f>IFERROR(SUM(E37:I37),0)</f>
        <v>25.927</v>
      </c>
      <c r="K37" s="106"/>
      <c r="L37" s="483" t="s">
        <v>3103</v>
      </c>
      <c r="M37" s="197"/>
      <c r="N37" s="337"/>
      <c r="O37" s="197"/>
      <c r="P37" s="2576"/>
      <c r="Q37" s="251">
        <f>IF( SUM( S37:X37 ) = 0, 0, $U$5 )</f>
        <v>0</v>
      </c>
      <c r="R37" s="332"/>
      <c r="S37" s="237"/>
      <c r="T37" s="237"/>
      <c r="U37" s="237"/>
      <c r="V37" s="237"/>
      <c r="W37" s="252">
        <f t="shared" ref="W37" si="11" xml:space="preserve"> IF( ISNUMBER( I37 ), 0, 1 )</f>
        <v>0</v>
      </c>
      <c r="X37" s="237"/>
      <c r="Y37" s="332"/>
      <c r="Z37" s="2562"/>
      <c r="AA37" s="2562"/>
      <c r="AB37" s="2578"/>
      <c r="AC37" s="2562"/>
      <c r="AD37" s="382" t="s">
        <v>3102</v>
      </c>
      <c r="AE37" s="479" t="s">
        <v>3104</v>
      </c>
      <c r="AF37" s="480" t="s">
        <v>3105</v>
      </c>
      <c r="AG37" s="480" t="s">
        <v>3106</v>
      </c>
      <c r="AH37" s="480" t="s">
        <v>3107</v>
      </c>
      <c r="AI37" s="481" t="s">
        <v>3108</v>
      </c>
      <c r="AJ37" s="433" t="s">
        <v>3109</v>
      </c>
    </row>
    <row r="38" spans="1:36" ht="16.399999999999999" customHeight="1" thickTop="1" thickBot="1">
      <c r="A38" s="197"/>
      <c r="B38" s="377"/>
      <c r="C38" s="377"/>
      <c r="D38" s="377"/>
      <c r="E38" s="1873"/>
      <c r="F38" s="1873"/>
      <c r="G38" s="1873"/>
      <c r="H38" s="1873"/>
      <c r="I38" s="329"/>
      <c r="J38" s="1873"/>
      <c r="K38" s="106"/>
      <c r="L38" s="472"/>
      <c r="M38" s="197"/>
      <c r="N38" s="197"/>
      <c r="O38" s="197"/>
      <c r="P38" s="2576"/>
      <c r="Q38" s="2573"/>
      <c r="R38" s="332"/>
      <c r="S38" s="237"/>
      <c r="T38" s="237"/>
      <c r="U38" s="237"/>
      <c r="V38" s="237"/>
      <c r="W38" s="237"/>
      <c r="X38" s="237"/>
      <c r="Y38" s="332"/>
      <c r="Z38" s="2562"/>
      <c r="AA38" s="2562"/>
      <c r="AB38" s="2578"/>
      <c r="AC38" s="2562"/>
      <c r="AD38" s="377"/>
      <c r="AE38" s="329"/>
      <c r="AF38" s="329"/>
      <c r="AG38" s="329"/>
      <c r="AH38" s="329"/>
      <c r="AI38" s="329"/>
      <c r="AJ38" s="329"/>
    </row>
    <row r="39" spans="1:36" ht="16.399999999999999" customHeight="1" thickTop="1" thickBot="1">
      <c r="A39" s="197"/>
      <c r="B39" s="382" t="s">
        <v>3110</v>
      </c>
      <c r="C39" s="333" t="s">
        <v>137</v>
      </c>
      <c r="D39" s="333">
        <v>3</v>
      </c>
      <c r="E39" s="1822">
        <f>IFERROR(E23+E34-E26-E37,0)</f>
        <v>75.157999999999987</v>
      </c>
      <c r="F39" s="1822">
        <f>IFERROR(F23+F34-F26-F37,0)</f>
        <v>453.89600000000002</v>
      </c>
      <c r="G39" s="1822">
        <f>IFERROR(G23+G34-G26-G37,0)</f>
        <v>442.06300000000005</v>
      </c>
      <c r="H39" s="1822">
        <f>IFERROR(H23+H34-H26-H37,0)</f>
        <v>54.281999999999996</v>
      </c>
      <c r="I39" s="1822">
        <f>IFERROR(I23+I34-I26-I37,0)</f>
        <v>0</v>
      </c>
      <c r="J39" s="1839">
        <f>IFERROR(SUM(E39:I39),0)</f>
        <v>1025.3989999999999</v>
      </c>
      <c r="K39" s="106"/>
      <c r="L39" s="483" t="s">
        <v>3111</v>
      </c>
      <c r="M39" s="197"/>
      <c r="N39" s="337"/>
      <c r="O39" s="197"/>
      <c r="P39" s="2576"/>
      <c r="Q39" s="2573"/>
      <c r="R39" s="332"/>
      <c r="S39" s="237"/>
      <c r="T39" s="237"/>
      <c r="U39" s="237"/>
      <c r="V39" s="237"/>
      <c r="W39" s="237"/>
      <c r="X39" s="237"/>
      <c r="Y39" s="332"/>
      <c r="Z39" s="2562"/>
      <c r="AA39" s="2562"/>
      <c r="AB39" s="2578"/>
      <c r="AC39" s="2562"/>
      <c r="AD39" s="382" t="s">
        <v>3110</v>
      </c>
      <c r="AE39" s="347" t="s">
        <v>3112</v>
      </c>
      <c r="AF39" s="347" t="s">
        <v>3113</v>
      </c>
      <c r="AG39" s="347" t="s">
        <v>3114</v>
      </c>
      <c r="AH39" s="347" t="s">
        <v>3115</v>
      </c>
      <c r="AI39" s="347" t="s">
        <v>3116</v>
      </c>
      <c r="AJ39" s="433" t="s">
        <v>3117</v>
      </c>
    </row>
    <row r="40" spans="1:36" ht="16.399999999999999" customHeight="1" thickTop="1" thickBot="1">
      <c r="A40" s="197"/>
      <c r="B40" s="377"/>
      <c r="C40" s="377"/>
      <c r="D40" s="377"/>
      <c r="E40" s="1873"/>
      <c r="F40" s="1873"/>
      <c r="G40" s="1873"/>
      <c r="H40" s="1873"/>
      <c r="I40" s="329"/>
      <c r="J40" s="1873"/>
      <c r="K40" s="106"/>
      <c r="L40" s="472"/>
      <c r="M40" s="197"/>
      <c r="N40" s="197"/>
      <c r="O40" s="197"/>
      <c r="P40" s="2576"/>
      <c r="Q40" s="2573"/>
      <c r="R40" s="332"/>
      <c r="S40" s="237"/>
      <c r="T40" s="237"/>
      <c r="U40" s="237"/>
      <c r="V40" s="237"/>
      <c r="W40" s="237"/>
      <c r="X40" s="237"/>
      <c r="Y40" s="332"/>
      <c r="Z40" s="2562"/>
      <c r="AA40" s="2562"/>
      <c r="AB40" s="2578"/>
      <c r="AC40" s="2562"/>
      <c r="AD40" s="377"/>
      <c r="AE40" s="329"/>
      <c r="AF40" s="329"/>
      <c r="AG40" s="329"/>
      <c r="AH40" s="329"/>
      <c r="AI40" s="329"/>
      <c r="AJ40" s="329"/>
    </row>
    <row r="41" spans="1:36" ht="16.399999999999999" customHeight="1" thickTop="1" thickBot="1">
      <c r="A41" s="197"/>
      <c r="B41" s="355" t="s">
        <v>3118</v>
      </c>
      <c r="C41" s="356"/>
      <c r="D41" s="356"/>
      <c r="E41" s="1873"/>
      <c r="F41" s="1873"/>
      <c r="G41" s="1873"/>
      <c r="H41" s="1873"/>
      <c r="I41" s="329"/>
      <c r="J41" s="1873"/>
      <c r="K41" s="106"/>
      <c r="L41" s="472"/>
      <c r="M41" s="197"/>
      <c r="N41" s="197"/>
      <c r="O41" s="197"/>
      <c r="P41" s="2576"/>
      <c r="Q41" s="2573"/>
      <c r="R41" s="332"/>
      <c r="S41" s="237"/>
      <c r="T41" s="237"/>
      <c r="U41" s="237"/>
      <c r="V41" s="237"/>
      <c r="W41" s="237"/>
      <c r="X41" s="237"/>
      <c r="Y41" s="332"/>
      <c r="Z41" s="2562"/>
      <c r="AA41" s="2562"/>
      <c r="AB41" s="2578"/>
      <c r="AC41" s="2562"/>
      <c r="AD41" s="355" t="s">
        <v>3118</v>
      </c>
      <c r="AE41" s="329"/>
      <c r="AF41" s="329"/>
      <c r="AG41" s="329"/>
      <c r="AH41" s="329"/>
      <c r="AI41" s="329"/>
      <c r="AJ41" s="329"/>
    </row>
    <row r="42" spans="1:36" ht="16.399999999999999" customHeight="1" thickTop="1">
      <c r="A42" s="197"/>
      <c r="B42" s="413" t="s">
        <v>3119</v>
      </c>
      <c r="C42" s="244" t="s">
        <v>137</v>
      </c>
      <c r="D42" s="244">
        <v>3</v>
      </c>
      <c r="E42" s="1865">
        <f>IFERROR('4D'!E33, 0)</f>
        <v>0</v>
      </c>
      <c r="F42" s="1866">
        <f>IFERROR(SUM('4D'!F33:I33), 0)</f>
        <v>0</v>
      </c>
      <c r="G42" s="1866">
        <f>IFERROR(SUM('4E'!E33:I33), 0)</f>
        <v>0</v>
      </c>
      <c r="H42" s="1866">
        <f>IFERROR(SUM('4E'!J33:L33), 0)</f>
        <v>0</v>
      </c>
      <c r="I42" s="450">
        <v>0</v>
      </c>
      <c r="J42" s="1808">
        <f>IFERROR(SUM(E42:I42),0)</f>
        <v>0</v>
      </c>
      <c r="K42" s="106"/>
      <c r="L42" s="453" t="s">
        <v>3120</v>
      </c>
      <c r="M42" s="197"/>
      <c r="N42" s="250"/>
      <c r="O42" s="197"/>
      <c r="P42" s="2576"/>
      <c r="Q42" s="251">
        <f t="shared" ref="Q42:Q43" si="12">IF( SUM( S42:X42 ) = 0, 0, $U$5 )</f>
        <v>0</v>
      </c>
      <c r="R42" s="332"/>
      <c r="S42" s="237"/>
      <c r="T42" s="237"/>
      <c r="U42" s="237"/>
      <c r="V42" s="237"/>
      <c r="W42" s="252">
        <f t="shared" ref="W42:W43" si="13" xml:space="preserve"> IF( ISNUMBER( I42 ), 0, 1 )</f>
        <v>0</v>
      </c>
      <c r="X42" s="237"/>
      <c r="Y42" s="332"/>
      <c r="Z42" s="2562"/>
      <c r="AA42" s="2562"/>
      <c r="AB42" s="2578"/>
      <c r="AC42" s="2562"/>
      <c r="AD42" s="413" t="s">
        <v>3119</v>
      </c>
      <c r="AE42" s="486" t="s">
        <v>3121</v>
      </c>
      <c r="AF42" s="487" t="s">
        <v>3122</v>
      </c>
      <c r="AG42" s="487" t="s">
        <v>3123</v>
      </c>
      <c r="AH42" s="487" t="s">
        <v>3124</v>
      </c>
      <c r="AI42" s="450" t="s">
        <v>3125</v>
      </c>
      <c r="AJ42" s="247" t="s">
        <v>3126</v>
      </c>
    </row>
    <row r="43" spans="1:36" ht="16.399999999999999" customHeight="1">
      <c r="A43" s="197"/>
      <c r="B43" s="422" t="s">
        <v>3127</v>
      </c>
      <c r="C43" s="253" t="s">
        <v>137</v>
      </c>
      <c r="D43" s="253">
        <v>3</v>
      </c>
      <c r="E43" s="1867">
        <f>IFERROR('4D'!E34, 0)</f>
        <v>0</v>
      </c>
      <c r="F43" s="1868">
        <f>IFERROR(SUM('4D'!F34:I34), 0)</f>
        <v>0</v>
      </c>
      <c r="G43" s="1868">
        <f>IFERROR(SUM('4E'!E34:I34), 0)</f>
        <v>0</v>
      </c>
      <c r="H43" s="1868">
        <f>IFERROR(SUM('4E'!J34:L34), 0)</f>
        <v>0</v>
      </c>
      <c r="I43" s="458">
        <v>0</v>
      </c>
      <c r="J43" s="1812">
        <f>IFERROR(SUM(E43:I43),0)</f>
        <v>0</v>
      </c>
      <c r="K43" s="106"/>
      <c r="L43" s="460" t="s">
        <v>3128</v>
      </c>
      <c r="M43" s="197"/>
      <c r="N43" s="258"/>
      <c r="O43" s="197"/>
      <c r="P43" s="2576"/>
      <c r="Q43" s="251">
        <f t="shared" si="12"/>
        <v>0</v>
      </c>
      <c r="R43" s="2577"/>
      <c r="S43" s="237"/>
      <c r="T43" s="237"/>
      <c r="U43" s="237"/>
      <c r="V43" s="237"/>
      <c r="W43" s="252">
        <f t="shared" si="13"/>
        <v>0</v>
      </c>
      <c r="X43" s="237"/>
      <c r="Y43" s="332"/>
      <c r="Z43" s="2562"/>
      <c r="AA43" s="2562"/>
      <c r="AB43" s="2578"/>
      <c r="AC43" s="2562"/>
      <c r="AD43" s="422" t="s">
        <v>3127</v>
      </c>
      <c r="AE43" s="473" t="s">
        <v>3129</v>
      </c>
      <c r="AF43" s="474" t="s">
        <v>3130</v>
      </c>
      <c r="AG43" s="474" t="s">
        <v>3131</v>
      </c>
      <c r="AH43" s="474" t="s">
        <v>3132</v>
      </c>
      <c r="AI43" s="458" t="s">
        <v>3133</v>
      </c>
      <c r="AJ43" s="256" t="s">
        <v>3134</v>
      </c>
    </row>
    <row r="44" spans="1:36" ht="16.399999999999999" customHeight="1" thickBot="1">
      <c r="A44" s="197"/>
      <c r="B44" s="425" t="s">
        <v>3135</v>
      </c>
      <c r="C44" s="319" t="s">
        <v>137</v>
      </c>
      <c r="D44" s="319">
        <v>3</v>
      </c>
      <c r="E44" s="1813">
        <f>IFERROR(E39+E42+E43,0)</f>
        <v>75.157999999999987</v>
      </c>
      <c r="F44" s="1813">
        <f>IFERROR(F39+F42+F43,0)</f>
        <v>453.89600000000002</v>
      </c>
      <c r="G44" s="1813">
        <f>IFERROR(G39+G42+G43,0)</f>
        <v>442.06300000000005</v>
      </c>
      <c r="H44" s="1813">
        <f>IFERROR(H39+H42+H43,0)</f>
        <v>54.281999999999996</v>
      </c>
      <c r="I44" s="1813">
        <f>IFERROR(I39+I42+I43,0)</f>
        <v>0</v>
      </c>
      <c r="J44" s="1814">
        <f>IFERROR(SUM(E44:I44),0)</f>
        <v>1025.3989999999999</v>
      </c>
      <c r="K44" s="106"/>
      <c r="L44" s="476" t="s">
        <v>3136</v>
      </c>
      <c r="M44" s="197"/>
      <c r="N44" s="269"/>
      <c r="O44" s="197"/>
      <c r="P44" s="2576"/>
      <c r="Q44" s="2573"/>
      <c r="R44" s="332"/>
      <c r="S44" s="237"/>
      <c r="T44" s="237"/>
      <c r="U44" s="237"/>
      <c r="V44" s="237"/>
      <c r="W44" s="237"/>
      <c r="X44" s="237"/>
      <c r="Y44" s="332"/>
      <c r="Z44" s="2562"/>
      <c r="AA44" s="2562"/>
      <c r="AB44" s="2578"/>
      <c r="AC44" s="2562"/>
      <c r="AD44" s="425" t="s">
        <v>3135</v>
      </c>
      <c r="AE44" s="265" t="s">
        <v>3137</v>
      </c>
      <c r="AF44" s="265" t="s">
        <v>3138</v>
      </c>
      <c r="AG44" s="265" t="s">
        <v>3139</v>
      </c>
      <c r="AH44" s="265" t="s">
        <v>3140</v>
      </c>
      <c r="AI44" s="265" t="s">
        <v>3141</v>
      </c>
      <c r="AJ44" s="266" t="s">
        <v>3142</v>
      </c>
    </row>
    <row r="45" spans="1:36" ht="16" thickTop="1">
      <c r="A45" s="197"/>
      <c r="B45" s="377"/>
      <c r="C45" s="106"/>
      <c r="D45" s="106"/>
      <c r="E45" s="106"/>
      <c r="F45" s="106"/>
      <c r="G45" s="106"/>
      <c r="H45" s="106"/>
      <c r="I45" s="106"/>
      <c r="J45" s="106"/>
      <c r="K45" s="106"/>
      <c r="L45" s="488"/>
      <c r="M45" s="197"/>
      <c r="N45" s="197"/>
      <c r="O45" s="197"/>
      <c r="P45" s="2562"/>
      <c r="Q45" s="2573"/>
      <c r="R45" s="2572"/>
      <c r="S45" s="237"/>
      <c r="T45" s="237"/>
      <c r="U45" s="237"/>
      <c r="V45" s="237"/>
      <c r="W45" s="237"/>
      <c r="X45" s="237"/>
      <c r="Y45" s="2572"/>
      <c r="Z45" s="2562"/>
      <c r="AA45" s="2562"/>
      <c r="AB45" s="2562"/>
      <c r="AC45" s="2562"/>
      <c r="AD45" s="2579"/>
      <c r="AE45" s="2562"/>
      <c r="AF45" s="2562"/>
      <c r="AG45" s="2562"/>
      <c r="AH45" s="2562"/>
      <c r="AI45" s="2562"/>
      <c r="AJ45" s="2562"/>
    </row>
    <row r="46" spans="1:36" ht="15.5">
      <c r="A46" s="197"/>
      <c r="B46" s="195"/>
      <c r="C46" s="197"/>
      <c r="D46" s="197"/>
      <c r="E46" s="197"/>
      <c r="F46" s="197"/>
      <c r="G46" s="197"/>
      <c r="H46" s="197"/>
      <c r="I46" s="197"/>
      <c r="J46" s="197"/>
      <c r="K46" s="197"/>
      <c r="L46" s="488"/>
      <c r="M46" s="197"/>
      <c r="N46" s="197"/>
      <c r="O46" s="197"/>
      <c r="P46" s="2562"/>
      <c r="Q46" s="2573"/>
      <c r="R46" s="2572"/>
      <c r="S46" s="237"/>
      <c r="T46" s="237"/>
      <c r="U46" s="237"/>
      <c r="V46" s="237"/>
      <c r="W46" s="237"/>
      <c r="X46" s="237"/>
      <c r="Y46" s="2572"/>
      <c r="Z46" s="2562"/>
      <c r="AA46" s="2562"/>
      <c r="AB46" s="2562"/>
      <c r="AC46" s="2562"/>
      <c r="AD46" s="2579"/>
      <c r="AE46" s="2562"/>
      <c r="AF46" s="2562"/>
      <c r="AG46" s="2562"/>
      <c r="AH46" s="2562"/>
      <c r="AI46" s="2562"/>
      <c r="AJ46" s="2562"/>
    </row>
    <row r="47" spans="1:36" ht="15.5">
      <c r="A47" s="197"/>
      <c r="B47" s="195"/>
      <c r="C47" s="197"/>
      <c r="D47" s="197"/>
      <c r="E47" s="197"/>
      <c r="F47" s="197"/>
      <c r="G47" s="197"/>
      <c r="H47" s="197"/>
      <c r="I47" s="197"/>
      <c r="J47" s="197"/>
      <c r="K47" s="197"/>
      <c r="L47" s="488"/>
      <c r="M47" s="197"/>
      <c r="N47" s="197"/>
      <c r="O47" s="197"/>
      <c r="P47" s="2562"/>
      <c r="Q47" s="2573"/>
      <c r="R47" s="2572"/>
      <c r="S47" s="2572"/>
      <c r="T47" s="2572"/>
      <c r="U47" s="2572"/>
      <c r="V47" s="2572"/>
      <c r="W47" s="2572"/>
      <c r="X47" s="2572"/>
      <c r="Y47" s="2572"/>
      <c r="Z47" s="2562"/>
      <c r="AA47" s="2562"/>
      <c r="AB47" s="2562"/>
      <c r="AC47" s="2562"/>
      <c r="AD47" s="2579"/>
      <c r="AE47" s="2562"/>
      <c r="AF47" s="2562"/>
      <c r="AG47" s="2562"/>
      <c r="AH47" s="2562"/>
      <c r="AI47" s="2562"/>
      <c r="AJ47" s="2562"/>
    </row>
  </sheetData>
  <sheetProtection formatColumns="0" formatRows="0"/>
  <mergeCells count="5">
    <mergeCell ref="B1:J1"/>
    <mergeCell ref="B2:J2"/>
    <mergeCell ref="B3:N3"/>
    <mergeCell ref="AD3:AJ3"/>
    <mergeCell ref="S4:X4"/>
  </mergeCells>
  <conditionalFormatting sqref="Q8:Q15">
    <cfRule type="cellIs" dxfId="185" priority="34" operator="equal">
      <formula>0</formula>
    </cfRule>
  </conditionalFormatting>
  <conditionalFormatting sqref="Q19:Q20">
    <cfRule type="cellIs" dxfId="184" priority="8" operator="equal">
      <formula>0</formula>
    </cfRule>
  </conditionalFormatting>
  <conditionalFormatting sqref="Q22">
    <cfRule type="cellIs" dxfId="183" priority="7" operator="equal">
      <formula>0</formula>
    </cfRule>
  </conditionalFormatting>
  <conditionalFormatting sqref="Q26">
    <cfRule type="cellIs" dxfId="182" priority="6" operator="equal">
      <formula>0</formula>
    </cfRule>
  </conditionalFormatting>
  <conditionalFormatting sqref="Q29:Q31">
    <cfRule type="cellIs" dxfId="181" priority="4" operator="equal">
      <formula>0</formula>
    </cfRule>
  </conditionalFormatting>
  <conditionalFormatting sqref="Q33">
    <cfRule type="cellIs" dxfId="180" priority="3" operator="equal">
      <formula>0</formula>
    </cfRule>
  </conditionalFormatting>
  <conditionalFormatting sqref="Q37">
    <cfRule type="cellIs" dxfId="179" priority="2" operator="equal">
      <formula>0</formula>
    </cfRule>
  </conditionalFormatting>
  <conditionalFormatting sqref="Q42:Q43">
    <cfRule type="cellIs" dxfId="178" priority="1" operator="equal">
      <formula>0</formula>
    </cfRule>
  </conditionalFormatting>
  <dataValidations count="1">
    <dataValidation type="custom" allowBlank="1" showErrorMessage="1" errorTitle="Input Error" error="Please enter a numeric value." sqref="I8:I15 I19:I20 I29:I31 E26:I26 E22:I22 E42:I43 E33:I33 E37:I37"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70" zoomScaleNormal="70" zoomScaleSheetLayoutView="100" workbookViewId="0">
      <selection activeCell="E2" sqref="E1:G1048576"/>
    </sheetView>
  </sheetViews>
  <sheetFormatPr defaultColWidth="9" defaultRowHeight="15.5"/>
  <cols>
    <col min="1" max="1" width="1.58203125" style="220" customWidth="1"/>
    <col min="2" max="2" width="43.58203125" style="220" customWidth="1"/>
    <col min="3" max="8" width="14.58203125" style="220" customWidth="1"/>
    <col min="9" max="9" width="14.58203125" style="228" customWidth="1"/>
    <col min="10" max="10" width="14.58203125" style="220" customWidth="1"/>
    <col min="11" max="11" width="27.08203125" style="220" customWidth="1"/>
    <col min="12" max="13" width="1.58203125" style="220" customWidth="1"/>
    <col min="14" max="14" width="25" style="220" customWidth="1"/>
    <col min="15" max="15" width="1.58203125" style="230" customWidth="1"/>
    <col min="16" max="17" width="12.58203125" style="230" hidden="1" customWidth="1"/>
    <col min="18" max="18" width="1.58203125" style="230" hidden="1" customWidth="1"/>
    <col min="19" max="19" width="1.58203125" style="220" customWidth="1"/>
    <col min="20" max="20" width="40.08203125" style="220" customWidth="1"/>
    <col min="21" max="21" width="16.58203125" style="220" bestFit="1" customWidth="1"/>
    <col min="22" max="22" width="18.08203125" style="220" bestFit="1" customWidth="1"/>
    <col min="23" max="23" width="12.5" style="220" customWidth="1"/>
    <col min="24" max="24" width="1.58203125" style="220" customWidth="1"/>
    <col min="25" max="16384" width="9" style="220"/>
  </cols>
  <sheetData>
    <row r="1" spans="1:23" s="351" customFormat="1" ht="22.5">
      <c r="B1" s="386" t="s">
        <v>3143</v>
      </c>
      <c r="C1" s="386"/>
      <c r="D1" s="386"/>
      <c r="E1" s="2673"/>
      <c r="F1" s="2673"/>
      <c r="G1" s="2673"/>
      <c r="H1" s="490"/>
      <c r="I1" s="228"/>
      <c r="M1" s="305"/>
      <c r="N1" s="227"/>
      <c r="O1" s="2577"/>
      <c r="P1" s="2572"/>
      <c r="Q1" s="2572"/>
      <c r="R1" s="2577"/>
      <c r="T1" s="386" t="s">
        <v>1887</v>
      </c>
    </row>
    <row r="2" spans="1:23" s="351" customFormat="1" ht="22.5">
      <c r="B2" s="386" t="str">
        <f>SelectCompany!B4</f>
        <v>Yorkshire Water</v>
      </c>
      <c r="C2" s="491"/>
      <c r="D2" s="491"/>
      <c r="E2" s="491"/>
      <c r="F2" s="491"/>
      <c r="G2" s="491"/>
      <c r="H2" s="490"/>
      <c r="I2" s="228"/>
      <c r="M2" s="305"/>
      <c r="N2" s="227"/>
      <c r="O2" s="2577"/>
      <c r="P2" s="2572"/>
      <c r="Q2" s="2572"/>
      <c r="R2" s="2577"/>
      <c r="T2" s="386"/>
    </row>
    <row r="3" spans="1:23" ht="19">
      <c r="A3" s="2562"/>
      <c r="B3" s="2674" t="s">
        <v>3144</v>
      </c>
      <c r="C3" s="2675"/>
      <c r="D3" s="2675"/>
      <c r="E3" s="2675"/>
      <c r="F3" s="2675"/>
      <c r="G3" s="2675"/>
      <c r="H3" s="2675"/>
      <c r="I3" s="2675"/>
      <c r="J3" s="2675"/>
      <c r="K3" s="2675"/>
      <c r="L3" s="2562"/>
      <c r="M3" s="307"/>
      <c r="N3" s="232" t="s">
        <v>1889</v>
      </c>
      <c r="O3" s="2577"/>
      <c r="P3" s="2572"/>
      <c r="Q3" s="2572"/>
      <c r="R3" s="2577"/>
      <c r="S3" s="2562"/>
      <c r="T3" s="2676" t="s">
        <v>3144</v>
      </c>
      <c r="U3" s="2677"/>
      <c r="V3" s="2677"/>
      <c r="W3" s="2677"/>
    </row>
    <row r="4" spans="1:23" ht="23" thickBot="1">
      <c r="A4" s="2562"/>
      <c r="B4" s="492"/>
      <c r="C4" s="492"/>
      <c r="D4" s="492"/>
      <c r="E4" s="492"/>
      <c r="F4" s="492"/>
      <c r="G4" s="492"/>
      <c r="H4" s="2562"/>
      <c r="J4" s="2562"/>
      <c r="K4" s="2562"/>
      <c r="L4" s="2562"/>
      <c r="M4" s="2576"/>
      <c r="N4" s="2562"/>
      <c r="O4" s="2577"/>
      <c r="P4" s="2662" t="s">
        <v>1890</v>
      </c>
      <c r="Q4" s="2662"/>
      <c r="R4" s="2577"/>
      <c r="S4" s="2562"/>
      <c r="T4" s="492"/>
      <c r="U4" s="492"/>
      <c r="V4" s="492"/>
      <c r="W4" s="492"/>
    </row>
    <row r="5" spans="1:23" ht="47.5" thickTop="1" thickBot="1">
      <c r="A5" s="197"/>
      <c r="B5" s="407" t="s">
        <v>1891</v>
      </c>
      <c r="C5" s="408" t="s">
        <v>1892</v>
      </c>
      <c r="D5" s="408" t="s">
        <v>136</v>
      </c>
      <c r="E5" s="408" t="s">
        <v>3145</v>
      </c>
      <c r="F5" s="408" t="s">
        <v>3146</v>
      </c>
      <c r="G5" s="409" t="s">
        <v>2112</v>
      </c>
      <c r="H5" s="493"/>
      <c r="I5" s="410" t="s">
        <v>1896</v>
      </c>
      <c r="J5" s="197"/>
      <c r="K5" s="411" t="s">
        <v>1897</v>
      </c>
      <c r="L5" s="197"/>
      <c r="M5" s="2576"/>
      <c r="N5" s="2562"/>
      <c r="O5" s="2577"/>
      <c r="P5" s="236" t="s">
        <v>1898</v>
      </c>
      <c r="Q5" s="237"/>
      <c r="R5" s="2577"/>
      <c r="S5" s="2562"/>
      <c r="T5" s="407" t="s">
        <v>1891</v>
      </c>
      <c r="U5" s="408" t="s">
        <v>3145</v>
      </c>
      <c r="V5" s="408" t="s">
        <v>3146</v>
      </c>
      <c r="W5" s="409" t="s">
        <v>2112</v>
      </c>
    </row>
    <row r="6" spans="1:23" ht="16.5" thickTop="1" thickBot="1">
      <c r="A6" s="197"/>
      <c r="B6" s="494"/>
      <c r="C6" s="494"/>
      <c r="D6" s="494"/>
      <c r="E6" s="495"/>
      <c r="F6" s="495"/>
      <c r="G6" s="495"/>
      <c r="H6" s="493"/>
      <c r="I6" s="496"/>
      <c r="J6" s="197"/>
      <c r="K6" s="197"/>
      <c r="L6" s="197"/>
      <c r="M6" s="2576"/>
      <c r="N6" s="2562"/>
      <c r="O6" s="2577"/>
      <c r="P6" s="2562"/>
      <c r="Q6" s="2562"/>
      <c r="R6" s="2577"/>
      <c r="S6" s="2562"/>
      <c r="T6" s="494"/>
      <c r="U6" s="495"/>
      <c r="V6" s="495"/>
      <c r="W6" s="495"/>
    </row>
    <row r="7" spans="1:23" ht="16.5" thickTop="1" thickBot="1">
      <c r="A7" s="197"/>
      <c r="B7" s="355" t="s">
        <v>3147</v>
      </c>
      <c r="C7" s="356"/>
      <c r="D7" s="356"/>
      <c r="E7" s="197"/>
      <c r="F7" s="197"/>
      <c r="G7" s="197"/>
      <c r="H7" s="197"/>
      <c r="J7" s="197"/>
      <c r="K7" s="197"/>
      <c r="L7" s="197"/>
      <c r="M7" s="2576"/>
      <c r="N7" s="2573"/>
      <c r="O7" s="2577"/>
      <c r="P7" s="2573"/>
      <c r="Q7" s="2573"/>
      <c r="R7" s="2577"/>
      <c r="S7" s="2562"/>
      <c r="T7" s="355" t="s">
        <v>3147</v>
      </c>
      <c r="U7" s="197"/>
      <c r="V7" s="197"/>
      <c r="W7" s="197"/>
    </row>
    <row r="8" spans="1:23">
      <c r="A8" s="197"/>
      <c r="B8" s="413" t="s">
        <v>3148</v>
      </c>
      <c r="C8" s="244" t="s">
        <v>137</v>
      </c>
      <c r="D8" s="244">
        <v>3</v>
      </c>
      <c r="E8" s="450">
        <v>31.003</v>
      </c>
      <c r="F8" s="450">
        <v>0</v>
      </c>
      <c r="G8" s="247">
        <f>IFERROR(SUM(E8:F8),0)</f>
        <v>31.003</v>
      </c>
      <c r="H8" s="197"/>
      <c r="I8" s="248" t="s">
        <v>3149</v>
      </c>
      <c r="J8" s="197"/>
      <c r="K8" s="250"/>
      <c r="L8" s="197"/>
      <c r="M8" s="2576"/>
      <c r="N8" s="251">
        <f>IF( SUM( P8:Q8 ) = 0, 0, $P$5 )</f>
        <v>0</v>
      </c>
      <c r="O8" s="2577"/>
      <c r="P8" s="252">
        <f xml:space="preserve"> IF( ISNUMBER( E8 ), 0, 1 )</f>
        <v>0</v>
      </c>
      <c r="Q8" s="252">
        <f t="shared" ref="Q8:Q11" si="0" xml:space="preserve"> IF( ISNUMBER( F8 ), 0, 1 )</f>
        <v>0</v>
      </c>
      <c r="R8" s="2577"/>
      <c r="S8" s="2562"/>
      <c r="T8" s="413" t="s">
        <v>3148</v>
      </c>
      <c r="U8" s="450" t="s">
        <v>3150</v>
      </c>
      <c r="V8" s="450" t="s">
        <v>3151</v>
      </c>
      <c r="W8" s="247" t="s">
        <v>3152</v>
      </c>
    </row>
    <row r="9" spans="1:23">
      <c r="A9" s="197"/>
      <c r="B9" s="422" t="s">
        <v>3153</v>
      </c>
      <c r="C9" s="253" t="s">
        <v>137</v>
      </c>
      <c r="D9" s="253">
        <v>3</v>
      </c>
      <c r="E9" s="458">
        <v>3.8050000000000002</v>
      </c>
      <c r="F9" s="458">
        <v>0</v>
      </c>
      <c r="G9" s="256">
        <f>IFERROR(SUM(E9:F9),0)</f>
        <v>3.8050000000000002</v>
      </c>
      <c r="H9" s="197"/>
      <c r="I9" s="257" t="s">
        <v>3154</v>
      </c>
      <c r="J9" s="197"/>
      <c r="K9" s="258"/>
      <c r="L9" s="197"/>
      <c r="M9" s="2578"/>
      <c r="N9" s="251">
        <f t="shared" ref="N9:N14" si="1">IF( SUM( P9:Q9 ) = 0, 0, $P$5 )</f>
        <v>0</v>
      </c>
      <c r="O9" s="2577"/>
      <c r="P9" s="252">
        <f t="shared" ref="P9:P11" si="2" xml:space="preserve"> IF( ISNUMBER( E9 ), 0, 1 )</f>
        <v>0</v>
      </c>
      <c r="Q9" s="252">
        <f t="shared" si="0"/>
        <v>0</v>
      </c>
      <c r="R9" s="2577"/>
      <c r="S9" s="2562"/>
      <c r="T9" s="422" t="s">
        <v>3153</v>
      </c>
      <c r="U9" s="458" t="s">
        <v>3155</v>
      </c>
      <c r="V9" s="458" t="s">
        <v>3156</v>
      </c>
      <c r="W9" s="256" t="s">
        <v>3157</v>
      </c>
    </row>
    <row r="10" spans="1:23">
      <c r="A10" s="197"/>
      <c r="B10" s="422" t="s">
        <v>3158</v>
      </c>
      <c r="C10" s="253" t="s">
        <v>137</v>
      </c>
      <c r="D10" s="253">
        <v>3</v>
      </c>
      <c r="E10" s="458">
        <v>21.721</v>
      </c>
      <c r="F10" s="458">
        <v>0</v>
      </c>
      <c r="G10" s="256">
        <f>IFERROR(SUM(E10:F10),0)</f>
        <v>21.721</v>
      </c>
      <c r="H10" s="197"/>
      <c r="I10" s="257" t="s">
        <v>3159</v>
      </c>
      <c r="J10" s="197"/>
      <c r="K10" s="258"/>
      <c r="L10" s="197"/>
      <c r="M10" s="2578"/>
      <c r="N10" s="251">
        <f t="shared" si="1"/>
        <v>0</v>
      </c>
      <c r="O10" s="2577"/>
      <c r="P10" s="252">
        <f t="shared" si="2"/>
        <v>0</v>
      </c>
      <c r="Q10" s="252">
        <f t="shared" si="0"/>
        <v>0</v>
      </c>
      <c r="R10" s="2577"/>
      <c r="S10" s="2562"/>
      <c r="T10" s="422" t="s">
        <v>3158</v>
      </c>
      <c r="U10" s="458" t="s">
        <v>3160</v>
      </c>
      <c r="V10" s="458" t="s">
        <v>3161</v>
      </c>
      <c r="W10" s="256" t="s">
        <v>3162</v>
      </c>
    </row>
    <row r="11" spans="1:23">
      <c r="A11" s="197"/>
      <c r="B11" s="422" t="s">
        <v>3163</v>
      </c>
      <c r="C11" s="253" t="s">
        <v>137</v>
      </c>
      <c r="D11" s="253">
        <v>3</v>
      </c>
      <c r="E11" s="458">
        <v>1.474</v>
      </c>
      <c r="F11" s="458">
        <v>0</v>
      </c>
      <c r="G11" s="256">
        <f>IFERROR(SUM(E11:F11),0)</f>
        <v>1.474</v>
      </c>
      <c r="H11" s="197"/>
      <c r="I11" s="257" t="s">
        <v>3164</v>
      </c>
      <c r="J11" s="197"/>
      <c r="K11" s="258"/>
      <c r="L11" s="197"/>
      <c r="M11" s="2578"/>
      <c r="N11" s="251">
        <f t="shared" si="1"/>
        <v>0</v>
      </c>
      <c r="O11" s="2577"/>
      <c r="P11" s="252">
        <f t="shared" si="2"/>
        <v>0</v>
      </c>
      <c r="Q11" s="252">
        <f t="shared" si="0"/>
        <v>0</v>
      </c>
      <c r="R11" s="2577"/>
      <c r="S11" s="2562"/>
      <c r="T11" s="422" t="s">
        <v>3163</v>
      </c>
      <c r="U11" s="458" t="s">
        <v>3165</v>
      </c>
      <c r="V11" s="458" t="s">
        <v>3166</v>
      </c>
      <c r="W11" s="256" t="s">
        <v>3167</v>
      </c>
    </row>
    <row r="12" spans="1:23">
      <c r="A12" s="197"/>
      <c r="B12" s="422" t="s">
        <v>3168</v>
      </c>
      <c r="C12" s="253" t="s">
        <v>137</v>
      </c>
      <c r="D12" s="253">
        <v>3</v>
      </c>
      <c r="E12" s="458">
        <v>0</v>
      </c>
      <c r="F12" s="458">
        <v>0</v>
      </c>
      <c r="G12" s="362">
        <f>IFERROR(F12,0)</f>
        <v>0</v>
      </c>
      <c r="H12" s="197"/>
      <c r="I12" s="257" t="s">
        <v>3169</v>
      </c>
      <c r="J12" s="197"/>
      <c r="K12" s="258"/>
      <c r="L12" s="197"/>
      <c r="M12" s="2578"/>
      <c r="N12" s="251">
        <f t="shared" si="1"/>
        <v>0</v>
      </c>
      <c r="O12" s="2577"/>
      <c r="P12" s="2573"/>
      <c r="Q12" s="252">
        <f xml:space="preserve"> IF( ISNUMBER( F12 ), 0, 1 )</f>
        <v>0</v>
      </c>
      <c r="R12" s="2577"/>
      <c r="S12" s="2562"/>
      <c r="T12" s="422" t="s">
        <v>3168</v>
      </c>
      <c r="U12" s="497"/>
      <c r="V12" s="458" t="s">
        <v>3170</v>
      </c>
      <c r="W12" s="362" t="s">
        <v>3171</v>
      </c>
    </row>
    <row r="13" spans="1:23">
      <c r="A13" s="197"/>
      <c r="B13" s="422" t="s">
        <v>2981</v>
      </c>
      <c r="C13" s="253" t="s">
        <v>137</v>
      </c>
      <c r="D13" s="253">
        <v>3</v>
      </c>
      <c r="E13" s="458">
        <v>4.3849999999999998</v>
      </c>
      <c r="F13" s="458">
        <v>0</v>
      </c>
      <c r="G13" s="256">
        <f>IFERROR(SUM(E13:F13),0)</f>
        <v>4.3849999999999998</v>
      </c>
      <c r="H13" s="197"/>
      <c r="I13" s="257" t="s">
        <v>3172</v>
      </c>
      <c r="J13" s="197"/>
      <c r="K13" s="258"/>
      <c r="L13" s="197"/>
      <c r="M13" s="2578"/>
      <c r="N13" s="251">
        <f t="shared" si="1"/>
        <v>0</v>
      </c>
      <c r="O13" s="2577"/>
      <c r="P13" s="252">
        <f t="shared" ref="P13:P14" si="3" xml:space="preserve"> IF( ISNUMBER( E13 ), 0, 1 )</f>
        <v>0</v>
      </c>
      <c r="Q13" s="252">
        <f t="shared" ref="Q13:Q14" si="4" xml:space="preserve"> IF( ISNUMBER( F13 ), 0, 1 )</f>
        <v>0</v>
      </c>
      <c r="R13" s="2577"/>
      <c r="S13" s="2562"/>
      <c r="T13" s="422" t="s">
        <v>2981</v>
      </c>
      <c r="U13" s="458" t="s">
        <v>3173</v>
      </c>
      <c r="V13" s="458" t="s">
        <v>3174</v>
      </c>
      <c r="W13" s="256" t="s">
        <v>3175</v>
      </c>
    </row>
    <row r="14" spans="1:23">
      <c r="A14" s="197"/>
      <c r="B14" s="422" t="s">
        <v>2988</v>
      </c>
      <c r="C14" s="253" t="s">
        <v>137</v>
      </c>
      <c r="D14" s="253">
        <v>3</v>
      </c>
      <c r="E14" s="458">
        <v>0</v>
      </c>
      <c r="F14" s="458">
        <v>0</v>
      </c>
      <c r="G14" s="256">
        <f>IFERROR(SUM(E14:F14),0)</f>
        <v>0</v>
      </c>
      <c r="H14" s="200"/>
      <c r="I14" s="257" t="s">
        <v>3176</v>
      </c>
      <c r="J14" s="197"/>
      <c r="K14" s="258"/>
      <c r="L14" s="197"/>
      <c r="M14" s="2578"/>
      <c r="N14" s="251">
        <f t="shared" si="1"/>
        <v>0</v>
      </c>
      <c r="O14" s="2577"/>
      <c r="P14" s="252">
        <f t="shared" si="3"/>
        <v>0</v>
      </c>
      <c r="Q14" s="252">
        <f t="shared" si="4"/>
        <v>0</v>
      </c>
      <c r="R14" s="2577"/>
      <c r="S14" s="2562"/>
      <c r="T14" s="422" t="s">
        <v>2988</v>
      </c>
      <c r="U14" s="458" t="s">
        <v>3177</v>
      </c>
      <c r="V14" s="458" t="s">
        <v>3178</v>
      </c>
      <c r="W14" s="256" t="s">
        <v>3179</v>
      </c>
    </row>
    <row r="15" spans="1:23" ht="31.5" thickBot="1">
      <c r="A15" s="197"/>
      <c r="B15" s="425" t="s">
        <v>3021</v>
      </c>
      <c r="C15" s="319" t="s">
        <v>137</v>
      </c>
      <c r="D15" s="319">
        <v>3</v>
      </c>
      <c r="E15" s="265">
        <f>IFERROR(SUM(E8:E11) + SUM(E13:E14),0)</f>
        <v>62.387999999999991</v>
      </c>
      <c r="F15" s="265">
        <f>IFERROR(SUM(F8:F14),0)</f>
        <v>0</v>
      </c>
      <c r="G15" s="266">
        <f>IFERROR(SUM(E15:F15),0)</f>
        <v>62.387999999999991</v>
      </c>
      <c r="H15" s="197"/>
      <c r="I15" s="320" t="s">
        <v>3180</v>
      </c>
      <c r="J15" s="197"/>
      <c r="K15" s="269"/>
      <c r="L15" s="197"/>
      <c r="M15" s="2578"/>
      <c r="N15" s="2562"/>
      <c r="O15" s="2577"/>
      <c r="P15" s="2573"/>
      <c r="Q15" s="2573"/>
      <c r="R15" s="2577"/>
      <c r="S15" s="2562"/>
      <c r="T15" s="425" t="s">
        <v>3021</v>
      </c>
      <c r="U15" s="265" t="s">
        <v>3181</v>
      </c>
      <c r="V15" s="265" t="s">
        <v>3182</v>
      </c>
      <c r="W15" s="266" t="s">
        <v>3183</v>
      </c>
    </row>
    <row r="16" spans="1:23" ht="16.5" thickTop="1" thickBot="1">
      <c r="A16" s="197"/>
      <c r="B16" s="377"/>
      <c r="C16" s="377"/>
      <c r="D16" s="377"/>
      <c r="E16" s="403"/>
      <c r="F16" s="435"/>
      <c r="G16" s="435"/>
      <c r="H16" s="197"/>
      <c r="J16" s="197"/>
      <c r="K16" s="197"/>
      <c r="L16" s="197"/>
      <c r="M16" s="2578"/>
      <c r="N16" s="2562"/>
      <c r="O16" s="2577"/>
      <c r="P16" s="2573"/>
      <c r="Q16" s="2573"/>
      <c r="R16" s="2577"/>
      <c r="S16" s="2562"/>
      <c r="T16" s="377"/>
      <c r="U16" s="403"/>
      <c r="V16" s="435"/>
      <c r="W16" s="435"/>
    </row>
    <row r="17" spans="1:23" ht="16.5" thickTop="1" thickBot="1">
      <c r="A17" s="197"/>
      <c r="B17" s="355" t="s">
        <v>2317</v>
      </c>
      <c r="C17" s="356"/>
      <c r="D17" s="356"/>
      <c r="E17" s="403"/>
      <c r="F17" s="435"/>
      <c r="G17" s="435"/>
      <c r="H17" s="197"/>
      <c r="J17" s="197"/>
      <c r="K17" s="197"/>
      <c r="L17" s="197"/>
      <c r="M17" s="2578"/>
      <c r="N17" s="2562"/>
      <c r="O17" s="2577"/>
      <c r="P17" s="2573"/>
      <c r="Q17" s="2573"/>
      <c r="R17" s="2577"/>
      <c r="S17" s="2562"/>
      <c r="T17" s="355" t="s">
        <v>2317</v>
      </c>
      <c r="U17" s="403"/>
      <c r="V17" s="435"/>
      <c r="W17" s="435"/>
    </row>
    <row r="18" spans="1:23" ht="31.5" thickTop="1">
      <c r="A18" s="197"/>
      <c r="B18" s="445" t="s">
        <v>3184</v>
      </c>
      <c r="C18" s="447" t="s">
        <v>137</v>
      </c>
      <c r="D18" s="447">
        <v>3</v>
      </c>
      <c r="E18" s="450">
        <v>2.1000000000000001E-2</v>
      </c>
      <c r="F18" s="450">
        <v>0</v>
      </c>
      <c r="G18" s="451">
        <f>IFERROR(SUM(E18:F18),0)</f>
        <v>2.1000000000000001E-2</v>
      </c>
      <c r="H18" s="197"/>
      <c r="I18" s="248" t="s">
        <v>3185</v>
      </c>
      <c r="J18" s="197"/>
      <c r="K18" s="250"/>
      <c r="L18" s="197"/>
      <c r="M18" s="2578"/>
      <c r="N18" s="251">
        <f t="shared" ref="N18:N21" si="5">IF( SUM( P18:Q18 ) = 0, 0, $P$5 )</f>
        <v>0</v>
      </c>
      <c r="O18" s="2577"/>
      <c r="P18" s="252">
        <f t="shared" ref="P18:P21" si="6" xml:space="preserve"> IF( ISNUMBER( E18 ), 0, 1 )</f>
        <v>0</v>
      </c>
      <c r="Q18" s="252">
        <f t="shared" ref="Q18:Q21" si="7" xml:space="preserve"> IF( ISNUMBER( F18 ), 0, 1 )</f>
        <v>0</v>
      </c>
      <c r="R18" s="2577"/>
      <c r="S18" s="2562"/>
      <c r="T18" s="445" t="s">
        <v>3186</v>
      </c>
      <c r="U18" s="450" t="s">
        <v>3187</v>
      </c>
      <c r="V18" s="450" t="s">
        <v>3188</v>
      </c>
      <c r="W18" s="451" t="s">
        <v>3189</v>
      </c>
    </row>
    <row r="19" spans="1:23" ht="46.5">
      <c r="A19" s="197"/>
      <c r="B19" s="454" t="s">
        <v>3190</v>
      </c>
      <c r="C19" s="455" t="s">
        <v>137</v>
      </c>
      <c r="D19" s="455">
        <v>3</v>
      </c>
      <c r="E19" s="458">
        <v>3.1139999999999999</v>
      </c>
      <c r="F19" s="458">
        <v>0</v>
      </c>
      <c r="G19" s="459">
        <f>IFERROR(SUM(E19:F19),0)</f>
        <v>3.1139999999999999</v>
      </c>
      <c r="H19" s="197"/>
      <c r="I19" s="257" t="s">
        <v>3191</v>
      </c>
      <c r="J19" s="197"/>
      <c r="K19" s="258"/>
      <c r="L19" s="197"/>
      <c r="M19" s="2578"/>
      <c r="N19" s="251">
        <f t="shared" si="5"/>
        <v>0</v>
      </c>
      <c r="O19" s="2577"/>
      <c r="P19" s="252">
        <f t="shared" si="6"/>
        <v>0</v>
      </c>
      <c r="Q19" s="252">
        <f t="shared" si="7"/>
        <v>0</v>
      </c>
      <c r="R19" s="2577"/>
      <c r="S19" s="2562"/>
      <c r="T19" s="454" t="s">
        <v>3192</v>
      </c>
      <c r="U19" s="458" t="s">
        <v>3193</v>
      </c>
      <c r="V19" s="458" t="s">
        <v>3194</v>
      </c>
      <c r="W19" s="459" t="s">
        <v>3195</v>
      </c>
    </row>
    <row r="20" spans="1:23" ht="31">
      <c r="A20" s="197"/>
      <c r="B20" s="454" t="s">
        <v>3196</v>
      </c>
      <c r="C20" s="455" t="s">
        <v>137</v>
      </c>
      <c r="D20" s="455">
        <v>3</v>
      </c>
      <c r="E20" s="458">
        <v>0</v>
      </c>
      <c r="F20" s="458">
        <v>0</v>
      </c>
      <c r="G20" s="459">
        <f>IFERROR(SUM(E20:F20),0)</f>
        <v>0</v>
      </c>
      <c r="H20" s="197"/>
      <c r="I20" s="257" t="s">
        <v>3197</v>
      </c>
      <c r="J20" s="197"/>
      <c r="K20" s="258"/>
      <c r="L20" s="197"/>
      <c r="M20" s="2578"/>
      <c r="N20" s="251">
        <f t="shared" si="5"/>
        <v>0</v>
      </c>
      <c r="O20" s="2577"/>
      <c r="P20" s="252">
        <f t="shared" si="6"/>
        <v>0</v>
      </c>
      <c r="Q20" s="252">
        <f t="shared" si="7"/>
        <v>0</v>
      </c>
      <c r="R20" s="2577"/>
      <c r="S20" s="2562"/>
      <c r="T20" s="454" t="s">
        <v>3198</v>
      </c>
      <c r="U20" s="458" t="s">
        <v>3199</v>
      </c>
      <c r="V20" s="458" t="s">
        <v>3200</v>
      </c>
      <c r="W20" s="459" t="s">
        <v>3201</v>
      </c>
    </row>
    <row r="21" spans="1:23" ht="47" thickBot="1">
      <c r="A21" s="197"/>
      <c r="B21" s="466" t="s">
        <v>3202</v>
      </c>
      <c r="C21" s="475" t="s">
        <v>137</v>
      </c>
      <c r="D21" s="475">
        <v>3</v>
      </c>
      <c r="E21" s="498">
        <v>2.609</v>
      </c>
      <c r="F21" s="498">
        <v>0</v>
      </c>
      <c r="G21" s="470">
        <f>IFERROR(SUM(E21:F21),0)</f>
        <v>2.609</v>
      </c>
      <c r="H21" s="197"/>
      <c r="I21" s="320" t="s">
        <v>3203</v>
      </c>
      <c r="J21" s="197"/>
      <c r="K21" s="269"/>
      <c r="L21" s="197"/>
      <c r="M21" s="2578"/>
      <c r="N21" s="251">
        <f t="shared" si="5"/>
        <v>0</v>
      </c>
      <c r="O21" s="2577"/>
      <c r="P21" s="252">
        <f t="shared" si="6"/>
        <v>0</v>
      </c>
      <c r="Q21" s="252">
        <f t="shared" si="7"/>
        <v>0</v>
      </c>
      <c r="R21" s="2577"/>
      <c r="S21" s="2562"/>
      <c r="T21" s="466" t="s">
        <v>3204</v>
      </c>
      <c r="U21" s="498" t="s">
        <v>3205</v>
      </c>
      <c r="V21" s="498" t="s">
        <v>3206</v>
      </c>
      <c r="W21" s="470" t="s">
        <v>3207</v>
      </c>
    </row>
    <row r="22" spans="1:23" ht="16.5" thickTop="1" thickBot="1">
      <c r="A22" s="197"/>
      <c r="B22" s="377"/>
      <c r="C22" s="377"/>
      <c r="D22" s="377"/>
      <c r="E22" s="403"/>
      <c r="F22" s="435"/>
      <c r="G22" s="435"/>
      <c r="H22" s="197"/>
      <c r="J22" s="197"/>
      <c r="K22" s="197"/>
      <c r="L22" s="197"/>
      <c r="M22" s="2578"/>
      <c r="N22" s="2562"/>
      <c r="O22" s="2577"/>
      <c r="P22" s="2573"/>
      <c r="Q22" s="2573"/>
      <c r="R22" s="2577"/>
      <c r="S22" s="2562"/>
      <c r="T22" s="377"/>
      <c r="U22" s="403"/>
      <c r="V22" s="435"/>
      <c r="W22" s="435"/>
    </row>
    <row r="23" spans="1:23" ht="16.5" thickTop="1" thickBot="1">
      <c r="A23" s="197"/>
      <c r="B23" s="355" t="s">
        <v>3208</v>
      </c>
      <c r="C23" s="356"/>
      <c r="D23" s="356"/>
      <c r="E23" s="403"/>
      <c r="F23" s="435"/>
      <c r="G23" s="435"/>
      <c r="H23" s="197"/>
      <c r="J23" s="197"/>
      <c r="K23" s="197"/>
      <c r="L23" s="197"/>
      <c r="M23" s="2578"/>
      <c r="N23" s="2562"/>
      <c r="O23" s="2577"/>
      <c r="P23" s="2573"/>
      <c r="Q23" s="2573"/>
      <c r="R23" s="2577"/>
      <c r="S23" s="2562"/>
      <c r="T23" s="355" t="s">
        <v>3208</v>
      </c>
      <c r="U23" s="403"/>
      <c r="V23" s="435"/>
      <c r="W23" s="435"/>
    </row>
    <row r="24" spans="1:23" ht="46.5">
      <c r="A24" s="197"/>
      <c r="B24" s="445" t="s">
        <v>3209</v>
      </c>
      <c r="C24" s="447" t="s">
        <v>137</v>
      </c>
      <c r="D24" s="447">
        <v>3</v>
      </c>
      <c r="E24" s="450">
        <v>5.8999999999999997E-2</v>
      </c>
      <c r="F24" s="450">
        <v>0</v>
      </c>
      <c r="G24" s="451">
        <f>IFERROR(SUM(E24:F24),0)</f>
        <v>5.8999999999999997E-2</v>
      </c>
      <c r="H24" s="197"/>
      <c r="I24" s="248" t="s">
        <v>3210</v>
      </c>
      <c r="J24" s="197"/>
      <c r="K24" s="250"/>
      <c r="L24" s="197"/>
      <c r="M24" s="2578"/>
      <c r="N24" s="251">
        <f t="shared" ref="N24:N27" si="8">IF( SUM( P24:Q24 ) = 0, 0, $P$5 )</f>
        <v>0</v>
      </c>
      <c r="O24" s="2577"/>
      <c r="P24" s="252">
        <f t="shared" ref="P24:P27" si="9" xml:space="preserve"> IF( ISNUMBER( E24 ), 0, 1 )</f>
        <v>0</v>
      </c>
      <c r="Q24" s="252">
        <f t="shared" ref="Q24:Q27" si="10" xml:space="preserve"> IF( ISNUMBER( F24 ), 0, 1 )</f>
        <v>0</v>
      </c>
      <c r="R24" s="2577"/>
      <c r="S24" s="2562"/>
      <c r="T24" s="445" t="s">
        <v>3209</v>
      </c>
      <c r="U24" s="450" t="s">
        <v>3211</v>
      </c>
      <c r="V24" s="450" t="s">
        <v>3212</v>
      </c>
      <c r="W24" s="451" t="s">
        <v>3213</v>
      </c>
    </row>
    <row r="25" spans="1:23" ht="46.5">
      <c r="A25" s="197"/>
      <c r="B25" s="454" t="s">
        <v>3214</v>
      </c>
      <c r="C25" s="455" t="s">
        <v>137</v>
      </c>
      <c r="D25" s="455">
        <v>3</v>
      </c>
      <c r="E25" s="458">
        <v>0</v>
      </c>
      <c r="F25" s="458">
        <v>0</v>
      </c>
      <c r="G25" s="459">
        <f>IFERROR(SUM(E25:F25),0)</f>
        <v>0</v>
      </c>
      <c r="H25" s="197"/>
      <c r="I25" s="257" t="s">
        <v>3215</v>
      </c>
      <c r="J25" s="197"/>
      <c r="K25" s="258"/>
      <c r="L25" s="197"/>
      <c r="M25" s="2578"/>
      <c r="N25" s="251">
        <f t="shared" si="8"/>
        <v>0</v>
      </c>
      <c r="O25" s="2577"/>
      <c r="P25" s="252">
        <f t="shared" si="9"/>
        <v>0</v>
      </c>
      <c r="Q25" s="252">
        <f t="shared" si="10"/>
        <v>0</v>
      </c>
      <c r="R25" s="2577"/>
      <c r="S25" s="2562"/>
      <c r="T25" s="454" t="s">
        <v>3214</v>
      </c>
      <c r="U25" s="458" t="s">
        <v>3216</v>
      </c>
      <c r="V25" s="458" t="s">
        <v>3217</v>
      </c>
      <c r="W25" s="459" t="s">
        <v>3218</v>
      </c>
    </row>
    <row r="26" spans="1:23" ht="46.5">
      <c r="A26" s="197"/>
      <c r="B26" s="454" t="s">
        <v>3219</v>
      </c>
      <c r="C26" s="455" t="s">
        <v>137</v>
      </c>
      <c r="D26" s="455">
        <v>3</v>
      </c>
      <c r="E26" s="458">
        <v>2.9980000000000002</v>
      </c>
      <c r="F26" s="458">
        <v>0</v>
      </c>
      <c r="G26" s="459">
        <f>IFERROR(SUM(E26:F26),0)</f>
        <v>2.9980000000000002</v>
      </c>
      <c r="H26" s="197"/>
      <c r="I26" s="257" t="s">
        <v>3220</v>
      </c>
      <c r="J26" s="197"/>
      <c r="K26" s="258"/>
      <c r="L26" s="197"/>
      <c r="M26" s="2578"/>
      <c r="N26" s="251">
        <f t="shared" si="8"/>
        <v>0</v>
      </c>
      <c r="O26" s="2577"/>
      <c r="P26" s="252">
        <f t="shared" si="9"/>
        <v>0</v>
      </c>
      <c r="Q26" s="252">
        <f t="shared" si="10"/>
        <v>0</v>
      </c>
      <c r="R26" s="2577"/>
      <c r="S26" s="2562"/>
      <c r="T26" s="454" t="s">
        <v>3219</v>
      </c>
      <c r="U26" s="458" t="s">
        <v>3221</v>
      </c>
      <c r="V26" s="458" t="s">
        <v>3222</v>
      </c>
      <c r="W26" s="459" t="s">
        <v>3223</v>
      </c>
    </row>
    <row r="27" spans="1:23" ht="31">
      <c r="A27" s="197"/>
      <c r="B27" s="454" t="s">
        <v>3224</v>
      </c>
      <c r="C27" s="455" t="s">
        <v>137</v>
      </c>
      <c r="D27" s="455">
        <v>3</v>
      </c>
      <c r="E27" s="458">
        <v>0</v>
      </c>
      <c r="F27" s="458">
        <v>0</v>
      </c>
      <c r="G27" s="459">
        <f>IFERROR(SUM(E27:F27),0)</f>
        <v>0</v>
      </c>
      <c r="H27" s="197"/>
      <c r="I27" s="257" t="s">
        <v>3225</v>
      </c>
      <c r="J27" s="197"/>
      <c r="K27" s="258"/>
      <c r="L27" s="197"/>
      <c r="M27" s="2578"/>
      <c r="N27" s="251">
        <f t="shared" si="8"/>
        <v>0</v>
      </c>
      <c r="O27" s="2577"/>
      <c r="P27" s="252">
        <f t="shared" si="9"/>
        <v>0</v>
      </c>
      <c r="Q27" s="252">
        <f t="shared" si="10"/>
        <v>0</v>
      </c>
      <c r="R27" s="2577"/>
      <c r="S27" s="2562"/>
      <c r="T27" s="454" t="s">
        <v>3224</v>
      </c>
      <c r="U27" s="458" t="s">
        <v>3226</v>
      </c>
      <c r="V27" s="458" t="s">
        <v>3227</v>
      </c>
      <c r="W27" s="459" t="s">
        <v>3228</v>
      </c>
    </row>
    <row r="28" spans="1:23" ht="16" thickBot="1">
      <c r="A28" s="197"/>
      <c r="B28" s="499" t="s">
        <v>3229</v>
      </c>
      <c r="C28" s="475" t="s">
        <v>137</v>
      </c>
      <c r="D28" s="475">
        <v>3</v>
      </c>
      <c r="E28" s="469">
        <f>IFERROR(E24 + E26 - E25 - E27, 0)</f>
        <v>3.0570000000000004</v>
      </c>
      <c r="F28" s="469">
        <f>IFERROR(F24 + F26 - F25 - F27, 0)</f>
        <v>0</v>
      </c>
      <c r="G28" s="470">
        <f>IFERROR(G24 + G26 - G25 - G27, 0)</f>
        <v>3.0570000000000004</v>
      </c>
      <c r="H28" s="197"/>
      <c r="I28" s="320" t="s">
        <v>3230</v>
      </c>
      <c r="J28" s="197"/>
      <c r="K28" s="269"/>
      <c r="L28" s="197"/>
      <c r="M28" s="2578"/>
      <c r="N28" s="2562"/>
      <c r="O28" s="2577"/>
      <c r="P28" s="2573"/>
      <c r="Q28" s="2573"/>
      <c r="R28" s="2577"/>
      <c r="S28" s="2562"/>
      <c r="T28" s="499" t="s">
        <v>3229</v>
      </c>
      <c r="U28" s="469" t="s">
        <v>3231</v>
      </c>
      <c r="V28" s="469" t="s">
        <v>3232</v>
      </c>
      <c r="W28" s="470" t="s">
        <v>3233</v>
      </c>
    </row>
    <row r="29" spans="1:23" ht="16.5" thickTop="1" thickBot="1">
      <c r="A29" s="197"/>
      <c r="B29" s="500"/>
      <c r="C29" s="501"/>
      <c r="D29" s="501"/>
      <c r="E29" s="502"/>
      <c r="F29" s="502"/>
      <c r="G29" s="502"/>
      <c r="H29" s="197"/>
      <c r="J29" s="197"/>
      <c r="K29" s="197"/>
      <c r="L29" s="197"/>
      <c r="M29" s="2577"/>
      <c r="N29" s="2562"/>
      <c r="O29" s="2577"/>
      <c r="P29" s="2573"/>
      <c r="Q29" s="2573"/>
      <c r="R29" s="2577"/>
      <c r="S29" s="2562"/>
      <c r="T29" s="500"/>
      <c r="U29" s="502"/>
      <c r="V29" s="502"/>
      <c r="W29" s="502"/>
    </row>
    <row r="30" spans="1:23" ht="32" thickTop="1" thickBot="1">
      <c r="A30" s="197"/>
      <c r="B30" s="477" t="s">
        <v>3234</v>
      </c>
      <c r="C30" s="478" t="s">
        <v>137</v>
      </c>
      <c r="D30" s="478">
        <v>3</v>
      </c>
      <c r="E30" s="503">
        <f>IFERROR(E15+SUM(E18:E21)+E28,0)</f>
        <v>71.188999999999993</v>
      </c>
      <c r="F30" s="503">
        <f>IFERROR(F15+SUM(F18:F21),0)</f>
        <v>0</v>
      </c>
      <c r="G30" s="504">
        <f>IFERROR(SUM(E30:F30),0)</f>
        <v>71.188999999999993</v>
      </c>
      <c r="H30" s="197"/>
      <c r="I30" s="336" t="s">
        <v>3235</v>
      </c>
      <c r="J30" s="197"/>
      <c r="K30" s="337"/>
      <c r="L30" s="197"/>
      <c r="M30" s="2577"/>
      <c r="N30" s="2562"/>
      <c r="O30" s="2577"/>
      <c r="P30" s="2573"/>
      <c r="Q30" s="2573"/>
      <c r="R30" s="2577"/>
      <c r="S30" s="2562"/>
      <c r="T30" s="477" t="s">
        <v>3234</v>
      </c>
      <c r="U30" s="503" t="s">
        <v>3236</v>
      </c>
      <c r="V30" s="503" t="s">
        <v>3237</v>
      </c>
      <c r="W30" s="504" t="s">
        <v>3238</v>
      </c>
    </row>
    <row r="31" spans="1:23" ht="16.5" thickTop="1" thickBot="1">
      <c r="A31" s="197"/>
      <c r="B31" s="501"/>
      <c r="C31" s="501"/>
      <c r="D31" s="501"/>
      <c r="E31" s="502"/>
      <c r="F31" s="502"/>
      <c r="G31" s="502"/>
      <c r="H31" s="197"/>
      <c r="J31" s="197"/>
      <c r="K31" s="197"/>
      <c r="L31" s="197"/>
      <c r="M31" s="2577"/>
      <c r="N31" s="2562"/>
      <c r="O31" s="2577"/>
      <c r="P31" s="2573"/>
      <c r="Q31" s="2573"/>
      <c r="R31" s="2577"/>
      <c r="S31" s="2562"/>
      <c r="T31" s="501"/>
      <c r="U31" s="502"/>
      <c r="V31" s="502"/>
      <c r="W31" s="502"/>
    </row>
    <row r="32" spans="1:23">
      <c r="A32" s="197"/>
      <c r="B32" s="445" t="s">
        <v>3239</v>
      </c>
      <c r="C32" s="447" t="s">
        <v>137</v>
      </c>
      <c r="D32" s="447">
        <v>3</v>
      </c>
      <c r="E32" s="450">
        <v>0</v>
      </c>
      <c r="F32" s="450">
        <v>0</v>
      </c>
      <c r="G32" s="451">
        <f>IFERROR(SUM(E32:F32),0)</f>
        <v>0</v>
      </c>
      <c r="H32" s="197"/>
      <c r="I32" s="248" t="s">
        <v>3240</v>
      </c>
      <c r="J32" s="197"/>
      <c r="K32" s="250"/>
      <c r="L32" s="197"/>
      <c r="M32" s="2577"/>
      <c r="N32" s="251">
        <f t="shared" ref="N32:N33" si="11">IF( SUM( P32:Q32 ) = 0, 0, $P$5 )</f>
        <v>0</v>
      </c>
      <c r="O32" s="2577"/>
      <c r="P32" s="252">
        <f t="shared" ref="P32:P33" si="12" xml:space="preserve"> IF( ISNUMBER( E32 ), 0, 1 )</f>
        <v>0</v>
      </c>
      <c r="Q32" s="252">
        <f t="shared" ref="Q32:Q33" si="13" xml:space="preserve"> IF( ISNUMBER( F32 ), 0, 1 )</f>
        <v>0</v>
      </c>
      <c r="R32" s="2577"/>
      <c r="S32" s="2562"/>
      <c r="T32" s="445" t="s">
        <v>3239</v>
      </c>
      <c r="U32" s="450" t="s">
        <v>3241</v>
      </c>
      <c r="V32" s="450" t="s">
        <v>3242</v>
      </c>
      <c r="W32" s="451" t="s">
        <v>3243</v>
      </c>
    </row>
    <row r="33" spans="1:23" ht="31">
      <c r="A33" s="197"/>
      <c r="B33" s="466" t="s">
        <v>3244</v>
      </c>
      <c r="C33" s="475" t="s">
        <v>137</v>
      </c>
      <c r="D33" s="475">
        <v>3</v>
      </c>
      <c r="E33" s="498">
        <v>0</v>
      </c>
      <c r="F33" s="498">
        <v>0</v>
      </c>
      <c r="G33" s="470">
        <f>IFERROR(SUM(E33:F33),0)</f>
        <v>0</v>
      </c>
      <c r="H33" s="200"/>
      <c r="I33" s="320" t="s">
        <v>3245</v>
      </c>
      <c r="J33" s="197"/>
      <c r="K33" s="269"/>
      <c r="L33" s="197"/>
      <c r="M33" s="2577"/>
      <c r="N33" s="251">
        <f t="shared" si="11"/>
        <v>0</v>
      </c>
      <c r="O33" s="2577"/>
      <c r="P33" s="252">
        <f t="shared" si="12"/>
        <v>0</v>
      </c>
      <c r="Q33" s="252">
        <f t="shared" si="13"/>
        <v>0</v>
      </c>
      <c r="R33" s="2577"/>
      <c r="S33" s="2562"/>
      <c r="T33" s="466" t="s">
        <v>3244</v>
      </c>
      <c r="U33" s="498" t="s">
        <v>3246</v>
      </c>
      <c r="V33" s="498" t="s">
        <v>3247</v>
      </c>
      <c r="W33" s="470" t="s">
        <v>3248</v>
      </c>
    </row>
    <row r="34" spans="1:23" ht="16.5" thickTop="1" thickBot="1">
      <c r="A34" s="197"/>
      <c r="B34" s="505"/>
      <c r="C34" s="452"/>
      <c r="D34" s="452"/>
      <c r="E34" s="506"/>
      <c r="F34" s="506"/>
      <c r="G34" s="506"/>
      <c r="H34" s="197"/>
      <c r="I34" s="249"/>
      <c r="J34" s="197"/>
      <c r="K34" s="197"/>
      <c r="L34" s="197"/>
      <c r="M34" s="2577"/>
      <c r="N34" s="2562"/>
      <c r="O34" s="2577"/>
      <c r="P34" s="2573"/>
      <c r="Q34" s="2573"/>
      <c r="R34" s="2577"/>
      <c r="S34" s="2562"/>
      <c r="T34" s="505"/>
      <c r="U34" s="506"/>
      <c r="V34" s="506"/>
      <c r="W34" s="506"/>
    </row>
    <row r="35" spans="1:23" ht="32" thickTop="1" thickBot="1">
      <c r="A35" s="197"/>
      <c r="B35" s="507" t="s">
        <v>3249</v>
      </c>
      <c r="C35" s="478" t="s">
        <v>137</v>
      </c>
      <c r="D35" s="478">
        <v>3</v>
      </c>
      <c r="E35" s="508">
        <f>IFERROR(E30+E32+E33,0)</f>
        <v>71.188999999999993</v>
      </c>
      <c r="F35" s="508">
        <f>IFERROR(F30+F32+F33,0)</f>
        <v>0</v>
      </c>
      <c r="G35" s="482">
        <f>IFERROR(SUM(E35:F35),0)</f>
        <v>71.188999999999993</v>
      </c>
      <c r="H35" s="197"/>
      <c r="I35" s="336" t="s">
        <v>3250</v>
      </c>
      <c r="J35" s="197"/>
      <c r="K35" s="337"/>
      <c r="L35" s="197"/>
      <c r="M35" s="2577"/>
      <c r="N35" s="2562"/>
      <c r="O35" s="2577"/>
      <c r="P35" s="2573"/>
      <c r="Q35" s="2573"/>
      <c r="R35" s="2577"/>
      <c r="S35" s="2562"/>
      <c r="T35" s="507" t="s">
        <v>3249</v>
      </c>
      <c r="U35" s="508" t="s">
        <v>3251</v>
      </c>
      <c r="V35" s="508" t="s">
        <v>3252</v>
      </c>
      <c r="W35" s="482" t="s">
        <v>3253</v>
      </c>
    </row>
    <row r="36" spans="1:23" ht="16.5" thickTop="1" thickBot="1">
      <c r="A36" s="197"/>
      <c r="B36" s="501"/>
      <c r="C36" s="501"/>
      <c r="D36" s="501"/>
      <c r="E36" s="502"/>
      <c r="F36" s="502"/>
      <c r="G36" s="502"/>
      <c r="H36" s="200"/>
      <c r="J36" s="197"/>
      <c r="K36" s="197"/>
      <c r="L36" s="197"/>
      <c r="M36" s="2577"/>
      <c r="N36" s="2562"/>
      <c r="O36" s="2577"/>
      <c r="P36" s="2573"/>
      <c r="Q36" s="2573"/>
      <c r="R36" s="2577"/>
      <c r="S36" s="2562"/>
      <c r="T36" s="501"/>
      <c r="U36" s="502"/>
      <c r="V36" s="502"/>
      <c r="W36" s="502"/>
    </row>
    <row r="37" spans="1:23" ht="16.5" thickTop="1" thickBot="1">
      <c r="A37" s="197"/>
      <c r="B37" s="509" t="s">
        <v>3254</v>
      </c>
      <c r="C37" s="505"/>
      <c r="D37" s="505"/>
      <c r="E37" s="502"/>
      <c r="F37" s="502"/>
      <c r="G37" s="502"/>
      <c r="H37" s="200"/>
      <c r="J37" s="197"/>
      <c r="K37" s="197"/>
      <c r="L37" s="197"/>
      <c r="M37" s="2577"/>
      <c r="N37" s="2562"/>
      <c r="O37" s="2577"/>
      <c r="P37" s="2573"/>
      <c r="Q37" s="2573"/>
      <c r="R37" s="2577"/>
      <c r="S37" s="2562"/>
      <c r="T37" s="509" t="s">
        <v>3254</v>
      </c>
      <c r="U37" s="502"/>
      <c r="V37" s="502"/>
      <c r="W37" s="502"/>
    </row>
    <row r="38" spans="1:23">
      <c r="A38" s="197"/>
      <c r="B38" s="477" t="s">
        <v>3254</v>
      </c>
      <c r="C38" s="478" t="s">
        <v>137</v>
      </c>
      <c r="D38" s="478">
        <v>3</v>
      </c>
      <c r="E38" s="481">
        <v>23.12</v>
      </c>
      <c r="F38" s="481">
        <v>0</v>
      </c>
      <c r="G38" s="504">
        <f>IFERROR(SUM(E38:F38),0)</f>
        <v>23.12</v>
      </c>
      <c r="H38" s="197"/>
      <c r="I38" s="336" t="s">
        <v>3255</v>
      </c>
      <c r="J38" s="197"/>
      <c r="K38" s="337"/>
      <c r="L38" s="197"/>
      <c r="M38" s="2577"/>
      <c r="N38" s="251">
        <f>IF( SUM( P38:Q38 ) = 0, 0, $P$5 )</f>
        <v>0</v>
      </c>
      <c r="O38" s="2577"/>
      <c r="P38" s="252">
        <f t="shared" ref="P38:Q38" si="14" xml:space="preserve"> IF( ISNUMBER( E38 ), 0, 1 )</f>
        <v>0</v>
      </c>
      <c r="Q38" s="252">
        <f t="shared" si="14"/>
        <v>0</v>
      </c>
      <c r="R38" s="2577"/>
      <c r="S38" s="2562"/>
      <c r="T38" s="477" t="s">
        <v>3254</v>
      </c>
      <c r="U38" s="481" t="s">
        <v>3256</v>
      </c>
      <c r="V38" s="481" t="s">
        <v>3257</v>
      </c>
      <c r="W38" s="504" t="s">
        <v>3258</v>
      </c>
    </row>
    <row r="39" spans="1:23" ht="16.5" thickTop="1" thickBot="1">
      <c r="A39" s="197"/>
      <c r="B39" s="501"/>
      <c r="C39" s="501"/>
      <c r="D39" s="501"/>
      <c r="E39" s="502"/>
      <c r="F39" s="502"/>
      <c r="G39" s="502"/>
      <c r="H39" s="197"/>
      <c r="J39" s="197"/>
      <c r="K39" s="197"/>
      <c r="L39" s="197"/>
      <c r="M39" s="2577"/>
      <c r="N39" s="2562"/>
      <c r="O39" s="2577"/>
      <c r="P39" s="2573"/>
      <c r="Q39" s="2573"/>
      <c r="R39" s="2577"/>
      <c r="S39" s="2562"/>
      <c r="T39" s="501"/>
      <c r="U39" s="502"/>
      <c r="V39" s="502"/>
      <c r="W39" s="502"/>
    </row>
    <row r="40" spans="1:23" ht="16.5" thickTop="1" thickBot="1">
      <c r="A40" s="197"/>
      <c r="B40" s="509" t="s">
        <v>2389</v>
      </c>
      <c r="C40" s="505"/>
      <c r="D40" s="505"/>
      <c r="E40" s="502"/>
      <c r="F40" s="502"/>
      <c r="G40" s="502"/>
      <c r="H40" s="197"/>
      <c r="J40" s="197"/>
      <c r="K40" s="197"/>
      <c r="L40" s="197"/>
      <c r="M40" s="2577"/>
      <c r="N40" s="2562"/>
      <c r="O40" s="2577"/>
      <c r="P40" s="2573"/>
      <c r="Q40" s="2573"/>
      <c r="R40" s="2577"/>
      <c r="S40" s="2562"/>
      <c r="T40" s="509" t="s">
        <v>2389</v>
      </c>
      <c r="U40" s="502"/>
      <c r="V40" s="502"/>
      <c r="W40" s="502"/>
    </row>
    <row r="41" spans="1:23">
      <c r="A41" s="197"/>
      <c r="B41" s="477" t="s">
        <v>2389</v>
      </c>
      <c r="C41" s="478" t="s">
        <v>137</v>
      </c>
      <c r="D41" s="478">
        <v>3</v>
      </c>
      <c r="E41" s="481">
        <v>9.7910000000000004</v>
      </c>
      <c r="F41" s="481">
        <v>0</v>
      </c>
      <c r="G41" s="504">
        <f>IFERROR(SUM(E41:F41),0)</f>
        <v>9.7910000000000004</v>
      </c>
      <c r="H41" s="197"/>
      <c r="I41" s="336" t="s">
        <v>3259</v>
      </c>
      <c r="J41" s="197"/>
      <c r="K41" s="337"/>
      <c r="L41" s="197"/>
      <c r="M41" s="2577"/>
      <c r="N41" s="251">
        <f>IF( SUM( P41:Q41 ) = 0, 0, $P$5 )</f>
        <v>0</v>
      </c>
      <c r="O41" s="2577"/>
      <c r="P41" s="252">
        <f t="shared" ref="P41:Q41" si="15" xml:space="preserve"> IF( ISNUMBER( E41 ), 0, 1 )</f>
        <v>0</v>
      </c>
      <c r="Q41" s="252">
        <f t="shared" si="15"/>
        <v>0</v>
      </c>
      <c r="R41" s="2577"/>
      <c r="S41" s="2562"/>
      <c r="T41" s="477" t="s">
        <v>2389</v>
      </c>
      <c r="U41" s="481" t="s">
        <v>3260</v>
      </c>
      <c r="V41" s="481" t="s">
        <v>3261</v>
      </c>
      <c r="W41" s="504" t="s">
        <v>3262</v>
      </c>
    </row>
    <row r="42" spans="1:23" ht="16.5" thickTop="1" thickBot="1">
      <c r="A42" s="197"/>
      <c r="B42" s="463"/>
      <c r="C42" s="463"/>
      <c r="D42" s="463"/>
      <c r="E42" s="510"/>
      <c r="F42" s="510"/>
      <c r="G42" s="511"/>
      <c r="H42" s="197"/>
      <c r="J42" s="197"/>
      <c r="K42" s="197"/>
      <c r="L42" s="197"/>
      <c r="M42" s="2577"/>
      <c r="N42" s="2562"/>
      <c r="O42" s="2577"/>
      <c r="P42" s="2573"/>
      <c r="Q42" s="2573"/>
      <c r="R42" s="2577"/>
      <c r="S42" s="2562"/>
      <c r="T42" s="463"/>
      <c r="U42" s="510"/>
      <c r="V42" s="510"/>
      <c r="W42" s="511"/>
    </row>
    <row r="43" spans="1:23" ht="63" thickTop="1" thickBot="1">
      <c r="A43" s="197"/>
      <c r="B43" s="509" t="s">
        <v>3263</v>
      </c>
      <c r="C43" s="505"/>
      <c r="D43" s="505"/>
      <c r="E43" s="512"/>
      <c r="F43" s="512"/>
      <c r="G43" s="511"/>
      <c r="H43" s="197"/>
      <c r="J43" s="197"/>
      <c r="K43" s="197"/>
      <c r="L43" s="197"/>
      <c r="M43" s="2577"/>
      <c r="N43" s="2562"/>
      <c r="O43" s="2577"/>
      <c r="P43" s="2573"/>
      <c r="Q43" s="2573"/>
      <c r="R43" s="2577"/>
      <c r="S43" s="2562"/>
      <c r="T43" s="509" t="s">
        <v>3263</v>
      </c>
      <c r="U43" s="512"/>
      <c r="V43" s="512"/>
      <c r="W43" s="511"/>
    </row>
    <row r="44" spans="1:23" ht="31">
      <c r="A44" s="197"/>
      <c r="B44" s="445" t="s">
        <v>3264</v>
      </c>
      <c r="C44" s="447" t="s">
        <v>137</v>
      </c>
      <c r="D44" s="447">
        <v>3</v>
      </c>
      <c r="E44" s="513">
        <v>1.256</v>
      </c>
      <c r="F44" s="514"/>
      <c r="G44" s="514"/>
      <c r="H44" s="197"/>
      <c r="I44" s="248" t="s">
        <v>3265</v>
      </c>
      <c r="J44" s="197"/>
      <c r="K44" s="250"/>
      <c r="L44" s="197"/>
      <c r="M44" s="2577"/>
      <c r="N44" s="251">
        <f t="shared" ref="N44:N45" si="16">IF( SUM( P44:Q44 ) = 0, 0, $P$5 )</f>
        <v>0</v>
      </c>
      <c r="O44" s="2577"/>
      <c r="P44" s="252">
        <f t="shared" ref="P44:P45" si="17" xml:space="preserve"> IF( ISNUMBER( E44 ), 0, 1 )</f>
        <v>0</v>
      </c>
      <c r="Q44" s="2573"/>
      <c r="R44" s="2577"/>
      <c r="S44" s="2562"/>
      <c r="T44" s="445" t="s">
        <v>3264</v>
      </c>
      <c r="U44" s="513" t="s">
        <v>3266</v>
      </c>
      <c r="V44" s="514"/>
      <c r="W44" s="514"/>
    </row>
    <row r="45" spans="1:23" ht="31">
      <c r="A45" s="197"/>
      <c r="B45" s="454" t="s">
        <v>3267</v>
      </c>
      <c r="C45" s="455" t="s">
        <v>137</v>
      </c>
      <c r="D45" s="455">
        <v>3</v>
      </c>
      <c r="E45" s="515">
        <v>1.256</v>
      </c>
      <c r="F45" s="514"/>
      <c r="G45" s="514"/>
      <c r="H45" s="197"/>
      <c r="I45" s="257" t="s">
        <v>3268</v>
      </c>
      <c r="J45" s="197"/>
      <c r="K45" s="258"/>
      <c r="L45" s="197"/>
      <c r="M45" s="2577"/>
      <c r="N45" s="251">
        <f t="shared" si="16"/>
        <v>0</v>
      </c>
      <c r="O45" s="2577"/>
      <c r="P45" s="252">
        <f t="shared" si="17"/>
        <v>0</v>
      </c>
      <c r="Q45" s="2573"/>
      <c r="R45" s="2577"/>
      <c r="S45" s="2562"/>
      <c r="T45" s="454" t="s">
        <v>3267</v>
      </c>
      <c r="U45" s="515" t="s">
        <v>3269</v>
      </c>
      <c r="V45" s="514"/>
      <c r="W45" s="514"/>
    </row>
    <row r="46" spans="1:23" ht="31.5" thickBot="1">
      <c r="A46" s="197"/>
      <c r="B46" s="466" t="s">
        <v>3270</v>
      </c>
      <c r="C46" s="475" t="s">
        <v>137</v>
      </c>
      <c r="D46" s="475">
        <v>3</v>
      </c>
      <c r="E46" s="516">
        <f>IFERROR(E44-E45,0)</f>
        <v>0</v>
      </c>
      <c r="F46" s="514"/>
      <c r="G46" s="514"/>
      <c r="H46" s="197"/>
      <c r="I46" s="320" t="s">
        <v>3271</v>
      </c>
      <c r="J46" s="197"/>
      <c r="K46" s="269"/>
      <c r="L46" s="197"/>
      <c r="M46" s="2577"/>
      <c r="N46" s="2562"/>
      <c r="O46" s="2577"/>
      <c r="P46" s="2573"/>
      <c r="Q46" s="2573"/>
      <c r="R46" s="2577"/>
      <c r="S46" s="2562"/>
      <c r="T46" s="466" t="s">
        <v>3270</v>
      </c>
      <c r="U46" s="516" t="s">
        <v>3272</v>
      </c>
      <c r="V46" s="514"/>
      <c r="W46" s="514"/>
    </row>
    <row r="47" spans="1:23" ht="16.5" thickTop="1" thickBot="1">
      <c r="A47" s="197"/>
      <c r="B47" s="505"/>
      <c r="C47" s="505"/>
      <c r="D47" s="505"/>
      <c r="E47" s="502"/>
      <c r="F47" s="517"/>
      <c r="G47" s="517"/>
      <c r="H47" s="197"/>
      <c r="J47" s="197"/>
      <c r="K47" s="197"/>
      <c r="L47" s="197"/>
      <c r="M47" s="2577"/>
      <c r="N47" s="2562"/>
      <c r="O47" s="2577"/>
      <c r="P47" s="2573"/>
      <c r="Q47" s="2573"/>
      <c r="R47" s="2577"/>
      <c r="S47" s="2562"/>
      <c r="T47" s="505"/>
      <c r="U47" s="502"/>
      <c r="V47" s="517"/>
      <c r="W47" s="517"/>
    </row>
    <row r="48" spans="1:23" ht="16.399999999999999" customHeight="1">
      <c r="A48" s="197"/>
      <c r="B48" s="445" t="s">
        <v>3273</v>
      </c>
      <c r="C48" s="447" t="s">
        <v>137</v>
      </c>
      <c r="D48" s="447">
        <v>3</v>
      </c>
      <c r="E48" s="513">
        <v>7.625</v>
      </c>
      <c r="F48" s="514"/>
      <c r="G48" s="514"/>
      <c r="H48" s="197"/>
      <c r="I48" s="248" t="s">
        <v>3274</v>
      </c>
      <c r="J48" s="197"/>
      <c r="K48" s="250"/>
      <c r="L48" s="197"/>
      <c r="M48" s="2577"/>
      <c r="N48" s="251">
        <f t="shared" ref="N48:N49" si="18">IF( SUM( P48:Q48 ) = 0, 0, $P$5 )</f>
        <v>0</v>
      </c>
      <c r="O48" s="2577"/>
      <c r="P48" s="252">
        <f t="shared" ref="P48:P49" si="19" xml:space="preserve"> IF( ISNUMBER( E48 ), 0, 1 )</f>
        <v>0</v>
      </c>
      <c r="Q48" s="2573"/>
      <c r="R48" s="2577"/>
      <c r="S48" s="2562"/>
      <c r="T48" s="445" t="s">
        <v>3273</v>
      </c>
      <c r="U48" s="513" t="s">
        <v>3275</v>
      </c>
      <c r="V48" s="514"/>
      <c r="W48" s="514"/>
    </row>
    <row r="49" spans="1:23" ht="31">
      <c r="A49" s="197"/>
      <c r="B49" s="454" t="s">
        <v>3276</v>
      </c>
      <c r="C49" s="455" t="s">
        <v>137</v>
      </c>
      <c r="D49" s="455">
        <v>3</v>
      </c>
      <c r="E49" s="515">
        <v>7.625</v>
      </c>
      <c r="F49" s="514"/>
      <c r="G49" s="514"/>
      <c r="H49" s="197"/>
      <c r="I49" s="257" t="s">
        <v>3277</v>
      </c>
      <c r="J49" s="197"/>
      <c r="K49" s="258"/>
      <c r="L49" s="197"/>
      <c r="M49" s="2577"/>
      <c r="N49" s="251">
        <f t="shared" si="18"/>
        <v>0</v>
      </c>
      <c r="O49" s="2577"/>
      <c r="P49" s="252">
        <f t="shared" si="19"/>
        <v>0</v>
      </c>
      <c r="Q49" s="2573"/>
      <c r="R49" s="2577"/>
      <c r="S49" s="2562"/>
      <c r="T49" s="454" t="s">
        <v>3276</v>
      </c>
      <c r="U49" s="515" t="s">
        <v>3278</v>
      </c>
      <c r="V49" s="514"/>
      <c r="W49" s="514"/>
    </row>
    <row r="50" spans="1:23" ht="31.5" thickBot="1">
      <c r="A50" s="197"/>
      <c r="B50" s="466" t="s">
        <v>1700</v>
      </c>
      <c r="C50" s="475" t="s">
        <v>137</v>
      </c>
      <c r="D50" s="475">
        <v>3</v>
      </c>
      <c r="E50" s="516">
        <f>IFERROR(E48-E49,0)</f>
        <v>0</v>
      </c>
      <c r="F50" s="514"/>
      <c r="G50" s="514"/>
      <c r="H50" s="197"/>
      <c r="I50" s="320" t="s">
        <v>3279</v>
      </c>
      <c r="J50" s="197"/>
      <c r="K50" s="269"/>
      <c r="L50" s="197"/>
      <c r="M50" s="2577"/>
      <c r="N50" s="2562"/>
      <c r="O50" s="2577"/>
      <c r="P50" s="2573"/>
      <c r="Q50" s="2573"/>
      <c r="R50" s="2577"/>
      <c r="S50" s="2562"/>
      <c r="T50" s="466" t="s">
        <v>1700</v>
      </c>
      <c r="U50" s="516" t="s">
        <v>3280</v>
      </c>
      <c r="V50" s="514"/>
      <c r="W50" s="514"/>
    </row>
    <row r="51" spans="1:23" ht="16.5" thickTop="1" thickBot="1">
      <c r="A51" s="197"/>
      <c r="B51" s="518"/>
      <c r="C51" s="518"/>
      <c r="D51" s="518"/>
      <c r="E51" s="197"/>
      <c r="F51" s="197"/>
      <c r="G51" s="197"/>
      <c r="H51" s="197"/>
      <c r="J51" s="197"/>
      <c r="K51" s="197"/>
      <c r="L51" s="197"/>
      <c r="M51" s="2577"/>
      <c r="N51" s="2562"/>
      <c r="O51" s="2577"/>
      <c r="P51" s="2573"/>
      <c r="Q51" s="2573"/>
      <c r="R51" s="2577"/>
      <c r="S51" s="2562"/>
      <c r="T51" s="518"/>
      <c r="U51" s="197"/>
      <c r="V51" s="197"/>
      <c r="W51" s="197"/>
    </row>
    <row r="52" spans="1:23" ht="32" thickTop="1" thickBot="1">
      <c r="A52" s="197"/>
      <c r="B52" s="509" t="s">
        <v>3281</v>
      </c>
      <c r="C52" s="505"/>
      <c r="D52" s="505"/>
      <c r="E52" s="512"/>
      <c r="F52" s="512"/>
      <c r="G52" s="511"/>
      <c r="H52" s="197"/>
      <c r="J52" s="197"/>
      <c r="K52" s="197"/>
      <c r="L52" s="197"/>
      <c r="M52" s="2577"/>
      <c r="N52" s="2562"/>
      <c r="O52" s="2577"/>
      <c r="P52" s="2573"/>
      <c r="Q52" s="2573"/>
      <c r="R52" s="2577"/>
      <c r="S52" s="2562"/>
      <c r="T52" s="509" t="s">
        <v>3281</v>
      </c>
      <c r="U52" s="512"/>
      <c r="V52" s="512"/>
      <c r="W52" s="511"/>
    </row>
    <row r="53" spans="1:23" ht="31.5" thickTop="1">
      <c r="A53" s="197"/>
      <c r="B53" s="445" t="s">
        <v>1701</v>
      </c>
      <c r="C53" s="447" t="s">
        <v>137</v>
      </c>
      <c r="D53" s="447">
        <v>3</v>
      </c>
      <c r="E53" s="513">
        <v>236.643</v>
      </c>
      <c r="F53" s="514"/>
      <c r="G53" s="197"/>
      <c r="H53" s="197"/>
      <c r="I53" s="248" t="s">
        <v>3282</v>
      </c>
      <c r="J53" s="197"/>
      <c r="K53" s="519"/>
      <c r="L53" s="197"/>
      <c r="M53" s="2577"/>
      <c r="N53" s="251">
        <f t="shared" ref="N53:N55" si="20">IF( SUM( P53:Q53 ) = 0, 0, $P$5 )</f>
        <v>0</v>
      </c>
      <c r="O53" s="2577"/>
      <c r="P53" s="252">
        <f t="shared" ref="P53:P55" si="21" xml:space="preserve"> IF( ISNUMBER( E53 ), 0, 1 )</f>
        <v>0</v>
      </c>
      <c r="Q53" s="2573"/>
      <c r="R53" s="2577"/>
      <c r="S53" s="2562"/>
      <c r="T53" s="445" t="s">
        <v>1701</v>
      </c>
      <c r="U53" s="513" t="s">
        <v>3283</v>
      </c>
      <c r="V53" s="514"/>
      <c r="W53" s="197"/>
    </row>
    <row r="54" spans="1:23" ht="31">
      <c r="A54" s="197"/>
      <c r="B54" s="454" t="s">
        <v>1702</v>
      </c>
      <c r="C54" s="455" t="s">
        <v>137</v>
      </c>
      <c r="D54" s="455">
        <v>3</v>
      </c>
      <c r="E54" s="515">
        <v>190.3</v>
      </c>
      <c r="F54" s="514"/>
      <c r="G54" s="197"/>
      <c r="H54" s="197"/>
      <c r="I54" s="257" t="s">
        <v>3284</v>
      </c>
      <c r="J54" s="197"/>
      <c r="K54" s="520"/>
      <c r="L54" s="197"/>
      <c r="M54" s="2577"/>
      <c r="N54" s="251">
        <f t="shared" si="20"/>
        <v>0</v>
      </c>
      <c r="O54" s="2577"/>
      <c r="P54" s="252">
        <f t="shared" si="21"/>
        <v>0</v>
      </c>
      <c r="Q54" s="2573"/>
      <c r="R54" s="2577"/>
      <c r="S54" s="2562"/>
      <c r="T54" s="454" t="s">
        <v>1702</v>
      </c>
      <c r="U54" s="515" t="s">
        <v>3285</v>
      </c>
      <c r="V54" s="514"/>
      <c r="W54" s="197"/>
    </row>
    <row r="55" spans="1:23" ht="16" thickBot="1">
      <c r="A55" s="197"/>
      <c r="B55" s="466" t="s">
        <v>1703</v>
      </c>
      <c r="C55" s="475" t="s">
        <v>137</v>
      </c>
      <c r="D55" s="475">
        <v>3</v>
      </c>
      <c r="E55" s="521">
        <v>321.8</v>
      </c>
      <c r="F55" s="514"/>
      <c r="G55" s="197"/>
      <c r="H55" s="197"/>
      <c r="I55" s="320" t="s">
        <v>3286</v>
      </c>
      <c r="J55" s="197"/>
      <c r="K55" s="522"/>
      <c r="L55" s="197"/>
      <c r="M55" s="2577"/>
      <c r="N55" s="251">
        <f t="shared" si="20"/>
        <v>0</v>
      </c>
      <c r="O55" s="2577"/>
      <c r="P55" s="252">
        <f t="shared" si="21"/>
        <v>0</v>
      </c>
      <c r="Q55" s="2573"/>
      <c r="R55" s="2577"/>
      <c r="S55" s="2562"/>
      <c r="T55" s="466" t="s">
        <v>1703</v>
      </c>
      <c r="U55" s="521" t="s">
        <v>3287</v>
      </c>
      <c r="V55" s="514"/>
      <c r="W55" s="197"/>
    </row>
    <row r="56" spans="1:23" ht="16" thickTop="1">
      <c r="A56" s="197"/>
      <c r="B56" s="197"/>
      <c r="C56" s="197"/>
      <c r="D56" s="197"/>
      <c r="E56" s="197"/>
      <c r="F56" s="197"/>
      <c r="G56" s="197"/>
      <c r="H56" s="197"/>
      <c r="J56" s="197"/>
      <c r="K56" s="197"/>
      <c r="L56" s="197"/>
      <c r="M56" s="2562"/>
      <c r="N56" s="2562"/>
      <c r="O56" s="2572"/>
      <c r="P56" s="2573"/>
      <c r="Q56" s="2573"/>
      <c r="R56" s="2572"/>
      <c r="S56" s="2562"/>
      <c r="T56" s="2562"/>
      <c r="U56" s="2562"/>
      <c r="V56" s="2562"/>
      <c r="W56" s="2562"/>
    </row>
    <row r="57" spans="1:23">
      <c r="A57" s="197"/>
      <c r="B57" s="197"/>
      <c r="C57" s="197"/>
      <c r="D57" s="197"/>
      <c r="E57" s="197"/>
      <c r="F57" s="197"/>
      <c r="G57" s="197"/>
      <c r="H57" s="197"/>
      <c r="J57" s="197"/>
      <c r="K57" s="197"/>
      <c r="L57" s="197"/>
      <c r="M57" s="2562"/>
      <c r="N57" s="2562"/>
      <c r="O57" s="2572"/>
      <c r="P57" s="2573"/>
      <c r="Q57" s="2573"/>
      <c r="R57" s="2572"/>
      <c r="S57" s="2562"/>
      <c r="T57" s="2562"/>
      <c r="U57" s="2562"/>
      <c r="V57" s="2562"/>
      <c r="W57" s="2562"/>
    </row>
    <row r="58" spans="1:23">
      <c r="A58" s="197"/>
      <c r="B58" s="197"/>
      <c r="C58" s="197"/>
      <c r="D58" s="197"/>
      <c r="E58" s="197"/>
      <c r="F58" s="197"/>
      <c r="G58" s="197"/>
      <c r="H58" s="197"/>
      <c r="J58" s="197"/>
      <c r="K58" s="197"/>
      <c r="L58" s="197"/>
      <c r="M58" s="2562"/>
      <c r="N58" s="2562"/>
      <c r="O58" s="2572"/>
      <c r="P58" s="2573"/>
      <c r="Q58" s="2573"/>
      <c r="R58" s="2572"/>
      <c r="S58" s="2562"/>
      <c r="T58" s="2562"/>
      <c r="U58" s="2562"/>
      <c r="V58" s="2562"/>
      <c r="W58" s="2562"/>
    </row>
  </sheetData>
  <sheetProtection formatColumns="0" formatRows="0"/>
  <mergeCells count="4">
    <mergeCell ref="E1:G1"/>
    <mergeCell ref="B3:K3"/>
    <mergeCell ref="T3:W3"/>
    <mergeCell ref="P4:Q4"/>
  </mergeCells>
  <conditionalFormatting sqref="N8:N51">
    <cfRule type="cellIs" dxfId="177" priority="2" operator="equal">
      <formula>0</formula>
    </cfRule>
  </conditionalFormatting>
  <conditionalFormatting sqref="N53:N55">
    <cfRule type="cellIs" dxfId="176" priority="1" operator="equal">
      <formula>0</formula>
    </cfRule>
  </conditionalFormatting>
  <dataValidations count="1">
    <dataValidation type="custom" allowBlank="1" showErrorMessage="1" errorTitle="Input Error" error="Please input a numeric value." sqref="E24:F27 E38:F38 E32:F33 E18:F21 E53:E55 F12:F14 E13:E14 E8:F11 E44:E45 E48:E49 E41:F41"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70" zoomScaleNormal="70" zoomScaleSheetLayoutView="100" workbookViewId="0">
      <selection activeCell="S31" sqref="S31"/>
    </sheetView>
  </sheetViews>
  <sheetFormatPr defaultColWidth="8.58203125" defaultRowHeight="15.5"/>
  <cols>
    <col min="1" max="1" width="1.58203125" style="220" customWidth="1"/>
    <col min="2" max="2" width="32" style="220" customWidth="1"/>
    <col min="3" max="3" width="7" style="220" customWidth="1"/>
    <col min="4" max="4" width="5.5" style="220" customWidth="1"/>
    <col min="5" max="5" width="13" style="220" customWidth="1"/>
    <col min="6" max="6" width="12.08203125" style="220" customWidth="1"/>
    <col min="7" max="12" width="12.5" style="546" customWidth="1"/>
    <col min="13" max="13" width="1.58203125" style="228" customWidth="1"/>
    <col min="14" max="14" width="12.5" style="547" customWidth="1"/>
    <col min="15" max="15" width="1.58203125" style="220" customWidth="1"/>
    <col min="16" max="16" width="33.58203125" style="220" customWidth="1"/>
    <col min="17" max="18" width="1.58203125" style="220" customWidth="1"/>
    <col min="19" max="19" width="20.08203125" style="220" customWidth="1"/>
    <col min="20" max="20" width="1.58203125" style="230" customWidth="1"/>
    <col min="21" max="27" width="7.5" style="230" hidden="1" customWidth="1"/>
    <col min="28" max="28" width="1.58203125" style="230" hidden="1" customWidth="1"/>
    <col min="29" max="29" width="1.58203125" style="220" customWidth="1"/>
    <col min="30" max="30" width="35.08203125" style="220" customWidth="1"/>
    <col min="31" max="31" width="13.58203125" style="220" bestFit="1" customWidth="1"/>
    <col min="32" max="32" width="13" style="220" bestFit="1" customWidth="1"/>
    <col min="33" max="38" width="12.5" style="220" customWidth="1"/>
    <col min="39" max="39" width="1.58203125" style="220" customWidth="1"/>
    <col min="40" max="16384" width="8.58203125" style="220"/>
  </cols>
  <sheetData>
    <row r="1" spans="1:38" s="351" customFormat="1" ht="22.5">
      <c r="B1" s="523" t="s">
        <v>3288</v>
      </c>
      <c r="C1" s="523"/>
      <c r="D1" s="523"/>
      <c r="E1" s="523"/>
      <c r="F1" s="523"/>
      <c r="G1" s="524"/>
      <c r="H1" s="524"/>
      <c r="I1" s="524"/>
      <c r="J1" s="524"/>
      <c r="K1" s="523"/>
      <c r="L1" s="523"/>
      <c r="M1" s="523"/>
      <c r="N1" s="523"/>
      <c r="R1" s="305"/>
      <c r="S1" s="227"/>
      <c r="T1" s="2577"/>
      <c r="U1" s="2572"/>
      <c r="V1" s="2572"/>
      <c r="W1" s="2572"/>
      <c r="X1" s="2572"/>
      <c r="Y1" s="2572"/>
      <c r="Z1" s="2572"/>
      <c r="AA1" s="2572"/>
      <c r="AB1" s="2577"/>
      <c r="AD1" s="523" t="s">
        <v>1887</v>
      </c>
      <c r="AE1" s="523"/>
      <c r="AF1" s="523"/>
    </row>
    <row r="2" spans="1:38" s="351" customFormat="1" ht="22.5">
      <c r="B2" s="2673" t="str">
        <f>SelectCompany!B4</f>
        <v>Yorkshire Water</v>
      </c>
      <c r="C2" s="2673"/>
      <c r="D2" s="2673"/>
      <c r="E2" s="2673"/>
      <c r="F2" s="2673"/>
      <c r="G2" s="2673"/>
      <c r="H2" s="2673"/>
      <c r="I2" s="2673"/>
      <c r="J2" s="2673"/>
      <c r="K2" s="525"/>
      <c r="L2" s="525"/>
      <c r="M2" s="491"/>
      <c r="N2" s="491"/>
      <c r="R2" s="305"/>
      <c r="S2" s="227"/>
      <c r="T2" s="2577"/>
      <c r="U2" s="2572"/>
      <c r="V2" s="2572"/>
      <c r="W2" s="2572"/>
      <c r="X2" s="2572"/>
      <c r="Y2" s="2572"/>
      <c r="Z2" s="2572"/>
      <c r="AA2" s="2572"/>
      <c r="AB2" s="2577"/>
      <c r="AD2" s="523"/>
      <c r="AE2" s="523"/>
      <c r="AF2" s="523"/>
    </row>
    <row r="3" spans="1:38" s="197" customFormat="1" ht="19">
      <c r="B3" s="2674" t="s">
        <v>3289</v>
      </c>
      <c r="C3" s="2675"/>
      <c r="D3" s="2675"/>
      <c r="E3" s="2675"/>
      <c r="F3" s="2675"/>
      <c r="G3" s="2675"/>
      <c r="H3" s="2675"/>
      <c r="I3" s="2675"/>
      <c r="J3" s="2675"/>
      <c r="K3" s="2675"/>
      <c r="L3" s="2675"/>
      <c r="M3" s="2675"/>
      <c r="N3" s="2675"/>
      <c r="O3" s="2675"/>
      <c r="P3" s="2675"/>
      <c r="R3" s="307"/>
      <c r="S3" s="232" t="s">
        <v>1889</v>
      </c>
      <c r="T3" s="2577"/>
      <c r="U3" s="2572"/>
      <c r="V3" s="2572"/>
      <c r="W3" s="2572"/>
      <c r="X3" s="2572"/>
      <c r="Y3" s="2572"/>
      <c r="Z3" s="2572"/>
      <c r="AA3" s="2572"/>
      <c r="AB3" s="2577"/>
      <c r="AD3" s="2676" t="s">
        <v>3289</v>
      </c>
      <c r="AE3" s="2677"/>
      <c r="AF3" s="2677"/>
      <c r="AG3" s="2677"/>
      <c r="AH3" s="2677"/>
      <c r="AI3" s="2677"/>
      <c r="AJ3" s="2677"/>
      <c r="AK3" s="2677"/>
      <c r="AL3" s="2677"/>
    </row>
    <row r="4" spans="1:38" s="197" customFormat="1" ht="23" thickBot="1">
      <c r="B4" s="492"/>
      <c r="C4" s="492"/>
      <c r="D4" s="492"/>
      <c r="E4" s="492"/>
      <c r="F4" s="492"/>
      <c r="G4" s="526"/>
      <c r="H4" s="526"/>
      <c r="I4" s="526"/>
      <c r="J4" s="526"/>
      <c r="K4" s="526"/>
      <c r="L4" s="526"/>
      <c r="M4" s="106"/>
      <c r="N4" s="527"/>
      <c r="R4" s="2576"/>
      <c r="S4" s="2562"/>
      <c r="T4" s="2577"/>
      <c r="U4" s="2662" t="s">
        <v>1890</v>
      </c>
      <c r="V4" s="2662"/>
      <c r="W4" s="2662"/>
      <c r="X4" s="2662"/>
      <c r="Y4" s="2662"/>
      <c r="Z4" s="2662"/>
      <c r="AA4" s="2662"/>
      <c r="AB4" s="2577"/>
      <c r="AD4" s="492"/>
      <c r="AE4" s="492"/>
      <c r="AF4" s="492"/>
      <c r="AG4" s="492"/>
      <c r="AH4" s="492"/>
      <c r="AI4" s="492"/>
      <c r="AJ4" s="492"/>
      <c r="AK4" s="492"/>
      <c r="AL4" s="492"/>
    </row>
    <row r="5" spans="1:38" ht="47.5" thickTop="1" thickBot="1">
      <c r="A5" s="197"/>
      <c r="B5" s="407" t="s">
        <v>1891</v>
      </c>
      <c r="C5" s="408" t="s">
        <v>1892</v>
      </c>
      <c r="D5" s="408" t="s">
        <v>136</v>
      </c>
      <c r="E5" s="528" t="s">
        <v>3290</v>
      </c>
      <c r="F5" s="529" t="s">
        <v>3291</v>
      </c>
      <c r="G5" s="529" t="s">
        <v>2828</v>
      </c>
      <c r="H5" s="529" t="s">
        <v>2829</v>
      </c>
      <c r="I5" s="529" t="s">
        <v>2830</v>
      </c>
      <c r="J5" s="529" t="s">
        <v>2831</v>
      </c>
      <c r="K5" s="529" t="s">
        <v>2832</v>
      </c>
      <c r="L5" s="530" t="s">
        <v>2112</v>
      </c>
      <c r="M5" s="106"/>
      <c r="N5" s="531" t="s">
        <v>1896</v>
      </c>
      <c r="O5" s="197"/>
      <c r="P5" s="411" t="s">
        <v>1897</v>
      </c>
      <c r="Q5" s="197"/>
      <c r="R5" s="2576"/>
      <c r="S5" s="2562"/>
      <c r="T5" s="2577"/>
      <c r="U5" s="236" t="s">
        <v>1898</v>
      </c>
      <c r="V5" s="237"/>
      <c r="W5" s="237"/>
      <c r="X5" s="237"/>
      <c r="Y5" s="237"/>
      <c r="Z5" s="237"/>
      <c r="AA5" s="237"/>
      <c r="AB5" s="2577"/>
      <c r="AC5" s="2562"/>
      <c r="AD5" s="407" t="s">
        <v>1891</v>
      </c>
      <c r="AE5" s="528" t="s">
        <v>3290</v>
      </c>
      <c r="AF5" s="529" t="s">
        <v>3291</v>
      </c>
      <c r="AG5" s="529" t="s">
        <v>3292</v>
      </c>
      <c r="AH5" s="529" t="s">
        <v>2829</v>
      </c>
      <c r="AI5" s="529" t="s">
        <v>2830</v>
      </c>
      <c r="AJ5" s="529" t="s">
        <v>2831</v>
      </c>
      <c r="AK5" s="529" t="s">
        <v>2832</v>
      </c>
      <c r="AL5" s="530" t="s">
        <v>2112</v>
      </c>
    </row>
    <row r="6" spans="1:38" ht="16.5" thickTop="1" thickBot="1">
      <c r="A6" s="197"/>
      <c r="B6" s="106"/>
      <c r="C6" s="106"/>
      <c r="D6" s="106"/>
      <c r="E6" s="106"/>
      <c r="F6" s="106"/>
      <c r="G6" s="532"/>
      <c r="H6" s="532"/>
      <c r="I6" s="532"/>
      <c r="J6" s="532"/>
      <c r="K6" s="532"/>
      <c r="L6" s="532"/>
      <c r="M6" s="106"/>
      <c r="N6" s="496"/>
      <c r="O6" s="197"/>
      <c r="P6" s="197"/>
      <c r="Q6" s="197"/>
      <c r="R6" s="2576"/>
      <c r="S6" s="2562"/>
      <c r="T6" s="2577"/>
      <c r="U6" s="2562"/>
      <c r="V6" s="2562"/>
      <c r="W6" s="2562"/>
      <c r="X6" s="2562"/>
      <c r="Y6" s="2562"/>
      <c r="Z6" s="2562"/>
      <c r="AA6" s="2562"/>
      <c r="AB6" s="2577"/>
      <c r="AC6" s="2562"/>
      <c r="AD6" s="106"/>
      <c r="AE6" s="106"/>
      <c r="AF6" s="106"/>
      <c r="AG6" s="532"/>
      <c r="AH6" s="532"/>
      <c r="AI6" s="532"/>
      <c r="AJ6" s="532"/>
      <c r="AK6" s="532"/>
      <c r="AL6" s="532"/>
    </row>
    <row r="7" spans="1:38" ht="22.4" customHeight="1" thickTop="1" thickBot="1">
      <c r="A7" s="197"/>
      <c r="B7" s="355" t="s">
        <v>3293</v>
      </c>
      <c r="C7" s="356"/>
      <c r="D7" s="356"/>
      <c r="E7" s="356"/>
      <c r="F7" s="356"/>
      <c r="G7" s="533"/>
      <c r="H7" s="533"/>
      <c r="I7" s="533"/>
      <c r="J7" s="533"/>
      <c r="K7" s="533"/>
      <c r="L7" s="533"/>
      <c r="M7" s="106"/>
      <c r="N7" s="106"/>
      <c r="O7" s="197"/>
      <c r="P7" s="197"/>
      <c r="Q7" s="197"/>
      <c r="R7" s="2576"/>
      <c r="S7" s="2573"/>
      <c r="T7" s="2577"/>
      <c r="U7" s="2573"/>
      <c r="V7" s="2573"/>
      <c r="W7" s="2573"/>
      <c r="X7" s="2573"/>
      <c r="Y7" s="2573"/>
      <c r="Z7" s="2573"/>
      <c r="AA7" s="2573"/>
      <c r="AB7" s="2577"/>
      <c r="AC7" s="2562"/>
      <c r="AD7" s="355" t="s">
        <v>3293</v>
      </c>
      <c r="AE7" s="356"/>
      <c r="AF7" s="356"/>
      <c r="AG7" s="533"/>
      <c r="AH7" s="533"/>
      <c r="AI7" s="533"/>
      <c r="AJ7" s="533"/>
      <c r="AK7" s="533"/>
      <c r="AL7" s="533"/>
    </row>
    <row r="8" spans="1:38" ht="22.4" customHeight="1" thickTop="1">
      <c r="A8" s="197"/>
      <c r="B8" s="413" t="s">
        <v>3294</v>
      </c>
      <c r="C8" s="244" t="s">
        <v>137</v>
      </c>
      <c r="D8" s="244">
        <v>3</v>
      </c>
      <c r="E8" s="245">
        <v>35.631</v>
      </c>
      <c r="F8" s="245">
        <v>0</v>
      </c>
      <c r="G8" s="245">
        <v>442.33499999999998</v>
      </c>
      <c r="H8" s="245">
        <v>5211.5929999999998</v>
      </c>
      <c r="I8" s="245">
        <v>6257.165</v>
      </c>
      <c r="J8" s="245">
        <v>574.68600000000004</v>
      </c>
      <c r="K8" s="245">
        <v>0</v>
      </c>
      <c r="L8" s="247">
        <f t="shared" ref="L8:L13" si="0">IFERROR(SUM(E8:K8),0)</f>
        <v>12521.41</v>
      </c>
      <c r="M8" s="274"/>
      <c r="N8" s="534" t="s">
        <v>3295</v>
      </c>
      <c r="O8" s="197"/>
      <c r="P8" s="250"/>
      <c r="Q8" s="197"/>
      <c r="R8" s="2576"/>
      <c r="S8" s="251">
        <f>IF( SUM( U8:AA8 ) = 0, 0, $U$5 )</f>
        <v>0</v>
      </c>
      <c r="T8" s="2577"/>
      <c r="U8" s="252">
        <f xml:space="preserve"> IF( ISNUMBER( E8 ), 0, 1 )</f>
        <v>0</v>
      </c>
      <c r="V8" s="252">
        <f t="shared" ref="V8:V12" si="1" xml:space="preserve"> IF( ISNUMBER( F8 ), 0, 1 )</f>
        <v>0</v>
      </c>
      <c r="W8" s="252">
        <f t="shared" ref="W8:W12" si="2" xml:space="preserve"> IF( ISNUMBER( G8 ), 0, 1 )</f>
        <v>0</v>
      </c>
      <c r="X8" s="252">
        <f t="shared" ref="X8:X12" si="3" xml:space="preserve"> IF( ISNUMBER( H8 ), 0, 1 )</f>
        <v>0</v>
      </c>
      <c r="Y8" s="252">
        <f t="shared" ref="Y8:Y12" si="4" xml:space="preserve"> IF( ISNUMBER( I8 ), 0, 1 )</f>
        <v>0</v>
      </c>
      <c r="Z8" s="252">
        <f t="shared" ref="Z8:AA12" si="5" xml:space="preserve"> IF( ISNUMBER( J8 ), 0, 1 )</f>
        <v>0</v>
      </c>
      <c r="AA8" s="252">
        <f t="shared" si="5"/>
        <v>0</v>
      </c>
      <c r="AB8" s="2577"/>
      <c r="AC8" s="2562"/>
      <c r="AD8" s="413" t="s">
        <v>3294</v>
      </c>
      <c r="AE8" s="245" t="s">
        <v>3296</v>
      </c>
      <c r="AF8" s="245" t="s">
        <v>3297</v>
      </c>
      <c r="AG8" s="245" t="s">
        <v>3298</v>
      </c>
      <c r="AH8" s="245" t="s">
        <v>3299</v>
      </c>
      <c r="AI8" s="245" t="s">
        <v>3300</v>
      </c>
      <c r="AJ8" s="245" t="s">
        <v>3301</v>
      </c>
      <c r="AK8" s="245" t="s">
        <v>3302</v>
      </c>
      <c r="AL8" s="247" t="s">
        <v>3303</v>
      </c>
    </row>
    <row r="9" spans="1:38" ht="22.4" customHeight="1">
      <c r="A9" s="197"/>
      <c r="B9" s="422" t="s">
        <v>3304</v>
      </c>
      <c r="C9" s="253" t="s">
        <v>137</v>
      </c>
      <c r="D9" s="253">
        <v>3</v>
      </c>
      <c r="E9" s="254">
        <v>-9.907</v>
      </c>
      <c r="F9" s="254">
        <v>0</v>
      </c>
      <c r="G9" s="254">
        <v>-4.798</v>
      </c>
      <c r="H9" s="254">
        <v>-45.500999999999998</v>
      </c>
      <c r="I9" s="254">
        <v>-89.912000000000006</v>
      </c>
      <c r="J9" s="254">
        <v>-11.744</v>
      </c>
      <c r="K9" s="254">
        <v>0</v>
      </c>
      <c r="L9" s="256">
        <f t="shared" si="0"/>
        <v>-161.86199999999999</v>
      </c>
      <c r="M9" s="274"/>
      <c r="N9" s="535" t="s">
        <v>3305</v>
      </c>
      <c r="O9" s="197"/>
      <c r="P9" s="258"/>
      <c r="Q9" s="197"/>
      <c r="R9" s="2578"/>
      <c r="S9" s="251">
        <f t="shared" ref="S9:S12" si="6">IF( SUM( U9:AA9 ) = 0, 0, $U$5 )</f>
        <v>0</v>
      </c>
      <c r="T9" s="2577"/>
      <c r="U9" s="252">
        <f t="shared" ref="U9:U12" si="7" xml:space="preserve"> IF( ISNUMBER( E9 ), 0, 1 )</f>
        <v>0</v>
      </c>
      <c r="V9" s="252">
        <f t="shared" si="1"/>
        <v>0</v>
      </c>
      <c r="W9" s="252">
        <f t="shared" si="2"/>
        <v>0</v>
      </c>
      <c r="X9" s="252">
        <f t="shared" si="3"/>
        <v>0</v>
      </c>
      <c r="Y9" s="252">
        <f t="shared" si="4"/>
        <v>0</v>
      </c>
      <c r="Z9" s="252">
        <f t="shared" si="5"/>
        <v>0</v>
      </c>
      <c r="AA9" s="252">
        <f t="shared" si="5"/>
        <v>0</v>
      </c>
      <c r="AB9" s="2577"/>
      <c r="AC9" s="2562"/>
      <c r="AD9" s="422" t="s">
        <v>3304</v>
      </c>
      <c r="AE9" s="254" t="s">
        <v>3306</v>
      </c>
      <c r="AF9" s="254" t="s">
        <v>3307</v>
      </c>
      <c r="AG9" s="254" t="s">
        <v>3308</v>
      </c>
      <c r="AH9" s="254" t="s">
        <v>3309</v>
      </c>
      <c r="AI9" s="254" t="s">
        <v>3310</v>
      </c>
      <c r="AJ9" s="254" t="s">
        <v>3311</v>
      </c>
      <c r="AK9" s="254" t="s">
        <v>3312</v>
      </c>
      <c r="AL9" s="256" t="s">
        <v>3313</v>
      </c>
    </row>
    <row r="10" spans="1:38" ht="22.4" customHeight="1">
      <c r="A10" s="197"/>
      <c r="B10" s="422" t="s">
        <v>3314</v>
      </c>
      <c r="C10" s="253" t="s">
        <v>137</v>
      </c>
      <c r="D10" s="253">
        <v>3</v>
      </c>
      <c r="E10" s="254">
        <v>9.5000000000000001E-2</v>
      </c>
      <c r="F10" s="254">
        <v>0</v>
      </c>
      <c r="G10" s="254">
        <v>26.959</v>
      </c>
      <c r="H10" s="254">
        <v>166.37800000000001</v>
      </c>
      <c r="I10" s="254">
        <v>255.51400000000001</v>
      </c>
      <c r="J10" s="254">
        <v>17.222999999999999</v>
      </c>
      <c r="K10" s="254">
        <v>0</v>
      </c>
      <c r="L10" s="256">
        <f t="shared" si="0"/>
        <v>466.16900000000004</v>
      </c>
      <c r="M10" s="274"/>
      <c r="N10" s="536" t="s">
        <v>3315</v>
      </c>
      <c r="O10" s="197"/>
      <c r="P10" s="258"/>
      <c r="Q10" s="197"/>
      <c r="R10" s="2578"/>
      <c r="S10" s="251">
        <f t="shared" si="6"/>
        <v>0</v>
      </c>
      <c r="T10" s="2577"/>
      <c r="U10" s="252">
        <f t="shared" si="7"/>
        <v>0</v>
      </c>
      <c r="V10" s="252">
        <f t="shared" si="1"/>
        <v>0</v>
      </c>
      <c r="W10" s="252">
        <f t="shared" si="2"/>
        <v>0</v>
      </c>
      <c r="X10" s="252">
        <f t="shared" si="3"/>
        <v>0</v>
      </c>
      <c r="Y10" s="252">
        <f t="shared" si="4"/>
        <v>0</v>
      </c>
      <c r="Z10" s="252">
        <f t="shared" si="5"/>
        <v>0</v>
      </c>
      <c r="AA10" s="252">
        <f t="shared" si="5"/>
        <v>0</v>
      </c>
      <c r="AB10" s="2577"/>
      <c r="AC10" s="2562"/>
      <c r="AD10" s="422" t="s">
        <v>3314</v>
      </c>
      <c r="AE10" s="254" t="s">
        <v>3316</v>
      </c>
      <c r="AF10" s="254" t="s">
        <v>3317</v>
      </c>
      <c r="AG10" s="254" t="s">
        <v>3318</v>
      </c>
      <c r="AH10" s="254" t="s">
        <v>3319</v>
      </c>
      <c r="AI10" s="254" t="s">
        <v>3320</v>
      </c>
      <c r="AJ10" s="254" t="s">
        <v>3321</v>
      </c>
      <c r="AK10" s="254" t="s">
        <v>3322</v>
      </c>
      <c r="AL10" s="256" t="s">
        <v>3323</v>
      </c>
    </row>
    <row r="11" spans="1:38" ht="22.4" customHeight="1">
      <c r="A11" s="197"/>
      <c r="B11" s="422" t="s">
        <v>1894</v>
      </c>
      <c r="C11" s="253" t="s">
        <v>137</v>
      </c>
      <c r="D11" s="253">
        <v>3</v>
      </c>
      <c r="E11" s="254">
        <v>0</v>
      </c>
      <c r="F11" s="254">
        <v>0</v>
      </c>
      <c r="G11" s="254">
        <v>-10.095000000000001</v>
      </c>
      <c r="H11" s="254">
        <v>-182.565</v>
      </c>
      <c r="I11" s="254">
        <v>-271.08300000000003</v>
      </c>
      <c r="J11" s="254">
        <v>5.3380000000000001</v>
      </c>
      <c r="K11" s="254">
        <v>0</v>
      </c>
      <c r="L11" s="256">
        <f t="shared" si="0"/>
        <v>-458.40500000000003</v>
      </c>
      <c r="M11" s="274"/>
      <c r="N11" s="537" t="s">
        <v>3324</v>
      </c>
      <c r="O11" s="197"/>
      <c r="P11" s="258"/>
      <c r="Q11" s="197"/>
      <c r="R11" s="2578"/>
      <c r="S11" s="251">
        <f t="shared" si="6"/>
        <v>0</v>
      </c>
      <c r="T11" s="2577"/>
      <c r="U11" s="252">
        <f t="shared" si="7"/>
        <v>0</v>
      </c>
      <c r="V11" s="252">
        <f t="shared" si="1"/>
        <v>0</v>
      </c>
      <c r="W11" s="252">
        <f t="shared" si="2"/>
        <v>0</v>
      </c>
      <c r="X11" s="252">
        <f t="shared" si="3"/>
        <v>0</v>
      </c>
      <c r="Y11" s="252">
        <f t="shared" si="4"/>
        <v>0</v>
      </c>
      <c r="Z11" s="252">
        <f t="shared" si="5"/>
        <v>0</v>
      </c>
      <c r="AA11" s="252">
        <f t="shared" si="5"/>
        <v>0</v>
      </c>
      <c r="AB11" s="2577"/>
      <c r="AC11" s="2562"/>
      <c r="AD11" s="422" t="s">
        <v>1894</v>
      </c>
      <c r="AE11" s="254" t="s">
        <v>3325</v>
      </c>
      <c r="AF11" s="254" t="s">
        <v>3326</v>
      </c>
      <c r="AG11" s="254" t="s">
        <v>3327</v>
      </c>
      <c r="AH11" s="254" t="s">
        <v>3328</v>
      </c>
      <c r="AI11" s="254" t="s">
        <v>3329</v>
      </c>
      <c r="AJ11" s="254" t="s">
        <v>3330</v>
      </c>
      <c r="AK11" s="254" t="s">
        <v>3331</v>
      </c>
      <c r="AL11" s="256" t="s">
        <v>3332</v>
      </c>
    </row>
    <row r="12" spans="1:38" ht="22.4" customHeight="1">
      <c r="A12" s="197"/>
      <c r="B12" s="422" t="s">
        <v>3333</v>
      </c>
      <c r="C12" s="253" t="s">
        <v>137</v>
      </c>
      <c r="D12" s="253">
        <v>3</v>
      </c>
      <c r="E12" s="254">
        <v>0</v>
      </c>
      <c r="F12" s="254">
        <v>0</v>
      </c>
      <c r="G12" s="254">
        <v>0</v>
      </c>
      <c r="H12" s="254">
        <v>0</v>
      </c>
      <c r="I12" s="254">
        <v>28.131</v>
      </c>
      <c r="J12" s="254">
        <v>0</v>
      </c>
      <c r="K12" s="254">
        <v>0</v>
      </c>
      <c r="L12" s="256">
        <f t="shared" si="0"/>
        <v>28.131</v>
      </c>
      <c r="M12" s="274"/>
      <c r="N12" s="535" t="s">
        <v>3334</v>
      </c>
      <c r="O12" s="197"/>
      <c r="P12" s="258"/>
      <c r="Q12" s="197"/>
      <c r="R12" s="2578"/>
      <c r="S12" s="251">
        <f t="shared" si="6"/>
        <v>0</v>
      </c>
      <c r="T12" s="2577"/>
      <c r="U12" s="252">
        <f t="shared" si="7"/>
        <v>0</v>
      </c>
      <c r="V12" s="252">
        <f t="shared" si="1"/>
        <v>0</v>
      </c>
      <c r="W12" s="252">
        <f t="shared" si="2"/>
        <v>0</v>
      </c>
      <c r="X12" s="252">
        <f t="shared" si="3"/>
        <v>0</v>
      </c>
      <c r="Y12" s="252">
        <f t="shared" si="4"/>
        <v>0</v>
      </c>
      <c r="Z12" s="252">
        <f t="shared" si="5"/>
        <v>0</v>
      </c>
      <c r="AA12" s="252">
        <f t="shared" si="5"/>
        <v>0</v>
      </c>
      <c r="AB12" s="2577"/>
      <c r="AC12" s="2562"/>
      <c r="AD12" s="422" t="s">
        <v>3333</v>
      </c>
      <c r="AE12" s="254" t="s">
        <v>3335</v>
      </c>
      <c r="AF12" s="254" t="s">
        <v>3336</v>
      </c>
      <c r="AG12" s="254" t="s">
        <v>3337</v>
      </c>
      <c r="AH12" s="254" t="s">
        <v>3338</v>
      </c>
      <c r="AI12" s="254" t="s">
        <v>3339</v>
      </c>
      <c r="AJ12" s="254" t="s">
        <v>3340</v>
      </c>
      <c r="AK12" s="254" t="s">
        <v>3341</v>
      </c>
      <c r="AL12" s="256" t="s">
        <v>3342</v>
      </c>
    </row>
    <row r="13" spans="1:38" ht="22.4" customHeight="1" thickBot="1">
      <c r="A13" s="197"/>
      <c r="B13" s="425" t="s">
        <v>3343</v>
      </c>
      <c r="C13" s="319" t="s">
        <v>137</v>
      </c>
      <c r="D13" s="319">
        <v>3</v>
      </c>
      <c r="E13" s="265">
        <f t="shared" ref="E13:K13" si="8">IFERROR(SUM(E8:E12),0)</f>
        <v>25.818999999999999</v>
      </c>
      <c r="F13" s="265">
        <f t="shared" si="8"/>
        <v>0</v>
      </c>
      <c r="G13" s="265">
        <f t="shared" si="8"/>
        <v>454.40099999999995</v>
      </c>
      <c r="H13" s="265">
        <f t="shared" si="8"/>
        <v>5149.9049999999997</v>
      </c>
      <c r="I13" s="265">
        <f t="shared" si="8"/>
        <v>6179.8150000000005</v>
      </c>
      <c r="J13" s="265">
        <f t="shared" si="8"/>
        <v>585.50299999999993</v>
      </c>
      <c r="K13" s="265">
        <f t="shared" si="8"/>
        <v>0</v>
      </c>
      <c r="L13" s="266">
        <f t="shared" si="0"/>
        <v>12395.443000000001</v>
      </c>
      <c r="M13" s="274"/>
      <c r="N13" s="538" t="s">
        <v>3344</v>
      </c>
      <c r="O13" s="197"/>
      <c r="P13" s="269"/>
      <c r="Q13" s="197"/>
      <c r="R13" s="2578"/>
      <c r="S13" s="251"/>
      <c r="T13" s="2577"/>
      <c r="U13" s="2573"/>
      <c r="V13" s="2573"/>
      <c r="W13" s="2573"/>
      <c r="X13" s="2573"/>
      <c r="Y13" s="2573"/>
      <c r="Z13" s="2573"/>
      <c r="AA13" s="2573"/>
      <c r="AB13" s="2577"/>
      <c r="AC13" s="2562"/>
      <c r="AD13" s="425" t="s">
        <v>3343</v>
      </c>
      <c r="AE13" s="265" t="s">
        <v>3345</v>
      </c>
      <c r="AF13" s="265" t="s">
        <v>3346</v>
      </c>
      <c r="AG13" s="265" t="s">
        <v>3347</v>
      </c>
      <c r="AH13" s="265" t="s">
        <v>3348</v>
      </c>
      <c r="AI13" s="265" t="s">
        <v>3349</v>
      </c>
      <c r="AJ13" s="265" t="s">
        <v>3350</v>
      </c>
      <c r="AK13" s="265" t="s">
        <v>3351</v>
      </c>
      <c r="AL13" s="266" t="s">
        <v>3352</v>
      </c>
    </row>
    <row r="14" spans="1:38" ht="22.4" customHeight="1" thickTop="1" thickBot="1">
      <c r="A14" s="197"/>
      <c r="B14" s="539"/>
      <c r="C14" s="539"/>
      <c r="D14" s="539"/>
      <c r="E14" s="540"/>
      <c r="F14" s="540"/>
      <c r="G14" s="540"/>
      <c r="H14" s="540"/>
      <c r="I14" s="540"/>
      <c r="J14" s="540"/>
      <c r="K14" s="540"/>
      <c r="L14" s="274"/>
      <c r="M14" s="274"/>
      <c r="N14" s="527"/>
      <c r="O14" s="197"/>
      <c r="P14" s="197"/>
      <c r="Q14" s="197"/>
      <c r="R14" s="2578"/>
      <c r="S14" s="251"/>
      <c r="T14" s="2577"/>
      <c r="U14" s="2573"/>
      <c r="V14" s="2573"/>
      <c r="W14" s="2573"/>
      <c r="X14" s="2573"/>
      <c r="Y14" s="2573"/>
      <c r="Z14" s="2573"/>
      <c r="AA14" s="2573"/>
      <c r="AB14" s="2577"/>
      <c r="AC14" s="2562"/>
      <c r="AD14" s="539"/>
      <c r="AE14" s="540"/>
      <c r="AF14" s="540"/>
      <c r="AG14" s="540"/>
      <c r="AH14" s="540"/>
      <c r="AI14" s="540"/>
      <c r="AJ14" s="540"/>
      <c r="AK14" s="540"/>
      <c r="AL14" s="274"/>
    </row>
    <row r="15" spans="1:38" ht="22.4" customHeight="1" thickTop="1" thickBot="1">
      <c r="A15" s="197"/>
      <c r="B15" s="355" t="s">
        <v>2317</v>
      </c>
      <c r="C15" s="356"/>
      <c r="D15" s="356"/>
      <c r="E15" s="540"/>
      <c r="F15" s="540"/>
      <c r="G15" s="540"/>
      <c r="H15" s="540"/>
      <c r="I15" s="540"/>
      <c r="J15" s="540"/>
      <c r="K15" s="540"/>
      <c r="L15" s="274"/>
      <c r="M15" s="274"/>
      <c r="N15" s="527"/>
      <c r="O15" s="197"/>
      <c r="P15" s="197"/>
      <c r="Q15" s="197"/>
      <c r="R15" s="2578"/>
      <c r="S15" s="251"/>
      <c r="T15" s="2577"/>
      <c r="U15" s="2573"/>
      <c r="V15" s="2573"/>
      <c r="W15" s="2573"/>
      <c r="X15" s="2573"/>
      <c r="Y15" s="2573"/>
      <c r="Z15" s="2573"/>
      <c r="AA15" s="2573"/>
      <c r="AB15" s="2577"/>
      <c r="AC15" s="2562"/>
      <c r="AD15" s="355" t="s">
        <v>2317</v>
      </c>
      <c r="AE15" s="540"/>
      <c r="AF15" s="540"/>
      <c r="AG15" s="540"/>
      <c r="AH15" s="540"/>
      <c r="AI15" s="540"/>
      <c r="AJ15" s="540"/>
      <c r="AK15" s="540"/>
      <c r="AL15" s="274"/>
    </row>
    <row r="16" spans="1:38" ht="22.4" customHeight="1" thickTop="1">
      <c r="A16" s="197"/>
      <c r="B16" s="413" t="s">
        <v>3294</v>
      </c>
      <c r="C16" s="244" t="s">
        <v>137</v>
      </c>
      <c r="D16" s="244">
        <v>3</v>
      </c>
      <c r="E16" s="245">
        <v>-28.346</v>
      </c>
      <c r="F16" s="245">
        <v>0</v>
      </c>
      <c r="G16" s="245">
        <v>-64.082999999999998</v>
      </c>
      <c r="H16" s="245">
        <v>-1724.2149999999999</v>
      </c>
      <c r="I16" s="245">
        <v>-1431.201</v>
      </c>
      <c r="J16" s="245">
        <v>-183.53</v>
      </c>
      <c r="K16" s="245">
        <v>0</v>
      </c>
      <c r="L16" s="247">
        <f>IFERROR(SUM(E16:K16),0)</f>
        <v>-3431.3750000000005</v>
      </c>
      <c r="M16" s="274"/>
      <c r="N16" s="248" t="s">
        <v>3353</v>
      </c>
      <c r="O16" s="197"/>
      <c r="P16" s="250"/>
      <c r="Q16" s="197"/>
      <c r="R16" s="2578"/>
      <c r="S16" s="251">
        <f t="shared" ref="S16:S18" si="9">IF( SUM( U16:AA16 ) = 0, 0, $U$5 )</f>
        <v>0</v>
      </c>
      <c r="T16" s="2577"/>
      <c r="U16" s="252">
        <f t="shared" ref="U16:U19" si="10" xml:space="preserve"> IF( ISNUMBER( E16 ), 0, 1 )</f>
        <v>0</v>
      </c>
      <c r="V16" s="252">
        <f t="shared" ref="V16:V19" si="11" xml:space="preserve"> IF( ISNUMBER( F16 ), 0, 1 )</f>
        <v>0</v>
      </c>
      <c r="W16" s="252">
        <f t="shared" ref="W16:W19" si="12" xml:space="preserve"> IF( ISNUMBER( G16 ), 0, 1 )</f>
        <v>0</v>
      </c>
      <c r="X16" s="252">
        <f t="shared" ref="X16:X19" si="13" xml:space="preserve"> IF( ISNUMBER( H16 ), 0, 1 )</f>
        <v>0</v>
      </c>
      <c r="Y16" s="252">
        <f t="shared" ref="Y16:Y19" si="14" xml:space="preserve"> IF( ISNUMBER( I16 ), 0, 1 )</f>
        <v>0</v>
      </c>
      <c r="Z16" s="252">
        <f t="shared" ref="Z16:Z19" si="15" xml:space="preserve"> IF( ISNUMBER( J16 ), 0, 1 )</f>
        <v>0</v>
      </c>
      <c r="AA16" s="252">
        <f t="shared" ref="AA16:AA19" si="16" xml:space="preserve"> IF( ISNUMBER( K16 ), 0, 1 )</f>
        <v>0</v>
      </c>
      <c r="AB16" s="2577"/>
      <c r="AC16" s="2562"/>
      <c r="AD16" s="413" t="s">
        <v>3294</v>
      </c>
      <c r="AE16" s="245" t="s">
        <v>3354</v>
      </c>
      <c r="AF16" s="245" t="s">
        <v>3355</v>
      </c>
      <c r="AG16" s="245" t="s">
        <v>3356</v>
      </c>
      <c r="AH16" s="245" t="s">
        <v>3357</v>
      </c>
      <c r="AI16" s="245" t="s">
        <v>3358</v>
      </c>
      <c r="AJ16" s="245" t="s">
        <v>3359</v>
      </c>
      <c r="AK16" s="245" t="s">
        <v>3360</v>
      </c>
      <c r="AL16" s="247" t="s">
        <v>3361</v>
      </c>
    </row>
    <row r="17" spans="1:38" ht="22.4" customHeight="1">
      <c r="A17" s="197"/>
      <c r="B17" s="422" t="s">
        <v>3304</v>
      </c>
      <c r="C17" s="253" t="s">
        <v>137</v>
      </c>
      <c r="D17" s="253">
        <v>3</v>
      </c>
      <c r="E17" s="254">
        <v>9.8390000000000004</v>
      </c>
      <c r="F17" s="254">
        <v>0</v>
      </c>
      <c r="G17" s="254">
        <v>4.7809999999999997</v>
      </c>
      <c r="H17" s="254">
        <v>45.23</v>
      </c>
      <c r="I17" s="254">
        <v>89.613</v>
      </c>
      <c r="J17" s="254">
        <v>11.71</v>
      </c>
      <c r="K17" s="254">
        <v>0</v>
      </c>
      <c r="L17" s="256">
        <f>IFERROR(SUM(E17:K17),0)</f>
        <v>161.173</v>
      </c>
      <c r="M17" s="274"/>
      <c r="N17" s="257" t="s">
        <v>3362</v>
      </c>
      <c r="O17" s="197"/>
      <c r="P17" s="258"/>
      <c r="Q17" s="197"/>
      <c r="R17" s="2578"/>
      <c r="S17" s="251">
        <f t="shared" si="9"/>
        <v>0</v>
      </c>
      <c r="T17" s="2577"/>
      <c r="U17" s="252">
        <f t="shared" si="10"/>
        <v>0</v>
      </c>
      <c r="V17" s="252">
        <f t="shared" si="11"/>
        <v>0</v>
      </c>
      <c r="W17" s="252">
        <f t="shared" si="12"/>
        <v>0</v>
      </c>
      <c r="X17" s="252">
        <f t="shared" si="13"/>
        <v>0</v>
      </c>
      <c r="Y17" s="252">
        <f t="shared" si="14"/>
        <v>0</v>
      </c>
      <c r="Z17" s="252">
        <f t="shared" si="15"/>
        <v>0</v>
      </c>
      <c r="AA17" s="252">
        <f t="shared" si="16"/>
        <v>0</v>
      </c>
      <c r="AB17" s="2577"/>
      <c r="AC17" s="2562"/>
      <c r="AD17" s="422" t="s">
        <v>3304</v>
      </c>
      <c r="AE17" s="254" t="s">
        <v>3363</v>
      </c>
      <c r="AF17" s="254" t="s">
        <v>3364</v>
      </c>
      <c r="AG17" s="254" t="s">
        <v>3365</v>
      </c>
      <c r="AH17" s="254" t="s">
        <v>3366</v>
      </c>
      <c r="AI17" s="254" t="s">
        <v>3367</v>
      </c>
      <c r="AJ17" s="254" t="s">
        <v>3368</v>
      </c>
      <c r="AK17" s="254" t="s">
        <v>3369</v>
      </c>
      <c r="AL17" s="256" t="s">
        <v>3370</v>
      </c>
    </row>
    <row r="18" spans="1:38" ht="22.4" customHeight="1">
      <c r="A18" s="197"/>
      <c r="B18" s="422" t="s">
        <v>1894</v>
      </c>
      <c r="C18" s="253" t="s">
        <v>137</v>
      </c>
      <c r="D18" s="253">
        <v>3</v>
      </c>
      <c r="E18" s="254">
        <v>0</v>
      </c>
      <c r="F18" s="254">
        <v>0</v>
      </c>
      <c r="G18" s="254">
        <v>0.505</v>
      </c>
      <c r="H18" s="254">
        <v>8.1999999999999993</v>
      </c>
      <c r="I18" s="254">
        <v>-9.7349999999999994</v>
      </c>
      <c r="J18" s="254">
        <v>1.03</v>
      </c>
      <c r="K18" s="254">
        <v>0</v>
      </c>
      <c r="L18" s="256">
        <f>IFERROR(SUM(E18:K18),0)</f>
        <v>6.6613381477509392E-16</v>
      </c>
      <c r="M18" s="274"/>
      <c r="N18" s="257" t="s">
        <v>3371</v>
      </c>
      <c r="O18" s="197"/>
      <c r="P18" s="258"/>
      <c r="Q18" s="197"/>
      <c r="R18" s="2578"/>
      <c r="S18" s="251">
        <f t="shared" si="9"/>
        <v>0</v>
      </c>
      <c r="T18" s="2577"/>
      <c r="U18" s="252">
        <f t="shared" si="10"/>
        <v>0</v>
      </c>
      <c r="V18" s="252">
        <f t="shared" si="11"/>
        <v>0</v>
      </c>
      <c r="W18" s="252">
        <f t="shared" si="12"/>
        <v>0</v>
      </c>
      <c r="X18" s="252">
        <f t="shared" si="13"/>
        <v>0</v>
      </c>
      <c r="Y18" s="252">
        <f t="shared" si="14"/>
        <v>0</v>
      </c>
      <c r="Z18" s="252">
        <f t="shared" si="15"/>
        <v>0</v>
      </c>
      <c r="AA18" s="252">
        <f t="shared" si="16"/>
        <v>0</v>
      </c>
      <c r="AB18" s="2577"/>
      <c r="AC18" s="2562"/>
      <c r="AD18" s="422" t="s">
        <v>1894</v>
      </c>
      <c r="AE18" s="254" t="s">
        <v>3372</v>
      </c>
      <c r="AF18" s="254" t="s">
        <v>3373</v>
      </c>
      <c r="AG18" s="254" t="s">
        <v>3374</v>
      </c>
      <c r="AH18" s="254" t="s">
        <v>3375</v>
      </c>
      <c r="AI18" s="254" t="s">
        <v>3376</v>
      </c>
      <c r="AJ18" s="254" t="s">
        <v>3377</v>
      </c>
      <c r="AK18" s="254" t="s">
        <v>3378</v>
      </c>
      <c r="AL18" s="256" t="s">
        <v>3379</v>
      </c>
    </row>
    <row r="19" spans="1:38" ht="22.4" customHeight="1">
      <c r="A19" s="197"/>
      <c r="B19" s="422" t="s">
        <v>3380</v>
      </c>
      <c r="C19" s="253" t="s">
        <v>137</v>
      </c>
      <c r="D19" s="253">
        <v>3</v>
      </c>
      <c r="E19" s="254">
        <v>-3.1349999999999998</v>
      </c>
      <c r="F19" s="254">
        <v>0</v>
      </c>
      <c r="G19" s="254">
        <v>-11.119</v>
      </c>
      <c r="H19" s="254">
        <v>-123.301</v>
      </c>
      <c r="I19" s="254">
        <v>-148.268</v>
      </c>
      <c r="J19" s="254">
        <v>-19.521999999999998</v>
      </c>
      <c r="K19" s="254">
        <v>0</v>
      </c>
      <c r="L19" s="256">
        <f>IFERROR(SUM(E19:K19),0)</f>
        <v>-305.34499999999997</v>
      </c>
      <c r="M19" s="274"/>
      <c r="N19" s="257" t="s">
        <v>3381</v>
      </c>
      <c r="O19" s="197"/>
      <c r="P19" s="258"/>
      <c r="Q19" s="197"/>
      <c r="R19" s="2578"/>
      <c r="S19" s="251">
        <f>IF( SUM( U19:AA19 ) = 0, 0, $U$5 )</f>
        <v>0</v>
      </c>
      <c r="T19" s="2577"/>
      <c r="U19" s="252">
        <f t="shared" si="10"/>
        <v>0</v>
      </c>
      <c r="V19" s="252">
        <f t="shared" si="11"/>
        <v>0</v>
      </c>
      <c r="W19" s="252">
        <f t="shared" si="12"/>
        <v>0</v>
      </c>
      <c r="X19" s="252">
        <f t="shared" si="13"/>
        <v>0</v>
      </c>
      <c r="Y19" s="252">
        <f t="shared" si="14"/>
        <v>0</v>
      </c>
      <c r="Z19" s="252">
        <f t="shared" si="15"/>
        <v>0</v>
      </c>
      <c r="AA19" s="252">
        <f t="shared" si="16"/>
        <v>0</v>
      </c>
      <c r="AB19" s="2577"/>
      <c r="AC19" s="2562"/>
      <c r="AD19" s="422" t="s">
        <v>3380</v>
      </c>
      <c r="AE19" s="254" t="s">
        <v>3382</v>
      </c>
      <c r="AF19" s="254" t="s">
        <v>3383</v>
      </c>
      <c r="AG19" s="254" t="s">
        <v>3384</v>
      </c>
      <c r="AH19" s="254" t="s">
        <v>3385</v>
      </c>
      <c r="AI19" s="254" t="s">
        <v>3386</v>
      </c>
      <c r="AJ19" s="254" t="s">
        <v>3387</v>
      </c>
      <c r="AK19" s="254" t="s">
        <v>3388</v>
      </c>
      <c r="AL19" s="256" t="s">
        <v>3389</v>
      </c>
    </row>
    <row r="20" spans="1:38" ht="22.4" customHeight="1" thickBot="1">
      <c r="A20" s="197"/>
      <c r="B20" s="425" t="s">
        <v>3343</v>
      </c>
      <c r="C20" s="319" t="s">
        <v>137</v>
      </c>
      <c r="D20" s="319">
        <v>3</v>
      </c>
      <c r="E20" s="265">
        <f t="shared" ref="E20:K20" si="17">IFERROR(SUM(E16:E19),0)</f>
        <v>-21.641999999999996</v>
      </c>
      <c r="F20" s="265">
        <f t="shared" si="17"/>
        <v>0</v>
      </c>
      <c r="G20" s="265">
        <f t="shared" si="17"/>
        <v>-69.915999999999997</v>
      </c>
      <c r="H20" s="265">
        <f t="shared" si="17"/>
        <v>-1794.0859999999998</v>
      </c>
      <c r="I20" s="265">
        <f t="shared" si="17"/>
        <v>-1499.5909999999999</v>
      </c>
      <c r="J20" s="265">
        <f t="shared" si="17"/>
        <v>-190.31199999999998</v>
      </c>
      <c r="K20" s="265">
        <f t="shared" si="17"/>
        <v>0</v>
      </c>
      <c r="L20" s="266">
        <f>IFERROR(SUM(E20:K20),0)</f>
        <v>-3575.5469999999996</v>
      </c>
      <c r="M20" s="274"/>
      <c r="N20" s="320" t="s">
        <v>3390</v>
      </c>
      <c r="O20" s="197"/>
      <c r="P20" s="269"/>
      <c r="Q20" s="197"/>
      <c r="R20" s="2578"/>
      <c r="S20" s="251"/>
      <c r="T20" s="2577"/>
      <c r="U20" s="2573"/>
      <c r="V20" s="2573"/>
      <c r="W20" s="2573"/>
      <c r="X20" s="2573"/>
      <c r="Y20" s="2573"/>
      <c r="Z20" s="2573"/>
      <c r="AA20" s="2573"/>
      <c r="AB20" s="2577"/>
      <c r="AC20" s="2562"/>
      <c r="AD20" s="425" t="s">
        <v>3343</v>
      </c>
      <c r="AE20" s="265" t="s">
        <v>3391</v>
      </c>
      <c r="AF20" s="265" t="s">
        <v>3392</v>
      </c>
      <c r="AG20" s="265" t="s">
        <v>3393</v>
      </c>
      <c r="AH20" s="265" t="s">
        <v>3394</v>
      </c>
      <c r="AI20" s="265" t="s">
        <v>3395</v>
      </c>
      <c r="AJ20" s="265" t="s">
        <v>3396</v>
      </c>
      <c r="AK20" s="265" t="s">
        <v>3397</v>
      </c>
      <c r="AL20" s="266" t="s">
        <v>3398</v>
      </c>
    </row>
    <row r="21" spans="1:38" ht="22.4" customHeight="1" thickTop="1" thickBot="1">
      <c r="A21" s="197"/>
      <c r="B21" s="106"/>
      <c r="C21" s="106"/>
      <c r="D21" s="106"/>
      <c r="E21" s="274"/>
      <c r="F21" s="274"/>
      <c r="G21" s="274"/>
      <c r="H21" s="274"/>
      <c r="I21" s="274"/>
      <c r="J21" s="274"/>
      <c r="K21" s="274"/>
      <c r="L21" s="274"/>
      <c r="M21" s="274"/>
      <c r="N21" s="527"/>
      <c r="O21" s="197"/>
      <c r="P21" s="197"/>
      <c r="Q21" s="197"/>
      <c r="R21" s="2578"/>
      <c r="S21" s="251"/>
      <c r="T21" s="2577"/>
      <c r="U21" s="2573"/>
      <c r="V21" s="2573"/>
      <c r="W21" s="2573"/>
      <c r="X21" s="2573"/>
      <c r="Y21" s="2573"/>
      <c r="Z21" s="2573"/>
      <c r="AA21" s="2573"/>
      <c r="AB21" s="2577"/>
      <c r="AC21" s="2562"/>
      <c r="AD21" s="106"/>
      <c r="AE21" s="274"/>
      <c r="AF21" s="274"/>
      <c r="AG21" s="274"/>
      <c r="AH21" s="274"/>
      <c r="AI21" s="274"/>
      <c r="AJ21" s="274"/>
      <c r="AK21" s="274"/>
      <c r="AL21" s="274"/>
    </row>
    <row r="22" spans="1:38" ht="22.4" customHeight="1" thickTop="1" thickBot="1">
      <c r="A22" s="197"/>
      <c r="B22" s="541" t="s">
        <v>3399</v>
      </c>
      <c r="C22" s="346" t="s">
        <v>137</v>
      </c>
      <c r="D22" s="346">
        <v>3</v>
      </c>
      <c r="E22" s="400">
        <f t="shared" ref="E22:K22" si="18">IFERROR(E13+E20,0)</f>
        <v>4.1770000000000032</v>
      </c>
      <c r="F22" s="400">
        <f t="shared" si="18"/>
        <v>0</v>
      </c>
      <c r="G22" s="400">
        <f t="shared" si="18"/>
        <v>384.48499999999996</v>
      </c>
      <c r="H22" s="400">
        <f t="shared" si="18"/>
        <v>3355.819</v>
      </c>
      <c r="I22" s="400">
        <f t="shared" si="18"/>
        <v>4680.2240000000002</v>
      </c>
      <c r="J22" s="400">
        <f t="shared" si="18"/>
        <v>395.19099999999992</v>
      </c>
      <c r="K22" s="400">
        <f t="shared" si="18"/>
        <v>0</v>
      </c>
      <c r="L22" s="401">
        <f>IFERROR(SUM(E22:K22),0)</f>
        <v>8819.8960000000006</v>
      </c>
      <c r="M22" s="274"/>
      <c r="N22" s="336" t="s">
        <v>3400</v>
      </c>
      <c r="O22" s="197"/>
      <c r="P22" s="337"/>
      <c r="Q22" s="197"/>
      <c r="R22" s="2578"/>
      <c r="S22" s="251"/>
      <c r="T22" s="2577"/>
      <c r="U22" s="2573"/>
      <c r="V22" s="2573"/>
      <c r="W22" s="2573"/>
      <c r="X22" s="2573"/>
      <c r="Y22" s="2573"/>
      <c r="Z22" s="2573"/>
      <c r="AA22" s="2573"/>
      <c r="AB22" s="2577"/>
      <c r="AC22" s="2562"/>
      <c r="AD22" s="541" t="s">
        <v>3399</v>
      </c>
      <c r="AE22" s="400" t="s">
        <v>3401</v>
      </c>
      <c r="AF22" s="400" t="s">
        <v>3402</v>
      </c>
      <c r="AG22" s="400" t="s">
        <v>3403</v>
      </c>
      <c r="AH22" s="400" t="s">
        <v>3404</v>
      </c>
      <c r="AI22" s="400" t="s">
        <v>3405</v>
      </c>
      <c r="AJ22" s="400" t="s">
        <v>3406</v>
      </c>
      <c r="AK22" s="400" t="s">
        <v>3407</v>
      </c>
      <c r="AL22" s="401" t="s">
        <v>3408</v>
      </c>
    </row>
    <row r="23" spans="1:38" ht="22.4" customHeight="1" thickTop="1" thickBot="1">
      <c r="A23" s="197"/>
      <c r="B23" s="542"/>
      <c r="C23" s="542"/>
      <c r="D23" s="542"/>
      <c r="E23" s="274"/>
      <c r="F23" s="274"/>
      <c r="G23" s="274"/>
      <c r="H23" s="274"/>
      <c r="I23" s="274"/>
      <c r="J23" s="274"/>
      <c r="K23" s="274"/>
      <c r="L23" s="274"/>
      <c r="M23" s="274"/>
      <c r="N23" s="527"/>
      <c r="O23" s="197"/>
      <c r="P23" s="197"/>
      <c r="Q23" s="197"/>
      <c r="R23" s="2578"/>
      <c r="S23" s="251"/>
      <c r="T23" s="332"/>
      <c r="U23" s="2573"/>
      <c r="V23" s="2573"/>
      <c r="W23" s="2573"/>
      <c r="X23" s="2573"/>
      <c r="Y23" s="2573"/>
      <c r="Z23" s="2573"/>
      <c r="AA23" s="2573"/>
      <c r="AB23" s="332"/>
      <c r="AC23" s="2562"/>
      <c r="AD23" s="542"/>
      <c r="AE23" s="274"/>
      <c r="AF23" s="274"/>
      <c r="AG23" s="274"/>
      <c r="AH23" s="274"/>
      <c r="AI23" s="274"/>
      <c r="AJ23" s="274"/>
      <c r="AK23" s="274"/>
      <c r="AL23" s="274"/>
    </row>
    <row r="24" spans="1:38" ht="22.4" customHeight="1" thickTop="1" thickBot="1">
      <c r="A24" s="197"/>
      <c r="B24" s="541" t="s">
        <v>3409</v>
      </c>
      <c r="C24" s="346" t="s">
        <v>137</v>
      </c>
      <c r="D24" s="346">
        <v>3</v>
      </c>
      <c r="E24" s="400">
        <f t="shared" ref="E24:K24" si="19">IFERROR(E8+E16,0)</f>
        <v>7.2850000000000001</v>
      </c>
      <c r="F24" s="400">
        <f t="shared" si="19"/>
        <v>0</v>
      </c>
      <c r="G24" s="400">
        <f t="shared" si="19"/>
        <v>378.25199999999995</v>
      </c>
      <c r="H24" s="400">
        <f t="shared" si="19"/>
        <v>3487.3779999999997</v>
      </c>
      <c r="I24" s="400">
        <f t="shared" si="19"/>
        <v>4825.9639999999999</v>
      </c>
      <c r="J24" s="400">
        <f t="shared" si="19"/>
        <v>391.15600000000006</v>
      </c>
      <c r="K24" s="400">
        <f t="shared" si="19"/>
        <v>0</v>
      </c>
      <c r="L24" s="401">
        <f>IFERROR(SUM(E24:K24),0)</f>
        <v>9090.0349999999999</v>
      </c>
      <c r="M24" s="274"/>
      <c r="N24" s="336" t="s">
        <v>3410</v>
      </c>
      <c r="O24" s="197"/>
      <c r="P24" s="337"/>
      <c r="Q24" s="197"/>
      <c r="R24" s="2578"/>
      <c r="S24" s="251"/>
      <c r="T24" s="332"/>
      <c r="U24" s="2573"/>
      <c r="V24" s="2573"/>
      <c r="W24" s="2573"/>
      <c r="X24" s="2573"/>
      <c r="Y24" s="2573"/>
      <c r="Z24" s="2573"/>
      <c r="AA24" s="2573"/>
      <c r="AB24" s="332"/>
      <c r="AC24" s="2562"/>
      <c r="AD24" s="541" t="s">
        <v>3409</v>
      </c>
      <c r="AE24" s="400" t="s">
        <v>3411</v>
      </c>
      <c r="AF24" s="400" t="s">
        <v>3412</v>
      </c>
      <c r="AG24" s="400" t="s">
        <v>3413</v>
      </c>
      <c r="AH24" s="400" t="s">
        <v>3414</v>
      </c>
      <c r="AI24" s="400" t="s">
        <v>3415</v>
      </c>
      <c r="AJ24" s="400" t="s">
        <v>3416</v>
      </c>
      <c r="AK24" s="400" t="s">
        <v>3417</v>
      </c>
      <c r="AL24" s="401" t="s">
        <v>3418</v>
      </c>
    </row>
    <row r="25" spans="1:38" ht="22.4" customHeight="1" thickTop="1" thickBot="1">
      <c r="A25" s="197"/>
      <c r="B25" s="106"/>
      <c r="C25" s="106"/>
      <c r="D25" s="106"/>
      <c r="E25" s="274"/>
      <c r="F25" s="274"/>
      <c r="G25" s="274"/>
      <c r="H25" s="274"/>
      <c r="I25" s="274"/>
      <c r="J25" s="274"/>
      <c r="K25" s="274"/>
      <c r="L25" s="274"/>
      <c r="M25" s="274"/>
      <c r="N25" s="543"/>
      <c r="O25" s="228"/>
      <c r="P25" s="228"/>
      <c r="Q25" s="197"/>
      <c r="R25" s="2578"/>
      <c r="S25" s="251"/>
      <c r="T25" s="332"/>
      <c r="U25" s="2573"/>
      <c r="V25" s="2573"/>
      <c r="W25" s="2573"/>
      <c r="X25" s="2573"/>
      <c r="Y25" s="2573"/>
      <c r="Z25" s="2573"/>
      <c r="AA25" s="2573"/>
      <c r="AB25" s="332"/>
      <c r="AC25" s="2562"/>
      <c r="AD25" s="106"/>
      <c r="AE25" s="274"/>
      <c r="AF25" s="274"/>
      <c r="AG25" s="274"/>
      <c r="AH25" s="274"/>
      <c r="AI25" s="274"/>
      <c r="AJ25" s="274"/>
      <c r="AK25" s="274"/>
      <c r="AL25" s="274"/>
    </row>
    <row r="26" spans="1:38" ht="22.4" customHeight="1" thickTop="1" thickBot="1">
      <c r="A26" s="197"/>
      <c r="B26" s="355" t="s">
        <v>3419</v>
      </c>
      <c r="C26" s="356"/>
      <c r="D26" s="356"/>
      <c r="E26" s="274"/>
      <c r="F26" s="274"/>
      <c r="G26" s="274"/>
      <c r="H26" s="274"/>
      <c r="I26" s="274"/>
      <c r="J26" s="274"/>
      <c r="K26" s="274"/>
      <c r="L26" s="274"/>
      <c r="M26" s="274"/>
      <c r="N26" s="543"/>
      <c r="O26" s="228"/>
      <c r="P26" s="228"/>
      <c r="Q26" s="197"/>
      <c r="R26" s="2578"/>
      <c r="S26" s="251"/>
      <c r="T26" s="332"/>
      <c r="U26" s="2573"/>
      <c r="V26" s="2573"/>
      <c r="W26" s="2573"/>
      <c r="X26" s="2573"/>
      <c r="Y26" s="2573"/>
      <c r="Z26" s="2573"/>
      <c r="AA26" s="2573"/>
      <c r="AB26" s="332"/>
      <c r="AC26" s="2562"/>
      <c r="AD26" s="355" t="s">
        <v>3419</v>
      </c>
      <c r="AE26" s="274"/>
      <c r="AF26" s="274"/>
      <c r="AG26" s="274"/>
      <c r="AH26" s="274"/>
      <c r="AI26" s="274"/>
      <c r="AJ26" s="274"/>
      <c r="AK26" s="274"/>
      <c r="AL26" s="274"/>
    </row>
    <row r="27" spans="1:38" ht="22.4" customHeight="1" thickTop="1">
      <c r="A27" s="197"/>
      <c r="B27" s="413" t="s">
        <v>3420</v>
      </c>
      <c r="C27" s="244" t="s">
        <v>137</v>
      </c>
      <c r="D27" s="244">
        <v>3</v>
      </c>
      <c r="E27" s="245">
        <v>-3.1349999999999998</v>
      </c>
      <c r="F27" s="245">
        <v>0</v>
      </c>
      <c r="G27" s="245">
        <v>-11.119</v>
      </c>
      <c r="H27" s="245">
        <v>-123.301</v>
      </c>
      <c r="I27" s="245">
        <v>-148.268</v>
      </c>
      <c r="J27" s="245">
        <v>-19.521999999999998</v>
      </c>
      <c r="K27" s="245">
        <v>0</v>
      </c>
      <c r="L27" s="247">
        <f>IFERROR(SUM(E27:K27),0)</f>
        <v>-305.34499999999997</v>
      </c>
      <c r="M27" s="274"/>
      <c r="N27" s="248" t="s">
        <v>3421</v>
      </c>
      <c r="O27" s="228"/>
      <c r="P27" s="250"/>
      <c r="Q27" s="197"/>
      <c r="R27" s="2578"/>
      <c r="S27" s="251">
        <f t="shared" ref="S27:S28" si="20">IF( SUM( U27:AA27 ) = 0, 0, $U$5 )</f>
        <v>0</v>
      </c>
      <c r="T27" s="2577"/>
      <c r="U27" s="252">
        <f t="shared" ref="U27:U28" si="21" xml:space="preserve"> IF( ISNUMBER( E27 ), 0, 1 )</f>
        <v>0</v>
      </c>
      <c r="V27" s="252">
        <f t="shared" ref="V27:V28" si="22" xml:space="preserve"> IF( ISNUMBER( F27 ), 0, 1 )</f>
        <v>0</v>
      </c>
      <c r="W27" s="252">
        <f t="shared" ref="W27:W28" si="23" xml:space="preserve"> IF( ISNUMBER( G27 ), 0, 1 )</f>
        <v>0</v>
      </c>
      <c r="X27" s="252">
        <f t="shared" ref="X27:X28" si="24" xml:space="preserve"> IF( ISNUMBER( H27 ), 0, 1 )</f>
        <v>0</v>
      </c>
      <c r="Y27" s="252">
        <f t="shared" ref="Y27:Y28" si="25" xml:space="preserve"> IF( ISNUMBER( I27 ), 0, 1 )</f>
        <v>0</v>
      </c>
      <c r="Z27" s="252">
        <f t="shared" ref="Z27:Z28" si="26" xml:space="preserve"> IF( ISNUMBER( J27 ), 0, 1 )</f>
        <v>0</v>
      </c>
      <c r="AA27" s="252">
        <f t="shared" ref="AA27:AA28" si="27" xml:space="preserve"> IF( ISNUMBER( K27 ), 0, 1 )</f>
        <v>0</v>
      </c>
      <c r="AB27" s="332"/>
      <c r="AC27" s="2562"/>
      <c r="AD27" s="413" t="s">
        <v>3420</v>
      </c>
      <c r="AE27" s="245" t="s">
        <v>3422</v>
      </c>
      <c r="AF27" s="245" t="s">
        <v>3423</v>
      </c>
      <c r="AG27" s="245" t="s">
        <v>3424</v>
      </c>
      <c r="AH27" s="245" t="s">
        <v>3425</v>
      </c>
      <c r="AI27" s="245" t="s">
        <v>3426</v>
      </c>
      <c r="AJ27" s="245" t="s">
        <v>3427</v>
      </c>
      <c r="AK27" s="245" t="s">
        <v>3428</v>
      </c>
      <c r="AL27" s="247" t="s">
        <v>3429</v>
      </c>
    </row>
    <row r="28" spans="1:38" ht="22.4" customHeight="1">
      <c r="A28" s="197"/>
      <c r="B28" s="422" t="s">
        <v>3029</v>
      </c>
      <c r="C28" s="253" t="s">
        <v>137</v>
      </c>
      <c r="D28" s="253">
        <v>3</v>
      </c>
      <c r="E28" s="254">
        <v>0</v>
      </c>
      <c r="F28" s="254">
        <v>0</v>
      </c>
      <c r="G28" s="254">
        <v>0</v>
      </c>
      <c r="H28" s="254">
        <v>0</v>
      </c>
      <c r="I28" s="254">
        <v>0</v>
      </c>
      <c r="J28" s="254">
        <v>0</v>
      </c>
      <c r="K28" s="254">
        <v>0</v>
      </c>
      <c r="L28" s="256">
        <f>IFERROR(SUM(E28:K28),0)</f>
        <v>0</v>
      </c>
      <c r="M28" s="274"/>
      <c r="N28" s="257" t="s">
        <v>3430</v>
      </c>
      <c r="O28" s="228"/>
      <c r="P28" s="258"/>
      <c r="Q28" s="197"/>
      <c r="R28" s="2578"/>
      <c r="S28" s="251">
        <f t="shared" si="20"/>
        <v>0</v>
      </c>
      <c r="T28" s="2577"/>
      <c r="U28" s="252">
        <f t="shared" si="21"/>
        <v>0</v>
      </c>
      <c r="V28" s="252">
        <f t="shared" si="22"/>
        <v>0</v>
      </c>
      <c r="W28" s="252">
        <f t="shared" si="23"/>
        <v>0</v>
      </c>
      <c r="X28" s="252">
        <f t="shared" si="24"/>
        <v>0</v>
      </c>
      <c r="Y28" s="252">
        <f t="shared" si="25"/>
        <v>0</v>
      </c>
      <c r="Z28" s="252">
        <f t="shared" si="26"/>
        <v>0</v>
      </c>
      <c r="AA28" s="252">
        <f t="shared" si="27"/>
        <v>0</v>
      </c>
      <c r="AB28" s="332"/>
      <c r="AC28" s="2562"/>
      <c r="AD28" s="422" t="s">
        <v>3029</v>
      </c>
      <c r="AE28" s="254" t="s">
        <v>3431</v>
      </c>
      <c r="AF28" s="254" t="s">
        <v>3432</v>
      </c>
      <c r="AG28" s="254" t="s">
        <v>3433</v>
      </c>
      <c r="AH28" s="254" t="s">
        <v>3434</v>
      </c>
      <c r="AI28" s="254" t="s">
        <v>3435</v>
      </c>
      <c r="AJ28" s="254" t="s">
        <v>3436</v>
      </c>
      <c r="AK28" s="254" t="s">
        <v>3437</v>
      </c>
      <c r="AL28" s="256" t="s">
        <v>3438</v>
      </c>
    </row>
    <row r="29" spans="1:38" ht="22.4" customHeight="1" thickBot="1">
      <c r="A29" s="197"/>
      <c r="B29" s="425" t="s">
        <v>2112</v>
      </c>
      <c r="C29" s="319" t="s">
        <v>137</v>
      </c>
      <c r="D29" s="319">
        <v>3</v>
      </c>
      <c r="E29" s="265">
        <f t="shared" ref="E29:K29" si="28">IFERROR(E27+E28,0)</f>
        <v>-3.1349999999999998</v>
      </c>
      <c r="F29" s="265">
        <f t="shared" si="28"/>
        <v>0</v>
      </c>
      <c r="G29" s="265">
        <f t="shared" si="28"/>
        <v>-11.119</v>
      </c>
      <c r="H29" s="265">
        <f t="shared" si="28"/>
        <v>-123.301</v>
      </c>
      <c r="I29" s="265">
        <f t="shared" si="28"/>
        <v>-148.268</v>
      </c>
      <c r="J29" s="265">
        <f t="shared" si="28"/>
        <v>-19.521999999999998</v>
      </c>
      <c r="K29" s="265">
        <f t="shared" si="28"/>
        <v>0</v>
      </c>
      <c r="L29" s="266">
        <f>IFERROR(SUM(E29:K29),0)</f>
        <v>-305.34499999999997</v>
      </c>
      <c r="M29" s="274"/>
      <c r="N29" s="320" t="s">
        <v>3439</v>
      </c>
      <c r="O29" s="228"/>
      <c r="P29" s="269"/>
      <c r="Q29" s="197"/>
      <c r="R29" s="2578"/>
      <c r="S29" s="251"/>
      <c r="T29" s="332"/>
      <c r="U29" s="2573"/>
      <c r="V29" s="2573"/>
      <c r="W29" s="2573"/>
      <c r="X29" s="2573"/>
      <c r="Y29" s="2573"/>
      <c r="Z29" s="2573"/>
      <c r="AA29" s="2573"/>
      <c r="AB29" s="332"/>
      <c r="AC29" s="2562"/>
      <c r="AD29" s="425" t="s">
        <v>2112</v>
      </c>
      <c r="AE29" s="265" t="s">
        <v>3440</v>
      </c>
      <c r="AF29" s="265" t="s">
        <v>3441</v>
      </c>
      <c r="AG29" s="265" t="s">
        <v>3442</v>
      </c>
      <c r="AH29" s="265" t="s">
        <v>3443</v>
      </c>
      <c r="AI29" s="265" t="s">
        <v>3444</v>
      </c>
      <c r="AJ29" s="265" t="s">
        <v>3445</v>
      </c>
      <c r="AK29" s="265" t="s">
        <v>3446</v>
      </c>
      <c r="AL29" s="266" t="s">
        <v>3447</v>
      </c>
    </row>
    <row r="30" spans="1:38" ht="16" thickTop="1">
      <c r="A30" s="197"/>
      <c r="B30" s="106"/>
      <c r="C30" s="106"/>
      <c r="D30" s="106"/>
      <c r="E30" s="106"/>
      <c r="F30" s="106"/>
      <c r="G30" s="533"/>
      <c r="H30" s="533"/>
      <c r="I30" s="533"/>
      <c r="J30" s="533"/>
      <c r="K30" s="533"/>
      <c r="L30" s="533"/>
      <c r="M30" s="544"/>
      <c r="N30" s="543"/>
      <c r="O30" s="197"/>
      <c r="P30" s="197"/>
      <c r="Q30" s="197"/>
      <c r="R30" s="2562"/>
      <c r="S30" s="2562"/>
      <c r="T30" s="2572"/>
      <c r="U30" s="237"/>
      <c r="V30" s="237"/>
      <c r="W30" s="237"/>
      <c r="X30" s="237"/>
      <c r="Y30" s="237"/>
      <c r="Z30" s="237"/>
      <c r="AA30" s="237"/>
      <c r="AB30" s="2572"/>
      <c r="AC30" s="2562"/>
      <c r="AD30" s="2562"/>
      <c r="AE30" s="2562"/>
      <c r="AF30" s="2562"/>
      <c r="AG30" s="2562"/>
      <c r="AH30" s="2562"/>
      <c r="AI30" s="2562"/>
      <c r="AJ30" s="2562"/>
      <c r="AK30" s="2562"/>
      <c r="AL30" s="2562"/>
    </row>
    <row r="31" spans="1:38">
      <c r="A31" s="197"/>
      <c r="B31" s="2755"/>
      <c r="C31" s="2755"/>
      <c r="D31" s="2755"/>
      <c r="E31" s="2755"/>
      <c r="F31" s="2755"/>
      <c r="G31" s="2755"/>
      <c r="H31" s="2755"/>
      <c r="I31" s="2755"/>
      <c r="J31" s="2755"/>
      <c r="K31" s="2755"/>
      <c r="L31" s="545"/>
      <c r="N31" s="543"/>
      <c r="O31" s="197"/>
      <c r="P31" s="197"/>
      <c r="Q31" s="197"/>
      <c r="R31" s="2562"/>
      <c r="S31" s="2562"/>
      <c r="T31" s="302"/>
      <c r="U31" s="237"/>
      <c r="V31" s="237"/>
      <c r="W31" s="237"/>
      <c r="X31" s="237"/>
      <c r="Y31" s="237"/>
      <c r="Z31" s="237"/>
      <c r="AA31" s="237"/>
      <c r="AB31" s="302"/>
      <c r="AC31" s="2562"/>
      <c r="AD31" s="2562"/>
      <c r="AE31" s="2562"/>
      <c r="AF31" s="2562"/>
      <c r="AG31" s="2562"/>
      <c r="AH31" s="2562"/>
      <c r="AI31" s="2562"/>
      <c r="AJ31" s="2562"/>
      <c r="AK31" s="2562"/>
      <c r="AL31" s="2562"/>
    </row>
    <row r="32" spans="1:38">
      <c r="A32" s="197"/>
      <c r="B32" s="197"/>
      <c r="C32" s="197"/>
      <c r="D32" s="197"/>
      <c r="E32" s="197"/>
      <c r="F32" s="197"/>
      <c r="G32" s="545"/>
      <c r="H32" s="545"/>
      <c r="I32" s="545"/>
      <c r="J32" s="545"/>
      <c r="K32" s="545"/>
      <c r="L32" s="545"/>
      <c r="N32" s="543"/>
      <c r="O32" s="197"/>
      <c r="P32" s="197"/>
      <c r="Q32" s="197"/>
      <c r="R32" s="2562"/>
      <c r="S32" s="2562"/>
      <c r="T32" s="2572"/>
      <c r="U32" s="237"/>
      <c r="V32" s="237"/>
      <c r="W32" s="237"/>
      <c r="X32" s="237"/>
      <c r="Y32" s="237"/>
      <c r="Z32" s="237"/>
      <c r="AA32" s="237"/>
      <c r="AB32" s="2572"/>
      <c r="AC32" s="2562"/>
      <c r="AD32" s="2562"/>
      <c r="AE32" s="2562"/>
      <c r="AF32" s="2562"/>
      <c r="AG32" s="2562"/>
      <c r="AH32" s="2562"/>
      <c r="AI32" s="2562"/>
      <c r="AJ32" s="2562"/>
      <c r="AK32" s="2562"/>
      <c r="AL32" s="2562"/>
    </row>
    <row r="33" spans="1:27">
      <c r="A33" s="197"/>
      <c r="B33" s="197"/>
      <c r="C33" s="197"/>
      <c r="D33" s="197"/>
      <c r="E33" s="197"/>
      <c r="F33" s="197"/>
      <c r="G33" s="545"/>
      <c r="H33" s="545"/>
      <c r="I33" s="545"/>
      <c r="J33" s="545"/>
      <c r="K33" s="545"/>
      <c r="L33" s="545"/>
      <c r="N33" s="543"/>
      <c r="O33" s="197"/>
      <c r="P33" s="197"/>
      <c r="Q33" s="197"/>
      <c r="R33" s="2562"/>
      <c r="S33" s="2562"/>
      <c r="T33" s="2572"/>
      <c r="U33" s="237"/>
      <c r="V33" s="237"/>
      <c r="W33" s="237"/>
      <c r="X33" s="237"/>
      <c r="Y33" s="237"/>
      <c r="Z33" s="237"/>
      <c r="AA33" s="237"/>
    </row>
  </sheetData>
  <sheetProtection formatColumns="0" formatRows="0"/>
  <mergeCells count="5">
    <mergeCell ref="B31:K31"/>
    <mergeCell ref="B2:J2"/>
    <mergeCell ref="B3:P3"/>
    <mergeCell ref="AD3:AL3"/>
    <mergeCell ref="U4:AA4"/>
  </mergeCells>
  <conditionalFormatting sqref="S8:S29">
    <cfRule type="cellIs" dxfId="175"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31C67-7094-4E4C-8A69-A8C4D9D586AE}">
  <dimension ref="A1:AB61"/>
  <sheetViews>
    <sheetView topLeftCell="A34" zoomScale="90" zoomScaleNormal="90" workbookViewId="0">
      <selection activeCell="E8" sqref="E8:H55"/>
    </sheetView>
  </sheetViews>
  <sheetFormatPr defaultColWidth="8.58203125" defaultRowHeight="14"/>
  <cols>
    <col min="1" max="1" width="1.58203125" style="2474" customWidth="1"/>
    <col min="2" max="2" width="47" style="2474" bestFit="1" customWidth="1"/>
    <col min="3" max="3" width="7" style="2474" customWidth="1"/>
    <col min="4" max="4" width="6" style="2474" bestFit="1" customWidth="1"/>
    <col min="5" max="6" width="17.08203125" style="2525" customWidth="1"/>
    <col min="7" max="7" width="17.5" style="2525" customWidth="1"/>
    <col min="8" max="8" width="12.5" style="2525" customWidth="1"/>
    <col min="9" max="9" width="4.75" style="2525" customWidth="1"/>
    <col min="10" max="10" width="1.58203125" style="2474" customWidth="1"/>
    <col min="11" max="11" width="12.5" style="2526" customWidth="1"/>
    <col min="12" max="12" width="1.58203125" style="2474" customWidth="1"/>
    <col min="13" max="13" width="38" style="2474" customWidth="1"/>
    <col min="14" max="15" width="1.58203125" style="2474" customWidth="1"/>
    <col min="16" max="16" width="25" style="2474" customWidth="1"/>
    <col min="17" max="17" width="1.58203125" style="2474" customWidth="1"/>
    <col min="18" max="20" width="8.08203125" style="2491" hidden="1" customWidth="1"/>
    <col min="21" max="21" width="1.58203125" style="2474" hidden="1" customWidth="1"/>
    <col min="22" max="22" width="1.58203125" style="2474" customWidth="1"/>
    <col min="23" max="23" width="46" style="2474" bestFit="1" customWidth="1"/>
    <col min="24" max="24" width="15" style="2474" customWidth="1"/>
    <col min="25" max="25" width="17.5" style="2474" bestFit="1" customWidth="1"/>
    <col min="26" max="27" width="15" style="2474" customWidth="1"/>
    <col min="28" max="28" width="1.58203125" style="2474" customWidth="1"/>
    <col min="29" max="16384" width="8.58203125" style="2474"/>
  </cols>
  <sheetData>
    <row r="1" spans="1:27" s="2470" customFormat="1" ht="22.5">
      <c r="B1" s="524" t="s">
        <v>3448</v>
      </c>
      <c r="C1" s="524"/>
      <c r="D1" s="524"/>
      <c r="E1" s="548"/>
      <c r="F1" s="548"/>
      <c r="G1" s="548"/>
      <c r="H1" s="548"/>
      <c r="I1" s="548"/>
      <c r="K1" s="2471"/>
      <c r="O1" s="2472"/>
      <c r="P1" s="2473"/>
      <c r="Q1" s="2580"/>
      <c r="R1" s="2581"/>
      <c r="S1" s="2581"/>
      <c r="T1" s="2581"/>
      <c r="U1" s="2580"/>
      <c r="W1" s="524" t="s">
        <v>1887</v>
      </c>
    </row>
    <row r="2" spans="1:27" s="2470" customFormat="1" ht="22.5">
      <c r="B2" s="524" t="str">
        <f>SelectCompany!B4</f>
        <v>Yorkshire Water</v>
      </c>
      <c r="C2" s="525"/>
      <c r="D2" s="525"/>
      <c r="E2" s="549"/>
      <c r="F2" s="549"/>
      <c r="G2" s="549"/>
      <c r="H2" s="549"/>
      <c r="I2" s="549"/>
      <c r="K2" s="2471"/>
      <c r="O2" s="2472"/>
      <c r="P2" s="2473"/>
      <c r="Q2" s="2580"/>
      <c r="R2" s="2581"/>
      <c r="S2" s="2581"/>
      <c r="T2" s="2581"/>
      <c r="U2" s="2580"/>
      <c r="W2" s="524"/>
    </row>
    <row r="3" spans="1:27" ht="19">
      <c r="A3" s="2581"/>
      <c r="B3" s="2756" t="s">
        <v>3449</v>
      </c>
      <c r="C3" s="2757"/>
      <c r="D3" s="2757"/>
      <c r="E3" s="2757"/>
      <c r="F3" s="2757"/>
      <c r="G3" s="2757"/>
      <c r="H3" s="2757"/>
      <c r="I3" s="2757"/>
      <c r="J3" s="2757"/>
      <c r="K3" s="2757"/>
      <c r="L3" s="2757"/>
      <c r="M3" s="2757"/>
      <c r="N3" s="2581"/>
      <c r="O3" s="2475"/>
      <c r="P3" s="2476" t="s">
        <v>1889</v>
      </c>
      <c r="Q3" s="2580"/>
      <c r="R3" s="2581"/>
      <c r="S3" s="2581"/>
      <c r="T3" s="2581"/>
      <c r="U3" s="2580"/>
      <c r="V3" s="2581"/>
      <c r="W3" s="2758" t="s">
        <v>3449</v>
      </c>
      <c r="X3" s="2759"/>
      <c r="Y3" s="2759"/>
      <c r="Z3" s="2759"/>
      <c r="AA3" s="2759"/>
    </row>
    <row r="4" spans="1:27" ht="19.5" thickBot="1">
      <c r="A4" s="2581"/>
      <c r="B4" s="2477"/>
      <c r="C4" s="2477"/>
      <c r="D4" s="2477"/>
      <c r="E4" s="550"/>
      <c r="F4" s="550"/>
      <c r="G4" s="550"/>
      <c r="H4" s="550"/>
      <c r="I4" s="550"/>
      <c r="J4" s="2478"/>
      <c r="K4" s="2479"/>
      <c r="L4" s="2581"/>
      <c r="M4" s="2581"/>
      <c r="N4" s="2581"/>
      <c r="O4" s="2582"/>
      <c r="P4" s="2581"/>
      <c r="Q4" s="2580"/>
      <c r="R4" s="2760" t="s">
        <v>1890</v>
      </c>
      <c r="S4" s="2760"/>
      <c r="T4" s="2760"/>
      <c r="U4" s="2580"/>
      <c r="V4" s="2581"/>
      <c r="W4" s="2477"/>
      <c r="X4" s="2477"/>
      <c r="Y4" s="2477"/>
      <c r="Z4" s="2477"/>
      <c r="AA4" s="2477"/>
    </row>
    <row r="5" spans="1:27" s="545" customFormat="1" ht="63" thickTop="1" thickBot="1">
      <c r="B5" s="2480" t="s">
        <v>1891</v>
      </c>
      <c r="C5" s="2481" t="s">
        <v>1892</v>
      </c>
      <c r="D5" s="2481" t="s">
        <v>136</v>
      </c>
      <c r="E5" s="2482" t="s">
        <v>3450</v>
      </c>
      <c r="F5" s="2482" t="s">
        <v>3451</v>
      </c>
      <c r="G5" s="2482" t="s">
        <v>3452</v>
      </c>
      <c r="H5" s="2483" t="s">
        <v>2112</v>
      </c>
      <c r="I5" s="671"/>
      <c r="J5" s="533"/>
      <c r="K5" s="2484" t="s">
        <v>1896</v>
      </c>
      <c r="M5" s="2484" t="s">
        <v>1897</v>
      </c>
      <c r="O5" s="2582"/>
      <c r="P5" s="2581"/>
      <c r="Q5" s="2580"/>
      <c r="R5" s="2485" t="s">
        <v>1898</v>
      </c>
      <c r="S5" s="2486"/>
      <c r="T5" s="2486"/>
      <c r="U5" s="2580"/>
      <c r="W5" s="2480" t="s">
        <v>1891</v>
      </c>
      <c r="X5" s="2482" t="s">
        <v>3450</v>
      </c>
      <c r="Y5" s="2482" t="s">
        <v>3451</v>
      </c>
      <c r="Z5" s="2482" t="s">
        <v>3452</v>
      </c>
      <c r="AA5" s="2483" t="s">
        <v>2112</v>
      </c>
    </row>
    <row r="6" spans="1:27" s="545" customFormat="1" ht="16.5" thickTop="1" thickBot="1">
      <c r="B6" s="2487"/>
      <c r="C6" s="2487"/>
      <c r="D6" s="2487"/>
      <c r="E6" s="281"/>
      <c r="F6" s="281"/>
      <c r="G6" s="281"/>
      <c r="H6" s="281"/>
      <c r="I6" s="2537"/>
      <c r="J6" s="533"/>
      <c r="K6" s="2487"/>
      <c r="O6" s="2582"/>
      <c r="P6" s="2581"/>
      <c r="Q6" s="2580"/>
      <c r="R6" s="2581"/>
      <c r="S6" s="2581"/>
      <c r="T6" s="2581"/>
      <c r="U6" s="2580"/>
      <c r="W6" s="2487"/>
      <c r="X6" s="281"/>
      <c r="Y6" s="281"/>
      <c r="Z6" s="281"/>
      <c r="AA6" s="281"/>
    </row>
    <row r="7" spans="1:27" s="2492" customFormat="1" ht="15.75" customHeight="1" thickTop="1" thickBot="1">
      <c r="A7" s="2488"/>
      <c r="B7" s="2489" t="s">
        <v>3453</v>
      </c>
      <c r="C7" s="2490"/>
      <c r="D7" s="2490"/>
      <c r="E7" s="281"/>
      <c r="F7" s="281"/>
      <c r="G7" s="281"/>
      <c r="H7" s="281"/>
      <c r="I7" s="2537"/>
      <c r="J7" s="2488"/>
      <c r="K7" s="533"/>
      <c r="L7" s="2488"/>
      <c r="M7" s="2488"/>
      <c r="N7" s="2488"/>
      <c r="O7" s="2582"/>
      <c r="P7" s="2583"/>
      <c r="Q7" s="2580"/>
      <c r="R7" s="2583"/>
      <c r="S7" s="2583"/>
      <c r="T7" s="2583"/>
      <c r="U7" s="2580"/>
      <c r="W7" s="2489" t="s">
        <v>3453</v>
      </c>
      <c r="X7" s="281"/>
      <c r="Y7" s="281"/>
      <c r="Z7" s="281"/>
      <c r="AA7" s="281"/>
    </row>
    <row r="8" spans="1:27" s="2492" customFormat="1" ht="15.75" customHeight="1" thickTop="1">
      <c r="A8" s="2488"/>
      <c r="B8" s="2493" t="s">
        <v>3454</v>
      </c>
      <c r="C8" s="2494" t="s">
        <v>137</v>
      </c>
      <c r="D8" s="2495">
        <v>3</v>
      </c>
      <c r="E8" s="245">
        <v>0</v>
      </c>
      <c r="F8" s="245">
        <v>0</v>
      </c>
      <c r="G8" s="245">
        <v>0</v>
      </c>
      <c r="H8" s="247">
        <f t="shared" ref="H8:H14" si="0">IFERROR(SUM(E8:G8),0)</f>
        <v>0</v>
      </c>
      <c r="I8" s="514"/>
      <c r="J8" s="2488"/>
      <c r="K8" s="2496" t="s">
        <v>3455</v>
      </c>
      <c r="L8" s="2488"/>
      <c r="M8" s="2497"/>
      <c r="N8" s="2488"/>
      <c r="O8" s="2582"/>
      <c r="P8" s="2498">
        <f>IF( SUM( R8:T8 ) = 0, 0, $R$5 )</f>
        <v>0</v>
      </c>
      <c r="Q8" s="2580"/>
      <c r="R8" s="2499">
        <f xml:space="preserve"> IF( ISNUMBER( E8 ), 0, 1 )</f>
        <v>0</v>
      </c>
      <c r="S8" s="2499">
        <f xml:space="preserve"> IF( ISNUMBER( F8 ), 0, 1 )</f>
        <v>0</v>
      </c>
      <c r="T8" s="2499">
        <f t="shared" ref="T8:T9" si="1" xml:space="preserve"> IF( ISNUMBER( G8 ), 0, 1 )</f>
        <v>0</v>
      </c>
      <c r="U8" s="2580"/>
      <c r="W8" s="2493" t="s">
        <v>3454</v>
      </c>
      <c r="X8" s="245" t="s">
        <v>1704</v>
      </c>
      <c r="Y8" s="245" t="s">
        <v>1705</v>
      </c>
      <c r="Z8" s="245" t="s">
        <v>1706</v>
      </c>
      <c r="AA8" s="247" t="s">
        <v>1707</v>
      </c>
    </row>
    <row r="9" spans="1:27" s="2492" customFormat="1" ht="15.75" customHeight="1">
      <c r="A9" s="2488"/>
      <c r="B9" s="2500" t="s">
        <v>3456</v>
      </c>
      <c r="C9" s="2501" t="s">
        <v>137</v>
      </c>
      <c r="D9" s="2502">
        <v>3</v>
      </c>
      <c r="E9" s="254">
        <v>0</v>
      </c>
      <c r="F9" s="254">
        <v>0</v>
      </c>
      <c r="G9" s="254">
        <v>0</v>
      </c>
      <c r="H9" s="256">
        <f t="shared" si="0"/>
        <v>0</v>
      </c>
      <c r="I9" s="514"/>
      <c r="J9" s="2488"/>
      <c r="K9" s="2503" t="s">
        <v>3457</v>
      </c>
      <c r="L9" s="2488"/>
      <c r="M9" s="2504"/>
      <c r="N9" s="2488"/>
      <c r="O9" s="2580"/>
      <c r="P9" s="2498">
        <f>IF( SUM( R9:T9 ) = 0, 0, $R$5 )</f>
        <v>0</v>
      </c>
      <c r="Q9" s="2580"/>
      <c r="R9" s="2499">
        <f xml:space="preserve"> IF( ISNUMBER( E9 ), 0, 1 )</f>
        <v>0</v>
      </c>
      <c r="S9" s="2499">
        <f xml:space="preserve"> IF( ISNUMBER( F9 ), 0, 1 )</f>
        <v>0</v>
      </c>
      <c r="T9" s="2499">
        <f t="shared" si="1"/>
        <v>0</v>
      </c>
      <c r="U9" s="2580"/>
      <c r="W9" s="2500" t="s">
        <v>3456</v>
      </c>
      <c r="X9" s="254" t="s">
        <v>1708</v>
      </c>
      <c r="Y9" s="254" t="s">
        <v>1709</v>
      </c>
      <c r="Z9" s="254" t="s">
        <v>1710</v>
      </c>
      <c r="AA9" s="256" t="s">
        <v>1711</v>
      </c>
    </row>
    <row r="10" spans="1:27" s="2492" customFormat="1" ht="15.75" customHeight="1">
      <c r="A10" s="2488"/>
      <c r="B10" s="2500" t="s">
        <v>3458</v>
      </c>
      <c r="C10" s="2501" t="s">
        <v>137</v>
      </c>
      <c r="D10" s="2502">
        <v>3</v>
      </c>
      <c r="E10" s="255">
        <f>IFERROR(SUM(E8:E9),0)</f>
        <v>0</v>
      </c>
      <c r="F10" s="255">
        <f>IFERROR(SUM(F8:F9),0)</f>
        <v>0</v>
      </c>
      <c r="G10" s="255">
        <f>IFERROR(SUM(G8:G9),0)</f>
        <v>0</v>
      </c>
      <c r="H10" s="551">
        <f t="shared" si="0"/>
        <v>0</v>
      </c>
      <c r="I10" s="514"/>
      <c r="J10" s="2488"/>
      <c r="K10" s="2503" t="s">
        <v>3459</v>
      </c>
      <c r="L10" s="2488"/>
      <c r="M10" s="2504"/>
      <c r="N10" s="2488"/>
      <c r="O10" s="2580"/>
      <c r="P10" s="2498"/>
      <c r="Q10" s="2580"/>
      <c r="R10" s="2583"/>
      <c r="S10" s="2583"/>
      <c r="T10" s="2583"/>
      <c r="U10" s="2580"/>
      <c r="W10" s="2500" t="s">
        <v>3458</v>
      </c>
      <c r="X10" s="255" t="s">
        <v>1712</v>
      </c>
      <c r="Y10" s="255" t="s">
        <v>1713</v>
      </c>
      <c r="Z10" s="255" t="s">
        <v>1714</v>
      </c>
      <c r="AA10" s="551" t="s">
        <v>1715</v>
      </c>
    </row>
    <row r="11" spans="1:27" s="2492" customFormat="1" ht="15.75" customHeight="1">
      <c r="A11" s="2488"/>
      <c r="B11" s="2500" t="s">
        <v>3460</v>
      </c>
      <c r="C11" s="2501" t="s">
        <v>137</v>
      </c>
      <c r="D11" s="2502">
        <v>3</v>
      </c>
      <c r="E11" s="254">
        <v>0</v>
      </c>
      <c r="F11" s="254">
        <v>0</v>
      </c>
      <c r="G11" s="254">
        <v>0</v>
      </c>
      <c r="H11" s="256">
        <f t="shared" si="0"/>
        <v>0</v>
      </c>
      <c r="I11" s="514"/>
      <c r="J11" s="2488"/>
      <c r="K11" s="2503" t="s">
        <v>3461</v>
      </c>
      <c r="L11" s="2488"/>
      <c r="M11" s="2504"/>
      <c r="N11" s="2488"/>
      <c r="O11" s="2580"/>
      <c r="P11" s="2498">
        <f>IF( SUM( R11:T11 ) = 0, 0, $R$5 )</f>
        <v>0</v>
      </c>
      <c r="Q11" s="2580"/>
      <c r="R11" s="2499">
        <f t="shared" ref="R11:S13" si="2" xml:space="preserve"> IF( ISNUMBER( E11 ), 0, 1 )</f>
        <v>0</v>
      </c>
      <c r="S11" s="2499">
        <f t="shared" si="2"/>
        <v>0</v>
      </c>
      <c r="T11" s="2499">
        <f t="shared" ref="T11:T13" si="3" xml:space="preserve"> IF( ISNUMBER( G11 ), 0, 1 )</f>
        <v>0</v>
      </c>
      <c r="U11" s="2580"/>
      <c r="W11" s="2500" t="s">
        <v>3460</v>
      </c>
      <c r="X11" s="254" t="s">
        <v>1716</v>
      </c>
      <c r="Y11" s="254" t="s">
        <v>1717</v>
      </c>
      <c r="Z11" s="254" t="s">
        <v>1718</v>
      </c>
      <c r="AA11" s="256" t="s">
        <v>1719</v>
      </c>
    </row>
    <row r="12" spans="1:27" s="2492" customFormat="1" ht="15.75" customHeight="1">
      <c r="A12" s="2488"/>
      <c r="B12" s="2500" t="s">
        <v>3462</v>
      </c>
      <c r="C12" s="2501" t="s">
        <v>137</v>
      </c>
      <c r="D12" s="2502">
        <v>3</v>
      </c>
      <c r="E12" s="254">
        <v>0</v>
      </c>
      <c r="F12" s="254">
        <v>0</v>
      </c>
      <c r="G12" s="254">
        <v>0</v>
      </c>
      <c r="H12" s="256">
        <f t="shared" si="0"/>
        <v>0</v>
      </c>
      <c r="I12" s="514"/>
      <c r="J12" s="2488"/>
      <c r="K12" s="2503" t="s">
        <v>3463</v>
      </c>
      <c r="L12" s="2488"/>
      <c r="M12" s="2504"/>
      <c r="N12" s="2488"/>
      <c r="O12" s="2580"/>
      <c r="P12" s="2498">
        <f>IF( SUM( R12:T12 ) = 0, 0, $R$5 )</f>
        <v>0</v>
      </c>
      <c r="Q12" s="2580"/>
      <c r="R12" s="2499">
        <f t="shared" si="2"/>
        <v>0</v>
      </c>
      <c r="S12" s="2499">
        <f t="shared" si="2"/>
        <v>0</v>
      </c>
      <c r="T12" s="2499">
        <f t="shared" si="3"/>
        <v>0</v>
      </c>
      <c r="U12" s="2580"/>
      <c r="W12" s="2500" t="s">
        <v>3462</v>
      </c>
      <c r="X12" s="254" t="s">
        <v>1720</v>
      </c>
      <c r="Y12" s="254" t="s">
        <v>1721</v>
      </c>
      <c r="Z12" s="254" t="s">
        <v>1722</v>
      </c>
      <c r="AA12" s="256" t="s">
        <v>1723</v>
      </c>
    </row>
    <row r="13" spans="1:27" s="2492" customFormat="1" ht="15.75" customHeight="1">
      <c r="A13" s="2488"/>
      <c r="B13" s="2500" t="s">
        <v>3464</v>
      </c>
      <c r="C13" s="2501" t="s">
        <v>137</v>
      </c>
      <c r="D13" s="2502">
        <v>3</v>
      </c>
      <c r="E13" s="254">
        <v>0</v>
      </c>
      <c r="F13" s="254">
        <v>0</v>
      </c>
      <c r="G13" s="254">
        <v>0</v>
      </c>
      <c r="H13" s="256">
        <f t="shared" si="0"/>
        <v>0</v>
      </c>
      <c r="I13" s="514"/>
      <c r="J13" s="2488"/>
      <c r="K13" s="2503" t="s">
        <v>3465</v>
      </c>
      <c r="L13" s="2488"/>
      <c r="M13" s="2504"/>
      <c r="N13" s="2488"/>
      <c r="O13" s="2580"/>
      <c r="P13" s="2498">
        <f>IF( SUM( R13:T13 ) = 0, 0, $R$5 )</f>
        <v>0</v>
      </c>
      <c r="Q13" s="2580"/>
      <c r="R13" s="2499">
        <f t="shared" si="2"/>
        <v>0</v>
      </c>
      <c r="S13" s="2499">
        <f t="shared" si="2"/>
        <v>0</v>
      </c>
      <c r="T13" s="2499">
        <f t="shared" si="3"/>
        <v>0</v>
      </c>
      <c r="U13" s="2580"/>
      <c r="W13" s="2500" t="s">
        <v>3464</v>
      </c>
      <c r="X13" s="254" t="s">
        <v>1724</v>
      </c>
      <c r="Y13" s="254" t="s">
        <v>1725</v>
      </c>
      <c r="Z13" s="254" t="s">
        <v>1726</v>
      </c>
      <c r="AA13" s="256" t="s">
        <v>1727</v>
      </c>
    </row>
    <row r="14" spans="1:27" s="2492" customFormat="1" ht="15.75" customHeight="1" thickBot="1">
      <c r="A14" s="2488"/>
      <c r="B14" s="2505" t="s">
        <v>3466</v>
      </c>
      <c r="C14" s="2506" t="s">
        <v>137</v>
      </c>
      <c r="D14" s="2507">
        <v>3</v>
      </c>
      <c r="E14" s="265">
        <f>IFERROR(SUM(E10:E13),0)</f>
        <v>0</v>
      </c>
      <c r="F14" s="265">
        <f>IFERROR(SUM(F10:F13),0)</f>
        <v>0</v>
      </c>
      <c r="G14" s="265">
        <f>IFERROR(SUM(G10:G13),0)</f>
        <v>0</v>
      </c>
      <c r="H14" s="266">
        <f t="shared" si="0"/>
        <v>0</v>
      </c>
      <c r="I14" s="514"/>
      <c r="J14" s="2488"/>
      <c r="K14" s="2508" t="s">
        <v>3467</v>
      </c>
      <c r="L14" s="2488"/>
      <c r="M14" s="2509"/>
      <c r="N14" s="2488"/>
      <c r="O14" s="2580"/>
      <c r="P14" s="2498"/>
      <c r="Q14" s="2580"/>
      <c r="R14" s="2583"/>
      <c r="S14" s="2583"/>
      <c r="T14" s="2583"/>
      <c r="U14" s="2580"/>
      <c r="W14" s="2505" t="s">
        <v>2112</v>
      </c>
      <c r="X14" s="265" t="s">
        <v>1728</v>
      </c>
      <c r="Y14" s="265" t="s">
        <v>1729</v>
      </c>
      <c r="Z14" s="265" t="s">
        <v>1730</v>
      </c>
      <c r="AA14" s="266" t="s">
        <v>1731</v>
      </c>
    </row>
    <row r="15" spans="1:27" s="2492" customFormat="1" ht="15.75" customHeight="1" thickTop="1" thickBot="1">
      <c r="A15" s="2488"/>
      <c r="B15" s="2510"/>
      <c r="C15" s="2510"/>
      <c r="D15" s="2510"/>
      <c r="E15" s="397"/>
      <c r="F15" s="397"/>
      <c r="G15" s="397"/>
      <c r="H15" s="397"/>
      <c r="I15" s="2538"/>
      <c r="J15" s="2488"/>
      <c r="K15" s="2511"/>
      <c r="L15" s="2488"/>
      <c r="M15" s="2488"/>
      <c r="N15" s="2488"/>
      <c r="O15" s="2580"/>
      <c r="P15" s="2498"/>
      <c r="Q15" s="2580"/>
      <c r="R15" s="2583"/>
      <c r="S15" s="2583"/>
      <c r="T15" s="2583"/>
      <c r="U15" s="2580"/>
      <c r="W15" s="2510"/>
      <c r="X15" s="397"/>
      <c r="Y15" s="397"/>
      <c r="Z15" s="397"/>
      <c r="AA15" s="397"/>
    </row>
    <row r="16" spans="1:27" s="2492" customFormat="1" ht="15.75" customHeight="1" thickTop="1" thickBot="1">
      <c r="A16" s="2488"/>
      <c r="B16" s="2512" t="s">
        <v>3468</v>
      </c>
      <c r="C16" s="2513" t="s">
        <v>137</v>
      </c>
      <c r="D16" s="2514">
        <v>3</v>
      </c>
      <c r="E16" s="383">
        <v>0</v>
      </c>
      <c r="F16" s="383">
        <v>0</v>
      </c>
      <c r="G16" s="552"/>
      <c r="H16" s="433">
        <f>IFERROR(SUM(E16:F16),0)</f>
        <v>0</v>
      </c>
      <c r="I16" s="514"/>
      <c r="J16" s="2488"/>
      <c r="K16" s="2515" t="s">
        <v>3469</v>
      </c>
      <c r="L16" s="2488"/>
      <c r="M16" s="2516"/>
      <c r="N16" s="2488"/>
      <c r="O16" s="2580"/>
      <c r="P16" s="2498">
        <f>IF( SUM( R16:T16 ) = 0, 0, $R$5 )</f>
        <v>0</v>
      </c>
      <c r="Q16" s="2580"/>
      <c r="R16" s="2499">
        <f xml:space="preserve"> IF( ISNUMBER( E16 ), 0, 1 )</f>
        <v>0</v>
      </c>
      <c r="S16" s="2499">
        <f xml:space="preserve"> IF( ISNUMBER( F16 ), 0, 1 )</f>
        <v>0</v>
      </c>
      <c r="T16" s="2583"/>
      <c r="U16" s="2580"/>
      <c r="W16" s="2512" t="s">
        <v>3468</v>
      </c>
      <c r="X16" s="383" t="s">
        <v>1732</v>
      </c>
      <c r="Y16" s="383" t="s">
        <v>1733</v>
      </c>
      <c r="Z16" s="552"/>
      <c r="AA16" s="433" t="s">
        <v>1734</v>
      </c>
    </row>
    <row r="17" spans="1:27" s="2492" customFormat="1" ht="15.75" customHeight="1" thickTop="1" thickBot="1">
      <c r="A17" s="2488"/>
      <c r="B17" s="2517"/>
      <c r="C17" s="2517"/>
      <c r="D17" s="2517"/>
      <c r="E17" s="397"/>
      <c r="F17" s="397"/>
      <c r="G17" s="397"/>
      <c r="H17" s="397"/>
      <c r="I17" s="2538"/>
      <c r="J17" s="2488"/>
      <c r="K17" s="2511"/>
      <c r="L17" s="2488"/>
      <c r="M17" s="2488"/>
      <c r="N17" s="2488"/>
      <c r="O17" s="2580"/>
      <c r="P17" s="2498"/>
      <c r="Q17" s="2580"/>
      <c r="R17" s="2583"/>
      <c r="S17" s="2583"/>
      <c r="T17" s="2583"/>
      <c r="U17" s="2580"/>
      <c r="W17" s="2517"/>
      <c r="X17" s="397"/>
      <c r="Y17" s="397"/>
      <c r="Z17" s="397"/>
      <c r="AA17" s="397"/>
    </row>
    <row r="18" spans="1:27" ht="15.75" customHeight="1" thickTop="1" thickBot="1">
      <c r="A18" s="545"/>
      <c r="B18" s="2489" t="s">
        <v>3470</v>
      </c>
      <c r="C18" s="2490"/>
      <c r="D18" s="2490"/>
      <c r="E18" s="281"/>
      <c r="F18" s="281"/>
      <c r="G18" s="281"/>
      <c r="H18" s="281"/>
      <c r="I18" s="2537"/>
      <c r="J18" s="2488"/>
      <c r="K18" s="533"/>
      <c r="L18" s="545"/>
      <c r="M18" s="545"/>
      <c r="N18" s="545"/>
      <c r="O18" s="2580"/>
      <c r="P18" s="2498"/>
      <c r="Q18" s="2580"/>
      <c r="R18" s="2583"/>
      <c r="S18" s="2583"/>
      <c r="T18" s="2583"/>
      <c r="U18" s="2580"/>
      <c r="V18" s="2581"/>
      <c r="W18" s="2489" t="s">
        <v>3470</v>
      </c>
      <c r="X18" s="281"/>
      <c r="Y18" s="281"/>
      <c r="Z18" s="281"/>
      <c r="AA18" s="281"/>
    </row>
    <row r="19" spans="1:27" ht="15.75" customHeight="1" thickTop="1">
      <c r="A19" s="545"/>
      <c r="B19" s="2493" t="s">
        <v>3471</v>
      </c>
      <c r="C19" s="2494" t="s">
        <v>137</v>
      </c>
      <c r="D19" s="2495">
        <v>3</v>
      </c>
      <c r="E19" s="245">
        <v>0</v>
      </c>
      <c r="F19" s="245">
        <v>6.5910000000000002</v>
      </c>
      <c r="G19" s="245">
        <v>0</v>
      </c>
      <c r="H19" s="247">
        <f t="shared" ref="H19:H30" si="4">IFERROR(SUM(E19:G19),0)</f>
        <v>6.5910000000000002</v>
      </c>
      <c r="I19" s="514"/>
      <c r="J19" s="2488"/>
      <c r="K19" s="2496" t="s">
        <v>3472</v>
      </c>
      <c r="L19" s="545"/>
      <c r="M19" s="2497"/>
      <c r="N19" s="545"/>
      <c r="O19" s="2580"/>
      <c r="P19" s="2498">
        <f>IF( SUM( R19:T19 ) = 0, 0, $R$5 )</f>
        <v>0</v>
      </c>
      <c r="Q19" s="2580"/>
      <c r="R19" s="2499">
        <f t="shared" ref="R19:S23" si="5" xml:space="preserve"> IF( ISNUMBER( E19 ), 0, 1 )</f>
        <v>0</v>
      </c>
      <c r="S19" s="2499">
        <f t="shared" si="5"/>
        <v>0</v>
      </c>
      <c r="T19" s="2499">
        <f t="shared" ref="T19:T23" si="6" xml:space="preserve"> IF( ISNUMBER( G19 ), 0, 1 )</f>
        <v>0</v>
      </c>
      <c r="U19" s="2580"/>
      <c r="V19" s="2581"/>
      <c r="W19" s="2493" t="s">
        <v>3471</v>
      </c>
      <c r="X19" s="245" t="s">
        <v>1735</v>
      </c>
      <c r="Y19" s="245" t="s">
        <v>1736</v>
      </c>
      <c r="Z19" s="245" t="s">
        <v>1737</v>
      </c>
      <c r="AA19" s="247" t="s">
        <v>1738</v>
      </c>
    </row>
    <row r="20" spans="1:27" ht="15.75" customHeight="1">
      <c r="A20" s="545"/>
      <c r="B20" s="2500" t="s">
        <v>3473</v>
      </c>
      <c r="C20" s="2501" t="s">
        <v>137</v>
      </c>
      <c r="D20" s="2502">
        <v>3</v>
      </c>
      <c r="E20" s="254">
        <v>0</v>
      </c>
      <c r="F20" s="254">
        <v>1.8089999999999999</v>
      </c>
      <c r="G20" s="254">
        <v>0</v>
      </c>
      <c r="H20" s="256">
        <f t="shared" si="4"/>
        <v>1.8089999999999999</v>
      </c>
      <c r="I20" s="514"/>
      <c r="J20" s="2488"/>
      <c r="K20" s="2503" t="s">
        <v>3474</v>
      </c>
      <c r="L20" s="545"/>
      <c r="M20" s="2504"/>
      <c r="N20" s="545"/>
      <c r="O20" s="2580"/>
      <c r="P20" s="2498">
        <f>IF( SUM( R20:T20 ) = 0, 0, $R$5 )</f>
        <v>0</v>
      </c>
      <c r="Q20" s="2580"/>
      <c r="R20" s="2499">
        <f t="shared" si="5"/>
        <v>0</v>
      </c>
      <c r="S20" s="2499">
        <f t="shared" si="5"/>
        <v>0</v>
      </c>
      <c r="T20" s="2499">
        <f t="shared" si="6"/>
        <v>0</v>
      </c>
      <c r="U20" s="2580"/>
      <c r="V20" s="2581"/>
      <c r="W20" s="2500" t="s">
        <v>3475</v>
      </c>
      <c r="X20" s="254" t="s">
        <v>1739</v>
      </c>
      <c r="Y20" s="254" t="s">
        <v>1740</v>
      </c>
      <c r="Z20" s="254" t="s">
        <v>1741</v>
      </c>
      <c r="AA20" s="256" t="s">
        <v>1742</v>
      </c>
    </row>
    <row r="21" spans="1:27" ht="15.75" customHeight="1">
      <c r="A21" s="545"/>
      <c r="B21" s="2500" t="s">
        <v>3476</v>
      </c>
      <c r="C21" s="2501" t="s">
        <v>137</v>
      </c>
      <c r="D21" s="2502">
        <v>3</v>
      </c>
      <c r="E21" s="254">
        <v>0</v>
      </c>
      <c r="F21" s="254">
        <f>4.446+0.192</f>
        <v>4.6379999999999999</v>
      </c>
      <c r="G21" s="254">
        <v>0</v>
      </c>
      <c r="H21" s="256">
        <f t="shared" si="4"/>
        <v>4.6379999999999999</v>
      </c>
      <c r="I21" s="514"/>
      <c r="J21" s="2488"/>
      <c r="K21" s="2503" t="s">
        <v>3477</v>
      </c>
      <c r="L21" s="545"/>
      <c r="M21" s="2504"/>
      <c r="N21" s="545"/>
      <c r="O21" s="2580"/>
      <c r="P21" s="2498">
        <f>IF( SUM( R21:T21 ) = 0, 0, $R$5 )</f>
        <v>0</v>
      </c>
      <c r="Q21" s="2580"/>
      <c r="R21" s="2499">
        <f t="shared" si="5"/>
        <v>0</v>
      </c>
      <c r="S21" s="2499">
        <f t="shared" si="5"/>
        <v>0</v>
      </c>
      <c r="T21" s="2499">
        <f t="shared" si="6"/>
        <v>0</v>
      </c>
      <c r="U21" s="2580"/>
      <c r="V21" s="2581"/>
      <c r="W21" s="2500" t="s">
        <v>3476</v>
      </c>
      <c r="X21" s="254" t="s">
        <v>1743</v>
      </c>
      <c r="Y21" s="254" t="s">
        <v>1744</v>
      </c>
      <c r="Z21" s="254" t="s">
        <v>1745</v>
      </c>
      <c r="AA21" s="256" t="s">
        <v>1746</v>
      </c>
    </row>
    <row r="22" spans="1:27" ht="15.75" customHeight="1">
      <c r="A22" s="545"/>
      <c r="B22" s="2500" t="s">
        <v>3454</v>
      </c>
      <c r="C22" s="2501" t="s">
        <v>137</v>
      </c>
      <c r="D22" s="2502">
        <v>3</v>
      </c>
      <c r="E22" s="254">
        <v>0</v>
      </c>
      <c r="F22" s="254">
        <v>1.96</v>
      </c>
      <c r="G22" s="254">
        <v>0</v>
      </c>
      <c r="H22" s="256">
        <f t="shared" si="4"/>
        <v>1.96</v>
      </c>
      <c r="I22" s="514"/>
      <c r="J22" s="2488"/>
      <c r="K22" s="2503" t="s">
        <v>3478</v>
      </c>
      <c r="L22" s="545"/>
      <c r="M22" s="2504"/>
      <c r="N22" s="545"/>
      <c r="O22" s="2580"/>
      <c r="P22" s="2498">
        <f>IF( SUM( R22:T22 ) = 0, 0, $R$5 )</f>
        <v>0</v>
      </c>
      <c r="Q22" s="2580"/>
      <c r="R22" s="2499">
        <f t="shared" si="5"/>
        <v>0</v>
      </c>
      <c r="S22" s="2499">
        <f t="shared" si="5"/>
        <v>0</v>
      </c>
      <c r="T22" s="2499">
        <f t="shared" si="6"/>
        <v>0</v>
      </c>
      <c r="U22" s="2580"/>
      <c r="V22" s="2581"/>
      <c r="W22" s="2500" t="s">
        <v>3454</v>
      </c>
      <c r="X22" s="254" t="s">
        <v>1747</v>
      </c>
      <c r="Y22" s="254" t="s">
        <v>1748</v>
      </c>
      <c r="Z22" s="254" t="s">
        <v>1749</v>
      </c>
      <c r="AA22" s="256" t="s">
        <v>1750</v>
      </c>
    </row>
    <row r="23" spans="1:27" ht="15.75" customHeight="1">
      <c r="A23" s="545"/>
      <c r="B23" s="2500" t="s">
        <v>3456</v>
      </c>
      <c r="C23" s="2501" t="s">
        <v>137</v>
      </c>
      <c r="D23" s="2502">
        <v>3</v>
      </c>
      <c r="E23" s="254">
        <v>0</v>
      </c>
      <c r="F23" s="254">
        <v>4.8000000000000001E-2</v>
      </c>
      <c r="G23" s="254">
        <v>0</v>
      </c>
      <c r="H23" s="256">
        <f t="shared" si="4"/>
        <v>4.8000000000000001E-2</v>
      </c>
      <c r="I23" s="514"/>
      <c r="J23" s="2488"/>
      <c r="K23" s="2503" t="s">
        <v>3479</v>
      </c>
      <c r="L23" s="545"/>
      <c r="M23" s="2504"/>
      <c r="N23" s="545"/>
      <c r="O23" s="2580"/>
      <c r="P23" s="2498">
        <f>IF( SUM( R23:T23 ) = 0, 0, $R$5 )</f>
        <v>0</v>
      </c>
      <c r="Q23" s="2580"/>
      <c r="R23" s="2499">
        <f t="shared" si="5"/>
        <v>0</v>
      </c>
      <c r="S23" s="2499">
        <f t="shared" si="5"/>
        <v>0</v>
      </c>
      <c r="T23" s="2499">
        <f t="shared" si="6"/>
        <v>0</v>
      </c>
      <c r="U23" s="2518"/>
      <c r="V23" s="2581"/>
      <c r="W23" s="2500" t="s">
        <v>3456</v>
      </c>
      <c r="X23" s="254" t="s">
        <v>1751</v>
      </c>
      <c r="Y23" s="254" t="s">
        <v>1752</v>
      </c>
      <c r="Z23" s="254" t="s">
        <v>1753</v>
      </c>
      <c r="AA23" s="256" t="s">
        <v>1754</v>
      </c>
    </row>
    <row r="24" spans="1:27" ht="31.4" customHeight="1">
      <c r="A24" s="545"/>
      <c r="B24" s="2500" t="s">
        <v>3480</v>
      </c>
      <c r="C24" s="2501" t="s">
        <v>137</v>
      </c>
      <c r="D24" s="2502">
        <v>3</v>
      </c>
      <c r="E24" s="255">
        <f>IFERROR(SUM(E19:E23),0)</f>
        <v>0</v>
      </c>
      <c r="F24" s="255">
        <f>IFERROR(SUM(F19:F23),0)</f>
        <v>15.046000000000001</v>
      </c>
      <c r="G24" s="255">
        <f>IFERROR(SUM(G19:G23),0)</f>
        <v>0</v>
      </c>
      <c r="H24" s="256">
        <f t="shared" si="4"/>
        <v>15.046000000000001</v>
      </c>
      <c r="I24" s="514"/>
      <c r="J24" s="533"/>
      <c r="K24" s="2503" t="s">
        <v>3481</v>
      </c>
      <c r="L24" s="545"/>
      <c r="M24" s="2504"/>
      <c r="N24" s="545"/>
      <c r="O24" s="2580"/>
      <c r="P24" s="2498"/>
      <c r="Q24" s="2518"/>
      <c r="R24" s="2583"/>
      <c r="S24" s="2583"/>
      <c r="T24" s="2583"/>
      <c r="U24" s="2518"/>
      <c r="V24" s="2581"/>
      <c r="W24" s="2500" t="s">
        <v>3480</v>
      </c>
      <c r="X24" s="255" t="s">
        <v>1755</v>
      </c>
      <c r="Y24" s="255" t="s">
        <v>1756</v>
      </c>
      <c r="Z24" s="255" t="s">
        <v>1757</v>
      </c>
      <c r="AA24" s="256" t="s">
        <v>1758</v>
      </c>
    </row>
    <row r="25" spans="1:27" ht="15.5">
      <c r="A25" s="545"/>
      <c r="B25" s="2500" t="s">
        <v>3482</v>
      </c>
      <c r="C25" s="2501" t="s">
        <v>137</v>
      </c>
      <c r="D25" s="2502">
        <v>3</v>
      </c>
      <c r="E25" s="254">
        <v>0</v>
      </c>
      <c r="F25" s="254">
        <v>0.192</v>
      </c>
      <c r="G25" s="254">
        <v>0</v>
      </c>
      <c r="H25" s="256">
        <f t="shared" si="4"/>
        <v>0.192</v>
      </c>
      <c r="I25" s="514"/>
      <c r="J25" s="533"/>
      <c r="K25" s="2503" t="s">
        <v>3483</v>
      </c>
      <c r="L25" s="545"/>
      <c r="M25" s="2504"/>
      <c r="N25" s="545"/>
      <c r="O25" s="2580"/>
      <c r="P25" s="2498">
        <f>IF( SUM( R25:T25 ) = 0, 0, $R$5 )</f>
        <v>0</v>
      </c>
      <c r="Q25" s="2580"/>
      <c r="R25" s="2499">
        <f xml:space="preserve"> IF( ISNUMBER( E25 ), 0, 1 )</f>
        <v>0</v>
      </c>
      <c r="S25" s="2499">
        <f xml:space="preserve"> IF( ISNUMBER( F25 ), 0, 1 )</f>
        <v>0</v>
      </c>
      <c r="T25" s="2499">
        <f xml:space="preserve"> IF( ISNUMBER( G25 ), 0, 1 )</f>
        <v>0</v>
      </c>
      <c r="U25" s="2518"/>
      <c r="V25" s="2581"/>
      <c r="W25" s="2500" t="s">
        <v>3482</v>
      </c>
      <c r="X25" s="254" t="s">
        <v>1759</v>
      </c>
      <c r="Y25" s="254" t="s">
        <v>1760</v>
      </c>
      <c r="Z25" s="254" t="s">
        <v>1761</v>
      </c>
      <c r="AA25" s="256" t="s">
        <v>1762</v>
      </c>
    </row>
    <row r="26" spans="1:27" ht="31.4" customHeight="1">
      <c r="A26" s="545"/>
      <c r="B26" s="2500" t="s">
        <v>3484</v>
      </c>
      <c r="C26" s="2501" t="s">
        <v>137</v>
      </c>
      <c r="D26" s="2502">
        <v>3</v>
      </c>
      <c r="E26" s="255">
        <f>IFERROR(E24-E25,0)</f>
        <v>0</v>
      </c>
      <c r="F26" s="255">
        <f>IFERROR(F24-F25,0)</f>
        <v>14.854000000000001</v>
      </c>
      <c r="G26" s="255">
        <f>IFERROR(G24-G25,0)</f>
        <v>0</v>
      </c>
      <c r="H26" s="256">
        <f t="shared" si="4"/>
        <v>14.854000000000001</v>
      </c>
      <c r="I26" s="514"/>
      <c r="J26" s="533"/>
      <c r="K26" s="2503" t="s">
        <v>3485</v>
      </c>
      <c r="L26" s="545"/>
      <c r="M26" s="2504"/>
      <c r="N26" s="545"/>
      <c r="O26" s="2580"/>
      <c r="P26" s="2498"/>
      <c r="Q26" s="2580"/>
      <c r="R26" s="2583"/>
      <c r="S26" s="2583"/>
      <c r="T26" s="2583"/>
      <c r="U26" s="2580"/>
      <c r="V26" s="2581"/>
      <c r="W26" s="2500" t="s">
        <v>3484</v>
      </c>
      <c r="X26" s="255" t="s">
        <v>1763</v>
      </c>
      <c r="Y26" s="255" t="s">
        <v>1764</v>
      </c>
      <c r="Z26" s="255" t="s">
        <v>1765</v>
      </c>
      <c r="AA26" s="256" t="s">
        <v>1766</v>
      </c>
    </row>
    <row r="27" spans="1:27" ht="15.5">
      <c r="A27" s="545"/>
      <c r="B27" s="2500" t="s">
        <v>3460</v>
      </c>
      <c r="C27" s="2501" t="s">
        <v>137</v>
      </c>
      <c r="D27" s="2502">
        <v>3</v>
      </c>
      <c r="E27" s="254">
        <v>0</v>
      </c>
      <c r="F27" s="254">
        <v>1.143</v>
      </c>
      <c r="G27" s="254">
        <v>0</v>
      </c>
      <c r="H27" s="256">
        <f t="shared" si="4"/>
        <v>1.143</v>
      </c>
      <c r="I27" s="514"/>
      <c r="J27" s="533"/>
      <c r="K27" s="2503" t="s">
        <v>3486</v>
      </c>
      <c r="L27" s="545"/>
      <c r="M27" s="2504"/>
      <c r="N27" s="545"/>
      <c r="O27" s="2580"/>
      <c r="P27" s="2498">
        <f>IF( SUM( R27:T27 ) = 0, 0, $R$5 )</f>
        <v>0</v>
      </c>
      <c r="Q27" s="2580"/>
      <c r="R27" s="2499">
        <f t="shared" ref="R27:S29" si="7" xml:space="preserve"> IF( ISNUMBER( E27 ), 0, 1 )</f>
        <v>0</v>
      </c>
      <c r="S27" s="2499">
        <f t="shared" si="7"/>
        <v>0</v>
      </c>
      <c r="T27" s="2499">
        <f t="shared" ref="T27:T29" si="8" xml:space="preserve"> IF( ISNUMBER( G27 ), 0, 1 )</f>
        <v>0</v>
      </c>
      <c r="U27" s="2580"/>
      <c r="V27" s="2581"/>
      <c r="W27" s="2500" t="s">
        <v>3460</v>
      </c>
      <c r="X27" s="254" t="s">
        <v>1767</v>
      </c>
      <c r="Y27" s="254" t="s">
        <v>1768</v>
      </c>
      <c r="Z27" s="254" t="s">
        <v>1769</v>
      </c>
      <c r="AA27" s="256" t="s">
        <v>1770</v>
      </c>
    </row>
    <row r="28" spans="1:27" ht="15.5">
      <c r="A28" s="545"/>
      <c r="B28" s="2500" t="s">
        <v>3462</v>
      </c>
      <c r="C28" s="2501" t="s">
        <v>137</v>
      </c>
      <c r="D28" s="2502">
        <v>3</v>
      </c>
      <c r="E28" s="254">
        <v>0</v>
      </c>
      <c r="F28" s="254">
        <v>0.47499999999999998</v>
      </c>
      <c r="G28" s="254">
        <v>0</v>
      </c>
      <c r="H28" s="256">
        <f t="shared" si="4"/>
        <v>0.47499999999999998</v>
      </c>
      <c r="I28" s="514"/>
      <c r="J28" s="533"/>
      <c r="K28" s="2503" t="s">
        <v>3487</v>
      </c>
      <c r="L28" s="545"/>
      <c r="M28" s="2504"/>
      <c r="N28" s="545"/>
      <c r="O28" s="2580"/>
      <c r="P28" s="2498">
        <f>IF( SUM( R28:T28 ) = 0, 0, $R$5 )</f>
        <v>0</v>
      </c>
      <c r="Q28" s="2580"/>
      <c r="R28" s="2499">
        <f t="shared" si="7"/>
        <v>0</v>
      </c>
      <c r="S28" s="2499">
        <f t="shared" si="7"/>
        <v>0</v>
      </c>
      <c r="T28" s="2499">
        <f t="shared" si="8"/>
        <v>0</v>
      </c>
      <c r="U28" s="2580"/>
      <c r="V28" s="2581"/>
      <c r="W28" s="2500" t="s">
        <v>3462</v>
      </c>
      <c r="X28" s="254" t="s">
        <v>1771</v>
      </c>
      <c r="Y28" s="254" t="s">
        <v>1772</v>
      </c>
      <c r="Z28" s="254" t="s">
        <v>1773</v>
      </c>
      <c r="AA28" s="256" t="s">
        <v>1774</v>
      </c>
    </row>
    <row r="29" spans="1:27" ht="15.75" customHeight="1">
      <c r="A29" s="545"/>
      <c r="B29" s="2500" t="s">
        <v>3464</v>
      </c>
      <c r="C29" s="2501" t="s">
        <v>137</v>
      </c>
      <c r="D29" s="2502">
        <v>3</v>
      </c>
      <c r="E29" s="254">
        <v>0</v>
      </c>
      <c r="F29" s="254">
        <v>0.79400000000000004</v>
      </c>
      <c r="G29" s="254">
        <v>0</v>
      </c>
      <c r="H29" s="256">
        <f t="shared" si="4"/>
        <v>0.79400000000000004</v>
      </c>
      <c r="I29" s="514"/>
      <c r="J29" s="533"/>
      <c r="K29" s="2503" t="s">
        <v>3488</v>
      </c>
      <c r="L29" s="545"/>
      <c r="M29" s="2504"/>
      <c r="N29" s="545"/>
      <c r="O29" s="2580"/>
      <c r="P29" s="2498">
        <f>IF( SUM( R29:T29 ) = 0, 0, $R$5 )</f>
        <v>0</v>
      </c>
      <c r="Q29" s="2580"/>
      <c r="R29" s="2499">
        <f t="shared" si="7"/>
        <v>0</v>
      </c>
      <c r="S29" s="2499">
        <f t="shared" si="7"/>
        <v>0</v>
      </c>
      <c r="T29" s="2499">
        <f t="shared" si="8"/>
        <v>0</v>
      </c>
      <c r="U29" s="2580"/>
      <c r="V29" s="2581"/>
      <c r="W29" s="2500" t="s">
        <v>3464</v>
      </c>
      <c r="X29" s="254" t="s">
        <v>1775</v>
      </c>
      <c r="Y29" s="254" t="s">
        <v>1776</v>
      </c>
      <c r="Z29" s="254" t="s">
        <v>1777</v>
      </c>
      <c r="AA29" s="256" t="s">
        <v>1778</v>
      </c>
    </row>
    <row r="30" spans="1:27" ht="16" thickBot="1">
      <c r="A30" s="545"/>
      <c r="B30" s="2505" t="s">
        <v>3466</v>
      </c>
      <c r="C30" s="2506" t="s">
        <v>137</v>
      </c>
      <c r="D30" s="2507">
        <v>3</v>
      </c>
      <c r="E30" s="265">
        <f>IFERROR(SUM(E26:E29),0)</f>
        <v>0</v>
      </c>
      <c r="F30" s="265">
        <f>IFERROR(SUM(F26:F29),0)</f>
        <v>17.266000000000002</v>
      </c>
      <c r="G30" s="265">
        <f>IFERROR(SUM(G26:G29),0)</f>
        <v>0</v>
      </c>
      <c r="H30" s="266">
        <f t="shared" si="4"/>
        <v>17.266000000000002</v>
      </c>
      <c r="I30" s="514"/>
      <c r="J30" s="2488"/>
      <c r="K30" s="2508" t="s">
        <v>3489</v>
      </c>
      <c r="L30" s="545"/>
      <c r="M30" s="2509"/>
      <c r="N30" s="545"/>
      <c r="O30" s="2580"/>
      <c r="P30" s="2498"/>
      <c r="Q30" s="2580"/>
      <c r="R30" s="2583"/>
      <c r="S30" s="2583"/>
      <c r="T30" s="2583"/>
      <c r="U30" s="2580"/>
      <c r="V30" s="2581"/>
      <c r="W30" s="2505" t="s">
        <v>2112</v>
      </c>
      <c r="X30" s="265" t="s">
        <v>1779</v>
      </c>
      <c r="Y30" s="265" t="s">
        <v>1780</v>
      </c>
      <c r="Z30" s="265" t="s">
        <v>1781</v>
      </c>
      <c r="AA30" s="266" t="s">
        <v>1782</v>
      </c>
    </row>
    <row r="31" spans="1:27" ht="16.5" thickTop="1" thickBot="1">
      <c r="A31" s="545"/>
      <c r="B31" s="2510"/>
      <c r="C31" s="2510"/>
      <c r="D31" s="2510"/>
      <c r="E31" s="397"/>
      <c r="F31" s="397"/>
      <c r="G31" s="397"/>
      <c r="H31" s="397"/>
      <c r="I31" s="2538"/>
      <c r="J31" s="533"/>
      <c r="K31" s="2511"/>
      <c r="L31" s="545"/>
      <c r="M31" s="545"/>
      <c r="N31" s="545"/>
      <c r="O31" s="2580"/>
      <c r="P31" s="2498"/>
      <c r="Q31" s="2580"/>
      <c r="R31" s="2583"/>
      <c r="S31" s="2583"/>
      <c r="T31" s="2583"/>
      <c r="U31" s="2580"/>
      <c r="V31" s="2581"/>
      <c r="W31" s="2510"/>
      <c r="X31" s="397"/>
      <c r="Y31" s="397"/>
      <c r="Z31" s="397"/>
      <c r="AA31" s="397"/>
    </row>
    <row r="32" spans="1:27" ht="16.5" thickTop="1" thickBot="1">
      <c r="A32" s="545"/>
      <c r="B32" s="2512" t="s">
        <v>3468</v>
      </c>
      <c r="C32" s="2513" t="s">
        <v>137</v>
      </c>
      <c r="D32" s="2514">
        <v>3</v>
      </c>
      <c r="E32" s="383">
        <v>0</v>
      </c>
      <c r="F32" s="383">
        <v>0</v>
      </c>
      <c r="G32" s="552"/>
      <c r="H32" s="433">
        <f>IFERROR(SUM(E32:F32),0)</f>
        <v>0</v>
      </c>
      <c r="I32" s="514"/>
      <c r="J32" s="545"/>
      <c r="K32" s="2515" t="s">
        <v>3490</v>
      </c>
      <c r="L32" s="545"/>
      <c r="M32" s="2516"/>
      <c r="N32" s="545"/>
      <c r="O32" s="2580"/>
      <c r="P32" s="2498">
        <f>IF( SUM( R32:T32 ) = 0, 0, $R$5 )</f>
        <v>0</v>
      </c>
      <c r="Q32" s="2580"/>
      <c r="R32" s="2499">
        <f xml:space="preserve"> IF( ISNUMBER( E32 ), 0, 1 )</f>
        <v>0</v>
      </c>
      <c r="S32" s="2499">
        <f xml:space="preserve"> IF( ISNUMBER( F32 ), 0, 1 )</f>
        <v>0</v>
      </c>
      <c r="T32" s="2583"/>
      <c r="U32" s="2580"/>
      <c r="V32" s="2581"/>
      <c r="W32" s="2512" t="s">
        <v>3468</v>
      </c>
      <c r="X32" s="383" t="s">
        <v>1783</v>
      </c>
      <c r="Y32" s="383" t="s">
        <v>1784</v>
      </c>
      <c r="Z32" s="552"/>
      <c r="AA32" s="433" t="s">
        <v>1785</v>
      </c>
    </row>
    <row r="33" spans="1:27" ht="16.5" thickTop="1" thickBot="1">
      <c r="A33" s="545"/>
      <c r="B33" s="545"/>
      <c r="C33" s="545"/>
      <c r="D33" s="545"/>
      <c r="E33" s="271"/>
      <c r="F33" s="271"/>
      <c r="G33" s="271"/>
      <c r="H33" s="271"/>
      <c r="I33" s="2539"/>
      <c r="J33" s="545"/>
      <c r="K33" s="545"/>
      <c r="L33" s="545"/>
      <c r="M33" s="545"/>
      <c r="N33" s="545"/>
      <c r="O33" s="2580"/>
      <c r="P33" s="2498"/>
      <c r="Q33" s="2580"/>
      <c r="R33" s="2583"/>
      <c r="S33" s="2583"/>
      <c r="T33" s="2583"/>
      <c r="U33" s="2580"/>
      <c r="V33" s="2581"/>
      <c r="W33" s="545"/>
      <c r="X33" s="271"/>
      <c r="Y33" s="271"/>
      <c r="Z33" s="271"/>
      <c r="AA33" s="271"/>
    </row>
    <row r="34" spans="1:27" ht="15.75" customHeight="1" thickTop="1" thickBot="1">
      <c r="A34" s="545"/>
      <c r="B34" s="2489" t="s">
        <v>3491</v>
      </c>
      <c r="C34" s="2490"/>
      <c r="D34" s="2490"/>
      <c r="E34" s="281"/>
      <c r="F34" s="281"/>
      <c r="G34" s="281"/>
      <c r="H34" s="281"/>
      <c r="I34" s="2537"/>
      <c r="J34" s="2488"/>
      <c r="K34" s="533"/>
      <c r="L34" s="545"/>
      <c r="M34" s="545"/>
      <c r="N34" s="545"/>
      <c r="O34" s="2580"/>
      <c r="P34" s="2498"/>
      <c r="Q34" s="2580"/>
      <c r="R34" s="2583"/>
      <c r="S34" s="2583"/>
      <c r="T34" s="2583"/>
      <c r="U34" s="2580"/>
      <c r="V34" s="2581"/>
      <c r="W34" s="2489" t="s">
        <v>3491</v>
      </c>
      <c r="X34" s="281"/>
      <c r="Y34" s="281"/>
      <c r="Z34" s="281"/>
      <c r="AA34" s="281"/>
    </row>
    <row r="35" spans="1:27" ht="16" thickTop="1">
      <c r="A35" s="545"/>
      <c r="B35" s="2493" t="s">
        <v>3492</v>
      </c>
      <c r="C35" s="2494" t="s">
        <v>137</v>
      </c>
      <c r="D35" s="2495">
        <v>3</v>
      </c>
      <c r="E35" s="245">
        <v>0</v>
      </c>
      <c r="F35" s="245">
        <v>2.2120000000000002</v>
      </c>
      <c r="G35" s="245">
        <v>0</v>
      </c>
      <c r="H35" s="247">
        <f t="shared" ref="H35:H45" si="9">IFERROR(SUM(E35:G35),0)</f>
        <v>2.2120000000000002</v>
      </c>
      <c r="I35" s="514"/>
      <c r="J35" s="2488"/>
      <c r="K35" s="2496" t="s">
        <v>3493</v>
      </c>
      <c r="L35" s="545"/>
      <c r="M35" s="2497"/>
      <c r="N35" s="545"/>
      <c r="O35" s="2580"/>
      <c r="P35" s="2498">
        <f>IF( SUM( R35:T35 ) = 0, 0, $R$5 )</f>
        <v>0</v>
      </c>
      <c r="Q35" s="2580"/>
      <c r="R35" s="2499">
        <f t="shared" ref="R35:S38" si="10" xml:space="preserve"> IF( ISNUMBER( E35 ), 0, 1 )</f>
        <v>0</v>
      </c>
      <c r="S35" s="2499">
        <f t="shared" si="10"/>
        <v>0</v>
      </c>
      <c r="T35" s="2499">
        <f t="shared" ref="T35:T38" si="11" xml:space="preserve"> IF( ISNUMBER( G35 ), 0, 1 )</f>
        <v>0</v>
      </c>
      <c r="U35" s="2580"/>
      <c r="V35" s="2581"/>
      <c r="W35" s="2493" t="s">
        <v>3492</v>
      </c>
      <c r="X35" s="245" t="s">
        <v>1786</v>
      </c>
      <c r="Y35" s="245" t="s">
        <v>1787</v>
      </c>
      <c r="Z35" s="245" t="s">
        <v>1788</v>
      </c>
      <c r="AA35" s="247" t="s">
        <v>1789</v>
      </c>
    </row>
    <row r="36" spans="1:27" ht="15.5">
      <c r="A36" s="545"/>
      <c r="B36" s="2500" t="s">
        <v>3473</v>
      </c>
      <c r="C36" s="2501" t="s">
        <v>137</v>
      </c>
      <c r="D36" s="2502">
        <v>3</v>
      </c>
      <c r="E36" s="254">
        <v>0</v>
      </c>
      <c r="F36" s="254">
        <v>2.5649999999999999</v>
      </c>
      <c r="G36" s="254">
        <v>0</v>
      </c>
      <c r="H36" s="256">
        <f t="shared" si="9"/>
        <v>2.5649999999999999</v>
      </c>
      <c r="I36" s="514"/>
      <c r="J36" s="2488"/>
      <c r="K36" s="2503" t="s">
        <v>3494</v>
      </c>
      <c r="L36" s="545"/>
      <c r="M36" s="2504"/>
      <c r="N36" s="545"/>
      <c r="O36" s="2580"/>
      <c r="P36" s="2498">
        <f>IF( SUM( R36:T36 ) = 0, 0, $R$5 )</f>
        <v>0</v>
      </c>
      <c r="Q36" s="2580"/>
      <c r="R36" s="2499">
        <f t="shared" si="10"/>
        <v>0</v>
      </c>
      <c r="S36" s="2499">
        <f t="shared" si="10"/>
        <v>0</v>
      </c>
      <c r="T36" s="2499">
        <f t="shared" si="11"/>
        <v>0</v>
      </c>
      <c r="U36" s="2580"/>
      <c r="V36" s="2581"/>
      <c r="W36" s="2500" t="s">
        <v>3475</v>
      </c>
      <c r="X36" s="254" t="s">
        <v>1790</v>
      </c>
      <c r="Y36" s="254" t="s">
        <v>1791</v>
      </c>
      <c r="Z36" s="254" t="s">
        <v>1792</v>
      </c>
      <c r="AA36" s="256" t="s">
        <v>1793</v>
      </c>
    </row>
    <row r="37" spans="1:27" ht="15.5">
      <c r="A37" s="545"/>
      <c r="B37" s="2500" t="s">
        <v>3454</v>
      </c>
      <c r="C37" s="2501" t="s">
        <v>137</v>
      </c>
      <c r="D37" s="2502">
        <v>3</v>
      </c>
      <c r="E37" s="254">
        <v>0</v>
      </c>
      <c r="F37" s="254">
        <v>3.4780000000000002</v>
      </c>
      <c r="G37" s="254">
        <v>0</v>
      </c>
      <c r="H37" s="256">
        <f t="shared" si="9"/>
        <v>3.4780000000000002</v>
      </c>
      <c r="I37" s="514"/>
      <c r="J37" s="2488"/>
      <c r="K37" s="2503" t="s">
        <v>3495</v>
      </c>
      <c r="L37" s="545"/>
      <c r="M37" s="2504"/>
      <c r="N37" s="545"/>
      <c r="O37" s="2580"/>
      <c r="P37" s="2498">
        <f>IF( SUM( R37:T37 ) = 0, 0, $R$5 )</f>
        <v>0</v>
      </c>
      <c r="Q37" s="2580"/>
      <c r="R37" s="2499">
        <f t="shared" si="10"/>
        <v>0</v>
      </c>
      <c r="S37" s="2499">
        <f t="shared" si="10"/>
        <v>0</v>
      </c>
      <c r="T37" s="2499">
        <f t="shared" si="11"/>
        <v>0</v>
      </c>
      <c r="U37" s="2580"/>
      <c r="V37" s="2581"/>
      <c r="W37" s="2500" t="s">
        <v>3454</v>
      </c>
      <c r="X37" s="254" t="s">
        <v>1794</v>
      </c>
      <c r="Y37" s="254" t="s">
        <v>1795</v>
      </c>
      <c r="Z37" s="254" t="s">
        <v>1796</v>
      </c>
      <c r="AA37" s="256" t="s">
        <v>1797</v>
      </c>
    </row>
    <row r="38" spans="1:27" ht="15.5">
      <c r="A38" s="545"/>
      <c r="B38" s="2500" t="s">
        <v>3456</v>
      </c>
      <c r="C38" s="2501" t="s">
        <v>137</v>
      </c>
      <c r="D38" s="2502">
        <v>3</v>
      </c>
      <c r="E38" s="254">
        <v>2.355</v>
      </c>
      <c r="F38" s="254">
        <v>0</v>
      </c>
      <c r="G38" s="254">
        <v>0</v>
      </c>
      <c r="H38" s="256">
        <f t="shared" si="9"/>
        <v>2.355</v>
      </c>
      <c r="I38" s="514"/>
      <c r="J38" s="2488"/>
      <c r="K38" s="2503" t="s">
        <v>3496</v>
      </c>
      <c r="L38" s="545"/>
      <c r="M38" s="2504"/>
      <c r="N38" s="545"/>
      <c r="O38" s="2580"/>
      <c r="P38" s="2498">
        <f>IF( SUM( R38:T38 ) = 0, 0, $R$5 )</f>
        <v>0</v>
      </c>
      <c r="Q38" s="2580"/>
      <c r="R38" s="2499">
        <f t="shared" si="10"/>
        <v>0</v>
      </c>
      <c r="S38" s="2499">
        <f t="shared" si="10"/>
        <v>0</v>
      </c>
      <c r="T38" s="2499">
        <f t="shared" si="11"/>
        <v>0</v>
      </c>
      <c r="U38" s="2580"/>
      <c r="V38" s="2581"/>
      <c r="W38" s="2500" t="s">
        <v>3456</v>
      </c>
      <c r="X38" s="254" t="s">
        <v>1798</v>
      </c>
      <c r="Y38" s="254" t="s">
        <v>1799</v>
      </c>
      <c r="Z38" s="254" t="s">
        <v>1800</v>
      </c>
      <c r="AA38" s="256" t="s">
        <v>1801</v>
      </c>
    </row>
    <row r="39" spans="1:27" ht="31.4" customHeight="1">
      <c r="A39" s="545"/>
      <c r="B39" s="2500" t="s">
        <v>3480</v>
      </c>
      <c r="C39" s="2501" t="s">
        <v>137</v>
      </c>
      <c r="D39" s="2502">
        <v>3</v>
      </c>
      <c r="E39" s="255">
        <f>IFERROR(SUM(E35:E38),0)</f>
        <v>2.355</v>
      </c>
      <c r="F39" s="255">
        <f>IFERROR(SUM(F35:F38),0)</f>
        <v>8.2550000000000008</v>
      </c>
      <c r="G39" s="255">
        <f>IFERROR(SUM(G35:G38),0)</f>
        <v>0</v>
      </c>
      <c r="H39" s="256">
        <f t="shared" si="9"/>
        <v>10.610000000000001</v>
      </c>
      <c r="I39" s="514"/>
      <c r="J39" s="2488"/>
      <c r="K39" s="2503" t="s">
        <v>3497</v>
      </c>
      <c r="L39" s="545"/>
      <c r="M39" s="2504"/>
      <c r="N39" s="545"/>
      <c r="O39" s="2580"/>
      <c r="P39" s="2498"/>
      <c r="Q39" s="2580"/>
      <c r="R39" s="2583"/>
      <c r="S39" s="2583"/>
      <c r="T39" s="2583"/>
      <c r="U39" s="2580"/>
      <c r="V39" s="2581"/>
      <c r="W39" s="2500" t="s">
        <v>3480</v>
      </c>
      <c r="X39" s="255" t="s">
        <v>1802</v>
      </c>
      <c r="Y39" s="255" t="s">
        <v>1803</v>
      </c>
      <c r="Z39" s="255" t="s">
        <v>1804</v>
      </c>
      <c r="AA39" s="256" t="s">
        <v>1805</v>
      </c>
    </row>
    <row r="40" spans="1:27" ht="15.5">
      <c r="A40" s="545"/>
      <c r="B40" s="2500" t="s">
        <v>3482</v>
      </c>
      <c r="C40" s="2501" t="s">
        <v>137</v>
      </c>
      <c r="D40" s="2502">
        <v>3</v>
      </c>
      <c r="E40" s="254">
        <v>0</v>
      </c>
      <c r="F40" s="254">
        <v>0</v>
      </c>
      <c r="G40" s="254">
        <v>0</v>
      </c>
      <c r="H40" s="256">
        <f t="shared" si="9"/>
        <v>0</v>
      </c>
      <c r="I40" s="514"/>
      <c r="J40" s="2488"/>
      <c r="K40" s="2503" t="s">
        <v>3498</v>
      </c>
      <c r="L40" s="545"/>
      <c r="M40" s="2504"/>
      <c r="N40" s="545"/>
      <c r="O40" s="2580"/>
      <c r="P40" s="2498">
        <f>IF( SUM( R40:T40 ) = 0, 0, $R$5 )</f>
        <v>0</v>
      </c>
      <c r="Q40" s="2580"/>
      <c r="R40" s="2499">
        <f xml:space="preserve"> IF( ISNUMBER( E40 ), 0, 1 )</f>
        <v>0</v>
      </c>
      <c r="S40" s="2499">
        <f xml:space="preserve"> IF( ISNUMBER( F40 ), 0, 1 )</f>
        <v>0</v>
      </c>
      <c r="T40" s="2499">
        <f xml:space="preserve"> IF( ISNUMBER( G40 ), 0, 1 )</f>
        <v>0</v>
      </c>
      <c r="U40" s="2580"/>
      <c r="V40" s="2581"/>
      <c r="W40" s="2500" t="s">
        <v>3482</v>
      </c>
      <c r="X40" s="254" t="s">
        <v>1806</v>
      </c>
      <c r="Y40" s="254" t="s">
        <v>1807</v>
      </c>
      <c r="Z40" s="254" t="s">
        <v>1808</v>
      </c>
      <c r="AA40" s="256" t="s">
        <v>1809</v>
      </c>
    </row>
    <row r="41" spans="1:27" ht="31.4" customHeight="1">
      <c r="A41" s="545"/>
      <c r="B41" s="2500" t="s">
        <v>3484</v>
      </c>
      <c r="C41" s="2501" t="s">
        <v>137</v>
      </c>
      <c r="D41" s="2502">
        <v>3</v>
      </c>
      <c r="E41" s="255">
        <f>IFERROR(E39-E40,0)</f>
        <v>2.355</v>
      </c>
      <c r="F41" s="255">
        <f>IFERROR(F39-F40,0)</f>
        <v>8.2550000000000008</v>
      </c>
      <c r="G41" s="2554">
        <f>IFERROR(G39-G40,0)</f>
        <v>0</v>
      </c>
      <c r="H41" s="256">
        <f t="shared" si="9"/>
        <v>10.610000000000001</v>
      </c>
      <c r="I41" s="514"/>
      <c r="J41" s="2488"/>
      <c r="K41" s="2503" t="s">
        <v>3499</v>
      </c>
      <c r="L41" s="545"/>
      <c r="M41" s="2504"/>
      <c r="N41" s="545"/>
      <c r="O41" s="2580"/>
      <c r="P41" s="2498"/>
      <c r="Q41" s="2580"/>
      <c r="R41" s="2583"/>
      <c r="S41" s="2583"/>
      <c r="T41" s="2583"/>
      <c r="U41" s="2580"/>
      <c r="V41" s="2581"/>
      <c r="W41" s="2500" t="s">
        <v>3484</v>
      </c>
      <c r="X41" s="255" t="s">
        <v>1810</v>
      </c>
      <c r="Y41" s="255" t="s">
        <v>1811</v>
      </c>
      <c r="Z41" s="255" t="s">
        <v>1812</v>
      </c>
      <c r="AA41" s="256" t="s">
        <v>1813</v>
      </c>
    </row>
    <row r="42" spans="1:27" ht="15.5">
      <c r="A42" s="545"/>
      <c r="B42" s="2500" t="s">
        <v>3460</v>
      </c>
      <c r="C42" s="2501" t="s">
        <v>137</v>
      </c>
      <c r="D42" s="2502">
        <v>3</v>
      </c>
      <c r="E42" s="254">
        <v>0</v>
      </c>
      <c r="F42" s="2556">
        <v>1E-3</v>
      </c>
      <c r="G42" s="2557">
        <v>0</v>
      </c>
      <c r="H42" s="256">
        <f t="shared" si="9"/>
        <v>1E-3</v>
      </c>
      <c r="I42" s="514"/>
      <c r="J42" s="2488"/>
      <c r="K42" s="2503" t="s">
        <v>3500</v>
      </c>
      <c r="L42" s="545"/>
      <c r="M42" s="2504"/>
      <c r="N42" s="545"/>
      <c r="O42" s="2580"/>
      <c r="P42" s="2498">
        <f>IF( SUM( R42:T42 ) = 0, 0, $R$5 )</f>
        <v>0</v>
      </c>
      <c r="Q42" s="2580"/>
      <c r="R42" s="2499">
        <f t="shared" ref="R42:S44" si="12" xml:space="preserve"> IF( ISNUMBER( E42 ), 0, 1 )</f>
        <v>0</v>
      </c>
      <c r="S42" s="2499">
        <f t="shared" si="12"/>
        <v>0</v>
      </c>
      <c r="T42" s="2499">
        <f t="shared" ref="T42:T44" si="13" xml:space="preserve"> IF( ISNUMBER( G42 ), 0, 1 )</f>
        <v>0</v>
      </c>
      <c r="U42" s="2580"/>
      <c r="V42" s="2581"/>
      <c r="W42" s="2500" t="s">
        <v>3460</v>
      </c>
      <c r="X42" s="254" t="s">
        <v>1814</v>
      </c>
      <c r="Y42" s="254" t="s">
        <v>1815</v>
      </c>
      <c r="Z42" s="254" t="s">
        <v>1816</v>
      </c>
      <c r="AA42" s="256" t="s">
        <v>1817</v>
      </c>
    </row>
    <row r="43" spans="1:27" ht="15.5">
      <c r="A43" s="545"/>
      <c r="B43" s="2500" t="s">
        <v>3462</v>
      </c>
      <c r="C43" s="2501" t="s">
        <v>137</v>
      </c>
      <c r="D43" s="2502">
        <v>3</v>
      </c>
      <c r="E43" s="2553">
        <v>0</v>
      </c>
      <c r="F43" s="2553">
        <v>0</v>
      </c>
      <c r="G43" s="254">
        <v>0</v>
      </c>
      <c r="H43" s="2558">
        <f t="shared" si="9"/>
        <v>0</v>
      </c>
      <c r="I43" s="514"/>
      <c r="J43" s="2488"/>
      <c r="K43" s="2503" t="s">
        <v>3501</v>
      </c>
      <c r="L43" s="545"/>
      <c r="M43" s="2504"/>
      <c r="N43" s="545"/>
      <c r="O43" s="2580"/>
      <c r="P43" s="2498">
        <f>IF( SUM( R43:T43 ) = 0, 0, $R$5 )</f>
        <v>0</v>
      </c>
      <c r="Q43" s="2580"/>
      <c r="R43" s="2499">
        <f t="shared" si="12"/>
        <v>0</v>
      </c>
      <c r="S43" s="2499">
        <f t="shared" si="12"/>
        <v>0</v>
      </c>
      <c r="T43" s="2499">
        <f t="shared" si="13"/>
        <v>0</v>
      </c>
      <c r="U43" s="2580"/>
      <c r="V43" s="2581"/>
      <c r="W43" s="2500" t="s">
        <v>3462</v>
      </c>
      <c r="X43" s="254" t="s">
        <v>1818</v>
      </c>
      <c r="Y43" s="254" t="s">
        <v>1819</v>
      </c>
      <c r="Z43" s="254" t="s">
        <v>1820</v>
      </c>
      <c r="AA43" s="256" t="s">
        <v>1821</v>
      </c>
    </row>
    <row r="44" spans="1:27" ht="15.75" customHeight="1">
      <c r="A44" s="545"/>
      <c r="B44" s="2500" t="s">
        <v>3502</v>
      </c>
      <c r="C44" s="2501" t="s">
        <v>137</v>
      </c>
      <c r="D44" s="2502">
        <v>3</v>
      </c>
      <c r="E44" s="254">
        <v>0</v>
      </c>
      <c r="F44" s="2555">
        <v>0.40500000000000003</v>
      </c>
      <c r="G44" s="2555">
        <v>0</v>
      </c>
      <c r="H44" s="256">
        <f t="shared" si="9"/>
        <v>0.40500000000000003</v>
      </c>
      <c r="I44" s="514"/>
      <c r="J44" s="2488"/>
      <c r="K44" s="2503" t="s">
        <v>3503</v>
      </c>
      <c r="L44" s="545"/>
      <c r="M44" s="2504"/>
      <c r="N44" s="545"/>
      <c r="O44" s="2580"/>
      <c r="P44" s="2498">
        <f>IF( SUM( R44:T44 ) = 0, 0, $R$5 )</f>
        <v>0</v>
      </c>
      <c r="Q44" s="2580"/>
      <c r="R44" s="2499">
        <f t="shared" si="12"/>
        <v>0</v>
      </c>
      <c r="S44" s="2499">
        <f t="shared" si="12"/>
        <v>0</v>
      </c>
      <c r="T44" s="2499">
        <f t="shared" si="13"/>
        <v>0</v>
      </c>
      <c r="U44" s="2580"/>
      <c r="V44" s="2581"/>
      <c r="W44" s="2500" t="s">
        <v>3502</v>
      </c>
      <c r="X44" s="254" t="s">
        <v>1822</v>
      </c>
      <c r="Y44" s="254" t="s">
        <v>1823</v>
      </c>
      <c r="Z44" s="254" t="s">
        <v>1824</v>
      </c>
      <c r="AA44" s="256" t="s">
        <v>1825</v>
      </c>
    </row>
    <row r="45" spans="1:27" ht="16" thickBot="1">
      <c r="A45" s="545"/>
      <c r="B45" s="2505" t="s">
        <v>3466</v>
      </c>
      <c r="C45" s="2506" t="s">
        <v>137</v>
      </c>
      <c r="D45" s="2507">
        <v>3</v>
      </c>
      <c r="E45" s="265">
        <f>IFERROR(SUM(E41:E44),0)</f>
        <v>2.355</v>
      </c>
      <c r="F45" s="265">
        <f>IFERROR(SUM(F41:F44),0)</f>
        <v>8.6609999999999996</v>
      </c>
      <c r="G45" s="265">
        <f>IFERROR(SUM(G41:G44),0)</f>
        <v>0</v>
      </c>
      <c r="H45" s="266">
        <f t="shared" si="9"/>
        <v>11.016</v>
      </c>
      <c r="I45" s="514"/>
      <c r="J45" s="2488"/>
      <c r="K45" s="2508" t="s">
        <v>3504</v>
      </c>
      <c r="L45" s="545"/>
      <c r="M45" s="2509"/>
      <c r="N45" s="545"/>
      <c r="O45" s="2580"/>
      <c r="P45" s="2498"/>
      <c r="Q45" s="2580"/>
      <c r="R45" s="2583"/>
      <c r="S45" s="2583"/>
      <c r="T45" s="2583"/>
      <c r="U45" s="2580"/>
      <c r="V45" s="2581"/>
      <c r="W45" s="2505" t="s">
        <v>2112</v>
      </c>
      <c r="X45" s="265" t="s">
        <v>1826</v>
      </c>
      <c r="Y45" s="265" t="s">
        <v>1827</v>
      </c>
      <c r="Z45" s="265" t="s">
        <v>1828</v>
      </c>
      <c r="AA45" s="266" t="s">
        <v>1829</v>
      </c>
    </row>
    <row r="46" spans="1:27" ht="16.5" thickTop="1" thickBot="1">
      <c r="A46" s="545"/>
      <c r="B46" s="2510"/>
      <c r="C46" s="2510"/>
      <c r="D46" s="2510"/>
      <c r="E46" s="271"/>
      <c r="F46" s="271"/>
      <c r="G46" s="271"/>
      <c r="H46" s="271"/>
      <c r="I46" s="2539"/>
      <c r="J46" s="533"/>
      <c r="K46" s="2511"/>
      <c r="L46" s="545"/>
      <c r="M46" s="545"/>
      <c r="N46" s="545"/>
      <c r="O46" s="2580"/>
      <c r="P46" s="2498"/>
      <c r="Q46" s="2580"/>
      <c r="R46" s="2583"/>
      <c r="S46" s="2583"/>
      <c r="T46" s="2583"/>
      <c r="U46" s="2580"/>
      <c r="V46" s="2581"/>
      <c r="W46" s="2510"/>
      <c r="X46" s="271"/>
      <c r="Y46" s="271"/>
      <c r="Z46" s="271"/>
      <c r="AA46" s="271"/>
    </row>
    <row r="47" spans="1:27" ht="15.75" customHeight="1" thickTop="1" thickBot="1">
      <c r="A47" s="545"/>
      <c r="B47" s="2512" t="s">
        <v>3468</v>
      </c>
      <c r="C47" s="2513" t="s">
        <v>137</v>
      </c>
      <c r="D47" s="2514">
        <v>3</v>
      </c>
      <c r="E47" s="383">
        <v>0</v>
      </c>
      <c r="F47" s="383">
        <v>28.131</v>
      </c>
      <c r="G47" s="552"/>
      <c r="H47" s="433">
        <f>IFERROR(SUM(E47:F47),0)</f>
        <v>28.131</v>
      </c>
      <c r="I47" s="514"/>
      <c r="J47" s="2488"/>
      <c r="K47" s="2515" t="s">
        <v>3505</v>
      </c>
      <c r="L47" s="545"/>
      <c r="M47" s="2516"/>
      <c r="N47" s="545"/>
      <c r="O47" s="2580"/>
      <c r="P47" s="2498">
        <f>IF( SUM( R47:T47 ) = 0, 0, $R$5 )</f>
        <v>0</v>
      </c>
      <c r="Q47" s="2580"/>
      <c r="R47" s="2499">
        <f xml:space="preserve"> IF( ISNUMBER( E47 ), 0, 1 )</f>
        <v>0</v>
      </c>
      <c r="S47" s="2499">
        <f xml:space="preserve"> IF( ISNUMBER( F47 ), 0, 1 )</f>
        <v>0</v>
      </c>
      <c r="T47" s="2583"/>
      <c r="U47" s="2580"/>
      <c r="V47" s="2581"/>
      <c r="W47" s="2512" t="s">
        <v>3468</v>
      </c>
      <c r="X47" s="383" t="s">
        <v>1830</v>
      </c>
      <c r="Y47" s="383" t="s">
        <v>1831</v>
      </c>
      <c r="Z47" s="552"/>
      <c r="AA47" s="433" t="s">
        <v>1832</v>
      </c>
    </row>
    <row r="48" spans="1:27" ht="16.5" thickTop="1" thickBot="1">
      <c r="A48" s="545"/>
      <c r="B48" s="2510"/>
      <c r="C48" s="2510"/>
      <c r="D48" s="2510"/>
      <c r="E48" s="274"/>
      <c r="F48" s="274"/>
      <c r="G48" s="274"/>
      <c r="H48" s="274"/>
      <c r="I48" s="2540"/>
      <c r="J48" s="533"/>
      <c r="K48" s="2511"/>
      <c r="L48" s="545"/>
      <c r="M48" s="545"/>
      <c r="N48" s="545"/>
      <c r="O48" s="2580"/>
      <c r="P48" s="2498"/>
      <c r="Q48" s="2580"/>
      <c r="R48" s="2583"/>
      <c r="S48" s="2583"/>
      <c r="T48" s="2583"/>
      <c r="U48" s="2580"/>
      <c r="V48" s="2581"/>
      <c r="W48" s="2510"/>
      <c r="X48" s="274"/>
      <c r="Y48" s="274"/>
      <c r="Z48" s="274"/>
      <c r="AA48" s="274"/>
    </row>
    <row r="49" spans="1:28" ht="32" thickTop="1" thickBot="1">
      <c r="A49" s="545"/>
      <c r="B49" s="2480" t="s">
        <v>1891</v>
      </c>
      <c r="C49" s="2481" t="s">
        <v>1892</v>
      </c>
      <c r="D49" s="2481" t="s">
        <v>136</v>
      </c>
      <c r="E49" s="2482" t="s">
        <v>3506</v>
      </c>
      <c r="F49" s="2482" t="s">
        <v>3507</v>
      </c>
      <c r="G49" s="2482" t="s">
        <v>3508</v>
      </c>
      <c r="H49" s="2483" t="s">
        <v>2112</v>
      </c>
      <c r="I49" s="671"/>
      <c r="J49" s="2487"/>
      <c r="K49" s="533"/>
      <c r="L49" s="545"/>
      <c r="M49" s="545"/>
      <c r="N49" s="545"/>
      <c r="O49" s="2580"/>
      <c r="P49" s="2498"/>
      <c r="Q49" s="2580"/>
      <c r="R49" s="2583"/>
      <c r="S49" s="2583"/>
      <c r="T49" s="2583"/>
      <c r="U49" s="2580"/>
      <c r="V49" s="2581"/>
      <c r="W49" s="2480"/>
      <c r="X49" s="2482" t="s">
        <v>3509</v>
      </c>
      <c r="Y49" s="2482" t="s">
        <v>3510</v>
      </c>
      <c r="Z49" s="2482" t="s">
        <v>3508</v>
      </c>
      <c r="AA49" s="2483" t="s">
        <v>2112</v>
      </c>
      <c r="AB49" s="2581"/>
    </row>
    <row r="50" spans="1:28" ht="15.75" customHeight="1" thickTop="1" thickBot="1">
      <c r="A50" s="545"/>
      <c r="B50" s="2487"/>
      <c r="C50" s="2487"/>
      <c r="D50" s="2487"/>
      <c r="E50" s="281"/>
      <c r="F50" s="281"/>
      <c r="G50" s="281"/>
      <c r="H50" s="281"/>
      <c r="I50" s="2537"/>
      <c r="J50" s="2487"/>
      <c r="K50" s="533"/>
      <c r="L50" s="545"/>
      <c r="M50" s="545"/>
      <c r="N50" s="545"/>
      <c r="O50" s="2580"/>
      <c r="P50" s="2498"/>
      <c r="Q50" s="2580"/>
      <c r="R50" s="2583"/>
      <c r="S50" s="2583"/>
      <c r="T50" s="2583"/>
      <c r="U50" s="2580"/>
      <c r="V50" s="2581"/>
      <c r="W50" s="2487"/>
      <c r="X50" s="281"/>
      <c r="Y50" s="281"/>
      <c r="Z50" s="281"/>
      <c r="AA50" s="281"/>
      <c r="AB50" s="2581"/>
    </row>
    <row r="51" spans="1:28" ht="15.75" customHeight="1" thickTop="1" thickBot="1">
      <c r="A51" s="545"/>
      <c r="B51" s="2519" t="s">
        <v>3511</v>
      </c>
      <c r="C51" s="2487"/>
      <c r="D51" s="2487"/>
      <c r="E51" s="281"/>
      <c r="F51" s="281"/>
      <c r="G51" s="281"/>
      <c r="H51" s="281"/>
      <c r="I51" s="2537"/>
      <c r="J51" s="2487"/>
      <c r="K51" s="533"/>
      <c r="L51" s="545"/>
      <c r="M51" s="545"/>
      <c r="N51" s="545"/>
      <c r="O51" s="2580"/>
      <c r="P51" s="2498"/>
      <c r="Q51" s="2580"/>
      <c r="R51" s="2583"/>
      <c r="S51" s="2583"/>
      <c r="T51" s="2583"/>
      <c r="U51" s="2580"/>
      <c r="V51" s="2581"/>
      <c r="W51" s="2519" t="s">
        <v>3511</v>
      </c>
      <c r="X51" s="281"/>
      <c r="Y51" s="281"/>
      <c r="Z51" s="281"/>
      <c r="AA51" s="281"/>
      <c r="AB51" s="2581"/>
    </row>
    <row r="52" spans="1:28" ht="15.75" customHeight="1" thickTop="1">
      <c r="A52" s="545"/>
      <c r="B52" s="2493" t="s">
        <v>3512</v>
      </c>
      <c r="C52" s="2494" t="s">
        <v>137</v>
      </c>
      <c r="D52" s="2495">
        <v>3</v>
      </c>
      <c r="E52" s="245">
        <v>0</v>
      </c>
      <c r="F52" s="245">
        <v>201.35900000000001</v>
      </c>
      <c r="G52" s="245">
        <v>306.12</v>
      </c>
      <c r="H52" s="247">
        <f>IFERROR(SUM(E52:G52),0)</f>
        <v>507.47900000000004</v>
      </c>
      <c r="I52" s="514"/>
      <c r="J52" s="2520"/>
      <c r="K52" s="2496" t="s">
        <v>3513</v>
      </c>
      <c r="L52" s="545"/>
      <c r="M52" s="2521"/>
      <c r="N52" s="545"/>
      <c r="O52" s="2580"/>
      <c r="P52" s="2498">
        <f>IF( SUM( R52:T52 ) = 0, 0, $R$5 )</f>
        <v>0</v>
      </c>
      <c r="Q52" s="2580"/>
      <c r="R52" s="2499">
        <f xml:space="preserve"> IF( ISNUMBER( E52 ), 0, 1 )</f>
        <v>0</v>
      </c>
      <c r="S52" s="2499">
        <f xml:space="preserve"> IF( ISNUMBER( F52 ), 0, 1 )</f>
        <v>0</v>
      </c>
      <c r="T52" s="2499">
        <f xml:space="preserve"> IF( ISNUMBER( G52 ), 0, 1 )</f>
        <v>0</v>
      </c>
      <c r="U52" s="2580"/>
      <c r="V52" s="2581"/>
      <c r="W52" s="2493" t="s">
        <v>3512</v>
      </c>
      <c r="X52" s="245" t="s">
        <v>1833</v>
      </c>
      <c r="Y52" s="245" t="s">
        <v>1834</v>
      </c>
      <c r="Z52" s="245" t="s">
        <v>1835</v>
      </c>
      <c r="AA52" s="247" t="s">
        <v>1836</v>
      </c>
      <c r="AB52" s="2581"/>
    </row>
    <row r="53" spans="1:28" ht="15.75" customHeight="1">
      <c r="A53" s="545"/>
      <c r="B53" s="2500" t="s">
        <v>3514</v>
      </c>
      <c r="C53" s="2501" t="s">
        <v>137</v>
      </c>
      <c r="D53" s="2502">
        <v>3</v>
      </c>
      <c r="E53" s="343">
        <f>IFERROR(F14,0)</f>
        <v>0</v>
      </c>
      <c r="F53" s="343">
        <f>IFERROR(F30,0)</f>
        <v>17.266000000000002</v>
      </c>
      <c r="G53" s="343">
        <f>IFERROR(F45,0)</f>
        <v>8.6609999999999996</v>
      </c>
      <c r="H53" s="256">
        <f>IFERROR(SUM(E53:G53),0)</f>
        <v>25.927</v>
      </c>
      <c r="I53" s="514"/>
      <c r="J53" s="2520"/>
      <c r="K53" s="2503" t="s">
        <v>3515</v>
      </c>
      <c r="L53" s="545"/>
      <c r="M53" s="2522"/>
      <c r="N53" s="545"/>
      <c r="O53" s="2580"/>
      <c r="P53" s="2498"/>
      <c r="Q53" s="2580"/>
      <c r="R53" s="2583"/>
      <c r="S53" s="2583"/>
      <c r="T53" s="2583"/>
      <c r="U53" s="2580"/>
      <c r="V53" s="2581"/>
      <c r="W53" s="2500" t="s">
        <v>3514</v>
      </c>
      <c r="X53" s="343" t="s">
        <v>3516</v>
      </c>
      <c r="Y53" s="343" t="s">
        <v>1827</v>
      </c>
      <c r="Z53" s="343" t="s">
        <v>3517</v>
      </c>
      <c r="AA53" s="256" t="s">
        <v>1837</v>
      </c>
      <c r="AB53" s="2581"/>
    </row>
    <row r="54" spans="1:28" ht="15.75" customHeight="1">
      <c r="A54" s="545"/>
      <c r="B54" s="2500" t="s">
        <v>3518</v>
      </c>
      <c r="C54" s="2501" t="s">
        <v>137</v>
      </c>
      <c r="D54" s="2502">
        <v>3</v>
      </c>
      <c r="E54" s="254">
        <v>0</v>
      </c>
      <c r="F54" s="254">
        <v>-7.0039999999999996</v>
      </c>
      <c r="G54" s="254">
        <v>-6.2830000000000004</v>
      </c>
      <c r="H54" s="256">
        <f>IFERROR(SUM(E54:G54),0)</f>
        <v>-13.286999999999999</v>
      </c>
      <c r="I54" s="514"/>
      <c r="J54" s="2520"/>
      <c r="K54" s="2503" t="s">
        <v>3519</v>
      </c>
      <c r="L54" s="545"/>
      <c r="M54" s="2522"/>
      <c r="N54" s="545"/>
      <c r="O54" s="2580"/>
      <c r="P54" s="2498">
        <f>IF( SUM( R54:T54 ) = 0, 0, $R$5 )</f>
        <v>0</v>
      </c>
      <c r="Q54" s="2580"/>
      <c r="R54" s="2499">
        <f xml:space="preserve"> IF( ISNUMBER( E54 ), 0, 1 )</f>
        <v>0</v>
      </c>
      <c r="S54" s="2499">
        <f xml:space="preserve"> IF( ISNUMBER( F54 ), 0, 1 )</f>
        <v>0</v>
      </c>
      <c r="T54" s="2499">
        <f xml:space="preserve"> IF( ISNUMBER( G54 ), 0, 1 )</f>
        <v>0</v>
      </c>
      <c r="U54" s="2580"/>
      <c r="V54" s="2581"/>
      <c r="W54" s="2500" t="s">
        <v>3518</v>
      </c>
      <c r="X54" s="254" t="s">
        <v>1838</v>
      </c>
      <c r="Y54" s="254" t="s">
        <v>1839</v>
      </c>
      <c r="Z54" s="254" t="s">
        <v>1840</v>
      </c>
      <c r="AA54" s="256" t="s">
        <v>1841</v>
      </c>
      <c r="AB54" s="2581"/>
    </row>
    <row r="55" spans="1:28" ht="15.75" customHeight="1" thickBot="1">
      <c r="A55" s="545"/>
      <c r="B55" s="2505" t="s">
        <v>3520</v>
      </c>
      <c r="C55" s="2506" t="s">
        <v>137</v>
      </c>
      <c r="D55" s="2507">
        <v>3</v>
      </c>
      <c r="E55" s="265">
        <f>IFERROR(SUM(E52:E54),0)</f>
        <v>0</v>
      </c>
      <c r="F55" s="265">
        <f>IFERROR(SUM(F52:F54),0)</f>
        <v>211.62100000000001</v>
      </c>
      <c r="G55" s="265">
        <f>IFERROR(SUM(G52:G54),0)</f>
        <v>308.49799999999999</v>
      </c>
      <c r="H55" s="266">
        <f>IFERROR(SUM(E55:G55),0)</f>
        <v>520.11900000000003</v>
      </c>
      <c r="I55" s="514"/>
      <c r="J55" s="2520"/>
      <c r="K55" s="2508" t="s">
        <v>3521</v>
      </c>
      <c r="L55" s="545"/>
      <c r="M55" s="2523"/>
      <c r="N55" s="545"/>
      <c r="O55" s="2580"/>
      <c r="P55" s="2498"/>
      <c r="Q55" s="2580"/>
      <c r="R55" s="2583"/>
      <c r="S55" s="2583"/>
      <c r="T55" s="2583"/>
      <c r="U55" s="2580"/>
      <c r="V55" s="2581"/>
      <c r="W55" s="2505" t="s">
        <v>3520</v>
      </c>
      <c r="X55" s="265" t="s">
        <v>1842</v>
      </c>
      <c r="Y55" s="265" t="s">
        <v>1843</v>
      </c>
      <c r="Z55" s="265" t="s">
        <v>1844</v>
      </c>
      <c r="AA55" s="266" t="s">
        <v>1845</v>
      </c>
      <c r="AB55" s="2581"/>
    </row>
    <row r="56" spans="1:28" ht="15.75" customHeight="1" thickTop="1">
      <c r="A56" s="545"/>
      <c r="B56" s="545"/>
      <c r="C56" s="545"/>
      <c r="D56" s="545"/>
      <c r="E56" s="271"/>
      <c r="F56" s="271"/>
      <c r="G56" s="271"/>
      <c r="H56" s="271"/>
      <c r="I56" s="271"/>
      <c r="J56" s="545"/>
      <c r="K56" s="545"/>
      <c r="L56" s="545"/>
      <c r="M56" s="545"/>
      <c r="N56" s="545"/>
      <c r="O56" s="2584"/>
      <c r="P56" s="2498"/>
      <c r="Q56" s="2581"/>
      <c r="R56" s="2583"/>
      <c r="S56" s="2583"/>
      <c r="T56" s="2583"/>
      <c r="U56" s="2498"/>
      <c r="V56" s="2581"/>
      <c r="W56" s="2581"/>
      <c r="X56" s="2581"/>
      <c r="Y56" s="2581"/>
      <c r="Z56" s="2581"/>
      <c r="AA56" s="2584"/>
      <c r="AB56" s="2584"/>
    </row>
    <row r="57" spans="1:28" ht="15.5">
      <c r="A57" s="545"/>
      <c r="B57" s="545"/>
      <c r="C57" s="545"/>
      <c r="D57" s="545"/>
      <c r="E57" s="271"/>
      <c r="F57" s="271"/>
      <c r="G57" s="271"/>
      <c r="H57" s="271"/>
      <c r="I57" s="271"/>
      <c r="J57" s="545"/>
      <c r="K57" s="2524"/>
      <c r="L57" s="545"/>
      <c r="M57" s="545"/>
      <c r="N57" s="545"/>
      <c r="O57" s="2581"/>
      <c r="P57" s="2581"/>
      <c r="Q57" s="2581"/>
      <c r="R57" s="2583"/>
      <c r="S57" s="2583"/>
      <c r="T57" s="2583"/>
      <c r="U57" s="2581"/>
      <c r="V57" s="2581"/>
      <c r="W57" s="2581"/>
      <c r="X57" s="2581"/>
      <c r="Y57" s="2581"/>
      <c r="Z57" s="2581"/>
      <c r="AA57" s="2581"/>
      <c r="AB57" s="2581"/>
    </row>
    <row r="58" spans="1:28" ht="15.5">
      <c r="A58" s="545"/>
      <c r="B58" s="545"/>
      <c r="C58" s="545"/>
      <c r="D58" s="545"/>
      <c r="E58" s="271"/>
      <c r="F58" s="271"/>
      <c r="G58" s="271"/>
      <c r="H58" s="271"/>
      <c r="I58" s="271"/>
      <c r="J58" s="545"/>
      <c r="K58" s="2524"/>
      <c r="L58" s="545"/>
      <c r="M58" s="545"/>
      <c r="N58" s="545"/>
      <c r="O58" s="2581"/>
      <c r="P58" s="2581"/>
      <c r="Q58" s="2581"/>
      <c r="R58" s="2583"/>
      <c r="S58" s="2583"/>
      <c r="T58" s="2583"/>
      <c r="U58" s="2581"/>
      <c r="V58" s="2581"/>
      <c r="W58" s="2581"/>
      <c r="X58" s="2581"/>
      <c r="Y58" s="2581"/>
      <c r="Z58" s="2581"/>
      <c r="AA58" s="2581"/>
      <c r="AB58" s="2581"/>
    </row>
    <row r="59" spans="1:28" ht="15.5">
      <c r="A59" s="545"/>
      <c r="B59" s="545"/>
      <c r="C59" s="545"/>
      <c r="D59" s="545"/>
      <c r="E59" s="271"/>
      <c r="F59" s="271"/>
      <c r="G59" s="271"/>
      <c r="H59" s="271"/>
      <c r="I59" s="271"/>
      <c r="J59" s="545"/>
      <c r="K59" s="2524"/>
      <c r="L59" s="545"/>
      <c r="M59" s="545"/>
      <c r="N59" s="545"/>
      <c r="O59" s="2581"/>
      <c r="P59" s="2581"/>
      <c r="Q59" s="2581"/>
      <c r="R59" s="2583"/>
      <c r="S59" s="2583"/>
      <c r="T59" s="2583"/>
      <c r="U59" s="2581"/>
      <c r="V59" s="2581"/>
      <c r="W59" s="2581"/>
      <c r="X59" s="2581"/>
      <c r="Y59" s="2581"/>
      <c r="Z59" s="2581"/>
      <c r="AA59" s="2581"/>
      <c r="AB59" s="2581"/>
    </row>
    <row r="60" spans="1:28" ht="15.5">
      <c r="A60" s="545"/>
      <c r="B60" s="545"/>
      <c r="C60" s="545"/>
      <c r="D60" s="545"/>
      <c r="E60" s="271"/>
      <c r="F60" s="271"/>
      <c r="G60" s="271"/>
      <c r="H60" s="271"/>
      <c r="I60" s="271"/>
      <c r="J60" s="545"/>
      <c r="K60" s="2524"/>
      <c r="L60" s="545"/>
      <c r="M60" s="545"/>
      <c r="N60" s="545"/>
      <c r="O60" s="2581"/>
      <c r="P60" s="2581"/>
      <c r="Q60" s="2581"/>
      <c r="R60" s="2583"/>
      <c r="S60" s="2583"/>
      <c r="T60" s="2583"/>
      <c r="U60" s="2581"/>
      <c r="V60" s="2581"/>
      <c r="W60" s="2581"/>
      <c r="X60" s="2581"/>
      <c r="Y60" s="2581"/>
      <c r="Z60" s="2581"/>
      <c r="AA60" s="2581"/>
      <c r="AB60" s="2581"/>
    </row>
    <row r="61" spans="1:28" ht="15.5">
      <c r="A61" s="545"/>
      <c r="B61" s="545"/>
      <c r="C61" s="545"/>
      <c r="D61" s="545"/>
      <c r="E61" s="271"/>
      <c r="F61" s="271"/>
      <c r="G61" s="271"/>
      <c r="H61" s="271"/>
      <c r="I61" s="271"/>
      <c r="J61" s="545"/>
      <c r="K61" s="2524"/>
      <c r="L61" s="545"/>
      <c r="M61" s="545"/>
      <c r="N61" s="545"/>
      <c r="O61" s="2581"/>
      <c r="P61" s="2581"/>
      <c r="Q61" s="2581"/>
      <c r="R61" s="2583"/>
      <c r="S61" s="2583"/>
      <c r="T61" s="2583"/>
      <c r="U61" s="2581"/>
      <c r="V61" s="2581"/>
      <c r="W61" s="2581"/>
      <c r="X61" s="2581"/>
      <c r="Y61" s="2581"/>
      <c r="Z61" s="2581"/>
      <c r="AA61" s="2581"/>
      <c r="AB61" s="2581"/>
    </row>
  </sheetData>
  <mergeCells count="3">
    <mergeCell ref="B3:M3"/>
    <mergeCell ref="W3:AA3"/>
    <mergeCell ref="R4:T4"/>
  </mergeCells>
  <conditionalFormatting sqref="P8:P56">
    <cfRule type="cellIs" dxfId="174" priority="2" operator="equal">
      <formula>0</formula>
    </cfRule>
  </conditionalFormatting>
  <conditionalFormatting sqref="U56">
    <cfRule type="cellIs" dxfId="173" priority="1" operator="equal">
      <formula>0</formula>
    </cfRule>
  </conditionalFormatting>
  <dataValidations count="1">
    <dataValidation type="custom" allowBlank="1" showErrorMessage="1" errorTitle="Input Error" error="Please input a numeric value." sqref="E27:G29 E25:G25 E19:G23 E16:F16 E32:F32 E47:F47 E54:G54 E52:G52 E40:G40 E35:G38 E42:G44 E11:G13 E8:G9" xr:uid="{A6C0FE9C-58B8-48FD-B2F2-CAACB3B49F67}">
      <formula1>ISNUMBER(E8)</formula1>
    </dataValidation>
  </dataValidations>
  <pageMargins left="0.7" right="0.7" top="0.75" bottom="0.75" header="0.3" footer="0.3"/>
  <pageSetup paperSize="9"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Normal="100" zoomScaleSheetLayoutView="100" workbookViewId="0">
      <selection activeCell="C16" sqref="C16"/>
    </sheetView>
  </sheetViews>
  <sheetFormatPr defaultColWidth="8.58203125" defaultRowHeight="14"/>
  <cols>
    <col min="1" max="1" width="1.58203125" style="220" customWidth="1"/>
    <col min="2" max="2" width="47.08203125" style="220" customWidth="1"/>
    <col min="3" max="3" width="11.58203125" style="434" bestFit="1" customWidth="1"/>
    <col min="4" max="4" width="15.58203125" style="434" customWidth="1"/>
    <col min="5" max="5" width="19.58203125" style="434" customWidth="1"/>
    <col min="6" max="6" width="1.58203125" style="220" customWidth="1"/>
    <col min="7" max="7" width="9.5" style="220" bestFit="1" customWidth="1"/>
    <col min="8" max="8" width="1.58203125" style="220" customWidth="1"/>
    <col min="9" max="9" width="29.5" style="220" bestFit="1" customWidth="1"/>
    <col min="10" max="11" width="1.58203125" style="220" customWidth="1"/>
    <col min="12" max="12" width="20.08203125" style="220" bestFit="1" customWidth="1"/>
    <col min="13" max="13" width="1.58203125" style="230" customWidth="1"/>
    <col min="14" max="14" width="20.08203125" style="230" hidden="1" customWidth="1"/>
    <col min="15" max="16" width="1.58203125" style="230" hidden="1" customWidth="1"/>
    <col min="17" max="17" width="1.58203125" style="220" customWidth="1"/>
    <col min="18" max="18" width="34.58203125" style="220" bestFit="1" customWidth="1"/>
    <col min="19" max="19" width="11.08203125" style="220" bestFit="1" customWidth="1"/>
    <col min="20" max="20" width="10.08203125" style="220" bestFit="1" customWidth="1"/>
    <col min="21" max="21" width="10.58203125" style="220" bestFit="1" customWidth="1"/>
    <col min="22" max="22" width="1.58203125" style="220" customWidth="1"/>
    <col min="23" max="16384" width="8.58203125" style="220"/>
  </cols>
  <sheetData>
    <row r="1" spans="1:21" s="351" customFormat="1" ht="22.5">
      <c r="B1" s="2673" t="s">
        <v>3522</v>
      </c>
      <c r="C1" s="2673"/>
      <c r="D1" s="2766"/>
      <c r="E1" s="2766"/>
      <c r="K1" s="305"/>
      <c r="L1" s="251"/>
      <c r="M1" s="2571"/>
      <c r="N1" s="2572"/>
      <c r="O1" s="2572"/>
      <c r="P1" s="2571"/>
      <c r="Q1" s="553"/>
      <c r="R1" s="2673" t="s">
        <v>1887</v>
      </c>
      <c r="S1" s="2673"/>
      <c r="T1" s="2673"/>
      <c r="U1" s="2673"/>
    </row>
    <row r="2" spans="1:21" s="351" customFormat="1" ht="22.5">
      <c r="B2" s="2673" t="str">
        <f>SelectCompany!B4</f>
        <v>Yorkshire Water</v>
      </c>
      <c r="C2" s="2673"/>
      <c r="D2" s="549"/>
      <c r="E2" s="549"/>
      <c r="K2" s="305"/>
      <c r="L2" s="251"/>
      <c r="M2" s="2571"/>
      <c r="N2" s="2572"/>
      <c r="O2" s="2572"/>
      <c r="P2" s="2571"/>
      <c r="Q2" s="553"/>
      <c r="R2" s="2673"/>
      <c r="S2" s="2673"/>
      <c r="T2" s="491"/>
      <c r="U2" s="491"/>
    </row>
    <row r="3" spans="1:21" ht="19">
      <c r="A3" s="2562"/>
      <c r="B3" s="2688" t="s">
        <v>3523</v>
      </c>
      <c r="C3" s="2689"/>
      <c r="D3" s="2689"/>
      <c r="E3" s="2689"/>
      <c r="F3" s="2689"/>
      <c r="G3" s="2689"/>
      <c r="H3" s="2689"/>
      <c r="I3" s="2689"/>
      <c r="J3" s="2562"/>
      <c r="K3" s="307"/>
      <c r="L3" s="554" t="s">
        <v>1889</v>
      </c>
      <c r="M3" s="2571"/>
      <c r="N3" s="2572"/>
      <c r="O3" s="2572"/>
      <c r="P3" s="2571"/>
      <c r="Q3" s="555"/>
      <c r="R3" s="2761" t="s">
        <v>3523</v>
      </c>
      <c r="S3" s="2762"/>
      <c r="T3" s="2762"/>
      <c r="U3" s="2762"/>
    </row>
    <row r="4" spans="1:21" ht="19.5" thickBot="1">
      <c r="A4" s="2562"/>
      <c r="B4" s="442"/>
      <c r="C4" s="550"/>
      <c r="D4" s="550"/>
      <c r="E4" s="550"/>
      <c r="F4" s="2562"/>
      <c r="G4" s="229"/>
      <c r="H4" s="2562"/>
      <c r="I4" s="2562"/>
      <c r="J4" s="2562"/>
      <c r="K4" s="2576"/>
      <c r="L4" s="251"/>
      <c r="M4" s="2571"/>
      <c r="N4" s="2662" t="s">
        <v>1890</v>
      </c>
      <c r="O4" s="2662"/>
      <c r="P4" s="2571"/>
      <c r="Q4" s="2562"/>
      <c r="R4" s="442"/>
      <c r="S4" s="442"/>
      <c r="T4" s="442"/>
      <c r="U4" s="442"/>
    </row>
    <row r="5" spans="1:21" ht="62.5" thickTop="1">
      <c r="A5" s="197"/>
      <c r="B5" s="556" t="s">
        <v>1891</v>
      </c>
      <c r="C5" s="557" t="s">
        <v>1902</v>
      </c>
      <c r="D5" s="557" t="s">
        <v>3524</v>
      </c>
      <c r="E5" s="558" t="s">
        <v>3525</v>
      </c>
      <c r="F5" s="197"/>
      <c r="G5" s="2763" t="s">
        <v>1896</v>
      </c>
      <c r="H5" s="197"/>
      <c r="I5" s="2763" t="s">
        <v>1897</v>
      </c>
      <c r="J5" s="197"/>
      <c r="K5" s="2576"/>
      <c r="L5" s="251"/>
      <c r="M5" s="2571"/>
      <c r="N5" s="236" t="s">
        <v>1898</v>
      </c>
      <c r="O5" s="237"/>
      <c r="P5" s="2571"/>
      <c r="Q5" s="2562"/>
      <c r="R5" s="556" t="s">
        <v>1891</v>
      </c>
      <c r="S5" s="557" t="s">
        <v>1902</v>
      </c>
      <c r="T5" s="557" t="s">
        <v>3524</v>
      </c>
      <c r="U5" s="558" t="s">
        <v>3525</v>
      </c>
    </row>
    <row r="6" spans="1:21" ht="15.5">
      <c r="A6" s="197"/>
      <c r="B6" s="391" t="s">
        <v>1892</v>
      </c>
      <c r="C6" s="559" t="s">
        <v>137</v>
      </c>
      <c r="D6" s="559" t="s">
        <v>1387</v>
      </c>
      <c r="E6" s="560" t="s">
        <v>3526</v>
      </c>
      <c r="F6" s="197"/>
      <c r="G6" s="2764"/>
      <c r="H6" s="197"/>
      <c r="I6" s="2764"/>
      <c r="J6" s="197"/>
      <c r="K6" s="2576"/>
      <c r="L6" s="251"/>
      <c r="M6" s="2571"/>
      <c r="N6" s="236"/>
      <c r="O6" s="237"/>
      <c r="P6" s="2571"/>
      <c r="Q6" s="2562"/>
      <c r="R6" s="391" t="s">
        <v>1892</v>
      </c>
      <c r="S6" s="559" t="s">
        <v>137</v>
      </c>
      <c r="T6" s="559" t="s">
        <v>1387</v>
      </c>
      <c r="U6" s="560" t="s">
        <v>3526</v>
      </c>
    </row>
    <row r="7" spans="1:21" ht="16" thickBot="1">
      <c r="A7" s="197"/>
      <c r="B7" s="392" t="s">
        <v>136</v>
      </c>
      <c r="C7" s="561">
        <v>3</v>
      </c>
      <c r="D7" s="561">
        <v>3</v>
      </c>
      <c r="E7" s="562">
        <v>3</v>
      </c>
      <c r="F7" s="197"/>
      <c r="G7" s="2765"/>
      <c r="H7" s="197"/>
      <c r="I7" s="2765"/>
      <c r="J7" s="197"/>
      <c r="K7" s="2576"/>
      <c r="L7" s="251"/>
      <c r="M7" s="2571"/>
      <c r="N7" s="2562"/>
      <c r="O7" s="2562"/>
      <c r="P7" s="2571"/>
      <c r="Q7" s="2562"/>
      <c r="R7" s="392" t="s">
        <v>136</v>
      </c>
      <c r="S7" s="561" t="s">
        <v>137</v>
      </c>
      <c r="T7" s="561" t="s">
        <v>1387</v>
      </c>
      <c r="U7" s="562" t="s">
        <v>3526</v>
      </c>
    </row>
    <row r="8" spans="1:21" ht="16.5" thickTop="1" thickBot="1">
      <c r="A8" s="197"/>
      <c r="B8" s="563"/>
      <c r="C8" s="271"/>
      <c r="D8" s="274"/>
      <c r="E8" s="271"/>
      <c r="F8" s="197"/>
      <c r="G8" s="228"/>
      <c r="H8" s="197"/>
      <c r="I8" s="197"/>
      <c r="J8" s="197"/>
      <c r="K8" s="2576"/>
      <c r="L8" s="251"/>
      <c r="M8" s="2571"/>
      <c r="N8" s="2562"/>
      <c r="O8" s="2562"/>
      <c r="P8" s="2571"/>
      <c r="Q8" s="2562"/>
      <c r="R8" s="563"/>
      <c r="S8" s="271"/>
      <c r="T8" s="274"/>
      <c r="U8" s="271"/>
    </row>
    <row r="9" spans="1:21" ht="15.75" customHeight="1" thickTop="1" thickBot="1">
      <c r="A9" s="197"/>
      <c r="B9" s="355" t="s">
        <v>3527</v>
      </c>
      <c r="C9" s="274"/>
      <c r="D9" s="564"/>
      <c r="E9" s="564"/>
      <c r="F9" s="197"/>
      <c r="G9" s="228"/>
      <c r="H9" s="197"/>
      <c r="I9" s="197"/>
      <c r="J9" s="197"/>
      <c r="K9" s="2576"/>
      <c r="L9" s="251"/>
      <c r="M9" s="2571"/>
      <c r="N9" s="237"/>
      <c r="O9" s="237"/>
      <c r="P9" s="2571"/>
      <c r="Q9" s="2562"/>
      <c r="R9" s="355" t="s">
        <v>3527</v>
      </c>
      <c r="S9" s="274"/>
      <c r="T9" s="564"/>
      <c r="U9" s="564"/>
    </row>
    <row r="10" spans="1:21" ht="15.75" customHeight="1" thickTop="1">
      <c r="A10" s="197"/>
      <c r="B10" s="413" t="s">
        <v>3528</v>
      </c>
      <c r="C10" s="1817">
        <f>IFERROR('2I'!E30,0)</f>
        <v>827.13200000000006</v>
      </c>
      <c r="D10" s="566"/>
      <c r="E10" s="567"/>
      <c r="F10" s="197"/>
      <c r="G10" s="248" t="s">
        <v>3529</v>
      </c>
      <c r="H10" s="197"/>
      <c r="I10" s="250"/>
      <c r="J10" s="197"/>
      <c r="K10" s="2578"/>
      <c r="L10" s="251"/>
      <c r="M10" s="2571"/>
      <c r="N10" s="237"/>
      <c r="O10" s="237"/>
      <c r="P10" s="2571"/>
      <c r="Q10" s="2562"/>
      <c r="R10" s="413" t="s">
        <v>3530</v>
      </c>
      <c r="S10" s="314" t="s">
        <v>3531</v>
      </c>
      <c r="T10" s="566"/>
      <c r="U10" s="567"/>
    </row>
    <row r="11" spans="1:21" ht="15.75" customHeight="1">
      <c r="A11" s="197"/>
      <c r="B11" s="422" t="s">
        <v>3532</v>
      </c>
      <c r="C11" s="1821">
        <f>IFERROR('2I'!E36,0)</f>
        <v>65.989999999999995</v>
      </c>
      <c r="D11" s="568"/>
      <c r="E11" s="569"/>
      <c r="F11" s="197"/>
      <c r="G11" s="257" t="s">
        <v>3533</v>
      </c>
      <c r="H11" s="197"/>
      <c r="I11" s="258"/>
      <c r="J11" s="197"/>
      <c r="K11" s="2578"/>
      <c r="L11" s="251"/>
      <c r="M11" s="2571"/>
      <c r="N11" s="237"/>
      <c r="O11" s="237"/>
      <c r="P11" s="2571"/>
      <c r="Q11" s="2562"/>
      <c r="R11" s="422" t="s">
        <v>3532</v>
      </c>
      <c r="S11" s="343" t="s">
        <v>3534</v>
      </c>
      <c r="T11" s="568"/>
      <c r="U11" s="569"/>
    </row>
    <row r="12" spans="1:21" ht="15.75" customHeight="1" thickBot="1">
      <c r="A12" s="197"/>
      <c r="B12" s="425" t="s">
        <v>3535</v>
      </c>
      <c r="C12" s="1813">
        <f>IFERROR(C10 + C11,0)</f>
        <v>893.12200000000007</v>
      </c>
      <c r="D12" s="370"/>
      <c r="E12" s="570"/>
      <c r="F12" s="197"/>
      <c r="G12" s="320" t="s">
        <v>3536</v>
      </c>
      <c r="H12" s="197"/>
      <c r="I12" s="269"/>
      <c r="J12" s="197"/>
      <c r="K12" s="2578"/>
      <c r="L12" s="251"/>
      <c r="M12" s="2571"/>
      <c r="N12" s="237"/>
      <c r="O12" s="237"/>
      <c r="P12" s="2571"/>
      <c r="Q12" s="2562"/>
      <c r="R12" s="425" t="s">
        <v>3535</v>
      </c>
      <c r="S12" s="265" t="s">
        <v>3537</v>
      </c>
      <c r="T12" s="370"/>
      <c r="U12" s="570"/>
    </row>
    <row r="13" spans="1:21" ht="15.75" customHeight="1" thickTop="1" thickBot="1">
      <c r="A13" s="197"/>
      <c r="B13" s="563"/>
      <c r="C13" s="271"/>
      <c r="D13" s="271"/>
      <c r="E13" s="271"/>
      <c r="F13" s="197"/>
      <c r="G13" s="228"/>
      <c r="H13" s="197"/>
      <c r="I13" s="197"/>
      <c r="J13" s="197"/>
      <c r="K13" s="2578"/>
      <c r="L13" s="251"/>
      <c r="M13" s="2571"/>
      <c r="N13" s="237"/>
      <c r="O13" s="237"/>
      <c r="P13" s="2571"/>
      <c r="Q13" s="2562"/>
      <c r="R13" s="563"/>
      <c r="S13" s="271"/>
      <c r="T13" s="271"/>
      <c r="U13" s="271"/>
    </row>
    <row r="14" spans="1:21" ht="15.75" customHeight="1" thickTop="1" thickBot="1">
      <c r="A14" s="197"/>
      <c r="B14" s="355" t="s">
        <v>3532</v>
      </c>
      <c r="C14" s="274"/>
      <c r="D14" s="274"/>
      <c r="E14" s="564"/>
      <c r="F14" s="197"/>
      <c r="G14" s="228"/>
      <c r="H14" s="197"/>
      <c r="I14" s="197"/>
      <c r="J14" s="197"/>
      <c r="K14" s="2578"/>
      <c r="L14" s="251"/>
      <c r="M14" s="2571"/>
      <c r="N14" s="237"/>
      <c r="O14" s="237"/>
      <c r="P14" s="2571"/>
      <c r="Q14" s="2562"/>
      <c r="R14" s="355" t="s">
        <v>3532</v>
      </c>
      <c r="S14" s="274"/>
      <c r="T14" s="274"/>
      <c r="U14" s="564"/>
    </row>
    <row r="15" spans="1:21" ht="15.75" customHeight="1" thickTop="1">
      <c r="A15" s="197"/>
      <c r="B15" s="413" t="s">
        <v>3538</v>
      </c>
      <c r="C15" s="245">
        <f>+C11</f>
        <v>65.989999999999995</v>
      </c>
      <c r="D15" s="566"/>
      <c r="E15" s="567"/>
      <c r="F15" s="197"/>
      <c r="G15" s="248" t="s">
        <v>3539</v>
      </c>
      <c r="H15" s="197"/>
      <c r="I15" s="250"/>
      <c r="J15" s="197"/>
      <c r="K15" s="2578"/>
      <c r="L15" s="251">
        <f>IF( SUM( N15:O15 ) = 0, 0, $N$5 )</f>
        <v>0</v>
      </c>
      <c r="M15" s="2571"/>
      <c r="N15" s="252">
        <f t="shared" ref="N15:N16" si="0" xml:space="preserve"> IF( ISNUMBER(C15 ), 0, 1 )</f>
        <v>0</v>
      </c>
      <c r="O15" s="237"/>
      <c r="P15" s="2571"/>
      <c r="Q15" s="2562"/>
      <c r="R15" s="413" t="s">
        <v>3538</v>
      </c>
      <c r="S15" s="245" t="s">
        <v>3540</v>
      </c>
      <c r="T15" s="566"/>
      <c r="U15" s="567"/>
    </row>
    <row r="16" spans="1:21" ht="15.75" customHeight="1">
      <c r="A16" s="197"/>
      <c r="B16" s="422" t="s">
        <v>3541</v>
      </c>
      <c r="C16" s="254">
        <v>3.8</v>
      </c>
      <c r="D16" s="568"/>
      <c r="E16" s="569"/>
      <c r="F16" s="197"/>
      <c r="G16" s="257" t="s">
        <v>3542</v>
      </c>
      <c r="H16" s="197"/>
      <c r="I16" s="258"/>
      <c r="J16" s="197"/>
      <c r="K16" s="2578"/>
      <c r="L16" s="251">
        <f>IF( SUM( N16:O16 ) = 0, 0, $N$5 )</f>
        <v>0</v>
      </c>
      <c r="M16" s="2571"/>
      <c r="N16" s="252">
        <f t="shared" si="0"/>
        <v>0</v>
      </c>
      <c r="O16" s="237"/>
      <c r="P16" s="2571"/>
      <c r="Q16" s="2562"/>
      <c r="R16" s="422" t="s">
        <v>3541</v>
      </c>
      <c r="S16" s="254" t="s">
        <v>3543</v>
      </c>
      <c r="T16" s="568"/>
      <c r="U16" s="569"/>
    </row>
    <row r="17" spans="1:21" ht="15.75" customHeight="1" thickBot="1">
      <c r="A17" s="197"/>
      <c r="B17" s="425" t="s">
        <v>3544</v>
      </c>
      <c r="C17" s="1813">
        <f>IFERROR(C15+C16,0)</f>
        <v>69.789999999999992</v>
      </c>
      <c r="D17" s="370"/>
      <c r="E17" s="570"/>
      <c r="F17" s="197"/>
      <c r="G17" s="320" t="s">
        <v>3545</v>
      </c>
      <c r="H17" s="197"/>
      <c r="I17" s="269"/>
      <c r="J17" s="197"/>
      <c r="K17" s="2578"/>
      <c r="L17" s="251"/>
      <c r="M17" s="2571"/>
      <c r="N17" s="237"/>
      <c r="O17" s="237"/>
      <c r="P17" s="2571"/>
      <c r="Q17" s="2562"/>
      <c r="R17" s="425" t="s">
        <v>3544</v>
      </c>
      <c r="S17" s="265" t="s">
        <v>3546</v>
      </c>
      <c r="T17" s="370"/>
      <c r="U17" s="570"/>
    </row>
    <row r="18" spans="1:21" ht="15.75" customHeight="1" thickTop="1" thickBot="1">
      <c r="A18" s="197"/>
      <c r="B18" s="327"/>
      <c r="C18" s="328"/>
      <c r="D18" s="328"/>
      <c r="E18" s="328"/>
      <c r="F18" s="197"/>
      <c r="G18" s="249"/>
      <c r="H18" s="197"/>
      <c r="I18" s="197"/>
      <c r="J18" s="197"/>
      <c r="K18" s="2578"/>
      <c r="L18" s="251"/>
      <c r="M18" s="2571"/>
      <c r="N18" s="237"/>
      <c r="O18" s="237"/>
      <c r="P18" s="2571"/>
      <c r="Q18" s="2562"/>
      <c r="R18" s="327"/>
      <c r="S18" s="328"/>
      <c r="T18" s="328"/>
      <c r="U18" s="328"/>
    </row>
    <row r="19" spans="1:21" ht="15.75" customHeight="1" thickTop="1" thickBot="1">
      <c r="A19" s="197"/>
      <c r="B19" s="355" t="s">
        <v>3547</v>
      </c>
      <c r="C19" s="328"/>
      <c r="D19" s="328"/>
      <c r="E19" s="328"/>
      <c r="F19" s="197"/>
      <c r="G19" s="249"/>
      <c r="H19" s="197"/>
      <c r="I19" s="197"/>
      <c r="J19" s="197"/>
      <c r="K19" s="2578"/>
      <c r="L19" s="251"/>
      <c r="M19" s="2571"/>
      <c r="N19" s="237"/>
      <c r="O19" s="237"/>
      <c r="P19" s="2571"/>
      <c r="Q19" s="2562"/>
      <c r="R19" s="355" t="s">
        <v>3547</v>
      </c>
      <c r="S19" s="328"/>
      <c r="T19" s="328"/>
      <c r="U19" s="328"/>
    </row>
    <row r="20" spans="1:21" ht="15.75" customHeight="1" thickTop="1">
      <c r="A20" s="197"/>
      <c r="B20" s="413" t="s">
        <v>3548</v>
      </c>
      <c r="C20" s="571"/>
      <c r="D20" s="245">
        <v>2274.7309999999998</v>
      </c>
      <c r="E20" s="567"/>
      <c r="F20" s="197"/>
      <c r="G20" s="248" t="s">
        <v>3549</v>
      </c>
      <c r="H20" s="197"/>
      <c r="I20" s="250"/>
      <c r="J20" s="197"/>
      <c r="K20" s="2578"/>
      <c r="L20" s="251">
        <f t="shared" ref="L20:L21" si="1">IF( SUM( N20:O20 ) = 0, 0, $N$5 )</f>
        <v>0</v>
      </c>
      <c r="M20" s="2571"/>
      <c r="N20" s="237"/>
      <c r="O20" s="252">
        <f t="shared" ref="O20:O21" si="2" xml:space="preserve"> IF( ISNUMBER(D20 ), 0, 1 )</f>
        <v>0</v>
      </c>
      <c r="P20" s="2571"/>
      <c r="Q20" s="2562"/>
      <c r="R20" s="413" t="s">
        <v>3548</v>
      </c>
      <c r="S20" s="571"/>
      <c r="T20" s="245" t="s">
        <v>3550</v>
      </c>
      <c r="U20" s="567"/>
    </row>
    <row r="21" spans="1:21" ht="15.75" customHeight="1" thickBot="1">
      <c r="A21" s="197"/>
      <c r="B21" s="425" t="s">
        <v>3551</v>
      </c>
      <c r="C21" s="572"/>
      <c r="D21" s="264">
        <v>2289.7309999999998</v>
      </c>
      <c r="E21" s="570"/>
      <c r="F21" s="197"/>
      <c r="G21" s="320" t="s">
        <v>3552</v>
      </c>
      <c r="H21" s="197"/>
      <c r="I21" s="269"/>
      <c r="J21" s="197"/>
      <c r="K21" s="2578"/>
      <c r="L21" s="251">
        <f t="shared" si="1"/>
        <v>0</v>
      </c>
      <c r="M21" s="2571"/>
      <c r="N21" s="237"/>
      <c r="O21" s="252">
        <f t="shared" si="2"/>
        <v>0</v>
      </c>
      <c r="P21" s="2571"/>
      <c r="Q21" s="2562"/>
      <c r="R21" s="425" t="s">
        <v>3551</v>
      </c>
      <c r="S21" s="572"/>
      <c r="T21" s="264" t="s">
        <v>3553</v>
      </c>
      <c r="U21" s="570"/>
    </row>
    <row r="22" spans="1:21" ht="15.75" customHeight="1" thickTop="1" thickBot="1">
      <c r="A22" s="197"/>
      <c r="B22" s="197"/>
      <c r="C22" s="271"/>
      <c r="D22" s="271"/>
      <c r="E22" s="271"/>
      <c r="F22" s="197"/>
      <c r="G22" s="197"/>
      <c r="H22" s="197"/>
      <c r="I22" s="197"/>
      <c r="J22" s="197"/>
      <c r="K22" s="2578"/>
      <c r="L22" s="251"/>
      <c r="M22" s="2571"/>
      <c r="N22" s="237"/>
      <c r="O22" s="237"/>
      <c r="P22" s="2571"/>
      <c r="Q22" s="2562"/>
      <c r="R22" s="197"/>
      <c r="S22" s="271"/>
      <c r="T22" s="271"/>
      <c r="U22" s="271"/>
    </row>
    <row r="23" spans="1:21" ht="15.75" customHeight="1" thickTop="1" thickBot="1">
      <c r="A23" s="197"/>
      <c r="B23" s="355" t="s">
        <v>3554</v>
      </c>
      <c r="C23" s="274"/>
      <c r="D23" s="274"/>
      <c r="E23" s="564"/>
      <c r="F23" s="197"/>
      <c r="G23" s="228"/>
      <c r="H23" s="197"/>
      <c r="I23" s="197"/>
      <c r="J23" s="197"/>
      <c r="K23" s="2578"/>
      <c r="L23" s="251"/>
      <c r="M23" s="2571"/>
      <c r="N23" s="237"/>
      <c r="O23" s="237"/>
      <c r="P23" s="2571"/>
      <c r="Q23" s="2562"/>
      <c r="R23" s="355" t="s">
        <v>3554</v>
      </c>
      <c r="S23" s="274"/>
      <c r="T23" s="274"/>
      <c r="U23" s="564"/>
    </row>
    <row r="24" spans="1:21" ht="15.75" customHeight="1" thickTop="1">
      <c r="A24" s="197"/>
      <c r="B24" s="413" t="s">
        <v>3555</v>
      </c>
      <c r="C24" s="245">
        <v>69.429000000000002</v>
      </c>
      <c r="D24" s="566"/>
      <c r="E24" s="567"/>
      <c r="F24" s="197"/>
      <c r="G24" s="248" t="s">
        <v>3556</v>
      </c>
      <c r="H24" s="197"/>
      <c r="I24" s="250"/>
      <c r="J24" s="197"/>
      <c r="K24" s="2578"/>
      <c r="L24" s="251">
        <f>IF( SUM( N24:O24 ) = 0, 0, $N$5 )</f>
        <v>0</v>
      </c>
      <c r="M24" s="2571"/>
      <c r="N24" s="252">
        <f t="shared" ref="N24" si="3" xml:space="preserve"> IF( ISNUMBER(C24 ), 0, 1 )</f>
        <v>0</v>
      </c>
      <c r="O24" s="237"/>
      <c r="P24" s="2571"/>
      <c r="Q24" s="2562"/>
      <c r="R24" s="413" t="s">
        <v>3555</v>
      </c>
      <c r="S24" s="245" t="s">
        <v>3557</v>
      </c>
      <c r="T24" s="566"/>
      <c r="U24" s="567"/>
    </row>
    <row r="25" spans="1:21" ht="15.75" customHeight="1" thickBot="1">
      <c r="A25" s="197"/>
      <c r="B25" s="425" t="s">
        <v>3558</v>
      </c>
      <c r="C25" s="1813">
        <f>IFERROR(C24 - C17,0)</f>
        <v>-0.36099999999999</v>
      </c>
      <c r="D25" s="370"/>
      <c r="E25" s="570"/>
      <c r="F25" s="197"/>
      <c r="G25" s="320" t="s">
        <v>3559</v>
      </c>
      <c r="H25" s="197"/>
      <c r="I25" s="269"/>
      <c r="J25" s="197"/>
      <c r="K25" s="2578"/>
      <c r="L25" s="251"/>
      <c r="M25" s="2571"/>
      <c r="N25" s="237"/>
      <c r="O25" s="237"/>
      <c r="P25" s="2571"/>
      <c r="Q25" s="2562"/>
      <c r="R25" s="425" t="s">
        <v>3558</v>
      </c>
      <c r="S25" s="573" t="s">
        <v>3560</v>
      </c>
      <c r="T25" s="370"/>
      <c r="U25" s="570"/>
    </row>
    <row r="26" spans="1:21" ht="15.75" customHeight="1" thickTop="1" thickBot="1">
      <c r="A26" s="197"/>
      <c r="B26" s="327"/>
      <c r="C26" s="328"/>
      <c r="D26" s="328"/>
      <c r="E26" s="328"/>
      <c r="F26" s="197"/>
      <c r="G26" s="249"/>
      <c r="H26" s="197"/>
      <c r="I26" s="197"/>
      <c r="J26" s="197"/>
      <c r="K26" s="2578"/>
      <c r="L26" s="251"/>
      <c r="M26" s="2571"/>
      <c r="N26" s="237"/>
      <c r="O26" s="237"/>
      <c r="P26" s="2571"/>
      <c r="Q26" s="2562"/>
      <c r="R26" s="327"/>
      <c r="S26" s="328"/>
      <c r="T26" s="328"/>
      <c r="U26" s="328"/>
    </row>
    <row r="27" spans="1:21" ht="15.75" customHeight="1" thickTop="1" thickBot="1">
      <c r="A27" s="197"/>
      <c r="B27" s="355" t="s">
        <v>3561</v>
      </c>
      <c r="C27" s="274"/>
      <c r="D27" s="274"/>
      <c r="E27" s="564"/>
      <c r="F27" s="197"/>
      <c r="G27" s="228"/>
      <c r="H27" s="197"/>
      <c r="I27" s="197"/>
      <c r="J27" s="197"/>
      <c r="K27" s="2578"/>
      <c r="L27" s="251"/>
      <c r="M27" s="2571"/>
      <c r="N27" s="237"/>
      <c r="O27" s="237"/>
      <c r="P27" s="2571"/>
      <c r="Q27" s="2562"/>
      <c r="R27" s="355" t="s">
        <v>3561</v>
      </c>
      <c r="S27" s="274"/>
      <c r="T27" s="274"/>
      <c r="U27" s="564"/>
    </row>
    <row r="28" spans="1:21" ht="15.75" customHeight="1" thickTop="1" thickBot="1">
      <c r="A28" s="197"/>
      <c r="B28" s="431" t="s">
        <v>3562</v>
      </c>
      <c r="C28" s="436"/>
      <c r="D28" s="436"/>
      <c r="E28" s="1839">
        <f>IFERROR(IF(OR(C17=0, D20=0), 0, C17/(D20/1000)),0)</f>
        <v>30.680550799193401</v>
      </c>
      <c r="F28" s="197"/>
      <c r="G28" s="336" t="s">
        <v>3563</v>
      </c>
      <c r="H28" s="197"/>
      <c r="I28" s="337"/>
      <c r="J28" s="197"/>
      <c r="K28" s="2578"/>
      <c r="L28" s="251"/>
      <c r="M28" s="2571"/>
      <c r="N28" s="237"/>
      <c r="O28" s="237"/>
      <c r="P28" s="2571"/>
      <c r="Q28" s="2562"/>
      <c r="R28" s="431" t="s">
        <v>3564</v>
      </c>
      <c r="S28" s="436"/>
      <c r="T28" s="436"/>
      <c r="U28" s="433" t="s">
        <v>3565</v>
      </c>
    </row>
    <row r="29" spans="1:21" ht="16" thickTop="1">
      <c r="A29" s="197"/>
      <c r="B29" s="327"/>
      <c r="C29" s="328"/>
      <c r="D29" s="328"/>
      <c r="E29" s="328"/>
      <c r="F29" s="197"/>
      <c r="G29" s="249"/>
      <c r="H29" s="197"/>
      <c r="I29" s="197"/>
      <c r="J29" s="197"/>
      <c r="K29" s="2562"/>
      <c r="L29" s="251"/>
      <c r="M29" s="2572"/>
      <c r="N29" s="237"/>
      <c r="O29" s="237"/>
      <c r="P29" s="2572"/>
      <c r="Q29" s="2562"/>
      <c r="R29" s="2562"/>
      <c r="S29" s="2562"/>
      <c r="T29" s="2562"/>
      <c r="U29" s="2562"/>
    </row>
    <row r="30" spans="1:21" ht="15.5">
      <c r="A30" s="197"/>
      <c r="B30" s="197"/>
      <c r="C30" s="271"/>
      <c r="D30" s="271"/>
      <c r="E30" s="271"/>
      <c r="F30" s="197"/>
      <c r="G30" s="197"/>
      <c r="H30" s="197"/>
      <c r="I30" s="197"/>
      <c r="J30" s="197"/>
      <c r="K30" s="2572"/>
      <c r="L30" s="2562"/>
      <c r="M30" s="2572"/>
      <c r="N30" s="237"/>
      <c r="O30" s="237"/>
      <c r="P30" s="2572"/>
      <c r="Q30" s="2572"/>
      <c r="R30" s="2562"/>
      <c r="S30" s="2562"/>
      <c r="T30" s="2562"/>
      <c r="U30" s="2562"/>
    </row>
    <row r="31" spans="1:21" ht="15.5">
      <c r="A31" s="197"/>
      <c r="B31" s="197"/>
      <c r="C31" s="271"/>
      <c r="D31" s="271"/>
      <c r="E31" s="271"/>
      <c r="F31" s="197"/>
      <c r="G31" s="197"/>
      <c r="H31" s="197"/>
      <c r="I31" s="197"/>
      <c r="J31" s="197"/>
      <c r="K31" s="2572"/>
      <c r="L31" s="2562"/>
      <c r="M31" s="323"/>
      <c r="N31" s="2574"/>
      <c r="O31" s="2575"/>
      <c r="P31" s="323"/>
      <c r="Q31" s="2572"/>
      <c r="R31" s="2562"/>
      <c r="S31" s="2562"/>
      <c r="T31" s="2562"/>
      <c r="U31" s="2562"/>
    </row>
    <row r="32" spans="1:21" ht="15.5">
      <c r="A32" s="197"/>
      <c r="B32" s="197"/>
      <c r="C32" s="271"/>
      <c r="D32" s="271"/>
      <c r="E32" s="271"/>
      <c r="F32" s="197"/>
      <c r="G32" s="197"/>
      <c r="H32" s="197"/>
      <c r="I32" s="197"/>
      <c r="J32" s="197"/>
      <c r="K32" s="2572"/>
      <c r="L32" s="2562"/>
      <c r="M32" s="323"/>
      <c r="N32" s="2574"/>
      <c r="O32" s="2575"/>
      <c r="P32" s="323"/>
      <c r="Q32" s="2572"/>
      <c r="R32" s="2562"/>
      <c r="S32" s="2562"/>
      <c r="T32" s="2562"/>
      <c r="U32" s="2562"/>
    </row>
    <row r="33" spans="1:14" ht="15.5">
      <c r="A33" s="197"/>
      <c r="B33" s="197"/>
      <c r="C33" s="271"/>
      <c r="D33" s="271"/>
      <c r="E33" s="271"/>
      <c r="F33" s="197"/>
      <c r="G33" s="197"/>
      <c r="H33" s="197"/>
      <c r="I33" s="197"/>
      <c r="J33" s="197"/>
      <c r="K33" s="2562"/>
      <c r="L33" s="2562"/>
      <c r="M33" s="2572"/>
      <c r="N33" s="237"/>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72" priority="4" operator="equal">
      <formula>0</formula>
    </cfRule>
  </conditionalFormatting>
  <conditionalFormatting sqref="L4:L29">
    <cfRule type="cellIs" dxfId="171" priority="1" operator="equal">
      <formula>0</formula>
    </cfRule>
  </conditionalFormatting>
  <conditionalFormatting sqref="L33">
    <cfRule type="cellIs" dxfId="170"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tabColor rgb="FF808080"/>
    <pageSetUpPr fitToPage="1"/>
  </sheetPr>
  <dimension ref="A1:AU37"/>
  <sheetViews>
    <sheetView showGridLines="0" zoomScaleNormal="100" zoomScaleSheetLayoutView="100" workbookViewId="0"/>
  </sheetViews>
  <sheetFormatPr defaultColWidth="8.58203125" defaultRowHeight="14"/>
  <cols>
    <col min="1" max="1" width="1.58203125" style="220" customWidth="1"/>
    <col min="2" max="2" width="30.58203125" style="220" bestFit="1" customWidth="1"/>
    <col min="3" max="3" width="10.08203125" style="220" bestFit="1" customWidth="1"/>
    <col min="4" max="5" width="8.08203125" style="220" bestFit="1" customWidth="1"/>
    <col min="6" max="6" width="11.58203125" style="220" bestFit="1" customWidth="1"/>
    <col min="7" max="7" width="21.08203125" style="220" customWidth="1"/>
    <col min="8" max="8" width="15.08203125" style="220" customWidth="1"/>
    <col min="9" max="9" width="19.58203125" style="220" customWidth="1"/>
    <col min="10" max="10" width="18.58203125" style="220" customWidth="1"/>
    <col min="11" max="11" width="8.58203125" style="220" customWidth="1"/>
    <col min="12" max="12" width="23.08203125" style="220" customWidth="1"/>
    <col min="13" max="13" width="1.08203125" style="220" customWidth="1"/>
    <col min="14" max="14" width="9.5" style="220" bestFit="1" customWidth="1"/>
    <col min="15" max="15" width="1.58203125" style="220" customWidth="1"/>
    <col min="16" max="16" width="25.58203125" style="220" customWidth="1"/>
    <col min="17" max="18" width="1.58203125" style="220" customWidth="1"/>
    <col min="19" max="19" width="20.08203125" style="220" bestFit="1" customWidth="1"/>
    <col min="20" max="20" width="1.58203125" style="230" customWidth="1"/>
    <col min="21" max="21" width="20.08203125" style="230" hidden="1" customWidth="1"/>
    <col min="22" max="22" width="1.58203125" style="230" hidden="1" customWidth="1"/>
    <col min="23" max="23" width="5.58203125" style="230" hidden="1" customWidth="1"/>
    <col min="24" max="24" width="1.58203125" style="230" hidden="1" customWidth="1"/>
    <col min="25" max="25" width="5.58203125" style="230" hidden="1" customWidth="1"/>
    <col min="26" max="27" width="1.58203125" style="230" hidden="1" customWidth="1"/>
    <col min="28" max="28" width="5.58203125" style="230" hidden="1" customWidth="1"/>
    <col min="29" max="31" width="1.58203125" style="230" hidden="1" customWidth="1"/>
    <col min="32" max="32" width="1.58203125" style="220" customWidth="1"/>
    <col min="33" max="33" width="30.58203125" style="220" bestFit="1" customWidth="1"/>
    <col min="34" max="34" width="14.08203125" style="220" bestFit="1" customWidth="1"/>
    <col min="35" max="35" width="13.58203125" style="220" bestFit="1" customWidth="1"/>
    <col min="36" max="36" width="13.08203125" style="220" bestFit="1" customWidth="1"/>
    <col min="37" max="37" width="12.58203125" style="220" bestFit="1" customWidth="1"/>
    <col min="38" max="39" width="15.08203125" style="220" customWidth="1"/>
    <col min="40" max="40" width="14.08203125" style="220" bestFit="1" customWidth="1"/>
    <col min="41" max="41" width="15.58203125" style="220" bestFit="1" customWidth="1"/>
    <col min="42" max="42" width="14.58203125" style="220" bestFit="1" customWidth="1"/>
    <col min="43" max="43" width="15.58203125" style="220" bestFit="1" customWidth="1"/>
    <col min="44" max="44" width="1.58203125" style="220" customWidth="1"/>
    <col min="45" max="16384" width="8.58203125" style="220"/>
  </cols>
  <sheetData>
    <row r="1" spans="1:47" s="351" customFormat="1" ht="30" customHeight="1">
      <c r="B1" s="2673" t="s">
        <v>3566</v>
      </c>
      <c r="C1" s="2673"/>
      <c r="D1" s="2673"/>
      <c r="E1" s="2673"/>
      <c r="F1" s="2673"/>
      <c r="G1" s="2673"/>
      <c r="H1" s="2673"/>
      <c r="I1" s="2673"/>
      <c r="J1" s="523"/>
      <c r="K1" s="523"/>
      <c r="L1" s="523"/>
      <c r="M1" s="523"/>
      <c r="N1" s="491"/>
      <c r="R1" s="305"/>
      <c r="S1" s="227"/>
      <c r="T1" s="2577"/>
      <c r="U1" s="2572"/>
      <c r="V1" s="2572"/>
      <c r="W1" s="2572"/>
      <c r="X1" s="2572"/>
      <c r="Y1" s="2572"/>
      <c r="Z1" s="2572"/>
      <c r="AA1" s="2572"/>
      <c r="AB1" s="2572"/>
      <c r="AC1" s="2572"/>
      <c r="AD1" s="2572"/>
      <c r="AE1" s="2577"/>
      <c r="AG1" s="2673" t="s">
        <v>1887</v>
      </c>
      <c r="AH1" s="2673"/>
      <c r="AI1" s="2673"/>
      <c r="AJ1" s="2673"/>
      <c r="AK1" s="2673"/>
      <c r="AL1" s="2673"/>
      <c r="AM1" s="2673"/>
      <c r="AN1" s="2673"/>
      <c r="AS1" s="2562"/>
    </row>
    <row r="2" spans="1:47" s="351" customFormat="1" ht="30" customHeight="1">
      <c r="B2" s="386" t="str">
        <f>SelectCompany!B4</f>
        <v>Yorkshire Water</v>
      </c>
      <c r="C2" s="386"/>
      <c r="D2" s="386"/>
      <c r="E2" s="386"/>
      <c r="F2" s="386"/>
      <c r="G2" s="491"/>
      <c r="H2" s="491"/>
      <c r="I2" s="491"/>
      <c r="J2" s="491"/>
      <c r="K2" s="491"/>
      <c r="L2" s="491"/>
      <c r="M2" s="491"/>
      <c r="N2" s="491"/>
      <c r="R2" s="305"/>
      <c r="S2" s="227"/>
      <c r="T2" s="2577"/>
      <c r="U2" s="2572"/>
      <c r="V2" s="2572"/>
      <c r="W2" s="2572"/>
      <c r="X2" s="2572"/>
      <c r="Y2" s="2572"/>
      <c r="Z2" s="2572"/>
      <c r="AA2" s="2572"/>
      <c r="AB2" s="2572"/>
      <c r="AC2" s="2572"/>
      <c r="AD2" s="2572"/>
      <c r="AE2" s="2577"/>
      <c r="AG2" s="2673"/>
      <c r="AH2" s="2673"/>
      <c r="AI2" s="2673"/>
      <c r="AJ2" s="2673"/>
      <c r="AK2" s="2673"/>
      <c r="AL2" s="491"/>
      <c r="AM2" s="491"/>
      <c r="AN2" s="491"/>
      <c r="AO2" s="491"/>
      <c r="AP2" s="491"/>
      <c r="AQ2" s="491"/>
    </row>
    <row r="3" spans="1:47" ht="38.25" customHeight="1">
      <c r="A3" s="2562"/>
      <c r="B3" s="2688" t="s">
        <v>3567</v>
      </c>
      <c r="C3" s="2689"/>
      <c r="D3" s="2689"/>
      <c r="E3" s="2689"/>
      <c r="F3" s="2689"/>
      <c r="G3" s="2689"/>
      <c r="H3" s="2689"/>
      <c r="I3" s="2689"/>
      <c r="J3" s="2689"/>
      <c r="K3" s="2689"/>
      <c r="L3" s="2689"/>
      <c r="M3" s="2689"/>
      <c r="N3" s="2689"/>
      <c r="O3" s="2689"/>
      <c r="P3" s="2689"/>
      <c r="Q3" s="228"/>
      <c r="R3" s="307"/>
      <c r="S3" s="387" t="s">
        <v>1889</v>
      </c>
      <c r="T3" s="2577"/>
      <c r="U3" s="2662" t="s">
        <v>1890</v>
      </c>
      <c r="V3" s="2662"/>
      <c r="W3" s="2662"/>
      <c r="X3" s="2662"/>
      <c r="Y3" s="2662"/>
      <c r="Z3" s="2662"/>
      <c r="AA3" s="2662"/>
      <c r="AB3" s="2662"/>
      <c r="AC3" s="2662"/>
      <c r="AD3" s="2662"/>
      <c r="AE3" s="2577"/>
      <c r="AF3" s="2562"/>
      <c r="AG3" s="2688" t="s">
        <v>3567</v>
      </c>
      <c r="AH3" s="2689"/>
      <c r="AI3" s="2689"/>
      <c r="AJ3" s="2689"/>
      <c r="AK3" s="2689"/>
      <c r="AL3" s="2689"/>
      <c r="AM3" s="2689"/>
      <c r="AN3" s="2689"/>
      <c r="AO3" s="2689"/>
      <c r="AP3" s="2689"/>
      <c r="AQ3" s="2689"/>
      <c r="AR3" s="593"/>
      <c r="AS3" s="593"/>
      <c r="AT3" s="593"/>
      <c r="AU3" s="593"/>
    </row>
    <row r="4" spans="1:47" ht="18.75" customHeight="1" thickBot="1">
      <c r="A4" s="2562"/>
      <c r="B4" s="594"/>
      <c r="C4" s="595"/>
      <c r="D4" s="595"/>
      <c r="E4" s="595"/>
      <c r="F4" s="595"/>
      <c r="G4" s="595"/>
      <c r="H4" s="595"/>
      <c r="I4" s="595"/>
      <c r="J4" s="595"/>
      <c r="K4" s="595"/>
      <c r="L4" s="595"/>
      <c r="M4" s="594"/>
      <c r="N4" s="351"/>
      <c r="O4" s="228"/>
      <c r="P4" s="228"/>
      <c r="Q4" s="228"/>
      <c r="R4" s="2576"/>
      <c r="S4" s="251"/>
      <c r="T4" s="2577"/>
      <c r="U4" s="236" t="s">
        <v>1898</v>
      </c>
      <c r="V4" s="2572"/>
      <c r="W4" s="2572"/>
      <c r="X4" s="2572"/>
      <c r="Y4" s="2572"/>
      <c r="Z4" s="2562"/>
      <c r="AA4" s="236"/>
      <c r="AB4" s="236"/>
      <c r="AC4" s="237"/>
      <c r="AD4" s="237"/>
      <c r="AE4" s="2577"/>
      <c r="AF4" s="2562"/>
      <c r="AG4" s="594"/>
      <c r="AH4" s="595"/>
      <c r="AI4" s="595"/>
      <c r="AJ4" s="595"/>
      <c r="AK4" s="595"/>
      <c r="AL4" s="595"/>
      <c r="AM4" s="595"/>
      <c r="AN4" s="595"/>
      <c r="AO4" s="595"/>
      <c r="AP4" s="595"/>
      <c r="AQ4" s="595"/>
      <c r="AR4" s="2562"/>
      <c r="AS4" s="2562"/>
      <c r="AT4" s="2562"/>
      <c r="AU4" s="2562"/>
    </row>
    <row r="5" spans="1:47" ht="58.4" customHeight="1" thickTop="1">
      <c r="A5" s="197"/>
      <c r="B5" s="556" t="s">
        <v>1891</v>
      </c>
      <c r="C5" s="574" t="s">
        <v>3568</v>
      </c>
      <c r="D5" s="574" t="s">
        <v>3532</v>
      </c>
      <c r="E5" s="574" t="s">
        <v>3569</v>
      </c>
      <c r="F5" s="574" t="s">
        <v>3570</v>
      </c>
      <c r="G5" s="574" t="s">
        <v>3571</v>
      </c>
      <c r="H5" s="574" t="s">
        <v>3572</v>
      </c>
      <c r="I5" s="574" t="s">
        <v>3573</v>
      </c>
      <c r="J5" s="574" t="s">
        <v>3574</v>
      </c>
      <c r="K5" s="574" t="s">
        <v>3575</v>
      </c>
      <c r="L5" s="575" t="s">
        <v>3576</v>
      </c>
      <c r="M5" s="596"/>
      <c r="N5" s="2763" t="s">
        <v>1896</v>
      </c>
      <c r="O5" s="197"/>
      <c r="P5" s="2763" t="s">
        <v>1897</v>
      </c>
      <c r="Q5" s="197"/>
      <c r="R5" s="2576"/>
      <c r="S5" s="251"/>
      <c r="T5" s="2577"/>
      <c r="U5" s="2572"/>
      <c r="V5" s="2572"/>
      <c r="W5" s="2572"/>
      <c r="X5" s="2572"/>
      <c r="Y5" s="2572"/>
      <c r="Z5" s="2562"/>
      <c r="AA5" s="2562"/>
      <c r="AB5" s="2562"/>
      <c r="AC5" s="2562"/>
      <c r="AD5" s="2562"/>
      <c r="AE5" s="2577"/>
      <c r="AF5" s="2562"/>
      <c r="AG5" s="556" t="s">
        <v>1891</v>
      </c>
      <c r="AH5" s="574" t="s">
        <v>3568</v>
      </c>
      <c r="AI5" s="574" t="s">
        <v>3532</v>
      </c>
      <c r="AJ5" s="574" t="s">
        <v>3569</v>
      </c>
      <c r="AK5" s="574" t="s">
        <v>3570</v>
      </c>
      <c r="AL5" s="574" t="s">
        <v>3571</v>
      </c>
      <c r="AM5" s="574" t="s">
        <v>3572</v>
      </c>
      <c r="AN5" s="574" t="s">
        <v>3573</v>
      </c>
      <c r="AO5" s="574" t="s">
        <v>3574</v>
      </c>
      <c r="AP5" s="574" t="s">
        <v>3575</v>
      </c>
      <c r="AQ5" s="575" t="s">
        <v>3576</v>
      </c>
      <c r="AR5" s="2562"/>
      <c r="AS5" s="2562"/>
      <c r="AT5" s="2562"/>
      <c r="AU5" s="2562"/>
    </row>
    <row r="6" spans="1:47" ht="15" customHeight="1">
      <c r="A6" s="197"/>
      <c r="B6" s="391" t="s">
        <v>1892</v>
      </c>
      <c r="C6" s="389" t="s">
        <v>137</v>
      </c>
      <c r="D6" s="389" t="s">
        <v>137</v>
      </c>
      <c r="E6" s="389" t="s">
        <v>137</v>
      </c>
      <c r="F6" s="389" t="s">
        <v>1387</v>
      </c>
      <c r="G6" s="389" t="s">
        <v>3526</v>
      </c>
      <c r="H6" s="389" t="s">
        <v>3526</v>
      </c>
      <c r="I6" s="389" t="s">
        <v>3526</v>
      </c>
      <c r="J6" s="389" t="s">
        <v>3526</v>
      </c>
      <c r="K6" s="389" t="s">
        <v>1344</v>
      </c>
      <c r="L6" s="390" t="s">
        <v>3526</v>
      </c>
      <c r="M6" s="596"/>
      <c r="N6" s="2764"/>
      <c r="O6" s="197"/>
      <c r="P6" s="2764"/>
      <c r="Q6" s="197"/>
      <c r="R6" s="2576"/>
      <c r="S6" s="251"/>
      <c r="T6" s="2577"/>
      <c r="U6" s="2572"/>
      <c r="V6" s="2572"/>
      <c r="W6" s="2572"/>
      <c r="X6" s="2572"/>
      <c r="Y6" s="2572"/>
      <c r="Z6" s="2562"/>
      <c r="AA6" s="2562"/>
      <c r="AB6" s="2562"/>
      <c r="AC6" s="2562"/>
      <c r="AD6" s="2562"/>
      <c r="AE6" s="2577"/>
      <c r="AF6" s="2562"/>
      <c r="AG6" s="391" t="s">
        <v>1892</v>
      </c>
      <c r="AH6" s="389" t="s">
        <v>137</v>
      </c>
      <c r="AI6" s="389" t="s">
        <v>137</v>
      </c>
      <c r="AJ6" s="389" t="s">
        <v>137</v>
      </c>
      <c r="AK6" s="389" t="s">
        <v>1387</v>
      </c>
      <c r="AL6" s="389" t="s">
        <v>3526</v>
      </c>
      <c r="AM6" s="389" t="s">
        <v>3526</v>
      </c>
      <c r="AN6" s="389" t="s">
        <v>3526</v>
      </c>
      <c r="AO6" s="389" t="s">
        <v>3526</v>
      </c>
      <c r="AP6" s="389" t="s">
        <v>1344</v>
      </c>
      <c r="AQ6" s="390" t="s">
        <v>3526</v>
      </c>
      <c r="AR6" s="2562"/>
      <c r="AS6" s="2562"/>
      <c r="AT6" s="2562"/>
      <c r="AU6" s="2562"/>
    </row>
    <row r="7" spans="1:47" ht="15" customHeight="1" thickBot="1">
      <c r="A7" s="197"/>
      <c r="B7" s="392" t="s">
        <v>136</v>
      </c>
      <c r="C7" s="238">
        <v>3</v>
      </c>
      <c r="D7" s="238">
        <v>3</v>
      </c>
      <c r="E7" s="238">
        <v>3</v>
      </c>
      <c r="F7" s="238">
        <v>3</v>
      </c>
      <c r="G7" s="238">
        <v>3</v>
      </c>
      <c r="H7" s="238">
        <v>3</v>
      </c>
      <c r="I7" s="238">
        <v>3</v>
      </c>
      <c r="J7" s="238">
        <v>3</v>
      </c>
      <c r="K7" s="238">
        <v>3</v>
      </c>
      <c r="L7" s="576">
        <v>3</v>
      </c>
      <c r="M7" s="597"/>
      <c r="N7" s="2765"/>
      <c r="O7" s="197"/>
      <c r="P7" s="2765"/>
      <c r="Q7" s="197"/>
      <c r="R7" s="2576"/>
      <c r="S7" s="251"/>
      <c r="T7" s="2577"/>
      <c r="U7" s="2572"/>
      <c r="V7" s="2572"/>
      <c r="W7" s="2572"/>
      <c r="X7" s="2572"/>
      <c r="Y7" s="2572"/>
      <c r="Z7" s="2573"/>
      <c r="AA7" s="2573"/>
      <c r="AB7" s="2573"/>
      <c r="AC7" s="2573"/>
      <c r="AD7" s="2573"/>
      <c r="AE7" s="2577"/>
      <c r="AF7" s="2562"/>
      <c r="AG7" s="392" t="s">
        <v>136</v>
      </c>
      <c r="AH7" s="238">
        <v>3</v>
      </c>
      <c r="AI7" s="238">
        <v>3</v>
      </c>
      <c r="AJ7" s="238">
        <v>3</v>
      </c>
      <c r="AK7" s="238">
        <v>3</v>
      </c>
      <c r="AL7" s="238">
        <v>3</v>
      </c>
      <c r="AM7" s="238">
        <v>3</v>
      </c>
      <c r="AN7" s="238">
        <v>3</v>
      </c>
      <c r="AO7" s="238">
        <v>3</v>
      </c>
      <c r="AP7" s="238">
        <v>3</v>
      </c>
      <c r="AQ7" s="576">
        <v>3</v>
      </c>
      <c r="AR7" s="2562"/>
      <c r="AS7" s="2562"/>
      <c r="AT7" s="2562"/>
      <c r="AU7" s="2562"/>
    </row>
    <row r="8" spans="1:47" ht="15.75" customHeight="1" thickTop="1" thickBot="1">
      <c r="A8" s="197"/>
      <c r="B8" s="577"/>
      <c r="C8" s="539"/>
      <c r="D8" s="539"/>
      <c r="E8" s="539"/>
      <c r="F8" s="86"/>
      <c r="G8" s="86"/>
      <c r="H8" s="539"/>
      <c r="I8" s="539"/>
      <c r="J8" s="539"/>
      <c r="K8" s="539"/>
      <c r="L8" s="577"/>
      <c r="M8" s="563"/>
      <c r="N8" s="228"/>
      <c r="O8" s="197"/>
      <c r="P8" s="197"/>
      <c r="Q8" s="197"/>
      <c r="R8" s="2576"/>
      <c r="S8" s="251"/>
      <c r="T8" s="2577"/>
      <c r="U8" s="2572"/>
      <c r="V8" s="2572"/>
      <c r="W8" s="2572"/>
      <c r="X8" s="2572"/>
      <c r="Y8" s="2572"/>
      <c r="Z8" s="237"/>
      <c r="AA8" s="237"/>
      <c r="AB8" s="237"/>
      <c r="AC8" s="237"/>
      <c r="AD8" s="237"/>
      <c r="AE8" s="2577"/>
      <c r="AF8" s="2562"/>
      <c r="AG8" s="577"/>
      <c r="AH8" s="539"/>
      <c r="AI8" s="539"/>
      <c r="AJ8" s="539"/>
      <c r="AK8" s="86"/>
      <c r="AL8" s="86"/>
      <c r="AM8" s="539"/>
      <c r="AN8" s="539"/>
      <c r="AO8" s="539"/>
      <c r="AP8" s="539"/>
      <c r="AQ8" s="577"/>
      <c r="AR8" s="2562"/>
      <c r="AS8" s="2562"/>
      <c r="AT8" s="2562"/>
      <c r="AU8" s="2562"/>
    </row>
    <row r="9" spans="1:47" ht="15.75" customHeight="1" thickTop="1" thickBot="1">
      <c r="A9" s="197"/>
      <c r="B9" s="355" t="s">
        <v>3577</v>
      </c>
      <c r="C9" s="444"/>
      <c r="D9" s="444"/>
      <c r="E9" s="577"/>
      <c r="F9" s="106"/>
      <c r="G9" s="106"/>
      <c r="H9" s="578"/>
      <c r="I9" s="578"/>
      <c r="J9" s="578"/>
      <c r="K9" s="578"/>
      <c r="L9" s="197"/>
      <c r="M9" s="228"/>
      <c r="N9" s="197"/>
      <c r="O9" s="197"/>
      <c r="P9" s="197"/>
      <c r="Q9" s="197"/>
      <c r="R9" s="2578"/>
      <c r="S9" s="251"/>
      <c r="T9" s="2577"/>
      <c r="U9" s="2572"/>
      <c r="V9" s="2572"/>
      <c r="W9" s="2572"/>
      <c r="X9" s="2572"/>
      <c r="Y9" s="2572"/>
      <c r="Z9" s="237"/>
      <c r="AA9" s="237"/>
      <c r="AB9" s="237"/>
      <c r="AC9" s="237"/>
      <c r="AD9" s="237"/>
      <c r="AE9" s="2577"/>
      <c r="AF9" s="2562"/>
      <c r="AG9" s="355" t="s">
        <v>3577</v>
      </c>
      <c r="AH9" s="444"/>
      <c r="AI9" s="444"/>
      <c r="AJ9" s="577"/>
      <c r="AK9" s="106"/>
      <c r="AL9" s="106"/>
      <c r="AM9" s="578"/>
      <c r="AN9" s="578"/>
      <c r="AO9" s="578"/>
      <c r="AP9" s="578"/>
      <c r="AQ9" s="197"/>
      <c r="AR9" s="2562"/>
      <c r="AS9" s="2562"/>
      <c r="AT9" s="2562"/>
      <c r="AU9" s="2562"/>
    </row>
    <row r="10" spans="1:47" ht="15.75" customHeight="1" thickTop="1">
      <c r="A10" s="197"/>
      <c r="B10" s="413" t="s">
        <v>3578</v>
      </c>
      <c r="C10" s="245"/>
      <c r="D10" s="598"/>
      <c r="E10" s="2096">
        <f>IFERROR(SUM(C10:D10),0)</f>
        <v>0</v>
      </c>
      <c r="F10" s="598"/>
      <c r="G10" s="2096">
        <f>IFERROR(IF(OR(D10=0,F10=0),0,D10/(F10/1000)),0)</f>
        <v>0</v>
      </c>
      <c r="H10" s="598"/>
      <c r="I10" s="598"/>
      <c r="J10" s="2096">
        <f>IFERROR(H10 + I10,0)</f>
        <v>0</v>
      </c>
      <c r="K10" s="598"/>
      <c r="L10" s="599"/>
      <c r="M10" s="249"/>
      <c r="N10" s="600" t="s">
        <v>3579</v>
      </c>
      <c r="O10" s="197"/>
      <c r="P10" s="250"/>
      <c r="Q10" s="197"/>
      <c r="R10" s="2578"/>
      <c r="S10" s="251" t="str">
        <f>IF( SUM( U10:AD10 ) = 0, 0, $U$4 )</f>
        <v>Please complete all cells in row</v>
      </c>
      <c r="T10" s="2577"/>
      <c r="U10" s="252">
        <f t="shared" ref="U10:X12" si="0" xml:space="preserve"> IF( ISNUMBER( C10 ), 0, 1 )</f>
        <v>1</v>
      </c>
      <c r="V10" s="252">
        <f t="shared" ref="V10:V12" si="1" xml:space="preserve"> IF( ISNUMBER( D10 ), 0, 1 )</f>
        <v>1</v>
      </c>
      <c r="W10" s="237"/>
      <c r="X10" s="252">
        <f t="shared" si="0"/>
        <v>1</v>
      </c>
      <c r="Y10" s="237"/>
      <c r="Z10" s="252">
        <f t="shared" ref="Z10:Z12" si="2" xml:space="preserve"> IF( ISNUMBER( H10 ), 0, 1 )</f>
        <v>1</v>
      </c>
      <c r="AA10" s="252">
        <f t="shared" ref="AA10:AA12" si="3" xml:space="preserve"> IF( ISNUMBER( I10 ), 0, 1 )</f>
        <v>1</v>
      </c>
      <c r="AB10" s="237"/>
      <c r="AC10" s="252">
        <f t="shared" ref="AC10:AC12" si="4" xml:space="preserve"> IF( ISNUMBER( K10 ), 0, 1 )</f>
        <v>1</v>
      </c>
      <c r="AD10" s="252">
        <f t="shared" ref="AD10:AD12" si="5" xml:space="preserve"> IF( ISNUMBER( L10 ), 0, 1 )</f>
        <v>1</v>
      </c>
      <c r="AE10" s="2577"/>
      <c r="AF10" s="2562"/>
      <c r="AG10" s="413" t="s">
        <v>3578</v>
      </c>
      <c r="AH10" s="245" t="s">
        <v>3580</v>
      </c>
      <c r="AI10" s="598" t="s">
        <v>3581</v>
      </c>
      <c r="AJ10" s="579" t="s">
        <v>3582</v>
      </c>
      <c r="AK10" s="598" t="s">
        <v>3583</v>
      </c>
      <c r="AL10" s="579" t="s">
        <v>3584</v>
      </c>
      <c r="AM10" s="598" t="s">
        <v>3585</v>
      </c>
      <c r="AN10" s="598" t="s">
        <v>3586</v>
      </c>
      <c r="AO10" s="579" t="s">
        <v>3587</v>
      </c>
      <c r="AP10" s="598" t="s">
        <v>3588</v>
      </c>
      <c r="AQ10" s="599" t="s">
        <v>3589</v>
      </c>
      <c r="AR10" s="2562"/>
      <c r="AS10" s="2562"/>
      <c r="AT10" s="2562"/>
      <c r="AU10" s="2562"/>
    </row>
    <row r="11" spans="1:47" ht="15.75" customHeight="1">
      <c r="A11" s="197"/>
      <c r="B11" s="422" t="s">
        <v>3590</v>
      </c>
      <c r="C11" s="601"/>
      <c r="D11" s="601"/>
      <c r="E11" s="2097">
        <f>IFERROR(SUM(C11:D11),0)</f>
        <v>0</v>
      </c>
      <c r="F11" s="601"/>
      <c r="G11" s="2097">
        <f>IFERROR(IF(OR(D11=0,F11=0),0,D11/(F11/1100)),0)</f>
        <v>0</v>
      </c>
      <c r="H11" s="601"/>
      <c r="I11" s="601"/>
      <c r="J11" s="2097">
        <f>IFERROR(H11 + I11,0)</f>
        <v>0</v>
      </c>
      <c r="K11" s="601"/>
      <c r="L11" s="602"/>
      <c r="M11" s="249"/>
      <c r="N11" s="603" t="s">
        <v>3591</v>
      </c>
      <c r="O11" s="197"/>
      <c r="P11" s="258"/>
      <c r="Q11" s="197"/>
      <c r="R11" s="2578"/>
      <c r="S11" s="251" t="str">
        <f t="shared" ref="S11:S12" si="6">IF( SUM( U11:AD11 ) = 0, 0, $U$4 )</f>
        <v>Please complete all cells in row</v>
      </c>
      <c r="T11" s="2577"/>
      <c r="U11" s="252">
        <f t="shared" ref="U11:U12" si="7" xml:space="preserve"> IF( ISNUMBER( C11 ), 0, 1 )</f>
        <v>1</v>
      </c>
      <c r="V11" s="252">
        <f t="shared" si="1"/>
        <v>1</v>
      </c>
      <c r="W11" s="237"/>
      <c r="X11" s="252">
        <f t="shared" si="0"/>
        <v>1</v>
      </c>
      <c r="Y11" s="237"/>
      <c r="Z11" s="252">
        <f t="shared" si="2"/>
        <v>1</v>
      </c>
      <c r="AA11" s="252">
        <f t="shared" si="3"/>
        <v>1</v>
      </c>
      <c r="AB11" s="237"/>
      <c r="AC11" s="252">
        <f t="shared" si="4"/>
        <v>1</v>
      </c>
      <c r="AD11" s="252">
        <f t="shared" si="5"/>
        <v>1</v>
      </c>
      <c r="AE11" s="2577"/>
      <c r="AF11" s="2562"/>
      <c r="AG11" s="422" t="s">
        <v>3590</v>
      </c>
      <c r="AH11" s="601" t="s">
        <v>3592</v>
      </c>
      <c r="AI11" s="601" t="s">
        <v>3593</v>
      </c>
      <c r="AJ11" s="581" t="s">
        <v>3594</v>
      </c>
      <c r="AK11" s="601" t="s">
        <v>3595</v>
      </c>
      <c r="AL11" s="581" t="s">
        <v>3596</v>
      </c>
      <c r="AM11" s="601" t="s">
        <v>3597</v>
      </c>
      <c r="AN11" s="601" t="s">
        <v>3598</v>
      </c>
      <c r="AO11" s="581" t="s">
        <v>3599</v>
      </c>
      <c r="AP11" s="601" t="s">
        <v>3600</v>
      </c>
      <c r="AQ11" s="602" t="s">
        <v>3601</v>
      </c>
      <c r="AR11" s="2562"/>
      <c r="AS11" s="2562"/>
      <c r="AT11" s="2562"/>
      <c r="AU11" s="2562"/>
    </row>
    <row r="12" spans="1:47" ht="15.75" customHeight="1">
      <c r="A12" s="197"/>
      <c r="B12" s="422" t="s">
        <v>3602</v>
      </c>
      <c r="C12" s="601"/>
      <c r="D12" s="601"/>
      <c r="E12" s="2097">
        <f>IFERROR(SUM(C12:D12),0)</f>
        <v>0</v>
      </c>
      <c r="F12" s="601"/>
      <c r="G12" s="2097">
        <f>IFERROR(IF(OR(D12=0,F12=0),0,D12/(F12/1200)),0)</f>
        <v>0</v>
      </c>
      <c r="H12" s="601"/>
      <c r="I12" s="601"/>
      <c r="J12" s="2097">
        <f>IFERROR(H12 + I12,0)</f>
        <v>0</v>
      </c>
      <c r="K12" s="601"/>
      <c r="L12" s="602"/>
      <c r="M12" s="228"/>
      <c r="N12" s="603" t="s">
        <v>3603</v>
      </c>
      <c r="O12" s="197"/>
      <c r="P12" s="258"/>
      <c r="Q12" s="197"/>
      <c r="R12" s="2578"/>
      <c r="S12" s="251" t="str">
        <f t="shared" si="6"/>
        <v>Please complete all cells in row</v>
      </c>
      <c r="T12" s="2577"/>
      <c r="U12" s="252">
        <f t="shared" si="7"/>
        <v>1</v>
      </c>
      <c r="V12" s="252">
        <f t="shared" si="1"/>
        <v>1</v>
      </c>
      <c r="W12" s="237"/>
      <c r="X12" s="252">
        <f t="shared" si="0"/>
        <v>1</v>
      </c>
      <c r="Y12" s="237"/>
      <c r="Z12" s="252">
        <f t="shared" si="2"/>
        <v>1</v>
      </c>
      <c r="AA12" s="252">
        <f t="shared" si="3"/>
        <v>1</v>
      </c>
      <c r="AB12" s="237"/>
      <c r="AC12" s="252">
        <f t="shared" si="4"/>
        <v>1</v>
      </c>
      <c r="AD12" s="252">
        <f t="shared" si="5"/>
        <v>1</v>
      </c>
      <c r="AE12" s="2577"/>
      <c r="AF12" s="2562"/>
      <c r="AG12" s="422" t="s">
        <v>3602</v>
      </c>
      <c r="AH12" s="601" t="s">
        <v>3604</v>
      </c>
      <c r="AI12" s="601" t="s">
        <v>3605</v>
      </c>
      <c r="AJ12" s="581" t="s">
        <v>3606</v>
      </c>
      <c r="AK12" s="601" t="s">
        <v>3607</v>
      </c>
      <c r="AL12" s="581" t="s">
        <v>3608</v>
      </c>
      <c r="AM12" s="601" t="s">
        <v>3609</v>
      </c>
      <c r="AN12" s="601" t="s">
        <v>3610</v>
      </c>
      <c r="AO12" s="581" t="s">
        <v>3611</v>
      </c>
      <c r="AP12" s="601" t="s">
        <v>3612</v>
      </c>
      <c r="AQ12" s="602" t="s">
        <v>3613</v>
      </c>
      <c r="AR12" s="2562"/>
      <c r="AS12" s="2562"/>
      <c r="AT12" s="2562"/>
      <c r="AU12" s="2562"/>
    </row>
    <row r="13" spans="1:47" ht="15.75" customHeight="1" thickBot="1">
      <c r="A13" s="197"/>
      <c r="B13" s="425" t="s">
        <v>3614</v>
      </c>
      <c r="C13" s="2098">
        <f t="shared" ref="C13:L13" si="8">IFERROR(SUM(C10:C12),0)</f>
        <v>0</v>
      </c>
      <c r="D13" s="2098">
        <f t="shared" si="8"/>
        <v>0</v>
      </c>
      <c r="E13" s="2098">
        <f t="shared" si="8"/>
        <v>0</v>
      </c>
      <c r="F13" s="2098">
        <f t="shared" si="8"/>
        <v>0</v>
      </c>
      <c r="G13" s="2098">
        <f t="shared" si="8"/>
        <v>0</v>
      </c>
      <c r="H13" s="2098">
        <f t="shared" si="8"/>
        <v>0</v>
      </c>
      <c r="I13" s="2098">
        <f t="shared" si="8"/>
        <v>0</v>
      </c>
      <c r="J13" s="2098">
        <f t="shared" si="8"/>
        <v>0</v>
      </c>
      <c r="K13" s="2099">
        <f t="shared" si="8"/>
        <v>0</v>
      </c>
      <c r="L13" s="2100">
        <f t="shared" si="8"/>
        <v>0</v>
      </c>
      <c r="M13" s="597"/>
      <c r="N13" s="604" t="s">
        <v>3615</v>
      </c>
      <c r="O13" s="197"/>
      <c r="P13" s="269"/>
      <c r="Q13" s="197"/>
      <c r="R13" s="2578"/>
      <c r="S13" s="251"/>
      <c r="T13" s="2577"/>
      <c r="U13" s="237"/>
      <c r="V13" s="237"/>
      <c r="W13" s="237"/>
      <c r="X13" s="237"/>
      <c r="Y13" s="237"/>
      <c r="Z13" s="237"/>
      <c r="AA13" s="237"/>
      <c r="AB13" s="237"/>
      <c r="AC13" s="237"/>
      <c r="AD13" s="237"/>
      <c r="AE13" s="2577"/>
      <c r="AF13" s="2562"/>
      <c r="AG13" s="425" t="s">
        <v>3614</v>
      </c>
      <c r="AH13" s="583" t="s">
        <v>3616</v>
      </c>
      <c r="AI13" s="583" t="s">
        <v>3617</v>
      </c>
      <c r="AJ13" s="583" t="s">
        <v>3618</v>
      </c>
      <c r="AK13" s="583" t="s">
        <v>3619</v>
      </c>
      <c r="AL13" s="583" t="s">
        <v>3620</v>
      </c>
      <c r="AM13" s="583" t="s">
        <v>3621</v>
      </c>
      <c r="AN13" s="583" t="s">
        <v>3622</v>
      </c>
      <c r="AO13" s="583" t="s">
        <v>3623</v>
      </c>
      <c r="AP13" s="584" t="s">
        <v>3624</v>
      </c>
      <c r="AQ13" s="379" t="s">
        <v>3625</v>
      </c>
      <c r="AR13" s="2562"/>
      <c r="AS13" s="2562"/>
      <c r="AT13" s="2562"/>
      <c r="AU13" s="2562"/>
    </row>
    <row r="14" spans="1:47" ht="15.75" customHeight="1" thickTop="1" thickBot="1">
      <c r="A14" s="197"/>
      <c r="B14" s="542"/>
      <c r="C14" s="1977"/>
      <c r="D14" s="1977"/>
      <c r="E14" s="1977"/>
      <c r="F14" s="1977"/>
      <c r="G14" s="1977"/>
      <c r="H14" s="2101"/>
      <c r="I14" s="2101"/>
      <c r="J14" s="2101"/>
      <c r="K14" s="2101"/>
      <c r="L14" s="2101"/>
      <c r="M14" s="587"/>
      <c r="N14" s="228"/>
      <c r="O14" s="197"/>
      <c r="P14" s="197"/>
      <c r="Q14" s="197"/>
      <c r="R14" s="2578"/>
      <c r="S14" s="251"/>
      <c r="T14" s="2577"/>
      <c r="U14" s="237"/>
      <c r="V14" s="237"/>
      <c r="W14" s="237"/>
      <c r="X14" s="237"/>
      <c r="Y14" s="237"/>
      <c r="Z14" s="237"/>
      <c r="AA14" s="237"/>
      <c r="AB14" s="237"/>
      <c r="AC14" s="237"/>
      <c r="AD14" s="237"/>
      <c r="AE14" s="2577"/>
      <c r="AF14" s="2562"/>
      <c r="AG14" s="542"/>
      <c r="AH14" s="86"/>
      <c r="AI14" s="86"/>
      <c r="AJ14" s="86"/>
      <c r="AK14" s="86"/>
      <c r="AL14" s="86"/>
      <c r="AM14" s="542"/>
      <c r="AN14" s="542"/>
      <c r="AO14" s="542"/>
      <c r="AP14" s="542"/>
      <c r="AQ14" s="542"/>
      <c r="AR14" s="2562"/>
      <c r="AS14" s="2562"/>
      <c r="AT14" s="2562"/>
      <c r="AU14" s="2562"/>
    </row>
    <row r="15" spans="1:47" ht="15.75" customHeight="1" thickTop="1" thickBot="1">
      <c r="A15" s="197"/>
      <c r="B15" s="355" t="s">
        <v>3626</v>
      </c>
      <c r="C15" s="2105"/>
      <c r="D15" s="2105"/>
      <c r="E15" s="2106"/>
      <c r="F15" s="1836"/>
      <c r="G15" s="1836"/>
      <c r="H15" s="2107"/>
      <c r="I15" s="2107"/>
      <c r="J15" s="2107"/>
      <c r="K15" s="2107"/>
      <c r="L15" s="2107"/>
      <c r="M15" s="578"/>
      <c r="N15" s="228"/>
      <c r="O15" s="197"/>
      <c r="P15" s="197"/>
      <c r="Q15" s="197"/>
      <c r="R15" s="2578"/>
      <c r="S15" s="251"/>
      <c r="T15" s="2577"/>
      <c r="U15" s="237"/>
      <c r="V15" s="237"/>
      <c r="W15" s="237"/>
      <c r="X15" s="237"/>
      <c r="Y15" s="237"/>
      <c r="Z15" s="237"/>
      <c r="AA15" s="237"/>
      <c r="AB15" s="237"/>
      <c r="AC15" s="237"/>
      <c r="AD15" s="237"/>
      <c r="AE15" s="2577"/>
      <c r="AF15" s="2562"/>
      <c r="AG15" s="355" t="s">
        <v>3626</v>
      </c>
      <c r="AH15" s="444"/>
      <c r="AI15" s="444"/>
      <c r="AJ15" s="577"/>
      <c r="AK15" s="106"/>
      <c r="AL15" s="106"/>
      <c r="AM15" s="578"/>
      <c r="AN15" s="578"/>
      <c r="AO15" s="578"/>
      <c r="AP15" s="578"/>
      <c r="AQ15" s="578"/>
      <c r="AR15" s="2562"/>
      <c r="AS15" s="2562"/>
      <c r="AT15" s="2562"/>
      <c r="AU15" s="2562"/>
    </row>
    <row r="16" spans="1:47" ht="15.75" customHeight="1" thickTop="1" thickBot="1">
      <c r="A16" s="197"/>
      <c r="B16" s="431" t="s">
        <v>3627</v>
      </c>
      <c r="C16" s="605"/>
      <c r="D16" s="605"/>
      <c r="E16" s="1023">
        <f>IFERROR(SUM(C16:D16),0)</f>
        <v>0</v>
      </c>
      <c r="F16" s="605"/>
      <c r="G16" s="586">
        <f>IFERROR(IF(OR(E16=0,F16=0),0,E16/(F16/1000)),0)</f>
        <v>0</v>
      </c>
      <c r="H16" s="1977"/>
      <c r="I16" s="1977"/>
      <c r="J16" s="2108"/>
      <c r="K16" s="1977"/>
      <c r="L16" s="2108"/>
      <c r="M16" s="578"/>
      <c r="N16" s="336" t="s">
        <v>3628</v>
      </c>
      <c r="O16" s="197"/>
      <c r="P16" s="337"/>
      <c r="Q16" s="197"/>
      <c r="R16" s="2578"/>
      <c r="S16" s="251" t="str">
        <f>IF( SUM( U16:AD16 ) = 0, 0, $U$4 )</f>
        <v>Please complete all cells in row</v>
      </c>
      <c r="T16" s="2577"/>
      <c r="U16" s="252">
        <f t="shared" ref="U16" si="9" xml:space="preserve"> IF( ISNUMBER( C16 ), 0, 1 )</f>
        <v>1</v>
      </c>
      <c r="V16" s="252">
        <f t="shared" ref="V16" si="10" xml:space="preserve"> IF( ISNUMBER( D16 ), 0, 1 )</f>
        <v>1</v>
      </c>
      <c r="W16" s="237"/>
      <c r="X16" s="252">
        <f t="shared" ref="X16" si="11" xml:space="preserve"> IF( ISNUMBER( F16 ), 0, 1 )</f>
        <v>1</v>
      </c>
      <c r="Y16" s="237"/>
      <c r="Z16" s="237"/>
      <c r="AA16" s="237"/>
      <c r="AB16" s="237"/>
      <c r="AC16" s="237"/>
      <c r="AD16" s="237"/>
      <c r="AE16" s="2577"/>
      <c r="AF16" s="2562"/>
      <c r="AG16" s="431" t="s">
        <v>3627</v>
      </c>
      <c r="AH16" s="605" t="s">
        <v>3629</v>
      </c>
      <c r="AI16" s="605" t="s">
        <v>3630</v>
      </c>
      <c r="AJ16" s="334" t="s">
        <v>3631</v>
      </c>
      <c r="AK16" s="605" t="s">
        <v>3632</v>
      </c>
      <c r="AL16" s="591" t="s">
        <v>3633</v>
      </c>
      <c r="AM16" s="86"/>
      <c r="AN16" s="86"/>
      <c r="AO16" s="606"/>
      <c r="AP16" s="86"/>
      <c r="AQ16" s="606"/>
      <c r="AR16" s="2562"/>
      <c r="AS16" s="2562"/>
      <c r="AT16" s="2562"/>
      <c r="AU16" s="2562"/>
    </row>
    <row r="17" spans="1:43" ht="15.75" customHeight="1" thickTop="1" thickBot="1">
      <c r="A17" s="197"/>
      <c r="B17" s="542"/>
      <c r="C17" s="1836"/>
      <c r="D17" s="1836"/>
      <c r="E17" s="1836"/>
      <c r="F17" s="1836"/>
      <c r="G17" s="1836"/>
      <c r="H17" s="1836"/>
      <c r="I17" s="1836"/>
      <c r="J17" s="1836"/>
      <c r="K17" s="1836"/>
      <c r="L17" s="1836"/>
      <c r="M17" s="578"/>
      <c r="N17" s="228"/>
      <c r="O17" s="197"/>
      <c r="P17" s="197"/>
      <c r="Q17" s="197"/>
      <c r="R17" s="2578"/>
      <c r="S17" s="251"/>
      <c r="T17" s="2577"/>
      <c r="U17" s="237"/>
      <c r="V17" s="237"/>
      <c r="W17" s="237"/>
      <c r="X17" s="237"/>
      <c r="Y17" s="237"/>
      <c r="Z17" s="237"/>
      <c r="AA17" s="237"/>
      <c r="AB17" s="237"/>
      <c r="AC17" s="237"/>
      <c r="AD17" s="237"/>
      <c r="AE17" s="2577"/>
      <c r="AF17" s="2562"/>
      <c r="AG17" s="542"/>
      <c r="AH17" s="106"/>
      <c r="AI17" s="106"/>
      <c r="AJ17" s="106"/>
      <c r="AK17" s="106"/>
      <c r="AL17" s="106"/>
      <c r="AM17" s="106"/>
      <c r="AN17" s="106"/>
      <c r="AO17" s="106"/>
      <c r="AP17" s="106"/>
      <c r="AQ17" s="106"/>
    </row>
    <row r="18" spans="1:43" ht="15.75" customHeight="1" thickTop="1" thickBot="1">
      <c r="A18" s="197"/>
      <c r="B18" s="431" t="s">
        <v>2148</v>
      </c>
      <c r="C18" s="1023">
        <f>IFERROR(C13+C16,0)</f>
        <v>0</v>
      </c>
      <c r="D18" s="1023">
        <f>IFERROR(D13+D16,0)</f>
        <v>0</v>
      </c>
      <c r="E18" s="1023">
        <f>IFERROR(SUM(C18:D18),0)</f>
        <v>0</v>
      </c>
      <c r="F18" s="1023">
        <f>IFERROR(F13+F16,0)</f>
        <v>0</v>
      </c>
      <c r="G18" s="1023">
        <f>IFERROR(IF(OR(D18=0,F18=0),0,D18/(F18/1000)),0)</f>
        <v>0</v>
      </c>
      <c r="H18" s="1023"/>
      <c r="I18" s="1023"/>
      <c r="J18" s="1023"/>
      <c r="K18" s="1023"/>
      <c r="L18" s="586"/>
      <c r="M18" s="578"/>
      <c r="N18" s="336" t="s">
        <v>3634</v>
      </c>
      <c r="O18" s="197"/>
      <c r="P18" s="337"/>
      <c r="Q18" s="197"/>
      <c r="R18" s="2578"/>
      <c r="S18" s="251"/>
      <c r="T18" s="2577"/>
      <c r="U18" s="237"/>
      <c r="V18" s="237"/>
      <c r="W18" s="237"/>
      <c r="X18" s="237"/>
      <c r="Y18" s="237"/>
      <c r="Z18" s="237"/>
      <c r="AA18" s="237"/>
      <c r="AB18" s="237"/>
      <c r="AC18" s="237"/>
      <c r="AD18" s="237"/>
      <c r="AE18" s="2577"/>
      <c r="AF18" s="2562"/>
      <c r="AG18" s="431" t="s">
        <v>2148</v>
      </c>
      <c r="AH18" s="334" t="s">
        <v>3635</v>
      </c>
      <c r="AI18" s="334" t="s">
        <v>3636</v>
      </c>
      <c r="AJ18" s="334" t="s">
        <v>3637</v>
      </c>
      <c r="AK18" s="334" t="s">
        <v>3638</v>
      </c>
      <c r="AL18" s="334" t="s">
        <v>3639</v>
      </c>
      <c r="AM18" s="334" t="s">
        <v>3640</v>
      </c>
      <c r="AN18" s="334" t="s">
        <v>3641</v>
      </c>
      <c r="AO18" s="334" t="s">
        <v>3642</v>
      </c>
      <c r="AP18" s="334" t="s">
        <v>3643</v>
      </c>
      <c r="AQ18" s="591" t="s">
        <v>3644</v>
      </c>
    </row>
    <row r="19" spans="1:43" ht="15.75" customHeight="1" thickTop="1" thickBot="1">
      <c r="A19" s="197"/>
      <c r="B19" s="197"/>
      <c r="C19" s="197"/>
      <c r="D19" s="197"/>
      <c r="E19" s="197"/>
      <c r="F19" s="197"/>
      <c r="G19" s="197"/>
      <c r="H19" s="578"/>
      <c r="I19" s="578"/>
      <c r="J19" s="578"/>
      <c r="K19" s="578"/>
      <c r="L19" s="578"/>
      <c r="M19" s="578"/>
      <c r="N19" s="228"/>
      <c r="O19" s="197"/>
      <c r="P19" s="197"/>
      <c r="Q19" s="197"/>
      <c r="R19" s="2578"/>
      <c r="S19" s="251"/>
      <c r="T19" s="2577"/>
      <c r="U19" s="237"/>
      <c r="V19" s="237"/>
      <c r="W19" s="237"/>
      <c r="X19" s="237"/>
      <c r="Y19" s="237"/>
      <c r="Z19" s="237"/>
      <c r="AA19" s="237"/>
      <c r="AB19" s="237"/>
      <c r="AC19" s="237"/>
      <c r="AD19" s="237"/>
      <c r="AE19" s="2577"/>
      <c r="AF19" s="2562"/>
      <c r="AG19" s="197"/>
      <c r="AH19" s="197"/>
      <c r="AI19" s="197"/>
      <c r="AJ19" s="197"/>
      <c r="AK19" s="197"/>
      <c r="AL19" s="197"/>
      <c r="AM19" s="578"/>
      <c r="AN19" s="578"/>
      <c r="AO19" s="578"/>
      <c r="AP19" s="578"/>
      <c r="AQ19" s="578"/>
    </row>
    <row r="20" spans="1:43" ht="75.75" customHeight="1" thickTop="1">
      <c r="A20" s="197"/>
      <c r="B20" s="2686" t="s">
        <v>1891</v>
      </c>
      <c r="C20" s="2667"/>
      <c r="D20" s="2667"/>
      <c r="E20" s="2667"/>
      <c r="F20" s="574" t="s">
        <v>3524</v>
      </c>
      <c r="G20" s="575" t="s">
        <v>3645</v>
      </c>
      <c r="H20" s="197"/>
      <c r="I20" s="197"/>
      <c r="J20" s="197"/>
      <c r="K20" s="197"/>
      <c r="L20" s="197"/>
      <c r="M20" s="197"/>
      <c r="N20" s="228"/>
      <c r="O20" s="197"/>
      <c r="P20" s="197"/>
      <c r="Q20" s="197"/>
      <c r="R20" s="2578"/>
      <c r="S20" s="251"/>
      <c r="T20" s="2577"/>
      <c r="U20" s="237"/>
      <c r="V20" s="237"/>
      <c r="W20" s="237"/>
      <c r="X20" s="237"/>
      <c r="Y20" s="237"/>
      <c r="Z20" s="237"/>
      <c r="AA20" s="237"/>
      <c r="AB20" s="237"/>
      <c r="AC20" s="237"/>
      <c r="AD20" s="237"/>
      <c r="AE20" s="2577"/>
      <c r="AF20" s="2562"/>
      <c r="AG20" s="2686" t="s">
        <v>1891</v>
      </c>
      <c r="AH20" s="2667"/>
      <c r="AI20" s="2667"/>
      <c r="AJ20" s="2667"/>
      <c r="AK20" s="574" t="s">
        <v>3524</v>
      </c>
      <c r="AL20" s="575" t="s">
        <v>3645</v>
      </c>
      <c r="AM20" s="197"/>
      <c r="AN20" s="197"/>
      <c r="AO20" s="197"/>
      <c r="AP20" s="197"/>
      <c r="AQ20" s="197"/>
    </row>
    <row r="21" spans="1:43" ht="15.75" customHeight="1">
      <c r="A21" s="197"/>
      <c r="B21" s="2769" t="s">
        <v>1892</v>
      </c>
      <c r="C21" s="2770"/>
      <c r="D21" s="2770"/>
      <c r="E21" s="2770"/>
      <c r="F21" s="389" t="s">
        <v>1387</v>
      </c>
      <c r="G21" s="390" t="s">
        <v>3526</v>
      </c>
      <c r="H21" s="197"/>
      <c r="I21" s="197"/>
      <c r="J21" s="197"/>
      <c r="K21" s="197"/>
      <c r="L21" s="197"/>
      <c r="M21" s="197"/>
      <c r="N21" s="228"/>
      <c r="O21" s="197"/>
      <c r="P21" s="197"/>
      <c r="Q21" s="197"/>
      <c r="R21" s="2578"/>
      <c r="S21" s="251"/>
      <c r="T21" s="2577"/>
      <c r="U21" s="237"/>
      <c r="V21" s="237"/>
      <c r="W21" s="237"/>
      <c r="X21" s="237"/>
      <c r="Y21" s="237"/>
      <c r="Z21" s="237"/>
      <c r="AA21" s="237"/>
      <c r="AB21" s="237"/>
      <c r="AC21" s="237"/>
      <c r="AD21" s="237"/>
      <c r="AE21" s="2577"/>
      <c r="AF21" s="2562"/>
      <c r="AG21" s="2769" t="s">
        <v>1892</v>
      </c>
      <c r="AH21" s="2770"/>
      <c r="AI21" s="2770"/>
      <c r="AJ21" s="2770"/>
      <c r="AK21" s="389" t="s">
        <v>1387</v>
      </c>
      <c r="AL21" s="390" t="s">
        <v>3526</v>
      </c>
      <c r="AM21" s="197"/>
      <c r="AN21" s="197"/>
      <c r="AO21" s="197"/>
      <c r="AP21" s="197"/>
      <c r="AQ21" s="197"/>
    </row>
    <row r="22" spans="1:43" ht="15.75" customHeight="1" thickBot="1">
      <c r="A22" s="197"/>
      <c r="B22" s="2687" t="s">
        <v>136</v>
      </c>
      <c r="C22" s="2668"/>
      <c r="D22" s="2668"/>
      <c r="E22" s="2668"/>
      <c r="F22" s="238">
        <v>3</v>
      </c>
      <c r="G22" s="576">
        <v>3</v>
      </c>
      <c r="H22" s="197"/>
      <c r="I22" s="197"/>
      <c r="J22" s="197"/>
      <c r="K22" s="197"/>
      <c r="L22" s="197"/>
      <c r="M22" s="197"/>
      <c r="N22" s="228"/>
      <c r="O22" s="197"/>
      <c r="P22" s="197"/>
      <c r="Q22" s="197"/>
      <c r="R22" s="2578"/>
      <c r="S22" s="251"/>
      <c r="T22" s="2577"/>
      <c r="U22" s="237"/>
      <c r="V22" s="237"/>
      <c r="W22" s="237"/>
      <c r="X22" s="237"/>
      <c r="Y22" s="237"/>
      <c r="Z22" s="237"/>
      <c r="AA22" s="237"/>
      <c r="AB22" s="237"/>
      <c r="AC22" s="237"/>
      <c r="AD22" s="237"/>
      <c r="AE22" s="2577"/>
      <c r="AF22" s="2562"/>
      <c r="AG22" s="2687" t="s">
        <v>136</v>
      </c>
      <c r="AH22" s="2668"/>
      <c r="AI22" s="2668"/>
      <c r="AJ22" s="2668"/>
      <c r="AK22" s="238">
        <v>3</v>
      </c>
      <c r="AL22" s="576">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28"/>
      <c r="O23" s="197"/>
      <c r="P23" s="197"/>
      <c r="Q23" s="197"/>
      <c r="R23" s="2578"/>
      <c r="S23" s="251"/>
      <c r="T23" s="2577"/>
      <c r="U23" s="237"/>
      <c r="V23" s="237"/>
      <c r="W23" s="237"/>
      <c r="X23" s="237"/>
      <c r="Y23" s="237"/>
      <c r="Z23" s="237"/>
      <c r="AA23" s="237"/>
      <c r="AB23" s="237"/>
      <c r="AC23" s="237"/>
      <c r="AD23" s="237"/>
      <c r="AE23" s="2577"/>
      <c r="AF23" s="2562"/>
      <c r="AG23" s="197"/>
      <c r="AH23" s="197"/>
      <c r="AI23" s="197"/>
      <c r="AJ23" s="197"/>
      <c r="AK23" s="197"/>
      <c r="AL23" s="197"/>
      <c r="AM23" s="197"/>
      <c r="AN23" s="197"/>
      <c r="AO23" s="197"/>
      <c r="AP23" s="197"/>
      <c r="AQ23" s="197"/>
    </row>
    <row r="24" spans="1:43" ht="15.75" customHeight="1" thickTop="1" thickBot="1">
      <c r="A24" s="197"/>
      <c r="B24" s="355" t="s">
        <v>3646</v>
      </c>
      <c r="C24" s="106"/>
      <c r="D24" s="106"/>
      <c r="E24" s="106"/>
      <c r="F24" s="106"/>
      <c r="G24" s="106"/>
      <c r="H24" s="590"/>
      <c r="I24" s="590"/>
      <c r="J24" s="590"/>
      <c r="K24" s="590"/>
      <c r="L24" s="590"/>
      <c r="M24" s="197"/>
      <c r="N24" s="228"/>
      <c r="O24" s="197"/>
      <c r="P24" s="197"/>
      <c r="Q24" s="197"/>
      <c r="R24" s="2578"/>
      <c r="S24" s="251"/>
      <c r="T24" s="2577"/>
      <c r="U24" s="237"/>
      <c r="V24" s="237"/>
      <c r="W24" s="237"/>
      <c r="X24" s="237"/>
      <c r="Y24" s="237"/>
      <c r="Z24" s="237"/>
      <c r="AA24" s="237"/>
      <c r="AB24" s="237"/>
      <c r="AC24" s="237"/>
      <c r="AD24" s="237"/>
      <c r="AE24" s="2577"/>
      <c r="AF24" s="2562"/>
      <c r="AG24" s="355" t="s">
        <v>3646</v>
      </c>
      <c r="AH24" s="106"/>
      <c r="AI24" s="106"/>
      <c r="AJ24" s="106"/>
      <c r="AK24" s="106"/>
      <c r="AL24" s="106"/>
      <c r="AM24" s="590"/>
      <c r="AN24" s="590"/>
      <c r="AO24" s="590"/>
      <c r="AP24" s="590"/>
      <c r="AQ24" s="590"/>
    </row>
    <row r="25" spans="1:43" ht="15.75" customHeight="1" thickTop="1" thickBot="1">
      <c r="A25" s="197"/>
      <c r="B25" s="2767" t="s">
        <v>2148</v>
      </c>
      <c r="C25" s="2768"/>
      <c r="D25" s="2768"/>
      <c r="E25" s="2768"/>
      <c r="F25" s="607"/>
      <c r="G25" s="586">
        <f>IFERROR(IF(OR(D18=0,F25=0),0,D18/(F25/1000)),0)</f>
        <v>0</v>
      </c>
      <c r="H25" s="86"/>
      <c r="I25" s="86"/>
      <c r="J25" s="606"/>
      <c r="K25" s="86"/>
      <c r="L25" s="606"/>
      <c r="M25" s="197"/>
      <c r="N25" s="336" t="s">
        <v>3647</v>
      </c>
      <c r="O25" s="197"/>
      <c r="P25" s="337"/>
      <c r="Q25" s="197"/>
      <c r="R25" s="2578"/>
      <c r="S25" s="251" t="str">
        <f>IF( SUM( U25:AD25 ) = 0, 0, $U$4 )</f>
        <v>Please complete all cells in row</v>
      </c>
      <c r="T25" s="332"/>
      <c r="U25" s="237"/>
      <c r="V25" s="237"/>
      <c r="W25" s="237"/>
      <c r="X25" s="252">
        <f t="shared" ref="X25" si="12" xml:space="preserve"> IF( ISNUMBER( F25 ), 0, 1 )</f>
        <v>1</v>
      </c>
      <c r="Y25" s="237"/>
      <c r="Z25" s="237"/>
      <c r="AA25" s="237"/>
      <c r="AB25" s="237"/>
      <c r="AC25" s="237"/>
      <c r="AD25" s="237"/>
      <c r="AE25" s="332"/>
      <c r="AF25" s="2562"/>
      <c r="AG25" s="2767" t="s">
        <v>2112</v>
      </c>
      <c r="AH25" s="2768"/>
      <c r="AI25" s="2768"/>
      <c r="AJ25" s="2768"/>
      <c r="AK25" s="607" t="s">
        <v>3648</v>
      </c>
      <c r="AL25" s="591" t="s">
        <v>3649</v>
      </c>
      <c r="AM25" s="86"/>
      <c r="AN25" s="86"/>
      <c r="AO25" s="606"/>
      <c r="AP25" s="86"/>
      <c r="AQ25" s="606"/>
    </row>
    <row r="26" spans="1:43" ht="16" thickTop="1">
      <c r="A26" s="197"/>
      <c r="B26" s="197"/>
      <c r="C26" s="197"/>
      <c r="D26" s="197"/>
      <c r="E26" s="197"/>
      <c r="F26" s="197"/>
      <c r="G26" s="197"/>
      <c r="H26" s="587"/>
      <c r="I26" s="587"/>
      <c r="J26" s="587"/>
      <c r="K26" s="587"/>
      <c r="L26" s="587"/>
      <c r="M26" s="590"/>
      <c r="N26" s="197"/>
      <c r="O26" s="197"/>
      <c r="P26" s="197"/>
      <c r="Q26" s="197"/>
      <c r="R26" s="2562"/>
      <c r="S26" s="251"/>
      <c r="T26" s="2572"/>
      <c r="U26" s="237"/>
      <c r="V26" s="237"/>
      <c r="W26" s="237"/>
      <c r="X26" s="237"/>
      <c r="Y26" s="237"/>
      <c r="Z26" s="237"/>
      <c r="AA26" s="237"/>
      <c r="AB26" s="237"/>
      <c r="AC26" s="237"/>
      <c r="AD26" s="237"/>
      <c r="AE26" s="2572"/>
      <c r="AF26" s="2562"/>
      <c r="AG26" s="2562"/>
      <c r="AH26" s="2562"/>
      <c r="AI26" s="2562"/>
      <c r="AJ26" s="2562"/>
      <c r="AK26" s="2562"/>
      <c r="AL26" s="2562"/>
      <c r="AM26" s="587"/>
      <c r="AN26" s="587"/>
      <c r="AO26" s="587"/>
      <c r="AP26" s="587"/>
      <c r="AQ26" s="587"/>
    </row>
    <row r="27" spans="1:43" ht="15.5">
      <c r="A27" s="197"/>
      <c r="B27" s="197"/>
      <c r="C27" s="197"/>
      <c r="D27" s="197"/>
      <c r="E27" s="197"/>
      <c r="F27" s="197"/>
      <c r="G27" s="197"/>
      <c r="H27" s="587"/>
      <c r="I27" s="587"/>
      <c r="J27" s="587"/>
      <c r="K27" s="587"/>
      <c r="L27" s="587"/>
      <c r="M27" s="83"/>
      <c r="N27" s="197"/>
      <c r="O27" s="197"/>
      <c r="P27" s="197"/>
      <c r="Q27" s="197"/>
      <c r="R27" s="2562"/>
      <c r="S27" s="251"/>
      <c r="T27" s="2572"/>
      <c r="U27" s="237"/>
      <c r="V27" s="237"/>
      <c r="W27" s="237"/>
      <c r="X27" s="237"/>
      <c r="Y27" s="237"/>
      <c r="Z27" s="237"/>
      <c r="AA27" s="237"/>
      <c r="AB27" s="237"/>
      <c r="AC27" s="237"/>
      <c r="AD27" s="237"/>
      <c r="AE27" s="2572"/>
      <c r="AF27" s="2562"/>
      <c r="AG27" s="2562"/>
      <c r="AH27" s="2562"/>
      <c r="AI27" s="2562"/>
      <c r="AJ27" s="2562"/>
      <c r="AK27" s="2562"/>
      <c r="AL27" s="2562"/>
      <c r="AM27" s="587"/>
      <c r="AN27" s="587"/>
      <c r="AO27" s="587"/>
      <c r="AP27" s="587"/>
      <c r="AQ27" s="587"/>
    </row>
    <row r="28" spans="1:43" ht="15.5">
      <c r="A28" s="197"/>
      <c r="B28" s="197"/>
      <c r="C28" s="197"/>
      <c r="D28" s="197"/>
      <c r="E28" s="197"/>
      <c r="F28" s="197"/>
      <c r="G28" s="197"/>
      <c r="H28" s="197"/>
      <c r="I28" s="197"/>
      <c r="J28" s="197"/>
      <c r="K28" s="197"/>
      <c r="L28" s="197"/>
      <c r="M28" s="197"/>
      <c r="N28" s="197"/>
      <c r="O28" s="197"/>
      <c r="P28" s="197"/>
      <c r="Q28" s="197"/>
      <c r="R28" s="2562"/>
      <c r="S28" s="251"/>
      <c r="T28" s="2572"/>
      <c r="U28" s="2572"/>
      <c r="V28" s="2572"/>
      <c r="W28" s="2572"/>
      <c r="X28" s="2572"/>
      <c r="Y28" s="2572"/>
      <c r="Z28" s="2572"/>
      <c r="AA28" s="2572"/>
      <c r="AB28" s="2572"/>
      <c r="AC28" s="2572"/>
      <c r="AD28" s="2572"/>
      <c r="AE28" s="2572"/>
      <c r="AF28" s="2562"/>
      <c r="AG28" s="2562"/>
      <c r="AH28" s="2562"/>
      <c r="AI28" s="2562"/>
      <c r="AJ28" s="2562"/>
      <c r="AK28" s="2562"/>
      <c r="AL28" s="2562"/>
      <c r="AM28" s="2562"/>
      <c r="AN28" s="2562"/>
      <c r="AO28" s="2562"/>
      <c r="AP28" s="2562"/>
      <c r="AQ28" s="2562"/>
    </row>
    <row r="29" spans="1:43" ht="15.5">
      <c r="A29" s="197"/>
      <c r="B29" s="197"/>
      <c r="C29" s="197"/>
      <c r="D29" s="197"/>
      <c r="E29" s="197"/>
      <c r="F29" s="197"/>
      <c r="G29" s="197"/>
      <c r="H29" s="197"/>
      <c r="I29" s="197"/>
      <c r="J29" s="197"/>
      <c r="K29" s="197"/>
      <c r="L29" s="197"/>
      <c r="M29" s="197"/>
      <c r="N29" s="197"/>
      <c r="O29" s="197"/>
      <c r="P29" s="197"/>
      <c r="Q29" s="197"/>
      <c r="R29" s="2562"/>
      <c r="S29" s="2562"/>
      <c r="T29" s="2572"/>
      <c r="U29" s="2572"/>
      <c r="V29" s="2572"/>
      <c r="W29" s="2572"/>
      <c r="X29" s="2572"/>
      <c r="Y29" s="2572"/>
      <c r="Z29" s="2572"/>
      <c r="AA29" s="2572"/>
      <c r="AB29" s="2572"/>
      <c r="AC29" s="2572"/>
      <c r="AD29" s="2572"/>
      <c r="AE29" s="2572"/>
      <c r="AF29" s="2562"/>
      <c r="AG29" s="2562"/>
      <c r="AH29" s="2562"/>
      <c r="AI29" s="2562"/>
      <c r="AJ29" s="2562"/>
      <c r="AK29" s="2562"/>
      <c r="AL29" s="2562"/>
      <c r="AM29" s="2562"/>
      <c r="AN29" s="2562"/>
      <c r="AO29" s="2562"/>
      <c r="AP29" s="2562"/>
      <c r="AQ29" s="2562"/>
    </row>
    <row r="30" spans="1:43" ht="15.5">
      <c r="A30" s="197"/>
      <c r="B30" s="197"/>
      <c r="C30" s="197"/>
      <c r="D30" s="197"/>
      <c r="E30" s="197"/>
      <c r="F30" s="197"/>
      <c r="G30" s="197"/>
      <c r="H30" s="197"/>
      <c r="I30" s="197"/>
      <c r="J30" s="197"/>
      <c r="K30" s="197"/>
      <c r="L30" s="197"/>
      <c r="M30" s="197"/>
      <c r="N30" s="197"/>
      <c r="O30" s="197"/>
      <c r="P30" s="197"/>
      <c r="Q30" s="197"/>
      <c r="R30" s="2562"/>
      <c r="S30" s="2562"/>
      <c r="T30" s="2572"/>
      <c r="U30" s="2572"/>
      <c r="V30" s="2572"/>
      <c r="W30" s="2572"/>
      <c r="X30" s="2572"/>
      <c r="Y30" s="2572"/>
      <c r="Z30" s="2572"/>
      <c r="AA30" s="2572"/>
      <c r="AB30" s="2572"/>
      <c r="AC30" s="2572"/>
      <c r="AD30" s="2572"/>
      <c r="AE30" s="2572"/>
      <c r="AF30" s="2562"/>
      <c r="AG30" s="2562"/>
      <c r="AH30" s="2562"/>
      <c r="AI30" s="2562"/>
      <c r="AJ30" s="2562"/>
      <c r="AK30" s="2562"/>
      <c r="AL30" s="2562"/>
      <c r="AM30" s="2562"/>
      <c r="AN30" s="2562"/>
      <c r="AO30" s="2562"/>
      <c r="AP30" s="2562"/>
      <c r="AQ30" s="2562"/>
    </row>
    <row r="31" spans="1:43" ht="15.5">
      <c r="A31" s="197"/>
      <c r="B31" s="197"/>
      <c r="C31" s="197"/>
      <c r="D31" s="197"/>
      <c r="E31" s="197"/>
      <c r="F31" s="197"/>
      <c r="G31" s="197"/>
      <c r="H31" s="197"/>
      <c r="I31" s="197"/>
      <c r="J31" s="197"/>
      <c r="K31" s="197"/>
      <c r="L31" s="197"/>
      <c r="M31" s="197"/>
      <c r="N31" s="197"/>
      <c r="O31" s="197"/>
      <c r="P31" s="197"/>
      <c r="Q31" s="197"/>
      <c r="R31" s="2562"/>
      <c r="S31" s="2562"/>
      <c r="T31" s="2572"/>
      <c r="U31" s="2572"/>
      <c r="V31" s="2572"/>
      <c r="W31" s="2572"/>
      <c r="X31" s="2572"/>
      <c r="Y31" s="2572"/>
      <c r="Z31" s="2572"/>
      <c r="AA31" s="2572"/>
      <c r="AB31" s="2572"/>
      <c r="AC31" s="2572"/>
      <c r="AD31" s="2572"/>
      <c r="AE31" s="2572"/>
      <c r="AF31" s="2562"/>
      <c r="AG31" s="2562"/>
      <c r="AH31" s="2562"/>
      <c r="AI31" s="2562"/>
      <c r="AJ31" s="2562"/>
      <c r="AK31" s="2562"/>
      <c r="AL31" s="2562"/>
      <c r="AM31" s="2562"/>
      <c r="AN31" s="2562"/>
      <c r="AO31" s="2562"/>
      <c r="AP31" s="2562"/>
      <c r="AQ31" s="2562"/>
    </row>
    <row r="32" spans="1:43" ht="15.5">
      <c r="A32" s="197"/>
      <c r="B32" s="197"/>
      <c r="C32" s="197"/>
      <c r="D32" s="197"/>
      <c r="E32" s="197"/>
      <c r="F32" s="197"/>
      <c r="G32" s="197"/>
      <c r="H32" s="197"/>
      <c r="I32" s="197"/>
      <c r="J32" s="197"/>
      <c r="K32" s="197"/>
      <c r="L32" s="197"/>
      <c r="M32" s="197"/>
      <c r="N32" s="197"/>
      <c r="O32" s="197"/>
      <c r="P32" s="197"/>
      <c r="Q32" s="197"/>
      <c r="R32" s="2562"/>
      <c r="S32" s="350"/>
      <c r="T32" s="2572"/>
      <c r="U32" s="2572"/>
      <c r="V32" s="2572"/>
      <c r="W32" s="2572"/>
      <c r="X32" s="2572"/>
      <c r="Y32" s="2572"/>
      <c r="Z32" s="237"/>
      <c r="AA32" s="237"/>
      <c r="AB32" s="237"/>
      <c r="AC32" s="237"/>
      <c r="AD32" s="237"/>
      <c r="AE32" s="2572"/>
      <c r="AF32" s="2562"/>
      <c r="AG32" s="2562"/>
      <c r="AH32" s="2562"/>
      <c r="AI32" s="2562"/>
      <c r="AJ32" s="2562"/>
      <c r="AK32" s="2562"/>
      <c r="AL32" s="2562"/>
      <c r="AM32" s="2562"/>
      <c r="AN32" s="2562"/>
      <c r="AO32" s="2562"/>
      <c r="AP32" s="2562"/>
      <c r="AQ32" s="2562"/>
    </row>
    <row r="33" spans="1:30" ht="15.5">
      <c r="A33" s="197"/>
      <c r="B33" s="197"/>
      <c r="C33" s="197"/>
      <c r="D33" s="197"/>
      <c r="E33" s="197"/>
      <c r="F33" s="197"/>
      <c r="G33" s="197"/>
      <c r="H33" s="197"/>
      <c r="I33" s="197"/>
      <c r="J33" s="197"/>
      <c r="K33" s="197"/>
      <c r="L33" s="197"/>
      <c r="M33" s="197"/>
      <c r="N33" s="197"/>
      <c r="O33" s="197"/>
      <c r="P33" s="197"/>
      <c r="Q33" s="197"/>
      <c r="R33" s="2562"/>
      <c r="S33" s="350"/>
      <c r="T33" s="2572"/>
      <c r="U33" s="2572"/>
      <c r="V33" s="2572"/>
      <c r="W33" s="2572"/>
      <c r="X33" s="2572"/>
      <c r="Y33" s="2572"/>
      <c r="Z33" s="237"/>
      <c r="AA33" s="237"/>
      <c r="AB33" s="237"/>
      <c r="AC33" s="237"/>
      <c r="AD33" s="237"/>
    </row>
    <row r="34" spans="1:30" ht="15.5">
      <c r="A34" s="197"/>
      <c r="B34" s="197"/>
      <c r="C34" s="197"/>
      <c r="D34" s="197"/>
      <c r="E34" s="197"/>
      <c r="F34" s="197"/>
      <c r="G34" s="197"/>
      <c r="H34" s="197"/>
      <c r="I34" s="197"/>
      <c r="J34" s="197"/>
      <c r="K34" s="197"/>
      <c r="L34" s="197"/>
      <c r="M34" s="197"/>
      <c r="N34" s="197"/>
      <c r="O34" s="197"/>
      <c r="P34" s="197"/>
      <c r="Q34" s="197"/>
      <c r="R34" s="2562"/>
      <c r="S34" s="350"/>
      <c r="T34" s="2572"/>
      <c r="U34" s="237"/>
      <c r="V34" s="237"/>
      <c r="W34" s="237"/>
      <c r="X34" s="237"/>
      <c r="Y34" s="2572"/>
      <c r="Z34" s="237"/>
      <c r="AA34" s="237"/>
      <c r="AB34" s="237"/>
      <c r="AC34" s="237"/>
      <c r="AD34" s="237"/>
    </row>
    <row r="35" spans="1:30" ht="15.5">
      <c r="A35" s="197"/>
      <c r="B35" s="197"/>
      <c r="C35" s="197"/>
      <c r="D35" s="197"/>
      <c r="E35" s="197"/>
      <c r="F35" s="197"/>
      <c r="G35" s="197"/>
      <c r="H35" s="197"/>
      <c r="I35" s="197"/>
      <c r="J35" s="197"/>
      <c r="K35" s="197"/>
      <c r="L35" s="197"/>
      <c r="M35" s="197"/>
      <c r="N35" s="197"/>
      <c r="O35" s="197"/>
      <c r="P35" s="197"/>
      <c r="Q35" s="197"/>
      <c r="R35" s="2562"/>
      <c r="S35" s="350"/>
      <c r="T35" s="2572"/>
      <c r="U35" s="2572"/>
      <c r="V35" s="2572"/>
      <c r="W35" s="2572"/>
      <c r="X35" s="2572"/>
      <c r="Y35" s="2572"/>
      <c r="Z35" s="237"/>
      <c r="AA35" s="237"/>
      <c r="AB35" s="237"/>
      <c r="AC35" s="237"/>
      <c r="AD35" s="237"/>
    </row>
    <row r="36" spans="1:30" ht="15.5">
      <c r="A36" s="197"/>
      <c r="B36" s="197"/>
      <c r="C36" s="197"/>
      <c r="D36" s="197"/>
      <c r="E36" s="197"/>
      <c r="F36" s="197"/>
      <c r="G36" s="197"/>
      <c r="H36" s="197"/>
      <c r="I36" s="197"/>
      <c r="J36" s="197"/>
      <c r="K36" s="197"/>
      <c r="L36" s="197"/>
      <c r="M36" s="197"/>
      <c r="N36" s="197"/>
      <c r="O36" s="197"/>
      <c r="P36" s="197"/>
      <c r="Q36" s="197"/>
      <c r="R36" s="2562"/>
      <c r="S36" s="350"/>
      <c r="T36" s="2572"/>
      <c r="U36" s="2572"/>
      <c r="V36" s="2572"/>
      <c r="W36" s="2572"/>
      <c r="X36" s="2572"/>
      <c r="Y36" s="2572"/>
      <c r="Z36" s="237"/>
      <c r="AA36" s="237"/>
      <c r="AB36" s="237"/>
      <c r="AC36" s="237"/>
      <c r="AD36" s="237"/>
    </row>
    <row r="37" spans="1:30" ht="15.5">
      <c r="A37" s="197"/>
      <c r="B37" s="197"/>
      <c r="C37" s="197"/>
      <c r="D37" s="197"/>
      <c r="E37" s="197"/>
      <c r="F37" s="197"/>
      <c r="G37" s="197"/>
      <c r="H37" s="197"/>
      <c r="I37" s="197"/>
      <c r="J37" s="197"/>
      <c r="K37" s="197"/>
      <c r="L37" s="197"/>
      <c r="M37" s="197"/>
      <c r="N37" s="197"/>
      <c r="O37" s="197"/>
      <c r="P37" s="197"/>
      <c r="Q37" s="197"/>
      <c r="R37" s="2562"/>
      <c r="S37" s="350"/>
      <c r="T37" s="2572"/>
      <c r="U37" s="2572"/>
      <c r="V37" s="2572"/>
      <c r="W37" s="2572"/>
      <c r="X37" s="2572"/>
      <c r="Y37" s="2572"/>
      <c r="Z37" s="237"/>
      <c r="AA37" s="237"/>
      <c r="AB37" s="237"/>
      <c r="AC37" s="237"/>
      <c r="AD37" s="237"/>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4:S28">
    <cfRule type="cellIs" dxfId="169" priority="1" operator="equal">
      <formula>0</formula>
    </cfRule>
  </conditionalFormatting>
  <conditionalFormatting sqref="S32:S37">
    <cfRule type="cellIs" dxfId="168"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Normal="100" zoomScaleSheetLayoutView="100" workbookViewId="0">
      <selection activeCell="H37" sqref="H37"/>
    </sheetView>
  </sheetViews>
  <sheetFormatPr defaultColWidth="9" defaultRowHeight="15.5"/>
  <cols>
    <col min="1" max="1" width="1.58203125" style="220" customWidth="1"/>
    <col min="2" max="2" width="42.58203125" style="220" customWidth="1"/>
    <col min="3" max="3" width="5.5" style="220" bestFit="1" customWidth="1"/>
    <col min="4" max="4" width="4.58203125" style="220" bestFit="1" customWidth="1"/>
    <col min="5" max="5" width="10.58203125" style="220" bestFit="1" customWidth="1"/>
    <col min="6" max="6" width="15" style="220" customWidth="1"/>
    <col min="7" max="7" width="12.08203125" style="220" customWidth="1"/>
    <col min="8" max="8" width="20.08203125" style="220" customWidth="1"/>
    <col min="9" max="9" width="16.08203125" style="220" customWidth="1"/>
    <col min="10" max="10" width="12.08203125" style="220" customWidth="1"/>
    <col min="11" max="11" width="1.58203125" style="220" customWidth="1"/>
    <col min="12" max="12" width="9.08203125" style="220" bestFit="1" customWidth="1"/>
    <col min="13" max="13" width="1.58203125" style="228" customWidth="1"/>
    <col min="14" max="14" width="25.58203125" style="220" customWidth="1"/>
    <col min="15" max="16" width="1.58203125" style="220" customWidth="1"/>
    <col min="17" max="17" width="20.58203125" style="220" bestFit="1" customWidth="1"/>
    <col min="18" max="18" width="1.58203125" style="230" customWidth="1"/>
    <col min="19" max="19" width="20.58203125" style="230" hidden="1" customWidth="1"/>
    <col min="20" max="24" width="1.58203125" style="230" hidden="1" customWidth="1"/>
    <col min="25" max="25" width="1.58203125" style="220" customWidth="1"/>
    <col min="26" max="26" width="35.58203125" style="220" bestFit="1" customWidth="1"/>
    <col min="27" max="27" width="12.5" style="220" bestFit="1" customWidth="1"/>
    <col min="28" max="28" width="14.58203125" style="220" bestFit="1" customWidth="1"/>
    <col min="29" max="30" width="13.58203125" style="220" bestFit="1" customWidth="1"/>
    <col min="31" max="31" width="14.5" style="220" bestFit="1" customWidth="1"/>
    <col min="32" max="32" width="14.58203125" style="220" bestFit="1" customWidth="1"/>
    <col min="33" max="33" width="1.58203125" style="220" customWidth="1"/>
    <col min="34" max="16384" width="9" style="220"/>
  </cols>
  <sheetData>
    <row r="1" spans="1:34" s="351" customFormat="1" ht="22.5">
      <c r="B1" s="2771" t="s">
        <v>3650</v>
      </c>
      <c r="C1" s="2771"/>
      <c r="D1" s="2771"/>
      <c r="E1" s="2771"/>
      <c r="F1" s="2771"/>
      <c r="G1" s="2771"/>
      <c r="H1" s="491"/>
      <c r="I1" s="490"/>
      <c r="J1" s="490"/>
      <c r="K1" s="490"/>
      <c r="L1" s="490"/>
      <c r="M1" s="228"/>
      <c r="P1" s="305"/>
      <c r="Q1" s="2573"/>
      <c r="R1" s="2577"/>
      <c r="S1" s="2572"/>
      <c r="T1" s="2572"/>
      <c r="U1" s="2572"/>
      <c r="V1" s="2572"/>
      <c r="W1" s="2572"/>
      <c r="X1" s="2577"/>
      <c r="Z1" s="2771" t="s">
        <v>1887</v>
      </c>
      <c r="AA1" s="2771"/>
      <c r="AB1" s="2771"/>
      <c r="AC1" s="2771"/>
      <c r="AD1" s="2771"/>
      <c r="AE1" s="2771"/>
    </row>
    <row r="2" spans="1:34" s="351" customFormat="1" ht="22.5">
      <c r="B2" s="2771" t="str">
        <f>SelectCompany!B4</f>
        <v>Yorkshire Water</v>
      </c>
      <c r="C2" s="2771"/>
      <c r="D2" s="2771"/>
      <c r="E2" s="2771"/>
      <c r="F2" s="2771"/>
      <c r="G2" s="2771"/>
      <c r="H2" s="491"/>
      <c r="I2" s="490"/>
      <c r="J2" s="490"/>
      <c r="K2" s="490"/>
      <c r="L2" s="490"/>
      <c r="M2" s="228"/>
      <c r="P2" s="305"/>
      <c r="Q2" s="2573"/>
      <c r="R2" s="2577"/>
      <c r="S2" s="2572"/>
      <c r="T2" s="2572"/>
      <c r="U2" s="2572"/>
      <c r="V2" s="2572"/>
      <c r="W2" s="2572"/>
      <c r="X2" s="2577"/>
      <c r="Z2" s="2771"/>
      <c r="AA2" s="2771"/>
      <c r="AB2" s="2771"/>
      <c r="AC2" s="2771"/>
      <c r="AD2" s="2771"/>
      <c r="AE2" s="2771"/>
    </row>
    <row r="3" spans="1:34" s="608" customFormat="1" ht="19">
      <c r="B3" s="2689" t="s">
        <v>3651</v>
      </c>
      <c r="C3" s="2689"/>
      <c r="D3" s="2689"/>
      <c r="E3" s="2689"/>
      <c r="F3" s="2689"/>
      <c r="G3" s="2689"/>
      <c r="H3" s="2689"/>
      <c r="I3" s="2689"/>
      <c r="J3" s="2689"/>
      <c r="K3" s="2689"/>
      <c r="L3" s="2689"/>
      <c r="M3" s="2689"/>
      <c r="N3" s="2689"/>
      <c r="P3" s="307"/>
      <c r="Q3" s="232" t="s">
        <v>1889</v>
      </c>
      <c r="R3" s="2577"/>
      <c r="S3" s="2572"/>
      <c r="T3" s="2572"/>
      <c r="U3" s="2572"/>
      <c r="V3" s="2572"/>
      <c r="W3" s="2572"/>
      <c r="X3" s="2577"/>
      <c r="Z3" s="2690" t="s">
        <v>3651</v>
      </c>
      <c r="AA3" s="2691"/>
      <c r="AB3" s="2691"/>
      <c r="AC3" s="2691"/>
      <c r="AD3" s="2691"/>
      <c r="AE3" s="2691"/>
      <c r="AF3" s="2691"/>
    </row>
    <row r="4" spans="1:34" ht="16" thickBot="1">
      <c r="A4" s="2562"/>
      <c r="B4" s="354"/>
      <c r="C4" s="354"/>
      <c r="D4" s="354"/>
      <c r="E4" s="83"/>
      <c r="F4" s="83"/>
      <c r="G4" s="83"/>
      <c r="H4" s="83"/>
      <c r="I4" s="609"/>
      <c r="J4" s="609"/>
      <c r="K4" s="609"/>
      <c r="L4" s="2562"/>
      <c r="N4" s="2562"/>
      <c r="O4" s="2562"/>
      <c r="P4" s="2576"/>
      <c r="Q4" s="2573"/>
      <c r="R4" s="2577"/>
      <c r="S4" s="2662" t="s">
        <v>1890</v>
      </c>
      <c r="T4" s="2662"/>
      <c r="U4" s="2662"/>
      <c r="V4" s="2662"/>
      <c r="W4" s="2662"/>
      <c r="X4" s="2577"/>
      <c r="Y4" s="2562"/>
      <c r="Z4" s="354"/>
      <c r="AA4" s="354"/>
      <c r="AB4" s="354"/>
      <c r="AC4" s="83"/>
      <c r="AD4" s="83"/>
      <c r="AE4" s="83"/>
      <c r="AF4" s="83"/>
      <c r="AG4" s="609"/>
      <c r="AH4" s="609"/>
    </row>
    <row r="5" spans="1:34" ht="47.5" thickTop="1" thickBot="1">
      <c r="A5" s="197"/>
      <c r="B5" s="407" t="s">
        <v>1891</v>
      </c>
      <c r="C5" s="408" t="s">
        <v>1892</v>
      </c>
      <c r="D5" s="408" t="s">
        <v>136</v>
      </c>
      <c r="E5" s="528" t="s">
        <v>3652</v>
      </c>
      <c r="F5" s="528" t="s">
        <v>3653</v>
      </c>
      <c r="G5" s="528" t="s">
        <v>2112</v>
      </c>
      <c r="H5" s="528" t="s">
        <v>2828</v>
      </c>
      <c r="I5" s="528" t="s">
        <v>3654</v>
      </c>
      <c r="J5" s="610" t="s">
        <v>2112</v>
      </c>
      <c r="K5" s="197"/>
      <c r="L5" s="411" t="s">
        <v>1896</v>
      </c>
      <c r="M5" s="197"/>
      <c r="N5" s="411" t="s">
        <v>1897</v>
      </c>
      <c r="O5" s="197"/>
      <c r="P5" s="2576"/>
      <c r="Q5" s="2573"/>
      <c r="R5" s="2577"/>
      <c r="S5" s="236" t="s">
        <v>1898</v>
      </c>
      <c r="T5" s="237"/>
      <c r="U5" s="237"/>
      <c r="V5" s="237"/>
      <c r="W5" s="237"/>
      <c r="X5" s="2577"/>
      <c r="Y5" s="2562"/>
      <c r="Z5" s="407" t="s">
        <v>1891</v>
      </c>
      <c r="AA5" s="528" t="s">
        <v>3652</v>
      </c>
      <c r="AB5" s="528" t="s">
        <v>3653</v>
      </c>
      <c r="AC5" s="528" t="s">
        <v>2112</v>
      </c>
      <c r="AD5" s="528" t="s">
        <v>2828</v>
      </c>
      <c r="AE5" s="528" t="s">
        <v>3654</v>
      </c>
      <c r="AF5" s="610" t="s">
        <v>2112</v>
      </c>
      <c r="AG5" s="2562"/>
      <c r="AH5" s="2562"/>
    </row>
    <row r="6" spans="1:34" ht="15.75" customHeight="1" thickTop="1" thickBot="1">
      <c r="A6" s="197"/>
      <c r="B6" s="106"/>
      <c r="C6" s="106"/>
      <c r="D6" s="106"/>
      <c r="E6" s="611"/>
      <c r="F6" s="611"/>
      <c r="G6" s="565"/>
      <c r="H6" s="565"/>
      <c r="I6" s="565"/>
      <c r="J6" s="565"/>
      <c r="K6" s="197"/>
      <c r="L6" s="197"/>
      <c r="M6" s="197"/>
      <c r="N6" s="197"/>
      <c r="O6" s="197"/>
      <c r="P6" s="2576"/>
      <c r="Q6" s="2573"/>
      <c r="R6" s="2577"/>
      <c r="S6" s="2562"/>
      <c r="T6" s="2562"/>
      <c r="U6" s="2562"/>
      <c r="V6" s="2562"/>
      <c r="W6" s="2562"/>
      <c r="X6" s="2577"/>
      <c r="Y6" s="2562"/>
      <c r="Z6" s="106"/>
      <c r="AA6" s="611"/>
      <c r="AB6" s="611"/>
      <c r="AC6" s="565"/>
      <c r="AD6" s="565"/>
      <c r="AE6" s="565"/>
      <c r="AF6" s="565"/>
      <c r="AG6" s="2562"/>
      <c r="AH6" s="2562"/>
    </row>
    <row r="7" spans="1:34" ht="15.75" customHeight="1" thickTop="1" thickBot="1">
      <c r="A7" s="197"/>
      <c r="B7" s="355" t="s">
        <v>3655</v>
      </c>
      <c r="C7" s="356"/>
      <c r="D7" s="356"/>
      <c r="E7" s="106"/>
      <c r="F7" s="106"/>
      <c r="G7" s="565"/>
      <c r="H7" s="565"/>
      <c r="I7" s="565"/>
      <c r="J7" s="565"/>
      <c r="K7" s="197"/>
      <c r="L7" s="228"/>
      <c r="M7" s="197"/>
      <c r="N7" s="197"/>
      <c r="O7" s="197"/>
      <c r="P7" s="2576"/>
      <c r="Q7" s="2573"/>
      <c r="R7" s="2577"/>
      <c r="S7" s="2573"/>
      <c r="T7" s="2573"/>
      <c r="U7" s="2573"/>
      <c r="V7" s="2573"/>
      <c r="W7" s="2573"/>
      <c r="X7" s="2577"/>
      <c r="Y7" s="2562"/>
      <c r="Z7" s="355" t="s">
        <v>3655</v>
      </c>
      <c r="AA7" s="106"/>
      <c r="AB7" s="106"/>
      <c r="AC7" s="565"/>
      <c r="AD7" s="565"/>
      <c r="AE7" s="565"/>
      <c r="AF7" s="565"/>
      <c r="AG7" s="2562"/>
      <c r="AH7" s="2562"/>
    </row>
    <row r="8" spans="1:34" ht="15.75" customHeight="1" thickTop="1">
      <c r="A8" s="197"/>
      <c r="B8" s="413" t="s">
        <v>3656</v>
      </c>
      <c r="C8" s="244" t="s">
        <v>137</v>
      </c>
      <c r="D8" s="244">
        <v>3</v>
      </c>
      <c r="E8" s="245">
        <v>188.93700000000001</v>
      </c>
      <c r="F8" s="245">
        <v>1.2110000000000001</v>
      </c>
      <c r="G8" s="246">
        <f>IFERROR(SUM(E8:F8),0)</f>
        <v>190.14800000000002</v>
      </c>
      <c r="H8" s="245">
        <v>30.571999999999999</v>
      </c>
      <c r="I8" s="245">
        <v>159.57599999999999</v>
      </c>
      <c r="J8" s="247">
        <f>IFERROR(SUM(H8:I8),0)</f>
        <v>190.148</v>
      </c>
      <c r="K8" s="197"/>
      <c r="L8" s="600" t="s">
        <v>3657</v>
      </c>
      <c r="M8" s="197"/>
      <c r="N8" s="250"/>
      <c r="O8" s="197"/>
      <c r="P8" s="2576"/>
      <c r="Q8" s="251">
        <f>IF( SUM( S8:W8 ) = 0, 0, $S$5 )</f>
        <v>0</v>
      </c>
      <c r="R8" s="2577"/>
      <c r="S8" s="252">
        <f xml:space="preserve"> IF( ISNUMBER(E8), 0, 1 )</f>
        <v>0</v>
      </c>
      <c r="T8" s="252">
        <f t="shared" ref="T8:T10" si="0" xml:space="preserve"> IF( ISNUMBER(F8), 0, 1 )</f>
        <v>0</v>
      </c>
      <c r="U8" s="237"/>
      <c r="V8" s="252">
        <f t="shared" ref="V8:V10" si="1" xml:space="preserve"> IF( ISNUMBER(H8), 0, 1 )</f>
        <v>0</v>
      </c>
      <c r="W8" s="252">
        <f t="shared" ref="W8:W10" si="2" xml:space="preserve"> IF( ISNUMBER(I8), 0, 1 )</f>
        <v>0</v>
      </c>
      <c r="X8" s="2577"/>
      <c r="Y8" s="2562"/>
      <c r="Z8" s="413" t="s">
        <v>3656</v>
      </c>
      <c r="AA8" s="245" t="s">
        <v>3658</v>
      </c>
      <c r="AB8" s="245" t="s">
        <v>3659</v>
      </c>
      <c r="AC8" s="246" t="s">
        <v>3660</v>
      </c>
      <c r="AD8" s="245" t="s">
        <v>3661</v>
      </c>
      <c r="AE8" s="245" t="s">
        <v>3662</v>
      </c>
      <c r="AF8" s="247" t="s">
        <v>3663</v>
      </c>
      <c r="AG8" s="2562"/>
      <c r="AH8" s="2562"/>
    </row>
    <row r="9" spans="1:34" ht="15.75" customHeight="1">
      <c r="A9" s="197"/>
      <c r="B9" s="422" t="s">
        <v>3664</v>
      </c>
      <c r="C9" s="253" t="s">
        <v>137</v>
      </c>
      <c r="D9" s="253">
        <v>3</v>
      </c>
      <c r="E9" s="254">
        <v>177.97</v>
      </c>
      <c r="F9" s="254">
        <v>115.66900000000001</v>
      </c>
      <c r="G9" s="255">
        <f>IFERROR(SUM(E9:F9),0)</f>
        <v>293.63900000000001</v>
      </c>
      <c r="H9" s="254">
        <v>40.449999999999996</v>
      </c>
      <c r="I9" s="254">
        <v>253.18899999999999</v>
      </c>
      <c r="J9" s="256">
        <f>IFERROR(SUM(H9:I9),0)</f>
        <v>293.63900000000001</v>
      </c>
      <c r="K9" s="197"/>
      <c r="L9" s="603" t="s">
        <v>3665</v>
      </c>
      <c r="M9" s="197"/>
      <c r="N9" s="258"/>
      <c r="O9" s="197"/>
      <c r="P9" s="2578"/>
      <c r="Q9" s="251">
        <f t="shared" ref="Q9:Q10" si="3">IF( SUM( S9:W9 ) = 0, 0, $S$5 )</f>
        <v>0</v>
      </c>
      <c r="R9" s="2577"/>
      <c r="S9" s="252">
        <f t="shared" ref="S9:S10" si="4" xml:space="preserve"> IF( ISNUMBER(E9), 0, 1 )</f>
        <v>0</v>
      </c>
      <c r="T9" s="252">
        <f t="shared" si="0"/>
        <v>0</v>
      </c>
      <c r="U9" s="237"/>
      <c r="V9" s="252">
        <f t="shared" si="1"/>
        <v>0</v>
      </c>
      <c r="W9" s="252">
        <f t="shared" si="2"/>
        <v>0</v>
      </c>
      <c r="X9" s="2577"/>
      <c r="Y9" s="2562"/>
      <c r="Z9" s="422" t="s">
        <v>3664</v>
      </c>
      <c r="AA9" s="254" t="s">
        <v>3666</v>
      </c>
      <c r="AB9" s="254" t="s">
        <v>3667</v>
      </c>
      <c r="AC9" s="255" t="s">
        <v>3668</v>
      </c>
      <c r="AD9" s="254" t="s">
        <v>3669</v>
      </c>
      <c r="AE9" s="254" t="s">
        <v>3670</v>
      </c>
      <c r="AF9" s="256" t="s">
        <v>3671</v>
      </c>
      <c r="AG9" s="2562"/>
      <c r="AH9" s="2562"/>
    </row>
    <row r="10" spans="1:34" ht="15.75" customHeight="1">
      <c r="A10" s="197"/>
      <c r="B10" s="422" t="s">
        <v>3672</v>
      </c>
      <c r="C10" s="253" t="s">
        <v>137</v>
      </c>
      <c r="D10" s="253">
        <v>3</v>
      </c>
      <c r="E10" s="254">
        <v>0</v>
      </c>
      <c r="F10" s="254">
        <v>1.5309999999999999</v>
      </c>
      <c r="G10" s="255">
        <f>IFERROR(SUM(E10:F10),0)</f>
        <v>1.5309999999999999</v>
      </c>
      <c r="H10" s="254">
        <v>0</v>
      </c>
      <c r="I10" s="254">
        <v>1.5309999999999999</v>
      </c>
      <c r="J10" s="256">
        <f>IFERROR(SUM(H10:I10),0)</f>
        <v>1.5309999999999999</v>
      </c>
      <c r="K10" s="197"/>
      <c r="L10" s="603" t="s">
        <v>3673</v>
      </c>
      <c r="M10" s="197"/>
      <c r="N10" s="258"/>
      <c r="O10" s="197"/>
      <c r="P10" s="2578"/>
      <c r="Q10" s="251">
        <f t="shared" si="3"/>
        <v>0</v>
      </c>
      <c r="R10" s="2577"/>
      <c r="S10" s="252">
        <f t="shared" si="4"/>
        <v>0</v>
      </c>
      <c r="T10" s="252">
        <f t="shared" si="0"/>
        <v>0</v>
      </c>
      <c r="U10" s="237"/>
      <c r="V10" s="252">
        <f t="shared" si="1"/>
        <v>0</v>
      </c>
      <c r="W10" s="252">
        <f t="shared" si="2"/>
        <v>0</v>
      </c>
      <c r="X10" s="2577"/>
      <c r="Y10" s="2562"/>
      <c r="Z10" s="422" t="s">
        <v>3672</v>
      </c>
      <c r="AA10" s="254" t="s">
        <v>3674</v>
      </c>
      <c r="AB10" s="254" t="s">
        <v>3675</v>
      </c>
      <c r="AC10" s="255" t="s">
        <v>3676</v>
      </c>
      <c r="AD10" s="254" t="s">
        <v>3677</v>
      </c>
      <c r="AE10" s="254" t="s">
        <v>3678</v>
      </c>
      <c r="AF10" s="256" t="s">
        <v>3679</v>
      </c>
      <c r="AG10" s="2562"/>
      <c r="AH10" s="2562"/>
    </row>
    <row r="11" spans="1:34" ht="15.75" customHeight="1" thickBot="1">
      <c r="A11" s="197"/>
      <c r="B11" s="425" t="s">
        <v>3680</v>
      </c>
      <c r="C11" s="319" t="s">
        <v>137</v>
      </c>
      <c r="D11" s="319">
        <v>3</v>
      </c>
      <c r="E11" s="265">
        <f t="shared" ref="E11:J11" si="5">IFERROR(SUM(E8:E10),0)</f>
        <v>366.90700000000004</v>
      </c>
      <c r="F11" s="265">
        <f t="shared" si="5"/>
        <v>118.41100000000002</v>
      </c>
      <c r="G11" s="265">
        <f t="shared" si="5"/>
        <v>485.31800000000004</v>
      </c>
      <c r="H11" s="612">
        <f t="shared" si="5"/>
        <v>71.021999999999991</v>
      </c>
      <c r="I11" s="612">
        <f t="shared" si="5"/>
        <v>414.29599999999999</v>
      </c>
      <c r="J11" s="266">
        <f t="shared" si="5"/>
        <v>485.31800000000004</v>
      </c>
      <c r="K11" s="197"/>
      <c r="L11" s="604" t="s">
        <v>3681</v>
      </c>
      <c r="M11" s="197"/>
      <c r="N11" s="269"/>
      <c r="O11" s="197"/>
      <c r="P11" s="2578"/>
      <c r="Q11" s="251"/>
      <c r="R11" s="2577"/>
      <c r="S11" s="237"/>
      <c r="T11" s="237"/>
      <c r="U11" s="237"/>
      <c r="V11" s="237"/>
      <c r="W11" s="237"/>
      <c r="X11" s="2577"/>
      <c r="Y11" s="2562"/>
      <c r="Z11" s="425" t="s">
        <v>3680</v>
      </c>
      <c r="AA11" s="265" t="s">
        <v>3682</v>
      </c>
      <c r="AB11" s="265" t="s">
        <v>3683</v>
      </c>
      <c r="AC11" s="265" t="s">
        <v>3684</v>
      </c>
      <c r="AD11" s="612" t="s">
        <v>3685</v>
      </c>
      <c r="AE11" s="612" t="s">
        <v>3686</v>
      </c>
      <c r="AF11" s="266" t="s">
        <v>3687</v>
      </c>
      <c r="AG11" s="2562"/>
      <c r="AH11" s="2562"/>
    </row>
    <row r="12" spans="1:34" ht="15.75" customHeight="1" thickTop="1" thickBot="1">
      <c r="A12" s="197"/>
      <c r="B12" s="377"/>
      <c r="C12" s="377"/>
      <c r="D12" s="377"/>
      <c r="E12" s="329"/>
      <c r="F12" s="329"/>
      <c r="G12" s="329"/>
      <c r="H12" s="329"/>
      <c r="I12" s="329"/>
      <c r="J12" s="329"/>
      <c r="K12" s="197"/>
      <c r="L12" s="228"/>
      <c r="M12" s="197"/>
      <c r="N12" s="197"/>
      <c r="O12" s="197"/>
      <c r="P12" s="2578"/>
      <c r="Q12" s="251"/>
      <c r="R12" s="2577"/>
      <c r="S12" s="237"/>
      <c r="T12" s="237"/>
      <c r="U12" s="237"/>
      <c r="V12" s="237"/>
      <c r="W12" s="237"/>
      <c r="X12" s="2577"/>
      <c r="Y12" s="2562"/>
      <c r="Z12" s="377"/>
      <c r="AA12" s="329"/>
      <c r="AB12" s="329"/>
      <c r="AC12" s="329"/>
      <c r="AD12" s="329"/>
      <c r="AE12" s="329"/>
      <c r="AF12" s="329"/>
      <c r="AG12" s="2562"/>
      <c r="AH12" s="2562"/>
    </row>
    <row r="13" spans="1:34" ht="33.65" customHeight="1" thickTop="1" thickBot="1">
      <c r="A13" s="197"/>
      <c r="B13" s="407" t="s">
        <v>1891</v>
      </c>
      <c r="C13" s="408" t="s">
        <v>1892</v>
      </c>
      <c r="D13" s="408" t="s">
        <v>136</v>
      </c>
      <c r="E13" s="613" t="s">
        <v>3652</v>
      </c>
      <c r="F13" s="613" t="s">
        <v>3653</v>
      </c>
      <c r="G13" s="613" t="s">
        <v>2112</v>
      </c>
      <c r="H13" s="613" t="s">
        <v>3508</v>
      </c>
      <c r="I13" s="613" t="s">
        <v>2831</v>
      </c>
      <c r="J13" s="614" t="s">
        <v>2112</v>
      </c>
      <c r="K13" s="197"/>
      <c r="L13" s="228"/>
      <c r="M13" s="197"/>
      <c r="N13" s="197"/>
      <c r="O13" s="197"/>
      <c r="P13" s="2578"/>
      <c r="Q13" s="251"/>
      <c r="R13" s="2577"/>
      <c r="S13" s="237"/>
      <c r="T13" s="237"/>
      <c r="U13" s="237"/>
      <c r="V13" s="237"/>
      <c r="W13" s="237"/>
      <c r="X13" s="2577"/>
      <c r="Y13" s="2562"/>
      <c r="Z13" s="407" t="s">
        <v>1891</v>
      </c>
      <c r="AA13" s="613" t="s">
        <v>3652</v>
      </c>
      <c r="AB13" s="613" t="s">
        <v>3653</v>
      </c>
      <c r="AC13" s="613" t="s">
        <v>2112</v>
      </c>
      <c r="AD13" s="613" t="s">
        <v>3508</v>
      </c>
      <c r="AE13" s="613" t="s">
        <v>2831</v>
      </c>
      <c r="AF13" s="614" t="s">
        <v>2112</v>
      </c>
      <c r="AG13" s="2562"/>
      <c r="AH13" s="2562"/>
    </row>
    <row r="14" spans="1:34" ht="15.75" customHeight="1" thickTop="1" thickBot="1">
      <c r="A14" s="197"/>
      <c r="B14" s="615"/>
      <c r="C14" s="615"/>
      <c r="D14" s="615"/>
      <c r="E14" s="564"/>
      <c r="F14" s="564"/>
      <c r="G14" s="564"/>
      <c r="H14" s="564"/>
      <c r="I14" s="564"/>
      <c r="J14" s="564"/>
      <c r="K14" s="197"/>
      <c r="L14" s="228"/>
      <c r="M14" s="197"/>
      <c r="N14" s="197"/>
      <c r="O14" s="197"/>
      <c r="P14" s="2578"/>
      <c r="Q14" s="251"/>
      <c r="R14" s="2577"/>
      <c r="S14" s="237"/>
      <c r="T14" s="237"/>
      <c r="U14" s="237"/>
      <c r="V14" s="237"/>
      <c r="W14" s="237"/>
      <c r="X14" s="2577"/>
      <c r="Y14" s="2562"/>
      <c r="Z14" s="615"/>
      <c r="AA14" s="564"/>
      <c r="AB14" s="564"/>
      <c r="AC14" s="564"/>
      <c r="AD14" s="564"/>
      <c r="AE14" s="564"/>
      <c r="AF14" s="564"/>
      <c r="AG14" s="2562"/>
      <c r="AH14" s="2562"/>
    </row>
    <row r="15" spans="1:34" ht="15.75" customHeight="1" thickTop="1" thickBot="1">
      <c r="A15" s="197"/>
      <c r="B15" s="355" t="s">
        <v>3688</v>
      </c>
      <c r="C15" s="356"/>
      <c r="D15" s="356"/>
      <c r="E15" s="274"/>
      <c r="F15" s="274"/>
      <c r="G15" s="564"/>
      <c r="H15" s="564"/>
      <c r="I15" s="564"/>
      <c r="J15" s="564"/>
      <c r="K15" s="197"/>
      <c r="L15" s="228"/>
      <c r="M15" s="197"/>
      <c r="N15" s="197"/>
      <c r="O15" s="197"/>
      <c r="P15" s="2578"/>
      <c r="Q15" s="251"/>
      <c r="R15" s="2577"/>
      <c r="S15" s="237"/>
      <c r="T15" s="237"/>
      <c r="U15" s="237"/>
      <c r="V15" s="237"/>
      <c r="W15" s="237"/>
      <c r="X15" s="2577"/>
      <c r="Y15" s="2562"/>
      <c r="Z15" s="355" t="s">
        <v>3688</v>
      </c>
      <c r="AA15" s="274"/>
      <c r="AB15" s="274"/>
      <c r="AC15" s="564"/>
      <c r="AD15" s="564"/>
      <c r="AE15" s="564"/>
      <c r="AF15" s="564"/>
      <c r="AG15" s="2562"/>
      <c r="AH15" s="2562"/>
    </row>
    <row r="16" spans="1:34" ht="15.75" customHeight="1" thickTop="1">
      <c r="A16" s="197"/>
      <c r="B16" s="413" t="s">
        <v>3689</v>
      </c>
      <c r="C16" s="244" t="s">
        <v>137</v>
      </c>
      <c r="D16" s="244">
        <v>3</v>
      </c>
      <c r="E16" s="245">
        <v>164.45599999999999</v>
      </c>
      <c r="F16" s="245">
        <v>1.421</v>
      </c>
      <c r="G16" s="246">
        <f t="shared" ref="G16:G22" si="6">IFERROR(SUM(E16:F16),0)</f>
        <v>165.87699999999998</v>
      </c>
      <c r="H16" s="245">
        <v>131.26</v>
      </c>
      <c r="I16" s="245">
        <v>34.616999999999997</v>
      </c>
      <c r="J16" s="247">
        <f t="shared" ref="J16:J22" si="7">IFERROR(SUM(H16:I16),0)</f>
        <v>165.87699999999998</v>
      </c>
      <c r="K16" s="197"/>
      <c r="L16" s="600" t="s">
        <v>3690</v>
      </c>
      <c r="M16" s="197"/>
      <c r="N16" s="250"/>
      <c r="O16" s="197"/>
      <c r="P16" s="2578"/>
      <c r="Q16" s="251">
        <f t="shared" ref="Q16:Q22" si="8">IF( SUM( S16:W16 ) = 0, 0, $S$5 )</f>
        <v>0</v>
      </c>
      <c r="R16" s="2577"/>
      <c r="S16" s="252">
        <f t="shared" ref="S16:S22" si="9" xml:space="preserve"> IF( ISNUMBER(E16), 0, 1 )</f>
        <v>0</v>
      </c>
      <c r="T16" s="252">
        <f t="shared" ref="T16:T22" si="10" xml:space="preserve"> IF( ISNUMBER(F16), 0, 1 )</f>
        <v>0</v>
      </c>
      <c r="U16" s="237"/>
      <c r="V16" s="252">
        <f t="shared" ref="V16:V22" si="11" xml:space="preserve"> IF( ISNUMBER(H16), 0, 1 )</f>
        <v>0</v>
      </c>
      <c r="W16" s="252">
        <f t="shared" ref="W16:W22" si="12" xml:space="preserve"> IF( ISNUMBER(I16), 0, 1 )</f>
        <v>0</v>
      </c>
      <c r="X16" s="2577"/>
      <c r="Y16" s="2562"/>
      <c r="Z16" s="413" t="s">
        <v>3689</v>
      </c>
      <c r="AA16" s="245" t="s">
        <v>3691</v>
      </c>
      <c r="AB16" s="245" t="s">
        <v>3692</v>
      </c>
      <c r="AC16" s="246" t="s">
        <v>3693</v>
      </c>
      <c r="AD16" s="245" t="s">
        <v>3694</v>
      </c>
      <c r="AE16" s="245" t="s">
        <v>3695</v>
      </c>
      <c r="AF16" s="247" t="s">
        <v>3696</v>
      </c>
      <c r="AG16" s="2562"/>
      <c r="AH16" s="2562"/>
    </row>
    <row r="17" spans="1:32" ht="15.75" customHeight="1">
      <c r="A17" s="197"/>
      <c r="B17" s="422" t="s">
        <v>3697</v>
      </c>
      <c r="C17" s="253" t="s">
        <v>137</v>
      </c>
      <c r="D17" s="253">
        <v>3</v>
      </c>
      <c r="E17" s="254">
        <v>36.499000000000002</v>
      </c>
      <c r="F17" s="254">
        <v>1.556</v>
      </c>
      <c r="G17" s="255">
        <f t="shared" si="6"/>
        <v>38.055</v>
      </c>
      <c r="H17" s="254">
        <v>36.771000000000001</v>
      </c>
      <c r="I17" s="254">
        <v>1.284</v>
      </c>
      <c r="J17" s="256">
        <f t="shared" si="7"/>
        <v>38.055</v>
      </c>
      <c r="K17" s="197"/>
      <c r="L17" s="603" t="s">
        <v>3698</v>
      </c>
      <c r="M17" s="197"/>
      <c r="N17" s="258"/>
      <c r="O17" s="197"/>
      <c r="P17" s="2578"/>
      <c r="Q17" s="251">
        <f t="shared" si="8"/>
        <v>0</v>
      </c>
      <c r="R17" s="2577"/>
      <c r="S17" s="252">
        <f t="shared" si="9"/>
        <v>0</v>
      </c>
      <c r="T17" s="252">
        <f t="shared" si="10"/>
        <v>0</v>
      </c>
      <c r="U17" s="237"/>
      <c r="V17" s="252">
        <f t="shared" si="11"/>
        <v>0</v>
      </c>
      <c r="W17" s="252">
        <f t="shared" si="12"/>
        <v>0</v>
      </c>
      <c r="X17" s="2577"/>
      <c r="Y17" s="2562"/>
      <c r="Z17" s="422" t="s">
        <v>3697</v>
      </c>
      <c r="AA17" s="254" t="s">
        <v>3699</v>
      </c>
      <c r="AB17" s="254" t="s">
        <v>3700</v>
      </c>
      <c r="AC17" s="255" t="s">
        <v>3701</v>
      </c>
      <c r="AD17" s="254" t="s">
        <v>3702</v>
      </c>
      <c r="AE17" s="254" t="s">
        <v>3703</v>
      </c>
      <c r="AF17" s="256" t="s">
        <v>3704</v>
      </c>
    </row>
    <row r="18" spans="1:32" ht="15.75" customHeight="1">
      <c r="A18" s="197"/>
      <c r="B18" s="422" t="s">
        <v>3705</v>
      </c>
      <c r="C18" s="253" t="s">
        <v>137</v>
      </c>
      <c r="D18" s="253">
        <v>3</v>
      </c>
      <c r="E18" s="254">
        <v>16.465</v>
      </c>
      <c r="F18" s="254">
        <v>0.14699999999999999</v>
      </c>
      <c r="G18" s="255">
        <f t="shared" si="6"/>
        <v>16.611999999999998</v>
      </c>
      <c r="H18" s="254">
        <v>15.762</v>
      </c>
      <c r="I18" s="254">
        <v>0.85</v>
      </c>
      <c r="J18" s="256">
        <f t="shared" si="7"/>
        <v>16.612000000000002</v>
      </c>
      <c r="K18" s="197"/>
      <c r="L18" s="603" t="s">
        <v>3706</v>
      </c>
      <c r="M18" s="197"/>
      <c r="N18" s="258"/>
      <c r="O18" s="197"/>
      <c r="P18" s="2578"/>
      <c r="Q18" s="251">
        <f t="shared" si="8"/>
        <v>0</v>
      </c>
      <c r="R18" s="2577"/>
      <c r="S18" s="252">
        <f t="shared" si="9"/>
        <v>0</v>
      </c>
      <c r="T18" s="252">
        <f t="shared" si="10"/>
        <v>0</v>
      </c>
      <c r="U18" s="237"/>
      <c r="V18" s="252">
        <f t="shared" si="11"/>
        <v>0</v>
      </c>
      <c r="W18" s="252">
        <f t="shared" si="12"/>
        <v>0</v>
      </c>
      <c r="X18" s="2577"/>
      <c r="Y18" s="2562"/>
      <c r="Z18" s="422" t="s">
        <v>3705</v>
      </c>
      <c r="AA18" s="254" t="s">
        <v>3707</v>
      </c>
      <c r="AB18" s="254" t="s">
        <v>3708</v>
      </c>
      <c r="AC18" s="255" t="s">
        <v>3709</v>
      </c>
      <c r="AD18" s="254" t="s">
        <v>3710</v>
      </c>
      <c r="AE18" s="254" t="s">
        <v>3711</v>
      </c>
      <c r="AF18" s="256" t="s">
        <v>3712</v>
      </c>
    </row>
    <row r="19" spans="1:32" ht="15.75" customHeight="1">
      <c r="A19" s="197"/>
      <c r="B19" s="422" t="s">
        <v>3713</v>
      </c>
      <c r="C19" s="253" t="s">
        <v>137</v>
      </c>
      <c r="D19" s="253">
        <v>3</v>
      </c>
      <c r="E19" s="254">
        <v>179.42</v>
      </c>
      <c r="F19" s="254">
        <v>107.23099999999999</v>
      </c>
      <c r="G19" s="255">
        <f t="shared" si="6"/>
        <v>286.65099999999995</v>
      </c>
      <c r="H19" s="254">
        <v>245.23</v>
      </c>
      <c r="I19" s="254">
        <v>41.420999999999999</v>
      </c>
      <c r="J19" s="256">
        <f t="shared" si="7"/>
        <v>286.65100000000001</v>
      </c>
      <c r="K19" s="197"/>
      <c r="L19" s="603" t="s">
        <v>3714</v>
      </c>
      <c r="M19" s="197"/>
      <c r="N19" s="258"/>
      <c r="O19" s="197"/>
      <c r="P19" s="2578"/>
      <c r="Q19" s="251">
        <f t="shared" si="8"/>
        <v>0</v>
      </c>
      <c r="R19" s="2577"/>
      <c r="S19" s="252">
        <f t="shared" si="9"/>
        <v>0</v>
      </c>
      <c r="T19" s="252">
        <f t="shared" si="10"/>
        <v>0</v>
      </c>
      <c r="U19" s="237"/>
      <c r="V19" s="252">
        <f t="shared" si="11"/>
        <v>0</v>
      </c>
      <c r="W19" s="252">
        <f t="shared" si="12"/>
        <v>0</v>
      </c>
      <c r="X19" s="2577"/>
      <c r="Y19" s="2562"/>
      <c r="Z19" s="422" t="s">
        <v>3713</v>
      </c>
      <c r="AA19" s="254" t="s">
        <v>3715</v>
      </c>
      <c r="AB19" s="254" t="s">
        <v>3716</v>
      </c>
      <c r="AC19" s="255" t="s">
        <v>3717</v>
      </c>
      <c r="AD19" s="254" t="s">
        <v>3718</v>
      </c>
      <c r="AE19" s="254" t="s">
        <v>3719</v>
      </c>
      <c r="AF19" s="256" t="s">
        <v>3720</v>
      </c>
    </row>
    <row r="20" spans="1:32" ht="15.75" customHeight="1">
      <c r="A20" s="197"/>
      <c r="B20" s="422" t="s">
        <v>3721</v>
      </c>
      <c r="C20" s="253" t="s">
        <v>137</v>
      </c>
      <c r="D20" s="253">
        <v>3</v>
      </c>
      <c r="E20" s="254">
        <v>45.69</v>
      </c>
      <c r="F20" s="254">
        <v>11.991</v>
      </c>
      <c r="G20" s="255">
        <f t="shared" si="6"/>
        <v>57.680999999999997</v>
      </c>
      <c r="H20" s="254">
        <v>55.600999999999999</v>
      </c>
      <c r="I20" s="254">
        <v>2.08</v>
      </c>
      <c r="J20" s="256">
        <f t="shared" si="7"/>
        <v>57.680999999999997</v>
      </c>
      <c r="K20" s="197"/>
      <c r="L20" s="603" t="s">
        <v>3722</v>
      </c>
      <c r="M20" s="197"/>
      <c r="N20" s="258"/>
      <c r="O20" s="197"/>
      <c r="P20" s="2578"/>
      <c r="Q20" s="251">
        <f t="shared" si="8"/>
        <v>0</v>
      </c>
      <c r="R20" s="2577"/>
      <c r="S20" s="252">
        <f t="shared" si="9"/>
        <v>0</v>
      </c>
      <c r="T20" s="252">
        <f t="shared" si="10"/>
        <v>0</v>
      </c>
      <c r="U20" s="237"/>
      <c r="V20" s="252">
        <f t="shared" si="11"/>
        <v>0</v>
      </c>
      <c r="W20" s="252">
        <f t="shared" si="12"/>
        <v>0</v>
      </c>
      <c r="X20" s="2577"/>
      <c r="Y20" s="2562"/>
      <c r="Z20" s="422" t="s">
        <v>3721</v>
      </c>
      <c r="AA20" s="254" t="s">
        <v>3723</v>
      </c>
      <c r="AB20" s="254" t="s">
        <v>3724</v>
      </c>
      <c r="AC20" s="255" t="s">
        <v>3725</v>
      </c>
      <c r="AD20" s="254" t="s">
        <v>3726</v>
      </c>
      <c r="AE20" s="254" t="s">
        <v>3727</v>
      </c>
      <c r="AF20" s="256" t="s">
        <v>3728</v>
      </c>
    </row>
    <row r="21" spans="1:32" ht="15.75" customHeight="1">
      <c r="A21" s="197"/>
      <c r="B21" s="422" t="s">
        <v>3729</v>
      </c>
      <c r="C21" s="253" t="s">
        <v>137</v>
      </c>
      <c r="D21" s="253">
        <v>3</v>
      </c>
      <c r="E21" s="254">
        <v>17.695</v>
      </c>
      <c r="F21" s="254">
        <v>6.4240000000000004</v>
      </c>
      <c r="G21" s="255">
        <f t="shared" si="6"/>
        <v>24.119</v>
      </c>
      <c r="H21" s="254">
        <v>23.643999999999998</v>
      </c>
      <c r="I21" s="254">
        <v>0.47499999999999998</v>
      </c>
      <c r="J21" s="256">
        <f t="shared" si="7"/>
        <v>24.119</v>
      </c>
      <c r="K21" s="197"/>
      <c r="L21" s="603" t="s">
        <v>3730</v>
      </c>
      <c r="M21" s="197"/>
      <c r="N21" s="258"/>
      <c r="O21" s="197"/>
      <c r="P21" s="2578"/>
      <c r="Q21" s="251">
        <f t="shared" si="8"/>
        <v>0</v>
      </c>
      <c r="R21" s="2577"/>
      <c r="S21" s="252">
        <f t="shared" si="9"/>
        <v>0</v>
      </c>
      <c r="T21" s="252">
        <f t="shared" si="10"/>
        <v>0</v>
      </c>
      <c r="U21" s="237"/>
      <c r="V21" s="252">
        <f t="shared" si="11"/>
        <v>0</v>
      </c>
      <c r="W21" s="252">
        <f t="shared" si="12"/>
        <v>0</v>
      </c>
      <c r="X21" s="2577"/>
      <c r="Y21" s="2562"/>
      <c r="Z21" s="422" t="s">
        <v>3729</v>
      </c>
      <c r="AA21" s="254" t="s">
        <v>3731</v>
      </c>
      <c r="AB21" s="254" t="s">
        <v>3732</v>
      </c>
      <c r="AC21" s="255" t="s">
        <v>3733</v>
      </c>
      <c r="AD21" s="254" t="s">
        <v>3734</v>
      </c>
      <c r="AE21" s="254" t="s">
        <v>3735</v>
      </c>
      <c r="AF21" s="256" t="s">
        <v>3736</v>
      </c>
    </row>
    <row r="22" spans="1:32" ht="15.75" customHeight="1">
      <c r="A22" s="197"/>
      <c r="B22" s="422" t="s">
        <v>3672</v>
      </c>
      <c r="C22" s="253" t="s">
        <v>137</v>
      </c>
      <c r="D22" s="253">
        <v>3</v>
      </c>
      <c r="E22" s="254">
        <v>0</v>
      </c>
      <c r="F22" s="254">
        <v>1.2709999999999999</v>
      </c>
      <c r="G22" s="255">
        <f t="shared" si="6"/>
        <v>1.2709999999999999</v>
      </c>
      <c r="H22" s="254">
        <v>1.2709999999999999</v>
      </c>
      <c r="I22" s="254">
        <v>0</v>
      </c>
      <c r="J22" s="256">
        <f t="shared" si="7"/>
        <v>1.2709999999999999</v>
      </c>
      <c r="K22" s="197"/>
      <c r="L22" s="603" t="s">
        <v>3737</v>
      </c>
      <c r="M22" s="197"/>
      <c r="N22" s="258"/>
      <c r="O22" s="197"/>
      <c r="P22" s="2578"/>
      <c r="Q22" s="251">
        <f t="shared" si="8"/>
        <v>0</v>
      </c>
      <c r="R22" s="2577"/>
      <c r="S22" s="252">
        <f t="shared" si="9"/>
        <v>0</v>
      </c>
      <c r="T22" s="252">
        <f t="shared" si="10"/>
        <v>0</v>
      </c>
      <c r="U22" s="237"/>
      <c r="V22" s="252">
        <f t="shared" si="11"/>
        <v>0</v>
      </c>
      <c r="W22" s="252">
        <f t="shared" si="12"/>
        <v>0</v>
      </c>
      <c r="X22" s="2577"/>
      <c r="Y22" s="2562"/>
      <c r="Z22" s="422" t="s">
        <v>3672</v>
      </c>
      <c r="AA22" s="254" t="s">
        <v>3738</v>
      </c>
      <c r="AB22" s="254" t="s">
        <v>3739</v>
      </c>
      <c r="AC22" s="255" t="s">
        <v>3740</v>
      </c>
      <c r="AD22" s="254" t="s">
        <v>3741</v>
      </c>
      <c r="AE22" s="254" t="s">
        <v>3742</v>
      </c>
      <c r="AF22" s="256" t="s">
        <v>3743</v>
      </c>
    </row>
    <row r="23" spans="1:32" ht="15.75" customHeight="1" thickBot="1">
      <c r="A23" s="197"/>
      <c r="B23" s="425" t="s">
        <v>3744</v>
      </c>
      <c r="C23" s="319" t="s">
        <v>137</v>
      </c>
      <c r="D23" s="319">
        <v>3</v>
      </c>
      <c r="E23" s="265">
        <f t="shared" ref="E23:J23" si="13">IFERROR(SUM(E16:E22),0)</f>
        <v>460.22499999999997</v>
      </c>
      <c r="F23" s="265">
        <f t="shared" si="13"/>
        <v>130.04099999999997</v>
      </c>
      <c r="G23" s="265">
        <f t="shared" si="13"/>
        <v>590.26599999999996</v>
      </c>
      <c r="H23" s="612">
        <f t="shared" si="13"/>
        <v>509.53900000000004</v>
      </c>
      <c r="I23" s="265">
        <f t="shared" si="13"/>
        <v>80.72699999999999</v>
      </c>
      <c r="J23" s="266">
        <f t="shared" si="13"/>
        <v>590.26599999999996</v>
      </c>
      <c r="K23" s="197"/>
      <c r="L23" s="604" t="s">
        <v>3745</v>
      </c>
      <c r="M23" s="197"/>
      <c r="N23" s="269"/>
      <c r="O23" s="197"/>
      <c r="P23" s="2578"/>
      <c r="Q23" s="251"/>
      <c r="R23" s="2577"/>
      <c r="S23" s="237"/>
      <c r="T23" s="237"/>
      <c r="U23" s="237"/>
      <c r="V23" s="237"/>
      <c r="W23" s="237"/>
      <c r="X23" s="2577"/>
      <c r="Y23" s="2562"/>
      <c r="Z23" s="425" t="s">
        <v>3744</v>
      </c>
      <c r="AA23" s="265" t="s">
        <v>3746</v>
      </c>
      <c r="AB23" s="265" t="s">
        <v>3747</v>
      </c>
      <c r="AC23" s="265" t="s">
        <v>3748</v>
      </c>
      <c r="AD23" s="612" t="s">
        <v>3749</v>
      </c>
      <c r="AE23" s="265" t="s">
        <v>3750</v>
      </c>
      <c r="AF23" s="266" t="s">
        <v>3751</v>
      </c>
    </row>
    <row r="24" spans="1:32" ht="15.75" customHeight="1" thickTop="1" thickBot="1">
      <c r="A24" s="197"/>
      <c r="B24" s="197"/>
      <c r="C24" s="197"/>
      <c r="D24" s="197"/>
      <c r="E24" s="271"/>
      <c r="F24" s="271"/>
      <c r="G24" s="271"/>
      <c r="H24" s="271"/>
      <c r="I24" s="271"/>
      <c r="J24" s="271"/>
      <c r="K24" s="197"/>
      <c r="L24" s="197"/>
      <c r="M24" s="197"/>
      <c r="N24" s="197"/>
      <c r="O24" s="197"/>
      <c r="P24" s="2578"/>
      <c r="Q24" s="251"/>
      <c r="R24" s="2577"/>
      <c r="S24" s="237"/>
      <c r="T24" s="237"/>
      <c r="U24" s="237"/>
      <c r="V24" s="237"/>
      <c r="W24" s="237"/>
      <c r="X24" s="2577"/>
      <c r="Y24" s="2562"/>
      <c r="Z24" s="197"/>
      <c r="AA24" s="271"/>
      <c r="AB24" s="271"/>
      <c r="AC24" s="271"/>
      <c r="AD24" s="271"/>
      <c r="AE24" s="271"/>
      <c r="AF24" s="271"/>
    </row>
    <row r="25" spans="1:32" ht="15.75" customHeight="1" thickTop="1" thickBot="1">
      <c r="A25" s="197"/>
      <c r="B25" s="355" t="s">
        <v>3752</v>
      </c>
      <c r="C25" s="356"/>
      <c r="D25" s="356"/>
      <c r="E25" s="274"/>
      <c r="F25" s="274"/>
      <c r="G25" s="564"/>
      <c r="H25" s="274"/>
      <c r="I25" s="274"/>
      <c r="J25" s="274"/>
      <c r="K25" s="197"/>
      <c r="L25" s="228"/>
      <c r="M25" s="197"/>
      <c r="N25" s="197"/>
      <c r="O25" s="197"/>
      <c r="P25" s="2578"/>
      <c r="Q25" s="251"/>
      <c r="R25" s="2577"/>
      <c r="S25" s="237"/>
      <c r="T25" s="237"/>
      <c r="U25" s="237"/>
      <c r="V25" s="237"/>
      <c r="W25" s="237"/>
      <c r="X25" s="2577"/>
      <c r="Y25" s="2562"/>
      <c r="Z25" s="355" t="s">
        <v>2928</v>
      </c>
      <c r="AA25" s="274"/>
      <c r="AB25" s="274"/>
      <c r="AC25" s="564"/>
      <c r="AD25" s="274"/>
      <c r="AE25" s="274"/>
      <c r="AF25" s="274"/>
    </row>
    <row r="26" spans="1:32" ht="15.75" customHeight="1" thickTop="1">
      <c r="A26" s="197"/>
      <c r="B26" s="413" t="s">
        <v>3656</v>
      </c>
      <c r="C26" s="244" t="s">
        <v>137</v>
      </c>
      <c r="D26" s="244">
        <v>3</v>
      </c>
      <c r="E26" s="245">
        <v>0</v>
      </c>
      <c r="F26" s="245">
        <v>0</v>
      </c>
      <c r="G26" s="247">
        <f>IFERROR(SUM(E26:F26),0)</f>
        <v>0</v>
      </c>
      <c r="H26" s="616"/>
      <c r="I26" s="616"/>
      <c r="J26" s="616"/>
      <c r="K26" s="197"/>
      <c r="L26" s="600" t="s">
        <v>3753</v>
      </c>
      <c r="M26" s="197"/>
      <c r="N26" s="250"/>
      <c r="O26" s="197"/>
      <c r="P26" s="2578"/>
      <c r="Q26" s="251">
        <f t="shared" ref="Q26:Q27" si="14">IF( SUM( S26:W26 ) = 0, 0, $S$5 )</f>
        <v>0</v>
      </c>
      <c r="R26" s="2577"/>
      <c r="S26" s="252">
        <f t="shared" ref="S26:S27" si="15" xml:space="preserve"> IF( ISNUMBER(E26), 0, 1 )</f>
        <v>0</v>
      </c>
      <c r="T26" s="252">
        <f t="shared" ref="T26:T27" si="16" xml:space="preserve"> IF( ISNUMBER(F26), 0, 1 )</f>
        <v>0</v>
      </c>
      <c r="U26" s="237"/>
      <c r="V26" s="237"/>
      <c r="W26" s="237"/>
      <c r="X26" s="2577"/>
      <c r="Y26" s="2562"/>
      <c r="Z26" s="413" t="s">
        <v>3656</v>
      </c>
      <c r="AA26" s="245" t="s">
        <v>3754</v>
      </c>
      <c r="AB26" s="245" t="s">
        <v>3755</v>
      </c>
      <c r="AC26" s="247" t="s">
        <v>3756</v>
      </c>
      <c r="AD26" s="616"/>
      <c r="AE26" s="616"/>
      <c r="AF26" s="616"/>
    </row>
    <row r="27" spans="1:32" ht="15.75" customHeight="1">
      <c r="A27" s="197"/>
      <c r="B27" s="422" t="s">
        <v>3664</v>
      </c>
      <c r="C27" s="253" t="s">
        <v>137</v>
      </c>
      <c r="D27" s="253">
        <v>3</v>
      </c>
      <c r="E27" s="254">
        <v>0</v>
      </c>
      <c r="F27" s="254">
        <v>0</v>
      </c>
      <c r="G27" s="256">
        <f>IFERROR(SUM(E27:F27),0)</f>
        <v>0</v>
      </c>
      <c r="H27" s="617"/>
      <c r="I27" s="617"/>
      <c r="J27" s="617"/>
      <c r="K27" s="197"/>
      <c r="L27" s="603" t="s">
        <v>3757</v>
      </c>
      <c r="M27" s="197"/>
      <c r="N27" s="258"/>
      <c r="O27" s="197"/>
      <c r="P27" s="2578"/>
      <c r="Q27" s="251">
        <f t="shared" si="14"/>
        <v>0</v>
      </c>
      <c r="R27" s="2577"/>
      <c r="S27" s="252">
        <f t="shared" si="15"/>
        <v>0</v>
      </c>
      <c r="T27" s="252">
        <f t="shared" si="16"/>
        <v>0</v>
      </c>
      <c r="U27" s="237"/>
      <c r="V27" s="237"/>
      <c r="W27" s="237"/>
      <c r="X27" s="2577"/>
      <c r="Y27" s="2562"/>
      <c r="Z27" s="422" t="s">
        <v>3758</v>
      </c>
      <c r="AA27" s="254" t="s">
        <v>3759</v>
      </c>
      <c r="AB27" s="254" t="s">
        <v>3760</v>
      </c>
      <c r="AC27" s="256" t="s">
        <v>3761</v>
      </c>
      <c r="AD27" s="617"/>
      <c r="AE27" s="617"/>
      <c r="AF27" s="617"/>
    </row>
    <row r="28" spans="1:32" ht="15.75" customHeight="1" thickBot="1">
      <c r="A28" s="197"/>
      <c r="B28" s="425" t="s">
        <v>3762</v>
      </c>
      <c r="C28" s="319" t="s">
        <v>137</v>
      </c>
      <c r="D28" s="319">
        <v>3</v>
      </c>
      <c r="E28" s="265">
        <f>IFERROR(SUM(E26:E27),0)</f>
        <v>0</v>
      </c>
      <c r="F28" s="265">
        <f>IFERROR(SUM(F26:F27),0)</f>
        <v>0</v>
      </c>
      <c r="G28" s="618">
        <f>IFERROR(SUM(G26:G27),0)</f>
        <v>0</v>
      </c>
      <c r="H28" s="617"/>
      <c r="I28" s="617"/>
      <c r="J28" s="617"/>
      <c r="K28" s="197"/>
      <c r="L28" s="604" t="s">
        <v>3763</v>
      </c>
      <c r="M28" s="197"/>
      <c r="N28" s="269"/>
      <c r="O28" s="197"/>
      <c r="P28" s="2578"/>
      <c r="Q28" s="251"/>
      <c r="R28" s="2577"/>
      <c r="S28" s="237"/>
      <c r="T28" s="237"/>
      <c r="U28" s="237"/>
      <c r="V28" s="237"/>
      <c r="W28" s="237"/>
      <c r="X28" s="2577"/>
      <c r="Y28" s="2562"/>
      <c r="Z28" s="425" t="s">
        <v>2112</v>
      </c>
      <c r="AA28" s="265" t="s">
        <v>3764</v>
      </c>
      <c r="AB28" s="265" t="s">
        <v>3765</v>
      </c>
      <c r="AC28" s="618" t="s">
        <v>3766</v>
      </c>
      <c r="AD28" s="617"/>
      <c r="AE28" s="617"/>
      <c r="AF28" s="617"/>
    </row>
    <row r="29" spans="1:32" ht="15.75" customHeight="1" thickTop="1" thickBot="1">
      <c r="A29" s="197"/>
      <c r="B29" s="327"/>
      <c r="C29" s="327"/>
      <c r="D29" s="327"/>
      <c r="E29" s="328"/>
      <c r="F29" s="328"/>
      <c r="G29" s="328"/>
      <c r="H29" s="514"/>
      <c r="I29" s="514"/>
      <c r="J29" s="514"/>
      <c r="K29" s="197"/>
      <c r="L29" s="619"/>
      <c r="M29" s="197"/>
      <c r="N29" s="197"/>
      <c r="O29" s="197"/>
      <c r="P29" s="2578"/>
      <c r="Q29" s="251"/>
      <c r="R29" s="2577"/>
      <c r="S29" s="237"/>
      <c r="T29" s="237"/>
      <c r="U29" s="237"/>
      <c r="V29" s="237"/>
      <c r="W29" s="237"/>
      <c r="X29" s="2577"/>
      <c r="Y29" s="2562"/>
      <c r="Z29" s="327"/>
      <c r="AA29" s="328"/>
      <c r="AB29" s="328"/>
      <c r="AC29" s="328"/>
      <c r="AD29" s="514"/>
      <c r="AE29" s="514"/>
      <c r="AF29" s="514"/>
    </row>
    <row r="30" spans="1:32" ht="15.75" customHeight="1" thickTop="1" thickBot="1">
      <c r="A30" s="197"/>
      <c r="B30" s="431" t="s">
        <v>3767</v>
      </c>
      <c r="C30" s="333" t="s">
        <v>137</v>
      </c>
      <c r="D30" s="333">
        <v>3</v>
      </c>
      <c r="E30" s="347">
        <f>IFERROR(E11+E23+E28,0)</f>
        <v>827.13200000000006</v>
      </c>
      <c r="F30" s="347">
        <f>IFERROR(F11+F23+F28,0)</f>
        <v>248.452</v>
      </c>
      <c r="G30" s="433">
        <f>IFERROR(G11+G23+G28,0)</f>
        <v>1075.5840000000001</v>
      </c>
      <c r="H30" s="514"/>
      <c r="I30" s="514"/>
      <c r="J30" s="514"/>
      <c r="K30" s="197"/>
      <c r="L30" s="620" t="s">
        <v>3768</v>
      </c>
      <c r="M30" s="197"/>
      <c r="N30" s="337"/>
      <c r="O30" s="197"/>
      <c r="P30" s="2578"/>
      <c r="Q30" s="251"/>
      <c r="R30" s="2577"/>
      <c r="S30" s="237"/>
      <c r="T30" s="237"/>
      <c r="U30" s="237"/>
      <c r="V30" s="237"/>
      <c r="W30" s="237"/>
      <c r="X30" s="2577"/>
      <c r="Y30" s="2562"/>
      <c r="Z30" s="431" t="s">
        <v>3767</v>
      </c>
      <c r="AA30" s="347" t="s">
        <v>3769</v>
      </c>
      <c r="AB30" s="347" t="s">
        <v>3770</v>
      </c>
      <c r="AC30" s="433" t="s">
        <v>3771</v>
      </c>
      <c r="AD30" s="514"/>
      <c r="AE30" s="514"/>
      <c r="AF30" s="514"/>
    </row>
    <row r="31" spans="1:32" ht="15.75" customHeight="1" thickTop="1" thickBot="1">
      <c r="A31" s="197"/>
      <c r="B31" s="197"/>
      <c r="C31" s="197"/>
      <c r="D31" s="197"/>
      <c r="E31" s="271"/>
      <c r="F31" s="271"/>
      <c r="G31" s="271"/>
      <c r="H31" s="617"/>
      <c r="I31" s="617"/>
      <c r="J31" s="617"/>
      <c r="K31" s="197"/>
      <c r="L31" s="197"/>
      <c r="M31" s="197"/>
      <c r="N31" s="197"/>
      <c r="O31" s="197"/>
      <c r="P31" s="2578"/>
      <c r="Q31" s="251"/>
      <c r="R31" s="2577"/>
      <c r="S31" s="237"/>
      <c r="T31" s="237"/>
      <c r="U31" s="237"/>
      <c r="V31" s="237"/>
      <c r="W31" s="237"/>
      <c r="X31" s="2577"/>
      <c r="Y31" s="2562"/>
      <c r="Z31" s="197"/>
      <c r="AA31" s="271"/>
      <c r="AB31" s="271"/>
      <c r="AC31" s="271"/>
      <c r="AD31" s="617"/>
      <c r="AE31" s="617"/>
      <c r="AF31" s="617"/>
    </row>
    <row r="32" spans="1:32" ht="15.75" customHeight="1" thickTop="1" thickBot="1">
      <c r="A32" s="197"/>
      <c r="B32" s="355" t="s">
        <v>3532</v>
      </c>
      <c r="C32" s="356"/>
      <c r="D32" s="356"/>
      <c r="E32" s="274"/>
      <c r="F32" s="274"/>
      <c r="G32" s="564"/>
      <c r="H32" s="616"/>
      <c r="I32" s="616"/>
      <c r="J32" s="616"/>
      <c r="K32" s="197"/>
      <c r="L32" s="228"/>
      <c r="M32" s="197"/>
      <c r="N32" s="197"/>
      <c r="O32" s="197"/>
      <c r="P32" s="2578"/>
      <c r="Q32" s="251"/>
      <c r="R32" s="2577"/>
      <c r="S32" s="237"/>
      <c r="T32" s="237"/>
      <c r="U32" s="237"/>
      <c r="V32" s="237"/>
      <c r="W32" s="237"/>
      <c r="X32" s="2577"/>
      <c r="Y32" s="2562"/>
      <c r="Z32" s="355" t="s">
        <v>3532</v>
      </c>
      <c r="AA32" s="274"/>
      <c r="AB32" s="274"/>
      <c r="AC32" s="564"/>
      <c r="AD32" s="616"/>
      <c r="AE32" s="616"/>
      <c r="AF32" s="616"/>
    </row>
    <row r="33" spans="1:32" ht="15.75" customHeight="1" thickTop="1">
      <c r="A33" s="197"/>
      <c r="B33" s="413" t="s">
        <v>3656</v>
      </c>
      <c r="C33" s="244" t="s">
        <v>137</v>
      </c>
      <c r="D33" s="244">
        <v>3</v>
      </c>
      <c r="E33" s="245">
        <v>24.803999999999998</v>
      </c>
      <c r="F33" s="245">
        <v>0</v>
      </c>
      <c r="G33" s="247">
        <f>IFERROR(SUM(E33:F33),0)</f>
        <v>24.803999999999998</v>
      </c>
      <c r="H33" s="616"/>
      <c r="I33" s="616"/>
      <c r="J33" s="616"/>
      <c r="K33" s="197"/>
      <c r="L33" s="600" t="s">
        <v>3772</v>
      </c>
      <c r="M33" s="197"/>
      <c r="N33" s="250"/>
      <c r="O33" s="197"/>
      <c r="P33" s="2578"/>
      <c r="Q33" s="251">
        <f t="shared" ref="Q33:Q35" si="17">IF( SUM( S33:W33 ) = 0, 0, $S$5 )</f>
        <v>0</v>
      </c>
      <c r="R33" s="2577"/>
      <c r="S33" s="252">
        <f t="shared" ref="S33:S35" si="18" xml:space="preserve"> IF( ISNUMBER(E33), 0, 1 )</f>
        <v>0</v>
      </c>
      <c r="T33" s="252">
        <f t="shared" ref="T33:T35" si="19" xml:space="preserve"> IF( ISNUMBER(F33), 0, 1 )</f>
        <v>0</v>
      </c>
      <c r="U33" s="237"/>
      <c r="V33" s="237"/>
      <c r="W33" s="237"/>
      <c r="X33" s="2577"/>
      <c r="Y33" s="2562"/>
      <c r="Z33" s="413" t="s">
        <v>3656</v>
      </c>
      <c r="AA33" s="245" t="s">
        <v>3773</v>
      </c>
      <c r="AB33" s="245" t="s">
        <v>3774</v>
      </c>
      <c r="AC33" s="247" t="s">
        <v>3775</v>
      </c>
      <c r="AD33" s="616"/>
      <c r="AE33" s="616"/>
      <c r="AF33" s="616"/>
    </row>
    <row r="34" spans="1:32" ht="15.75" customHeight="1">
      <c r="A34" s="197"/>
      <c r="B34" s="422" t="s">
        <v>3664</v>
      </c>
      <c r="C34" s="253" t="s">
        <v>137</v>
      </c>
      <c r="D34" s="253">
        <v>3</v>
      </c>
      <c r="E34" s="254">
        <v>41.186</v>
      </c>
      <c r="F34" s="254">
        <v>0</v>
      </c>
      <c r="G34" s="256">
        <f>IFERROR(SUM(E34:F34),0)</f>
        <v>41.186</v>
      </c>
      <c r="H34" s="617"/>
      <c r="I34" s="617"/>
      <c r="J34" s="617"/>
      <c r="K34" s="197"/>
      <c r="L34" s="603" t="s">
        <v>3776</v>
      </c>
      <c r="M34" s="197"/>
      <c r="N34" s="258"/>
      <c r="O34" s="197"/>
      <c r="P34" s="2578"/>
      <c r="Q34" s="251">
        <f t="shared" si="17"/>
        <v>0</v>
      </c>
      <c r="R34" s="2577"/>
      <c r="S34" s="252">
        <f t="shared" si="18"/>
        <v>0</v>
      </c>
      <c r="T34" s="252">
        <f t="shared" si="19"/>
        <v>0</v>
      </c>
      <c r="U34" s="237"/>
      <c r="V34" s="237"/>
      <c r="W34" s="237"/>
      <c r="X34" s="2577"/>
      <c r="Y34" s="2562"/>
      <c r="Z34" s="422" t="s">
        <v>3664</v>
      </c>
      <c r="AA34" s="254" t="s">
        <v>3777</v>
      </c>
      <c r="AB34" s="254" t="s">
        <v>3778</v>
      </c>
      <c r="AC34" s="256" t="s">
        <v>3779</v>
      </c>
      <c r="AD34" s="617"/>
      <c r="AE34" s="617"/>
      <c r="AF34" s="617"/>
    </row>
    <row r="35" spans="1:32" ht="15.75" customHeight="1">
      <c r="A35" s="197"/>
      <c r="B35" s="422" t="s">
        <v>3780</v>
      </c>
      <c r="C35" s="253" t="s">
        <v>137</v>
      </c>
      <c r="D35" s="253">
        <v>3</v>
      </c>
      <c r="E35" s="254">
        <v>0</v>
      </c>
      <c r="F35" s="254">
        <v>0.53200000000000003</v>
      </c>
      <c r="G35" s="256">
        <f>IFERROR(SUM(E35:F35),0)</f>
        <v>0.53200000000000003</v>
      </c>
      <c r="H35" s="617"/>
      <c r="I35" s="617"/>
      <c r="J35" s="617"/>
      <c r="K35" s="197"/>
      <c r="L35" s="603" t="s">
        <v>3781</v>
      </c>
      <c r="M35" s="197"/>
      <c r="N35" s="258"/>
      <c r="O35" s="197"/>
      <c r="P35" s="2578"/>
      <c r="Q35" s="251">
        <f t="shared" si="17"/>
        <v>0</v>
      </c>
      <c r="R35" s="2577"/>
      <c r="S35" s="252">
        <f t="shared" si="18"/>
        <v>0</v>
      </c>
      <c r="T35" s="252">
        <f t="shared" si="19"/>
        <v>0</v>
      </c>
      <c r="U35" s="237"/>
      <c r="V35" s="237"/>
      <c r="W35" s="237"/>
      <c r="X35" s="2577"/>
      <c r="Y35" s="2562"/>
      <c r="Z35" s="422" t="s">
        <v>3758</v>
      </c>
      <c r="AA35" s="254" t="s">
        <v>3782</v>
      </c>
      <c r="AB35" s="254" t="s">
        <v>3783</v>
      </c>
      <c r="AC35" s="256" t="s">
        <v>3784</v>
      </c>
      <c r="AD35" s="617"/>
      <c r="AE35" s="617"/>
      <c r="AF35" s="617"/>
    </row>
    <row r="36" spans="1:32" ht="15.75" customHeight="1" thickBot="1">
      <c r="A36" s="197"/>
      <c r="B36" s="425" t="s">
        <v>3785</v>
      </c>
      <c r="C36" s="319" t="s">
        <v>137</v>
      </c>
      <c r="D36" s="319">
        <v>3</v>
      </c>
      <c r="E36" s="265">
        <f>IFERROR(SUM(E33:E35),0)</f>
        <v>65.989999999999995</v>
      </c>
      <c r="F36" s="265">
        <f>IFERROR(SUM(F33:F35),0)</f>
        <v>0.53200000000000003</v>
      </c>
      <c r="G36" s="266">
        <f>IFERROR(SUM(G33:G35),0)</f>
        <v>66.521999999999991</v>
      </c>
      <c r="H36" s="617"/>
      <c r="I36" s="617"/>
      <c r="J36" s="617"/>
      <c r="K36" s="197"/>
      <c r="L36" s="604" t="s">
        <v>3786</v>
      </c>
      <c r="M36" s="197"/>
      <c r="N36" s="269"/>
      <c r="O36" s="197"/>
      <c r="P36" s="2578"/>
      <c r="Q36" s="251"/>
      <c r="R36" s="2577"/>
      <c r="S36" s="237"/>
      <c r="T36" s="237"/>
      <c r="U36" s="237"/>
      <c r="V36" s="237"/>
      <c r="W36" s="237"/>
      <c r="X36" s="2577"/>
      <c r="Y36" s="2562"/>
      <c r="Z36" s="425" t="s">
        <v>3787</v>
      </c>
      <c r="AA36" s="265" t="s">
        <v>3788</v>
      </c>
      <c r="AB36" s="265" t="s">
        <v>3789</v>
      </c>
      <c r="AC36" s="266" t="s">
        <v>3790</v>
      </c>
      <c r="AD36" s="617"/>
      <c r="AE36" s="617"/>
      <c r="AF36" s="617"/>
    </row>
    <row r="37" spans="1:32" ht="15.75" customHeight="1" thickTop="1" thickBot="1">
      <c r="A37" s="197"/>
      <c r="B37" s="327"/>
      <c r="C37" s="327"/>
      <c r="D37" s="327"/>
      <c r="E37" s="328"/>
      <c r="F37" s="328"/>
      <c r="G37" s="328"/>
      <c r="H37" s="617"/>
      <c r="I37" s="617"/>
      <c r="J37" s="617"/>
      <c r="K37" s="197"/>
      <c r="L37" s="229"/>
      <c r="M37" s="197"/>
      <c r="N37" s="197"/>
      <c r="O37" s="197"/>
      <c r="P37" s="2578"/>
      <c r="Q37" s="251"/>
      <c r="R37" s="332"/>
      <c r="S37" s="237"/>
      <c r="T37" s="237"/>
      <c r="U37" s="237"/>
      <c r="V37" s="237"/>
      <c r="W37" s="237"/>
      <c r="X37" s="2577"/>
      <c r="Y37" s="2562"/>
      <c r="Z37" s="327"/>
      <c r="AA37" s="328"/>
      <c r="AB37" s="328"/>
      <c r="AC37" s="328"/>
      <c r="AD37" s="617"/>
      <c r="AE37" s="617"/>
      <c r="AF37" s="617"/>
    </row>
    <row r="38" spans="1:32" ht="15.75" customHeight="1" thickTop="1" thickBot="1">
      <c r="A38" s="197"/>
      <c r="B38" s="355" t="s">
        <v>3791</v>
      </c>
      <c r="C38" s="356"/>
      <c r="D38" s="356"/>
      <c r="E38" s="274"/>
      <c r="F38" s="274"/>
      <c r="G38" s="564"/>
      <c r="H38" s="617"/>
      <c r="I38" s="617"/>
      <c r="J38" s="617"/>
      <c r="K38" s="197"/>
      <c r="L38" s="229"/>
      <c r="M38" s="197"/>
      <c r="N38" s="197"/>
      <c r="O38" s="197"/>
      <c r="P38" s="2578"/>
      <c r="Q38" s="251"/>
      <c r="R38" s="332"/>
      <c r="S38" s="237"/>
      <c r="T38" s="237"/>
      <c r="U38" s="237"/>
      <c r="V38" s="237"/>
      <c r="W38" s="237"/>
      <c r="X38" s="2577"/>
      <c r="Y38" s="2562"/>
      <c r="Z38" s="355" t="s">
        <v>3791</v>
      </c>
      <c r="AA38" s="274"/>
      <c r="AB38" s="274"/>
      <c r="AC38" s="564"/>
      <c r="AD38" s="617"/>
      <c r="AE38" s="617"/>
      <c r="AF38" s="617"/>
    </row>
    <row r="39" spans="1:32" ht="15.75" customHeight="1" thickTop="1">
      <c r="A39" s="197"/>
      <c r="B39" s="413" t="s">
        <v>3792</v>
      </c>
      <c r="C39" s="244" t="s">
        <v>137</v>
      </c>
      <c r="D39" s="244">
        <v>3</v>
      </c>
      <c r="E39" s="566"/>
      <c r="F39" s="566"/>
      <c r="G39" s="621">
        <v>0.43731007999999999</v>
      </c>
      <c r="H39" s="617"/>
      <c r="I39" s="617"/>
      <c r="J39" s="617"/>
      <c r="K39" s="197"/>
      <c r="L39" s="600" t="s">
        <v>3793</v>
      </c>
      <c r="M39" s="197"/>
      <c r="N39" s="250"/>
      <c r="O39" s="197"/>
      <c r="P39" s="2578"/>
      <c r="Q39" s="251">
        <f t="shared" ref="Q39:Q41" si="20">IF( SUM( S39:W39 ) = 0, 0, $S$5 )</f>
        <v>0</v>
      </c>
      <c r="R39" s="332"/>
      <c r="S39" s="237"/>
      <c r="T39" s="237"/>
      <c r="U39" s="252">
        <f t="shared" ref="U39:U41" si="21" xml:space="preserve"> IF( ISNUMBER(G39), 0, 1 )</f>
        <v>0</v>
      </c>
      <c r="V39" s="237"/>
      <c r="W39" s="237"/>
      <c r="X39" s="2577"/>
      <c r="Y39" s="2562"/>
      <c r="Z39" s="413" t="s">
        <v>3792</v>
      </c>
      <c r="AA39" s="566"/>
      <c r="AB39" s="566"/>
      <c r="AC39" s="621" t="s">
        <v>3794</v>
      </c>
      <c r="AD39" s="617"/>
      <c r="AE39" s="617"/>
      <c r="AF39" s="617"/>
    </row>
    <row r="40" spans="1:32" ht="15.75" customHeight="1">
      <c r="A40" s="197"/>
      <c r="B40" s="422" t="s">
        <v>3795</v>
      </c>
      <c r="C40" s="253" t="s">
        <v>137</v>
      </c>
      <c r="D40" s="253">
        <v>3</v>
      </c>
      <c r="E40" s="361"/>
      <c r="F40" s="361"/>
      <c r="G40" s="367">
        <v>4.2024769999999996E-2</v>
      </c>
      <c r="H40" s="617"/>
      <c r="I40" s="617"/>
      <c r="J40" s="617"/>
      <c r="K40" s="197"/>
      <c r="L40" s="603" t="s">
        <v>3796</v>
      </c>
      <c r="M40" s="197"/>
      <c r="N40" s="258"/>
      <c r="O40" s="197"/>
      <c r="P40" s="2578"/>
      <c r="Q40" s="251">
        <f t="shared" si="20"/>
        <v>0</v>
      </c>
      <c r="R40" s="332"/>
      <c r="S40" s="237"/>
      <c r="T40" s="237"/>
      <c r="U40" s="252">
        <f t="shared" si="21"/>
        <v>0</v>
      </c>
      <c r="V40" s="237"/>
      <c r="W40" s="237"/>
      <c r="X40" s="2577"/>
      <c r="Y40" s="2562"/>
      <c r="Z40" s="422" t="s">
        <v>3795</v>
      </c>
      <c r="AA40" s="361"/>
      <c r="AB40" s="361"/>
      <c r="AC40" s="367" t="s">
        <v>3797</v>
      </c>
      <c r="AD40" s="617"/>
      <c r="AE40" s="617"/>
      <c r="AF40" s="617"/>
    </row>
    <row r="41" spans="1:32" ht="15.75" customHeight="1" thickBot="1">
      <c r="A41" s="197"/>
      <c r="B41" s="425" t="s">
        <v>3798</v>
      </c>
      <c r="C41" s="319" t="s">
        <v>137</v>
      </c>
      <c r="D41" s="319">
        <v>3</v>
      </c>
      <c r="E41" s="370"/>
      <c r="F41" s="370"/>
      <c r="G41" s="622">
        <v>0.70966514999999997</v>
      </c>
      <c r="H41" s="617"/>
      <c r="I41" s="617"/>
      <c r="J41" s="617"/>
      <c r="K41" s="197"/>
      <c r="L41" s="604" t="s">
        <v>3799</v>
      </c>
      <c r="M41" s="197"/>
      <c r="N41" s="269"/>
      <c r="O41" s="197"/>
      <c r="P41" s="2578"/>
      <c r="Q41" s="251">
        <f t="shared" si="20"/>
        <v>0</v>
      </c>
      <c r="R41" s="332"/>
      <c r="S41" s="237"/>
      <c r="T41" s="237"/>
      <c r="U41" s="252">
        <f t="shared" si="21"/>
        <v>0</v>
      </c>
      <c r="V41" s="237"/>
      <c r="W41" s="237"/>
      <c r="X41" s="332"/>
      <c r="Y41" s="2562"/>
      <c r="Z41" s="425" t="s">
        <v>3758</v>
      </c>
      <c r="AA41" s="370"/>
      <c r="AB41" s="370"/>
      <c r="AC41" s="622" t="s">
        <v>3800</v>
      </c>
      <c r="AD41" s="617"/>
      <c r="AE41" s="617"/>
      <c r="AF41" s="617"/>
    </row>
    <row r="42" spans="1:32" ht="15.75" customHeight="1" thickTop="1" thickBot="1">
      <c r="A42" s="197"/>
      <c r="B42" s="349"/>
      <c r="C42" s="349"/>
      <c r="D42" s="349"/>
      <c r="E42" s="328"/>
      <c r="F42" s="328"/>
      <c r="G42" s="328"/>
      <c r="H42" s="617"/>
      <c r="I42" s="617"/>
      <c r="J42" s="617"/>
      <c r="K42" s="197"/>
      <c r="L42" s="229"/>
      <c r="M42" s="197"/>
      <c r="N42" s="197"/>
      <c r="O42" s="197"/>
      <c r="P42" s="2578"/>
      <c r="Q42" s="251"/>
      <c r="R42" s="332"/>
      <c r="S42" s="237"/>
      <c r="T42" s="237"/>
      <c r="U42" s="237"/>
      <c r="V42" s="237"/>
      <c r="W42" s="237"/>
      <c r="X42" s="332"/>
      <c r="Y42" s="2562"/>
      <c r="Z42" s="349"/>
      <c r="AA42" s="328"/>
      <c r="AB42" s="328"/>
      <c r="AC42" s="328"/>
      <c r="AD42" s="617"/>
      <c r="AE42" s="617"/>
      <c r="AF42" s="617"/>
    </row>
    <row r="43" spans="1:32" ht="15.75" customHeight="1" thickTop="1" thickBot="1">
      <c r="A43" s="197"/>
      <c r="B43" s="355" t="s">
        <v>3801</v>
      </c>
      <c r="C43" s="356"/>
      <c r="D43" s="356"/>
      <c r="E43" s="274"/>
      <c r="F43" s="274"/>
      <c r="G43" s="564"/>
      <c r="H43" s="617"/>
      <c r="I43" s="617"/>
      <c r="J43" s="617"/>
      <c r="K43" s="197"/>
      <c r="L43" s="229"/>
      <c r="M43" s="197"/>
      <c r="N43" s="197"/>
      <c r="O43" s="197"/>
      <c r="P43" s="2578"/>
      <c r="Q43" s="251"/>
      <c r="R43" s="332"/>
      <c r="S43" s="237"/>
      <c r="T43" s="237"/>
      <c r="U43" s="237"/>
      <c r="V43" s="237"/>
      <c r="W43" s="237"/>
      <c r="X43" s="332"/>
      <c r="Y43" s="2562"/>
      <c r="Z43" s="355" t="s">
        <v>3801</v>
      </c>
      <c r="AA43" s="274"/>
      <c r="AB43" s="274"/>
      <c r="AC43" s="564"/>
      <c r="AD43" s="617"/>
      <c r="AE43" s="617"/>
      <c r="AF43" s="617"/>
    </row>
    <row r="44" spans="1:32" ht="15.75" customHeight="1" thickTop="1" thickBot="1">
      <c r="A44" s="197"/>
      <c r="B44" s="431" t="s">
        <v>3802</v>
      </c>
      <c r="C44" s="333" t="s">
        <v>137</v>
      </c>
      <c r="D44" s="333">
        <v>3</v>
      </c>
      <c r="E44" s="552"/>
      <c r="F44" s="552"/>
      <c r="G44" s="623">
        <v>4.2999999999999997E-2</v>
      </c>
      <c r="H44" s="514"/>
      <c r="I44" s="514"/>
      <c r="J44" s="514"/>
      <c r="K44" s="197"/>
      <c r="L44" s="620" t="s">
        <v>3803</v>
      </c>
      <c r="M44" s="197"/>
      <c r="N44" s="337"/>
      <c r="O44" s="197"/>
      <c r="P44" s="2578"/>
      <c r="Q44" s="251">
        <f>IF( SUM( S44:W44 ) = 0, 0, $S$5 )</f>
        <v>0</v>
      </c>
      <c r="R44" s="332"/>
      <c r="S44" s="237"/>
      <c r="T44" s="237"/>
      <c r="U44" s="252">
        <f xml:space="preserve"> IF( ISNUMBER(G44), 0, 1 )</f>
        <v>0</v>
      </c>
      <c r="V44" s="237"/>
      <c r="W44" s="237"/>
      <c r="X44" s="332"/>
      <c r="Y44" s="2562"/>
      <c r="Z44" s="431" t="s">
        <v>3802</v>
      </c>
      <c r="AA44" s="552"/>
      <c r="AB44" s="552"/>
      <c r="AC44" s="623" t="s">
        <v>3804</v>
      </c>
      <c r="AD44" s="514"/>
      <c r="AE44" s="514"/>
      <c r="AF44" s="514"/>
    </row>
    <row r="45" spans="1:32" ht="15.75" customHeight="1" thickTop="1" thickBot="1">
      <c r="A45" s="197"/>
      <c r="B45" s="327"/>
      <c r="C45" s="327"/>
      <c r="D45" s="327"/>
      <c r="E45" s="328"/>
      <c r="F45" s="328"/>
      <c r="G45" s="328"/>
      <c r="H45" s="617"/>
      <c r="I45" s="617"/>
      <c r="J45" s="617"/>
      <c r="K45" s="197"/>
      <c r="L45" s="619"/>
      <c r="M45" s="197"/>
      <c r="N45" s="197"/>
      <c r="O45" s="197"/>
      <c r="P45" s="2578"/>
      <c r="Q45" s="251"/>
      <c r="R45" s="332"/>
      <c r="S45" s="237"/>
      <c r="T45" s="237"/>
      <c r="U45" s="237"/>
      <c r="V45" s="237"/>
      <c r="W45" s="237"/>
      <c r="X45" s="332"/>
      <c r="Y45" s="2562"/>
      <c r="Z45" s="327"/>
      <c r="AA45" s="328"/>
      <c r="AB45" s="328"/>
      <c r="AC45" s="328"/>
      <c r="AD45" s="617"/>
      <c r="AE45" s="617"/>
      <c r="AF45" s="617"/>
    </row>
    <row r="46" spans="1:32" ht="15.75" customHeight="1" thickTop="1" thickBot="1">
      <c r="A46" s="197"/>
      <c r="B46" s="431" t="s">
        <v>3805</v>
      </c>
      <c r="C46" s="333" t="s">
        <v>137</v>
      </c>
      <c r="D46" s="333">
        <v>3</v>
      </c>
      <c r="E46" s="552"/>
      <c r="F46" s="552"/>
      <c r="G46" s="433">
        <f>IFERROR(G30+G36+G39+G40+G41+G44,0)</f>
        <v>1143.338</v>
      </c>
      <c r="H46" s="514"/>
      <c r="I46" s="514"/>
      <c r="J46" s="514"/>
      <c r="K46" s="197"/>
      <c r="L46" s="620" t="s">
        <v>3806</v>
      </c>
      <c r="M46" s="197"/>
      <c r="N46" s="337"/>
      <c r="O46" s="197"/>
      <c r="P46" s="2578"/>
      <c r="Q46" s="251"/>
      <c r="R46" s="332"/>
      <c r="S46" s="237"/>
      <c r="T46" s="237"/>
      <c r="U46" s="237"/>
      <c r="V46" s="237"/>
      <c r="W46" s="237"/>
      <c r="X46" s="332"/>
      <c r="Y46" s="2562"/>
      <c r="Z46" s="431" t="s">
        <v>3805</v>
      </c>
      <c r="AA46" s="552"/>
      <c r="AB46" s="552"/>
      <c r="AC46" s="433" t="s">
        <v>3807</v>
      </c>
      <c r="AD46" s="514"/>
      <c r="AE46" s="514"/>
      <c r="AF46" s="514"/>
    </row>
    <row r="47" spans="1:32" ht="15.75" customHeight="1" thickTop="1">
      <c r="A47" s="197"/>
      <c r="B47" s="197"/>
      <c r="C47" s="197"/>
      <c r="D47" s="197"/>
      <c r="E47" s="197"/>
      <c r="F47" s="197"/>
      <c r="G47" s="440"/>
      <c r="H47" s="197"/>
      <c r="I47" s="197"/>
      <c r="J47" s="197"/>
      <c r="K47" s="197"/>
      <c r="L47" s="197"/>
      <c r="N47" s="197"/>
      <c r="O47" s="197"/>
      <c r="P47" s="2562"/>
      <c r="Q47" s="251"/>
      <c r="R47" s="2572"/>
      <c r="S47" s="2572"/>
      <c r="T47" s="2572"/>
      <c r="U47" s="2572"/>
      <c r="V47" s="2572"/>
      <c r="W47" s="2572"/>
      <c r="X47" s="2572"/>
      <c r="Y47" s="2562"/>
      <c r="Z47" s="2562"/>
      <c r="AA47" s="2562"/>
      <c r="AB47" s="2562"/>
      <c r="AC47" s="2562"/>
      <c r="AD47" s="2562"/>
      <c r="AE47" s="2562"/>
      <c r="AF47" s="2562"/>
    </row>
    <row r="48" spans="1:32" ht="15.75" customHeight="1">
      <c r="A48" s="197"/>
      <c r="B48" s="197"/>
      <c r="C48" s="197"/>
      <c r="D48" s="197"/>
      <c r="E48" s="197"/>
      <c r="F48" s="197"/>
      <c r="G48" s="440"/>
      <c r="H48" s="197"/>
      <c r="I48" s="197"/>
      <c r="J48" s="197"/>
      <c r="K48" s="197"/>
      <c r="L48" s="197"/>
      <c r="N48" s="197"/>
      <c r="O48" s="197"/>
      <c r="P48" s="2562"/>
      <c r="Q48" s="2562"/>
      <c r="R48" s="2572"/>
      <c r="S48" s="2572"/>
      <c r="T48" s="2572"/>
      <c r="U48" s="2572"/>
      <c r="V48" s="2572"/>
      <c r="W48" s="2572"/>
      <c r="X48" s="2572"/>
      <c r="Y48" s="2562"/>
      <c r="Z48" s="2562"/>
      <c r="AA48" s="2562"/>
      <c r="AB48" s="2562"/>
      <c r="AC48" s="2562"/>
      <c r="AD48" s="2562"/>
      <c r="AE48" s="2562"/>
      <c r="AF48" s="2562"/>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624"/>
      <c r="H50" s="197"/>
      <c r="I50" s="197"/>
      <c r="J50" s="197"/>
      <c r="K50" s="197"/>
      <c r="L50" s="197"/>
      <c r="N50" s="197"/>
      <c r="O50" s="197"/>
    </row>
    <row r="51" spans="1:15">
      <c r="A51" s="197"/>
      <c r="B51" s="197"/>
      <c r="C51" s="197"/>
      <c r="D51" s="197"/>
      <c r="E51" s="197"/>
      <c r="F51" s="197"/>
      <c r="G51" s="625"/>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47">
    <cfRule type="cellIs" dxfId="167"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4"/>
  <cols>
    <col min="3" max="3" width="52.58203125" bestFit="1" customWidth="1"/>
  </cols>
  <sheetData>
    <row r="1" spans="1:4">
      <c r="A1" t="s">
        <v>1878</v>
      </c>
    </row>
    <row r="3" spans="1:4" ht="30">
      <c r="A3" s="2442" t="s">
        <v>132</v>
      </c>
      <c r="B3" s="2442" t="s">
        <v>1879</v>
      </c>
      <c r="C3" s="2442" t="s">
        <v>1880</v>
      </c>
      <c r="D3" s="2444" t="s">
        <v>1881</v>
      </c>
    </row>
    <row r="4" spans="1:4" s="2441" customFormat="1" ht="25">
      <c r="A4" s="2443" t="s">
        <v>133</v>
      </c>
      <c r="B4" s="2443">
        <v>111</v>
      </c>
      <c r="C4" s="2443" t="s">
        <v>1882</v>
      </c>
      <c r="D4" s="2443">
        <v>1.1000000000000001</v>
      </c>
    </row>
    <row r="5" spans="1:4" ht="25">
      <c r="A5" s="2443" t="s">
        <v>133</v>
      </c>
      <c r="B5" s="2443">
        <v>112</v>
      </c>
      <c r="C5" s="2443" t="s">
        <v>1883</v>
      </c>
      <c r="D5" s="2443">
        <v>1.1000000000000001</v>
      </c>
    </row>
    <row r="6" spans="1:4" ht="50">
      <c r="A6" s="2443" t="s">
        <v>134</v>
      </c>
      <c r="B6" s="2443">
        <v>26</v>
      </c>
      <c r="C6" s="2443" t="s">
        <v>1884</v>
      </c>
      <c r="D6" s="2443">
        <v>1.1000000000000001</v>
      </c>
    </row>
  </sheetData>
  <pageMargins left="0.7" right="0.7" top="0.75" bottom="0.75" header="0.3" footer="0.3"/>
  <pageSetup paperSize="9"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Normal="100" zoomScaleSheetLayoutView="100" workbookViewId="0">
      <selection activeCell="E8" sqref="E8:F18"/>
    </sheetView>
  </sheetViews>
  <sheetFormatPr defaultColWidth="9" defaultRowHeight="22.5" customHeight="1"/>
  <cols>
    <col min="1" max="1" width="1.58203125" style="220" customWidth="1"/>
    <col min="2" max="2" width="49.08203125" style="220" bestFit="1" customWidth="1"/>
    <col min="3" max="3" width="7" style="220" customWidth="1"/>
    <col min="4" max="4" width="5.5" style="220" customWidth="1"/>
    <col min="5" max="5" width="16.08203125" style="220" customWidth="1"/>
    <col min="6" max="6" width="17.5" style="220" customWidth="1"/>
    <col min="7" max="7" width="3.5" style="220" customWidth="1"/>
    <col min="8" max="8" width="9.08203125" style="228" bestFit="1" customWidth="1"/>
    <col min="9" max="9" width="1.58203125" style="220" customWidth="1"/>
    <col min="10" max="10" width="33.58203125" style="220" customWidth="1"/>
    <col min="11" max="12" width="1.58203125" style="220" customWidth="1"/>
    <col min="13" max="13" width="25.08203125" style="220" customWidth="1"/>
    <col min="14" max="14" width="1.58203125" style="230" customWidth="1"/>
    <col min="15" max="16" width="12.5" style="230" hidden="1" customWidth="1"/>
    <col min="17" max="17" width="1.58203125" style="230" hidden="1" customWidth="1"/>
    <col min="18" max="18" width="1.58203125" style="220" customWidth="1"/>
    <col min="19" max="19" width="32.08203125" style="220" bestFit="1" customWidth="1"/>
    <col min="20" max="21" width="14.58203125" style="220" bestFit="1" customWidth="1"/>
    <col min="22" max="22" width="1.58203125" style="220" customWidth="1"/>
    <col min="23" max="16384" width="9" style="220"/>
  </cols>
  <sheetData>
    <row r="1" spans="1:21" s="351" customFormat="1" ht="30" customHeight="1">
      <c r="B1" s="441" t="s">
        <v>3808</v>
      </c>
      <c r="C1" s="441"/>
      <c r="D1" s="441"/>
      <c r="E1" s="441"/>
      <c r="F1" s="441"/>
      <c r="G1" s="490"/>
      <c r="H1" s="228"/>
      <c r="L1" s="305"/>
      <c r="M1" s="227"/>
      <c r="N1" s="2571"/>
      <c r="O1" s="2572"/>
      <c r="P1" s="2572"/>
      <c r="Q1" s="2571"/>
      <c r="S1" s="441" t="s">
        <v>1887</v>
      </c>
    </row>
    <row r="2" spans="1:21" s="351" customFormat="1" ht="30" customHeight="1">
      <c r="B2" s="441" t="str">
        <f>SelectCompany!B4</f>
        <v>Yorkshire Water</v>
      </c>
      <c r="C2" s="491"/>
      <c r="D2" s="491"/>
      <c r="E2" s="491"/>
      <c r="F2" s="491"/>
      <c r="G2" s="490"/>
      <c r="H2" s="228"/>
      <c r="L2" s="305"/>
      <c r="M2" s="227"/>
      <c r="N2" s="2571"/>
      <c r="O2" s="2572"/>
      <c r="P2" s="2572"/>
      <c r="Q2" s="2571"/>
      <c r="S2" s="441"/>
    </row>
    <row r="3" spans="1:21" s="608" customFormat="1" ht="44.25" customHeight="1">
      <c r="B3" s="2689" t="s">
        <v>3809</v>
      </c>
      <c r="C3" s="2689"/>
      <c r="D3" s="2689"/>
      <c r="E3" s="2689"/>
      <c r="F3" s="2689"/>
      <c r="G3" s="2689"/>
      <c r="H3" s="2689"/>
      <c r="I3" s="2689"/>
      <c r="J3" s="2689"/>
      <c r="L3" s="307"/>
      <c r="M3" s="232" t="s">
        <v>1889</v>
      </c>
      <c r="N3" s="2571"/>
      <c r="O3" s="2572"/>
      <c r="P3" s="2572"/>
      <c r="Q3" s="2571"/>
      <c r="S3" s="2690" t="s">
        <v>3810</v>
      </c>
      <c r="T3" s="2691"/>
      <c r="U3" s="2691"/>
    </row>
    <row r="4" spans="1:21" s="608" customFormat="1" ht="13.5" customHeight="1" thickBot="1">
      <c r="B4" s="594"/>
      <c r="C4" s="594"/>
      <c r="D4" s="594"/>
      <c r="E4" s="594"/>
      <c r="F4" s="594"/>
      <c r="H4" s="228"/>
      <c r="L4" s="2576"/>
      <c r="M4" s="2562"/>
      <c r="N4" s="2571"/>
      <c r="O4" s="2662" t="s">
        <v>1890</v>
      </c>
      <c r="P4" s="2662"/>
      <c r="Q4" s="2571"/>
      <c r="S4" s="594"/>
      <c r="T4" s="594"/>
      <c r="U4" s="594"/>
    </row>
    <row r="5" spans="1:21" ht="56.25" customHeight="1" thickTop="1" thickBot="1">
      <c r="A5" s="197"/>
      <c r="B5" s="407" t="s">
        <v>1891</v>
      </c>
      <c r="C5" s="408" t="s">
        <v>3811</v>
      </c>
      <c r="D5" s="408" t="s">
        <v>136</v>
      </c>
      <c r="E5" s="408" t="s">
        <v>3812</v>
      </c>
      <c r="F5" s="409" t="s">
        <v>3813</v>
      </c>
      <c r="G5" s="197"/>
      <c r="H5" s="411" t="s">
        <v>1896</v>
      </c>
      <c r="I5" s="197"/>
      <c r="J5" s="411" t="s">
        <v>1897</v>
      </c>
      <c r="K5" s="197"/>
      <c r="L5" s="2576"/>
      <c r="M5" s="2562"/>
      <c r="N5" s="2571"/>
      <c r="O5" s="236" t="s">
        <v>1898</v>
      </c>
      <c r="P5" s="237"/>
      <c r="Q5" s="2571"/>
      <c r="R5" s="2562"/>
      <c r="S5" s="407" t="s">
        <v>1891</v>
      </c>
      <c r="T5" s="408" t="s">
        <v>3812</v>
      </c>
      <c r="U5" s="409" t="s">
        <v>3813</v>
      </c>
    </row>
    <row r="6" spans="1:21" ht="15.75" customHeight="1" thickTop="1" thickBot="1">
      <c r="A6" s="197"/>
      <c r="B6" s="233"/>
      <c r="C6" s="233"/>
      <c r="D6" s="233"/>
      <c r="E6" s="83"/>
      <c r="F6" s="83"/>
      <c r="G6" s="197"/>
      <c r="I6" s="197"/>
      <c r="J6" s="197"/>
      <c r="K6" s="197"/>
      <c r="L6" s="2576"/>
      <c r="M6" s="2562"/>
      <c r="N6" s="2571"/>
      <c r="O6" s="2562"/>
      <c r="P6" s="2562"/>
      <c r="Q6" s="2571"/>
      <c r="R6" s="2562"/>
      <c r="S6" s="233"/>
      <c r="T6" s="83"/>
      <c r="U6" s="83"/>
    </row>
    <row r="7" spans="1:21" ht="15.75" customHeight="1" thickTop="1" thickBot="1">
      <c r="A7" s="197"/>
      <c r="B7" s="355" t="s">
        <v>3814</v>
      </c>
      <c r="C7" s="356"/>
      <c r="D7" s="356"/>
      <c r="E7" s="106"/>
      <c r="F7" s="106"/>
      <c r="G7" s="197"/>
      <c r="I7" s="197"/>
      <c r="J7" s="197"/>
      <c r="K7" s="197"/>
      <c r="L7" s="2576"/>
      <c r="M7" s="2573"/>
      <c r="N7" s="2571"/>
      <c r="O7" s="2573"/>
      <c r="P7" s="2573"/>
      <c r="Q7" s="2571"/>
      <c r="R7" s="2562"/>
      <c r="S7" s="355" t="s">
        <v>3814</v>
      </c>
      <c r="T7" s="106"/>
      <c r="U7" s="106"/>
    </row>
    <row r="8" spans="1:21" ht="15.75" customHeight="1" thickTop="1">
      <c r="A8" s="197"/>
      <c r="B8" s="413" t="s">
        <v>3815</v>
      </c>
      <c r="C8" s="244" t="s">
        <v>137</v>
      </c>
      <c r="D8" s="244">
        <v>3</v>
      </c>
      <c r="E8" s="245">
        <v>6.8979999999999997</v>
      </c>
      <c r="F8" s="621">
        <v>0</v>
      </c>
      <c r="G8" s="197"/>
      <c r="H8" s="600" t="s">
        <v>3816</v>
      </c>
      <c r="I8" s="197"/>
      <c r="J8" s="250"/>
      <c r="K8" s="197"/>
      <c r="L8" s="2576"/>
      <c r="M8" s="251">
        <f>IF( SUM( O8:P8 ) = 0, 0, $O$5 )</f>
        <v>0</v>
      </c>
      <c r="N8" s="2571"/>
      <c r="O8" s="252">
        <f xml:space="preserve"> IF( ISNUMBER(E8 ), 0, 1 )</f>
        <v>0</v>
      </c>
      <c r="P8" s="252">
        <f t="shared" ref="P8:P10" si="0" xml:space="preserve"> IF( ISNUMBER(F8 ), 0, 1 )</f>
        <v>0</v>
      </c>
      <c r="Q8" s="2571"/>
      <c r="R8" s="2562"/>
      <c r="S8" s="413" t="s">
        <v>3815</v>
      </c>
      <c r="T8" s="245" t="s">
        <v>3817</v>
      </c>
      <c r="U8" s="621" t="s">
        <v>3818</v>
      </c>
    </row>
    <row r="9" spans="1:21" ht="15.75" customHeight="1">
      <c r="A9" s="197"/>
      <c r="B9" s="422" t="s">
        <v>3819</v>
      </c>
      <c r="C9" s="253" t="s">
        <v>137</v>
      </c>
      <c r="D9" s="253">
        <v>3</v>
      </c>
      <c r="E9" s="254">
        <v>0.94</v>
      </c>
      <c r="F9" s="367">
        <v>0</v>
      </c>
      <c r="G9" s="197"/>
      <c r="H9" s="603" t="s">
        <v>3820</v>
      </c>
      <c r="I9" s="197"/>
      <c r="J9" s="258"/>
      <c r="K9" s="197"/>
      <c r="L9" s="2576"/>
      <c r="M9" s="251">
        <f t="shared" ref="M9:M10" si="1">IF( SUM( O9:P9 ) = 0, 0, $O$5 )</f>
        <v>0</v>
      </c>
      <c r="N9" s="2571"/>
      <c r="O9" s="252">
        <f t="shared" ref="O9:O10" si="2" xml:space="preserve"> IF( ISNUMBER(E9 ), 0, 1 )</f>
        <v>0</v>
      </c>
      <c r="P9" s="252">
        <f t="shared" si="0"/>
        <v>0</v>
      </c>
      <c r="Q9" s="2571"/>
      <c r="R9" s="2562"/>
      <c r="S9" s="422" t="s">
        <v>3819</v>
      </c>
      <c r="T9" s="254" t="s">
        <v>3821</v>
      </c>
      <c r="U9" s="367" t="s">
        <v>3822</v>
      </c>
    </row>
    <row r="10" spans="1:21" ht="15.75" customHeight="1">
      <c r="A10" s="197"/>
      <c r="B10" s="422" t="s">
        <v>2410</v>
      </c>
      <c r="C10" s="253" t="s">
        <v>137</v>
      </c>
      <c r="D10" s="253">
        <v>3</v>
      </c>
      <c r="E10" s="254">
        <v>0</v>
      </c>
      <c r="F10" s="367">
        <v>0</v>
      </c>
      <c r="G10" s="197"/>
      <c r="H10" s="603" t="s">
        <v>3823</v>
      </c>
      <c r="I10" s="197"/>
      <c r="J10" s="258"/>
      <c r="K10" s="197"/>
      <c r="L10" s="2576"/>
      <c r="M10" s="251">
        <f t="shared" si="1"/>
        <v>0</v>
      </c>
      <c r="N10" s="2571"/>
      <c r="O10" s="252">
        <f t="shared" si="2"/>
        <v>0</v>
      </c>
      <c r="P10" s="252">
        <f t="shared" si="0"/>
        <v>0</v>
      </c>
      <c r="Q10" s="2571"/>
      <c r="R10" s="2562"/>
      <c r="S10" s="422" t="s">
        <v>2410</v>
      </c>
      <c r="T10" s="254" t="s">
        <v>3824</v>
      </c>
      <c r="U10" s="367" t="s">
        <v>3825</v>
      </c>
    </row>
    <row r="11" spans="1:21" ht="15.75" customHeight="1" thickBot="1">
      <c r="A11" s="197"/>
      <c r="B11" s="425" t="s">
        <v>2148</v>
      </c>
      <c r="C11" s="319" t="s">
        <v>137</v>
      </c>
      <c r="D11" s="319">
        <v>3</v>
      </c>
      <c r="E11" s="265">
        <f>IFERROR(SUM(E8:E10),0)</f>
        <v>7.8379999999999992</v>
      </c>
      <c r="F11" s="266">
        <f>IFERROR(SUM(F8:F10),0)</f>
        <v>0</v>
      </c>
      <c r="G11" s="197"/>
      <c r="H11" s="604" t="s">
        <v>3826</v>
      </c>
      <c r="I11" s="197"/>
      <c r="J11" s="269"/>
      <c r="K11" s="197"/>
      <c r="L11" s="2576"/>
      <c r="M11" s="251"/>
      <c r="N11" s="2571"/>
      <c r="O11" s="237"/>
      <c r="P11" s="237"/>
      <c r="Q11" s="2571"/>
      <c r="R11" s="2562"/>
      <c r="S11" s="425" t="s">
        <v>2148</v>
      </c>
      <c r="T11" s="265" t="s">
        <v>3827</v>
      </c>
      <c r="U11" s="266" t="s">
        <v>3828</v>
      </c>
    </row>
    <row r="12" spans="1:21" ht="15.75" customHeight="1" thickTop="1" thickBot="1">
      <c r="A12" s="197"/>
      <c r="B12" s="322"/>
      <c r="C12" s="322"/>
      <c r="D12" s="322"/>
      <c r="E12" s="328"/>
      <c r="F12" s="328"/>
      <c r="G12" s="197"/>
      <c r="I12" s="197"/>
      <c r="J12" s="197"/>
      <c r="K12" s="197"/>
      <c r="L12" s="2576"/>
      <c r="M12" s="251"/>
      <c r="N12" s="2571"/>
      <c r="O12" s="237"/>
      <c r="P12" s="237"/>
      <c r="Q12" s="2571"/>
      <c r="R12" s="2562"/>
      <c r="S12" s="322"/>
      <c r="T12" s="328"/>
      <c r="U12" s="328"/>
    </row>
    <row r="13" spans="1:21" ht="15.75" customHeight="1" thickTop="1" thickBot="1">
      <c r="A13" s="197"/>
      <c r="B13" s="355" t="s">
        <v>3829</v>
      </c>
      <c r="C13" s="356"/>
      <c r="D13" s="356"/>
      <c r="E13" s="274"/>
      <c r="F13" s="274"/>
      <c r="G13" s="197"/>
      <c r="I13" s="197"/>
      <c r="J13" s="197"/>
      <c r="K13" s="197"/>
      <c r="L13" s="2576"/>
      <c r="M13" s="251"/>
      <c r="N13" s="2571"/>
      <c r="O13" s="237"/>
      <c r="P13" s="237"/>
      <c r="Q13" s="2571"/>
      <c r="R13" s="2562"/>
      <c r="S13" s="355" t="s">
        <v>3829</v>
      </c>
      <c r="T13" s="274"/>
      <c r="U13" s="274"/>
    </row>
    <row r="14" spans="1:21" ht="15.75" customHeight="1" thickTop="1">
      <c r="A14" s="197"/>
      <c r="B14" s="413" t="s">
        <v>3830</v>
      </c>
      <c r="C14" s="244" t="s">
        <v>137</v>
      </c>
      <c r="D14" s="244">
        <v>3</v>
      </c>
      <c r="E14" s="245">
        <v>0.56299999999999994</v>
      </c>
      <c r="F14" s="621">
        <v>0</v>
      </c>
      <c r="G14" s="197"/>
      <c r="H14" s="600" t="s">
        <v>3831</v>
      </c>
      <c r="I14" s="197"/>
      <c r="J14" s="250"/>
      <c r="K14" s="197"/>
      <c r="L14" s="2576"/>
      <c r="M14" s="251">
        <f t="shared" ref="M14:M17" si="3">IF( SUM( O14:P14 ) = 0, 0, $O$5 )</f>
        <v>0</v>
      </c>
      <c r="N14" s="2571"/>
      <c r="O14" s="252">
        <f t="shared" ref="O14:O17" si="4" xml:space="preserve"> IF( ISNUMBER(E14 ), 0, 1 )</f>
        <v>0</v>
      </c>
      <c r="P14" s="252">
        <f t="shared" ref="P14:P17" si="5" xml:space="preserve"> IF( ISNUMBER(F14 ), 0, 1 )</f>
        <v>0</v>
      </c>
      <c r="Q14" s="2571"/>
      <c r="R14" s="2562"/>
      <c r="S14" s="413" t="s">
        <v>3830</v>
      </c>
      <c r="T14" s="245" t="s">
        <v>3832</v>
      </c>
      <c r="U14" s="621" t="s">
        <v>3833</v>
      </c>
    </row>
    <row r="15" spans="1:21" ht="15.75" customHeight="1">
      <c r="A15" s="197"/>
      <c r="B15" s="422" t="s">
        <v>3834</v>
      </c>
      <c r="C15" s="253" t="s">
        <v>137</v>
      </c>
      <c r="D15" s="253">
        <v>3</v>
      </c>
      <c r="E15" s="254">
        <v>0</v>
      </c>
      <c r="F15" s="367">
        <v>0</v>
      </c>
      <c r="G15" s="197"/>
      <c r="H15" s="603" t="s">
        <v>3835</v>
      </c>
      <c r="I15" s="197"/>
      <c r="J15" s="258"/>
      <c r="K15" s="197"/>
      <c r="L15" s="2576"/>
      <c r="M15" s="251">
        <f t="shared" si="3"/>
        <v>0</v>
      </c>
      <c r="N15" s="2571"/>
      <c r="O15" s="252">
        <f t="shared" si="4"/>
        <v>0</v>
      </c>
      <c r="P15" s="252">
        <f t="shared" si="5"/>
        <v>0</v>
      </c>
      <c r="Q15" s="2571"/>
      <c r="R15" s="2562"/>
      <c r="S15" s="422" t="s">
        <v>3834</v>
      </c>
      <c r="T15" s="254" t="s">
        <v>3836</v>
      </c>
      <c r="U15" s="367" t="s">
        <v>3837</v>
      </c>
    </row>
    <row r="16" spans="1:21" ht="15.75" customHeight="1">
      <c r="A16" s="197"/>
      <c r="B16" s="422" t="s">
        <v>3819</v>
      </c>
      <c r="C16" s="253" t="s">
        <v>137</v>
      </c>
      <c r="D16" s="253">
        <v>3</v>
      </c>
      <c r="E16" s="254">
        <v>0.1</v>
      </c>
      <c r="F16" s="367">
        <v>0</v>
      </c>
      <c r="G16" s="197"/>
      <c r="H16" s="603" t="s">
        <v>3838</v>
      </c>
      <c r="I16" s="197"/>
      <c r="J16" s="258"/>
      <c r="K16" s="197"/>
      <c r="L16" s="2576"/>
      <c r="M16" s="251">
        <f t="shared" si="3"/>
        <v>0</v>
      </c>
      <c r="N16" s="2571"/>
      <c r="O16" s="252">
        <f t="shared" si="4"/>
        <v>0</v>
      </c>
      <c r="P16" s="252">
        <f t="shared" si="5"/>
        <v>0</v>
      </c>
      <c r="Q16" s="2571"/>
      <c r="R16" s="2562"/>
      <c r="S16" s="422" t="s">
        <v>3819</v>
      </c>
      <c r="T16" s="254" t="s">
        <v>3839</v>
      </c>
      <c r="U16" s="367" t="s">
        <v>3840</v>
      </c>
    </row>
    <row r="17" spans="1:21" ht="15.75" customHeight="1">
      <c r="A17" s="197"/>
      <c r="B17" s="422" t="s">
        <v>2410</v>
      </c>
      <c r="C17" s="253" t="s">
        <v>137</v>
      </c>
      <c r="D17" s="253">
        <v>3</v>
      </c>
      <c r="E17" s="254">
        <v>0</v>
      </c>
      <c r="F17" s="367">
        <v>0</v>
      </c>
      <c r="G17" s="197"/>
      <c r="H17" s="603" t="s">
        <v>3841</v>
      </c>
      <c r="I17" s="197"/>
      <c r="J17" s="258"/>
      <c r="K17" s="197"/>
      <c r="L17" s="2576"/>
      <c r="M17" s="251">
        <f t="shared" si="3"/>
        <v>0</v>
      </c>
      <c r="N17" s="2571"/>
      <c r="O17" s="252">
        <f t="shared" si="4"/>
        <v>0</v>
      </c>
      <c r="P17" s="252">
        <f t="shared" si="5"/>
        <v>0</v>
      </c>
      <c r="Q17" s="2571"/>
      <c r="R17" s="2562"/>
      <c r="S17" s="422" t="s">
        <v>2410</v>
      </c>
      <c r="T17" s="254" t="s">
        <v>3842</v>
      </c>
      <c r="U17" s="367" t="s">
        <v>3843</v>
      </c>
    </row>
    <row r="18" spans="1:21" ht="15.75" customHeight="1" thickBot="1">
      <c r="A18" s="197"/>
      <c r="B18" s="425" t="s">
        <v>2148</v>
      </c>
      <c r="C18" s="319" t="s">
        <v>137</v>
      </c>
      <c r="D18" s="319">
        <v>3</v>
      </c>
      <c r="E18" s="265">
        <f>IFERROR(SUM(E14:E17),0)</f>
        <v>0.66299999999999992</v>
      </c>
      <c r="F18" s="266">
        <f>IFERROR(SUM(F14:F17),0)</f>
        <v>0</v>
      </c>
      <c r="G18" s="197"/>
      <c r="H18" s="604" t="s">
        <v>3844</v>
      </c>
      <c r="I18" s="197"/>
      <c r="J18" s="269"/>
      <c r="K18" s="197"/>
      <c r="L18" s="2576"/>
      <c r="M18" s="251"/>
      <c r="N18" s="2571"/>
      <c r="O18" s="237"/>
      <c r="P18" s="237"/>
      <c r="Q18" s="2571"/>
      <c r="R18" s="2562"/>
      <c r="S18" s="425" t="s">
        <v>2148</v>
      </c>
      <c r="T18" s="265" t="s">
        <v>3845</v>
      </c>
      <c r="U18" s="266" t="s">
        <v>3846</v>
      </c>
    </row>
    <row r="19" spans="1:21" ht="15" customHeight="1" thickTop="1">
      <c r="A19" s="197"/>
      <c r="B19" s="197"/>
      <c r="C19" s="197"/>
      <c r="D19" s="197"/>
      <c r="E19" s="197"/>
      <c r="F19" s="197"/>
      <c r="G19" s="197"/>
      <c r="I19" s="197"/>
      <c r="J19" s="197"/>
      <c r="K19" s="197"/>
      <c r="L19" s="2562"/>
      <c r="M19" s="2562"/>
      <c r="N19" s="2572"/>
      <c r="O19" s="237"/>
      <c r="P19" s="237"/>
      <c r="Q19" s="2572"/>
      <c r="R19" s="2562"/>
      <c r="S19" s="2562"/>
      <c r="T19" s="2562"/>
      <c r="U19" s="2562"/>
    </row>
    <row r="20" spans="1:21" ht="22.5" customHeight="1">
      <c r="A20" s="197"/>
      <c r="B20" s="197"/>
      <c r="C20" s="197"/>
      <c r="D20" s="197"/>
      <c r="E20" s="197"/>
      <c r="F20" s="197"/>
      <c r="G20" s="197"/>
      <c r="I20" s="197"/>
      <c r="J20" s="197"/>
      <c r="K20" s="197"/>
      <c r="L20" s="2562"/>
      <c r="M20" s="251"/>
      <c r="N20" s="2572"/>
      <c r="O20" s="237"/>
      <c r="P20" s="237"/>
      <c r="Q20" s="2572"/>
      <c r="R20" s="2562"/>
      <c r="S20" s="2562"/>
      <c r="T20" s="2562"/>
      <c r="U20" s="2562"/>
    </row>
    <row r="21" spans="1:21" ht="22.5" customHeight="1">
      <c r="A21" s="197"/>
      <c r="B21" s="197"/>
      <c r="C21" s="197"/>
      <c r="D21" s="197"/>
      <c r="E21" s="197"/>
      <c r="F21" s="197"/>
      <c r="G21" s="197"/>
      <c r="I21" s="197"/>
      <c r="J21" s="197"/>
      <c r="K21" s="197"/>
      <c r="L21" s="2562"/>
      <c r="M21" s="2562"/>
      <c r="N21" s="2572"/>
      <c r="O21" s="237"/>
      <c r="P21" s="237"/>
      <c r="Q21" s="2572"/>
      <c r="R21" s="2562"/>
      <c r="S21" s="2562"/>
      <c r="T21" s="2562"/>
      <c r="U21" s="2562"/>
    </row>
    <row r="22" spans="1:21" ht="22.5" customHeight="1">
      <c r="A22" s="197"/>
      <c r="B22" s="197"/>
      <c r="C22" s="197"/>
      <c r="D22" s="197"/>
      <c r="E22" s="197"/>
      <c r="F22" s="197"/>
      <c r="G22" s="197"/>
      <c r="I22" s="197"/>
      <c r="J22" s="197"/>
      <c r="K22" s="197"/>
      <c r="L22" s="2562"/>
      <c r="M22" s="2562"/>
      <c r="N22" s="2572"/>
      <c r="O22" s="237"/>
      <c r="P22" s="237"/>
      <c r="Q22" s="2572"/>
      <c r="R22" s="2562"/>
      <c r="S22" s="2562"/>
      <c r="T22" s="2562"/>
      <c r="U22" s="2562"/>
    </row>
    <row r="23" spans="1:21" ht="22.5" customHeight="1">
      <c r="A23" s="197"/>
      <c r="B23" s="197"/>
      <c r="C23" s="197"/>
      <c r="D23" s="197"/>
      <c r="E23" s="197"/>
      <c r="F23" s="197"/>
      <c r="G23" s="197"/>
      <c r="I23" s="197"/>
      <c r="J23" s="197"/>
      <c r="K23" s="197"/>
      <c r="L23" s="2562"/>
      <c r="M23" s="2562"/>
      <c r="N23" s="323"/>
      <c r="O23" s="2574"/>
      <c r="P23" s="2575"/>
      <c r="Q23" s="323"/>
      <c r="R23" s="2562"/>
      <c r="S23" s="2562"/>
      <c r="T23" s="2562"/>
      <c r="U23" s="2562"/>
    </row>
    <row r="24" spans="1:21" ht="22.5" customHeight="1">
      <c r="A24" s="197"/>
      <c r="B24" s="197"/>
      <c r="C24" s="197"/>
      <c r="D24" s="197"/>
      <c r="E24" s="197"/>
      <c r="F24" s="197"/>
      <c r="G24" s="197"/>
      <c r="I24" s="197"/>
      <c r="J24" s="197"/>
      <c r="K24" s="197"/>
      <c r="L24" s="2562"/>
      <c r="M24" s="2562"/>
      <c r="N24" s="323"/>
      <c r="O24" s="237"/>
      <c r="P24" s="237"/>
      <c r="Q24" s="323"/>
      <c r="R24" s="2562"/>
      <c r="S24" s="2562"/>
      <c r="T24" s="2562"/>
      <c r="U24" s="2562"/>
    </row>
    <row r="25" spans="1:21" ht="22.5" customHeight="1">
      <c r="A25" s="197"/>
      <c r="B25" s="197"/>
      <c r="C25" s="197"/>
      <c r="D25" s="197"/>
      <c r="E25" s="197"/>
      <c r="F25" s="197"/>
      <c r="G25" s="197"/>
      <c r="I25" s="197"/>
      <c r="J25" s="197"/>
      <c r="K25" s="197"/>
      <c r="L25" s="2562"/>
      <c r="M25" s="2562"/>
      <c r="N25" s="323"/>
      <c r="O25" s="237"/>
      <c r="P25" s="237"/>
      <c r="Q25" s="323"/>
      <c r="R25" s="2562"/>
      <c r="S25" s="2562"/>
      <c r="T25" s="2562"/>
      <c r="U25" s="2562"/>
    </row>
    <row r="26" spans="1:21" ht="22.5" customHeight="1">
      <c r="A26" s="197"/>
      <c r="B26" s="197"/>
      <c r="C26" s="197"/>
      <c r="D26" s="197"/>
      <c r="E26" s="197"/>
      <c r="F26" s="197"/>
      <c r="G26" s="197"/>
      <c r="I26" s="197"/>
      <c r="J26" s="197"/>
      <c r="K26" s="197"/>
      <c r="L26" s="2562"/>
      <c r="M26" s="2562"/>
      <c r="N26" s="2572"/>
      <c r="O26" s="237"/>
      <c r="P26" s="237"/>
      <c r="Q26" s="2572"/>
      <c r="R26" s="2562"/>
      <c r="S26" s="2562"/>
      <c r="T26" s="2562"/>
      <c r="U26" s="2562"/>
    </row>
    <row r="27" spans="1:21" ht="22.5" customHeight="1">
      <c r="A27" s="197"/>
      <c r="B27" s="197"/>
      <c r="C27" s="197"/>
      <c r="D27" s="197"/>
      <c r="E27" s="197"/>
      <c r="F27" s="197"/>
      <c r="G27" s="197"/>
      <c r="I27" s="197"/>
      <c r="J27" s="197"/>
      <c r="K27" s="197"/>
      <c r="L27" s="2562"/>
      <c r="M27" s="2562"/>
      <c r="N27" s="2572"/>
      <c r="O27" s="237"/>
      <c r="P27" s="237"/>
      <c r="Q27" s="2572"/>
      <c r="R27" s="2562"/>
      <c r="S27" s="2562"/>
      <c r="T27" s="2562"/>
      <c r="U27" s="2562"/>
    </row>
  </sheetData>
  <sheetProtection formatColumns="0" formatRows="0"/>
  <mergeCells count="3">
    <mergeCell ref="B3:J3"/>
    <mergeCell ref="S3:U3"/>
    <mergeCell ref="O4:P4"/>
  </mergeCells>
  <conditionalFormatting sqref="M8:M18">
    <cfRule type="cellIs" dxfId="166" priority="1" operator="equal">
      <formula>0</formula>
    </cfRule>
  </conditionalFormatting>
  <conditionalFormatting sqref="M20">
    <cfRule type="cellIs" dxfId="165" priority="8" operator="equal">
      <formula>0</formula>
    </cfRule>
  </conditionalFormatting>
  <conditionalFormatting sqref="M22">
    <cfRule type="cellIs" dxfId="164" priority="7" operator="equal">
      <formula>0</formula>
    </cfRule>
  </conditionalFormatting>
  <conditionalFormatting sqref="M25:M26">
    <cfRule type="cellIs" dxfId="163"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Normal="100" zoomScaleSheetLayoutView="100" workbookViewId="0">
      <selection activeCell="E8" sqref="E8:G16"/>
    </sheetView>
  </sheetViews>
  <sheetFormatPr defaultColWidth="9" defaultRowHeight="15.5"/>
  <cols>
    <col min="1" max="1" width="1.58203125" style="219" customWidth="1"/>
    <col min="2" max="2" width="39.58203125" style="219" bestFit="1" customWidth="1"/>
    <col min="3" max="3" width="7" style="219" customWidth="1"/>
    <col min="4" max="4" width="6.58203125" style="219" customWidth="1"/>
    <col min="5" max="7" width="12.5" style="219" customWidth="1"/>
    <col min="8" max="8" width="2.58203125" style="219" customWidth="1"/>
    <col min="9" max="9" width="12.5" style="634" customWidth="1"/>
    <col min="10" max="10" width="1.58203125" style="219" customWidth="1"/>
    <col min="11" max="11" width="33.58203125" style="219" customWidth="1"/>
    <col min="12" max="12" width="1.58203125" style="219" customWidth="1"/>
    <col min="13" max="13" width="1.58203125" style="220" customWidth="1"/>
    <col min="14" max="14" width="25.08203125" style="220" customWidth="1"/>
    <col min="15" max="15" width="1.58203125" style="230" customWidth="1"/>
    <col min="16" max="17" width="12.5" style="230" hidden="1" customWidth="1"/>
    <col min="18" max="18" width="1.58203125" style="230" hidden="1" customWidth="1"/>
    <col min="19" max="19" width="1.58203125" style="219" customWidth="1"/>
    <col min="20" max="20" width="36.08203125" style="219" customWidth="1"/>
    <col min="21" max="23" width="15" style="219" customWidth="1"/>
    <col min="24" max="24" width="1.58203125" style="219" customWidth="1"/>
    <col min="25" max="16384" width="9" style="219"/>
  </cols>
  <sheetData>
    <row r="1" spans="1:23" s="626" customFormat="1" ht="30" customHeight="1">
      <c r="B1" s="2771" t="s">
        <v>3847</v>
      </c>
      <c r="C1" s="2771"/>
      <c r="D1" s="2771"/>
      <c r="E1" s="2771"/>
      <c r="F1" s="2771"/>
      <c r="G1" s="627"/>
      <c r="H1" s="628"/>
      <c r="I1" s="629"/>
      <c r="M1" s="305"/>
      <c r="N1" s="251"/>
      <c r="O1" s="2571"/>
      <c r="P1" s="2572"/>
      <c r="Q1" s="2572"/>
      <c r="R1" s="2571"/>
      <c r="T1" s="2771" t="s">
        <v>1887</v>
      </c>
      <c r="U1" s="2771"/>
      <c r="V1" s="2771"/>
      <c r="W1" s="627"/>
    </row>
    <row r="2" spans="1:23" s="626" customFormat="1" ht="30" customHeight="1">
      <c r="B2" s="2771" t="str">
        <f>SelectCompany!B4</f>
        <v>Yorkshire Water</v>
      </c>
      <c r="C2" s="2771"/>
      <c r="D2" s="2771"/>
      <c r="E2" s="2771"/>
      <c r="F2" s="2771"/>
      <c r="G2" s="491"/>
      <c r="H2" s="628"/>
      <c r="I2" s="629"/>
      <c r="M2" s="305"/>
      <c r="N2" s="251"/>
      <c r="O2" s="2571"/>
      <c r="P2" s="2572"/>
      <c r="Q2" s="2572"/>
      <c r="R2" s="2571"/>
      <c r="T2" s="2771"/>
      <c r="U2" s="2771"/>
      <c r="V2" s="2771"/>
      <c r="W2" s="491"/>
    </row>
    <row r="3" spans="1:23" s="221" customFormat="1" ht="45" customHeight="1">
      <c r="B3" s="2689" t="s">
        <v>3848</v>
      </c>
      <c r="C3" s="2689"/>
      <c r="D3" s="2689"/>
      <c r="E3" s="2689"/>
      <c r="F3" s="2689"/>
      <c r="G3" s="2689"/>
      <c r="H3" s="2689"/>
      <c r="I3" s="2689"/>
      <c r="J3" s="2689"/>
      <c r="K3" s="2689"/>
      <c r="M3" s="307"/>
      <c r="N3" s="232" t="s">
        <v>1889</v>
      </c>
      <c r="O3" s="2571"/>
      <c r="P3" s="2572"/>
      <c r="Q3" s="2572"/>
      <c r="R3" s="2571"/>
      <c r="T3" s="2689" t="s">
        <v>3848</v>
      </c>
      <c r="U3" s="2689"/>
      <c r="V3" s="2689"/>
      <c r="W3" s="2689"/>
    </row>
    <row r="4" spans="1:23" s="221" customFormat="1" ht="12" customHeight="1" thickBot="1">
      <c r="B4" s="594"/>
      <c r="C4" s="594"/>
      <c r="D4" s="594"/>
      <c r="E4" s="594"/>
      <c r="F4" s="594"/>
      <c r="G4" s="594"/>
      <c r="H4" s="2560"/>
      <c r="I4" s="629"/>
      <c r="M4" s="2576"/>
      <c r="N4" s="251"/>
      <c r="O4" s="2571"/>
      <c r="P4" s="2662" t="s">
        <v>1890</v>
      </c>
      <c r="Q4" s="2662"/>
      <c r="R4" s="2571"/>
      <c r="T4" s="594"/>
      <c r="U4" s="594"/>
      <c r="V4" s="594"/>
      <c r="W4" s="594"/>
    </row>
    <row r="5" spans="1:23" ht="55.5" customHeight="1" thickTop="1" thickBot="1">
      <c r="A5" s="222"/>
      <c r="B5" s="407" t="s">
        <v>1891</v>
      </c>
      <c r="C5" s="408" t="s">
        <v>1892</v>
      </c>
      <c r="D5" s="408" t="s">
        <v>136</v>
      </c>
      <c r="E5" s="408" t="s">
        <v>3849</v>
      </c>
      <c r="F5" s="408" t="s">
        <v>3850</v>
      </c>
      <c r="G5" s="409" t="s">
        <v>2112</v>
      </c>
      <c r="H5" s="222"/>
      <c r="I5" s="411" t="s">
        <v>1896</v>
      </c>
      <c r="J5" s="222"/>
      <c r="K5" s="411" t="s">
        <v>1897</v>
      </c>
      <c r="L5" s="222"/>
      <c r="M5" s="2576"/>
      <c r="N5" s="251"/>
      <c r="O5" s="2571"/>
      <c r="P5" s="236" t="s">
        <v>1898</v>
      </c>
      <c r="Q5" s="237"/>
      <c r="R5" s="2571"/>
      <c r="S5" s="2560"/>
      <c r="T5" s="407" t="s">
        <v>1891</v>
      </c>
      <c r="U5" s="408" t="s">
        <v>3849</v>
      </c>
      <c r="V5" s="408" t="s">
        <v>3850</v>
      </c>
      <c r="W5" s="409" t="s">
        <v>2112</v>
      </c>
    </row>
    <row r="6" spans="1:23" ht="12.75" customHeight="1" thickTop="1" thickBot="1">
      <c r="A6" s="222"/>
      <c r="B6" s="444"/>
      <c r="C6" s="444"/>
      <c r="D6" s="444"/>
      <c r="E6" s="630"/>
      <c r="F6" s="630"/>
      <c r="G6" s="630"/>
      <c r="H6" s="222"/>
      <c r="I6" s="631"/>
      <c r="J6" s="222"/>
      <c r="K6" s="222"/>
      <c r="L6" s="222"/>
      <c r="M6" s="2576"/>
      <c r="N6" s="251"/>
      <c r="O6" s="2571"/>
      <c r="P6" s="2562"/>
      <c r="Q6" s="2562"/>
      <c r="R6" s="2571"/>
      <c r="S6" s="2560"/>
      <c r="T6" s="444"/>
      <c r="U6" s="630"/>
      <c r="V6" s="630"/>
      <c r="W6" s="630"/>
    </row>
    <row r="7" spans="1:23" ht="15.75" customHeight="1" thickTop="1" thickBot="1">
      <c r="A7" s="222"/>
      <c r="B7" s="355" t="s">
        <v>3851</v>
      </c>
      <c r="C7" s="356"/>
      <c r="D7" s="356"/>
      <c r="E7" s="106"/>
      <c r="F7" s="106"/>
      <c r="G7" s="565"/>
      <c r="H7" s="222"/>
      <c r="I7" s="629"/>
      <c r="J7" s="222"/>
      <c r="K7" s="222"/>
      <c r="L7" s="222"/>
      <c r="M7" s="2576"/>
      <c r="N7" s="251"/>
      <c r="O7" s="2571"/>
      <c r="P7" s="2573"/>
      <c r="Q7" s="2573"/>
      <c r="R7" s="2571"/>
      <c r="S7" s="2560"/>
      <c r="T7" s="355" t="s">
        <v>3851</v>
      </c>
      <c r="U7" s="106"/>
      <c r="V7" s="106"/>
      <c r="W7" s="565"/>
    </row>
    <row r="8" spans="1:23" ht="15.75" customHeight="1" thickTop="1">
      <c r="A8" s="222"/>
      <c r="B8" s="413" t="s">
        <v>3852</v>
      </c>
      <c r="C8" s="244" t="s">
        <v>137</v>
      </c>
      <c r="D8" s="244">
        <v>3</v>
      </c>
      <c r="E8" s="314">
        <v>1.8089999999999999</v>
      </c>
      <c r="F8" s="314">
        <v>2.5649999999999999</v>
      </c>
      <c r="G8" s="247">
        <f>IFERROR(SUM(E8:F8),0)</f>
        <v>4.3739999999999997</v>
      </c>
      <c r="H8" s="388"/>
      <c r="I8" s="600" t="s">
        <v>3853</v>
      </c>
      <c r="J8" s="222"/>
      <c r="K8" s="250"/>
      <c r="L8" s="222"/>
      <c r="M8" s="2576"/>
      <c r="N8" s="251"/>
      <c r="O8" s="2571"/>
      <c r="P8" s="237"/>
      <c r="Q8" s="237"/>
      <c r="R8" s="2571"/>
      <c r="S8" s="2560"/>
      <c r="T8" s="413" t="s">
        <v>3852</v>
      </c>
      <c r="U8" s="314" t="s">
        <v>3854</v>
      </c>
      <c r="V8" s="314" t="s">
        <v>1793</v>
      </c>
      <c r="W8" s="247" t="s">
        <v>3855</v>
      </c>
    </row>
    <row r="9" spans="1:23" ht="15.75" customHeight="1">
      <c r="A9" s="222"/>
      <c r="B9" s="422" t="s">
        <v>3856</v>
      </c>
      <c r="C9" s="253" t="s">
        <v>137</v>
      </c>
      <c r="D9" s="253">
        <v>3</v>
      </c>
      <c r="E9" s="254">
        <v>0.01</v>
      </c>
      <c r="F9" s="254">
        <v>1.0229999999999999</v>
      </c>
      <c r="G9" s="256">
        <f>IFERROR(SUM(E9:F9),0)</f>
        <v>1.0329999999999999</v>
      </c>
      <c r="H9" s="388"/>
      <c r="I9" s="603" t="s">
        <v>3857</v>
      </c>
      <c r="J9" s="222"/>
      <c r="K9" s="258"/>
      <c r="L9" s="222"/>
      <c r="M9" s="2576"/>
      <c r="N9" s="251">
        <f>IF( SUM( P9:Q9 ) = 0, 0, $P$5 )</f>
        <v>0</v>
      </c>
      <c r="O9" s="2571"/>
      <c r="P9" s="252">
        <f xml:space="preserve"> IF( ISNUMBER(E9 ), 0, 1 )</f>
        <v>0</v>
      </c>
      <c r="Q9" s="252">
        <f xml:space="preserve"> IF( ISNUMBER(F9 ), 0, 1 )</f>
        <v>0</v>
      </c>
      <c r="R9" s="2571"/>
      <c r="S9" s="2560"/>
      <c r="T9" s="422" t="s">
        <v>3856</v>
      </c>
      <c r="U9" s="254" t="s">
        <v>3858</v>
      </c>
      <c r="V9" s="254" t="s">
        <v>3859</v>
      </c>
      <c r="W9" s="256" t="s">
        <v>3860</v>
      </c>
    </row>
    <row r="10" spans="1:23" ht="15.75" customHeight="1" thickBot="1">
      <c r="A10" s="222"/>
      <c r="B10" s="425" t="s">
        <v>3861</v>
      </c>
      <c r="C10" s="319" t="s">
        <v>137</v>
      </c>
      <c r="D10" s="319">
        <v>3</v>
      </c>
      <c r="E10" s="265">
        <f>IFERROR(SUM(E8:E9),0)</f>
        <v>1.819</v>
      </c>
      <c r="F10" s="265">
        <f>IFERROR(SUM(F8:F9),0)</f>
        <v>3.5880000000000001</v>
      </c>
      <c r="G10" s="266">
        <f>IFERROR(SUM(E10:F10),0)</f>
        <v>5.407</v>
      </c>
      <c r="H10" s="388"/>
      <c r="I10" s="604" t="s">
        <v>3862</v>
      </c>
      <c r="J10" s="222"/>
      <c r="K10" s="269"/>
      <c r="L10" s="222"/>
      <c r="M10" s="2576"/>
      <c r="N10" s="251"/>
      <c r="O10" s="2571"/>
      <c r="P10" s="237"/>
      <c r="Q10" s="237"/>
      <c r="R10" s="2571"/>
      <c r="S10" s="2560"/>
      <c r="T10" s="425" t="s">
        <v>3861</v>
      </c>
      <c r="U10" s="265" t="s">
        <v>3863</v>
      </c>
      <c r="V10" s="265" t="s">
        <v>3864</v>
      </c>
      <c r="W10" s="266" t="s">
        <v>3865</v>
      </c>
    </row>
    <row r="11" spans="1:23" ht="15.75" customHeight="1" thickTop="1" thickBot="1">
      <c r="A11" s="222"/>
      <c r="B11" s="340"/>
      <c r="C11" s="340"/>
      <c r="D11" s="632"/>
      <c r="E11" s="329"/>
      <c r="F11" s="329"/>
      <c r="G11" s="329"/>
      <c r="H11" s="222"/>
      <c r="I11" s="270"/>
      <c r="J11" s="222"/>
      <c r="K11" s="222"/>
      <c r="L11" s="222"/>
      <c r="M11" s="2576"/>
      <c r="N11" s="251"/>
      <c r="O11" s="2571"/>
      <c r="P11" s="237"/>
      <c r="Q11" s="237"/>
      <c r="R11" s="2571"/>
      <c r="S11" s="2560"/>
      <c r="T11" s="340"/>
      <c r="U11" s="329"/>
      <c r="V11" s="329"/>
      <c r="W11" s="329"/>
    </row>
    <row r="12" spans="1:23" ht="15.75" customHeight="1" thickTop="1" thickBot="1">
      <c r="A12" s="222"/>
      <c r="B12" s="355" t="s">
        <v>3866</v>
      </c>
      <c r="C12" s="356"/>
      <c r="D12" s="633"/>
      <c r="E12" s="274"/>
      <c r="F12" s="274"/>
      <c r="G12" s="564"/>
      <c r="H12" s="222"/>
      <c r="I12" s="270"/>
      <c r="J12" s="222"/>
      <c r="K12" s="222"/>
      <c r="L12" s="222"/>
      <c r="M12" s="2576"/>
      <c r="N12" s="251"/>
      <c r="O12" s="2571"/>
      <c r="P12" s="237"/>
      <c r="Q12" s="237"/>
      <c r="R12" s="2571"/>
      <c r="S12" s="2560"/>
      <c r="T12" s="355" t="s">
        <v>3866</v>
      </c>
      <c r="U12" s="274"/>
      <c r="V12" s="274"/>
      <c r="W12" s="564"/>
    </row>
    <row r="13" spans="1:23" s="220" customFormat="1" ht="15.75" customHeight="1" thickTop="1">
      <c r="A13" s="197"/>
      <c r="B13" s="413" t="s">
        <v>3867</v>
      </c>
      <c r="C13" s="244" t="s">
        <v>137</v>
      </c>
      <c r="D13" s="244">
        <v>3</v>
      </c>
      <c r="E13" s="245">
        <v>-3.6469999999999998</v>
      </c>
      <c r="F13" s="245">
        <v>8.9760000000000009</v>
      </c>
      <c r="G13" s="247">
        <f>IFERROR(SUM(E13:F13),0)</f>
        <v>5.3290000000000006</v>
      </c>
      <c r="H13" s="200"/>
      <c r="I13" s="600" t="s">
        <v>3868</v>
      </c>
      <c r="J13" s="197"/>
      <c r="K13" s="250"/>
      <c r="L13" s="197"/>
      <c r="M13" s="2576"/>
      <c r="N13" s="251">
        <f>IF( SUM( P13:Q13 ) = 0, 0, $P$5 )</f>
        <v>0</v>
      </c>
      <c r="O13" s="2571"/>
      <c r="P13" s="252">
        <f t="shared" ref="P13:Q13" si="0" xml:space="preserve"> IF( ISNUMBER(E13 ), 0, 1 )</f>
        <v>0</v>
      </c>
      <c r="Q13" s="252">
        <f t="shared" si="0"/>
        <v>0</v>
      </c>
      <c r="R13" s="2571"/>
      <c r="S13" s="2562"/>
      <c r="T13" s="413" t="s">
        <v>3867</v>
      </c>
      <c r="U13" s="245" t="s">
        <v>3869</v>
      </c>
      <c r="V13" s="245" t="s">
        <v>3870</v>
      </c>
      <c r="W13" s="247" t="s">
        <v>3871</v>
      </c>
    </row>
    <row r="14" spans="1:23" s="220" customFormat="1" ht="15.75" customHeight="1">
      <c r="A14" s="197"/>
      <c r="B14" s="422" t="s">
        <v>1902</v>
      </c>
      <c r="C14" s="253" t="s">
        <v>137</v>
      </c>
      <c r="D14" s="253">
        <v>3</v>
      </c>
      <c r="E14" s="343">
        <f>IFERROR(E8,0)</f>
        <v>1.8089999999999999</v>
      </c>
      <c r="F14" s="343">
        <f>IFERROR(F8,0)</f>
        <v>2.5649999999999999</v>
      </c>
      <c r="G14" s="256">
        <f>IFERROR(SUM(E14:F14),0)</f>
        <v>4.3739999999999997</v>
      </c>
      <c r="H14" s="200"/>
      <c r="I14" s="603" t="s">
        <v>3872</v>
      </c>
      <c r="J14" s="197"/>
      <c r="K14" s="258"/>
      <c r="L14" s="197"/>
      <c r="M14" s="2576"/>
      <c r="N14" s="251"/>
      <c r="O14" s="2571"/>
      <c r="P14" s="237"/>
      <c r="Q14" s="237"/>
      <c r="R14" s="2571"/>
      <c r="S14" s="2562"/>
      <c r="T14" s="422" t="s">
        <v>1902</v>
      </c>
      <c r="U14" s="343" t="s">
        <v>3854</v>
      </c>
      <c r="V14" s="343" t="s">
        <v>1793</v>
      </c>
      <c r="W14" s="256" t="s">
        <v>3855</v>
      </c>
    </row>
    <row r="15" spans="1:23" s="220" customFormat="1" ht="15.75" customHeight="1">
      <c r="A15" s="197"/>
      <c r="B15" s="422" t="s">
        <v>3873</v>
      </c>
      <c r="C15" s="253" t="s">
        <v>137</v>
      </c>
      <c r="D15" s="253">
        <v>3</v>
      </c>
      <c r="E15" s="255">
        <f>IFERROR('2J'!E11*(-1),0)</f>
        <v>-7.8379999999999992</v>
      </c>
      <c r="F15" s="255">
        <f>IFERROR('2J'!E18*(-1),0)</f>
        <v>-0.66299999999999992</v>
      </c>
      <c r="G15" s="256">
        <f>IFERROR(SUM(E15:F15),0)</f>
        <v>-8.5009999999999994</v>
      </c>
      <c r="H15" s="200"/>
      <c r="I15" s="603" t="s">
        <v>3874</v>
      </c>
      <c r="J15" s="197"/>
      <c r="K15" s="258"/>
      <c r="L15" s="197"/>
      <c r="M15" s="2576"/>
      <c r="N15" s="251"/>
      <c r="O15" s="2571"/>
      <c r="P15" s="237"/>
      <c r="Q15" s="237"/>
      <c r="R15" s="2571"/>
      <c r="S15" s="2562"/>
      <c r="T15" s="422" t="s">
        <v>3873</v>
      </c>
      <c r="U15" s="255" t="s">
        <v>3875</v>
      </c>
      <c r="V15" s="255" t="s">
        <v>3876</v>
      </c>
      <c r="W15" s="256" t="s">
        <v>3877</v>
      </c>
    </row>
    <row r="16" spans="1:23" s="220" customFormat="1" ht="15.75" customHeight="1" thickBot="1">
      <c r="A16" s="197"/>
      <c r="B16" s="425" t="s">
        <v>3878</v>
      </c>
      <c r="C16" s="319" t="s">
        <v>137</v>
      </c>
      <c r="D16" s="319">
        <v>3</v>
      </c>
      <c r="E16" s="265">
        <f>IFERROR(SUM(E13:E15),0)</f>
        <v>-9.6759999999999984</v>
      </c>
      <c r="F16" s="265">
        <f>IFERROR(SUM(F13:F15),0)</f>
        <v>10.878</v>
      </c>
      <c r="G16" s="266">
        <f>IFERROR(SUM(E16:F16),0)</f>
        <v>1.2020000000000017</v>
      </c>
      <c r="H16" s="200"/>
      <c r="I16" s="604" t="s">
        <v>3879</v>
      </c>
      <c r="J16" s="197"/>
      <c r="K16" s="269"/>
      <c r="L16" s="197"/>
      <c r="M16" s="2576"/>
      <c r="N16" s="251"/>
      <c r="O16" s="2571"/>
      <c r="P16" s="237"/>
      <c r="Q16" s="237"/>
      <c r="R16" s="2571"/>
      <c r="S16" s="2562"/>
      <c r="T16" s="425" t="s">
        <v>3878</v>
      </c>
      <c r="U16" s="265" t="s">
        <v>3880</v>
      </c>
      <c r="V16" s="265" t="s">
        <v>3881</v>
      </c>
      <c r="W16" s="266" t="s">
        <v>3882</v>
      </c>
    </row>
    <row r="17" spans="1:18" s="220" customFormat="1" ht="16" thickTop="1">
      <c r="A17" s="197"/>
      <c r="B17" s="322"/>
      <c r="C17" s="322"/>
      <c r="D17" s="322"/>
      <c r="E17" s="83"/>
      <c r="F17" s="83"/>
      <c r="G17" s="83"/>
      <c r="H17" s="197"/>
      <c r="I17" s="629"/>
      <c r="J17" s="197"/>
      <c r="K17" s="197"/>
      <c r="L17" s="197"/>
      <c r="M17" s="2562"/>
      <c r="N17" s="2560"/>
      <c r="O17" s="2572"/>
      <c r="P17" s="237"/>
      <c r="Q17" s="237"/>
      <c r="R17" s="2572"/>
    </row>
    <row r="18" spans="1:18">
      <c r="A18" s="222"/>
      <c r="B18" s="322"/>
      <c r="C18" s="322"/>
      <c r="D18" s="322"/>
      <c r="E18" s="222"/>
      <c r="F18" s="222"/>
      <c r="G18" s="222"/>
      <c r="H18" s="222"/>
      <c r="J18" s="222"/>
      <c r="K18" s="222"/>
      <c r="L18" s="222"/>
      <c r="M18" s="2562"/>
      <c r="N18" s="2560"/>
      <c r="O18" s="2572"/>
      <c r="P18" s="237"/>
      <c r="Q18" s="237"/>
      <c r="R18" s="2572"/>
    </row>
    <row r="19" spans="1:18">
      <c r="A19" s="222"/>
      <c r="B19" s="222"/>
      <c r="C19" s="222"/>
      <c r="D19" s="222"/>
      <c r="E19" s="222"/>
      <c r="F19" s="222"/>
      <c r="G19" s="222"/>
      <c r="H19" s="222"/>
      <c r="J19" s="222"/>
      <c r="K19" s="222"/>
      <c r="L19" s="222"/>
      <c r="M19" s="2562"/>
      <c r="N19" s="2560"/>
      <c r="O19" s="2572"/>
      <c r="P19" s="237"/>
      <c r="Q19" s="237"/>
      <c r="R19" s="2572"/>
    </row>
    <row r="20" spans="1:18">
      <c r="A20" s="222"/>
      <c r="B20" s="222"/>
      <c r="C20" s="222"/>
      <c r="D20" s="222"/>
      <c r="E20" s="222"/>
      <c r="F20" s="222"/>
      <c r="G20" s="222"/>
      <c r="H20" s="222"/>
      <c r="J20" s="222"/>
      <c r="K20" s="222"/>
      <c r="L20" s="222"/>
      <c r="M20" s="2562"/>
      <c r="N20" s="2560"/>
      <c r="O20" s="2572"/>
      <c r="P20" s="237"/>
      <c r="Q20" s="237"/>
      <c r="R20" s="2572"/>
    </row>
    <row r="21" spans="1:18">
      <c r="A21" s="222"/>
      <c r="B21" s="222"/>
      <c r="C21" s="222"/>
      <c r="D21" s="222"/>
      <c r="E21" s="222"/>
      <c r="F21" s="222"/>
      <c r="G21" s="222"/>
      <c r="H21" s="222"/>
      <c r="J21" s="222"/>
      <c r="K21" s="222"/>
      <c r="L21" s="222"/>
      <c r="M21" s="2562"/>
      <c r="N21" s="2560"/>
      <c r="O21" s="2572"/>
      <c r="P21" s="237"/>
      <c r="Q21" s="237"/>
      <c r="R21" s="2572"/>
    </row>
    <row r="22" spans="1:18">
      <c r="A22" s="222"/>
      <c r="B22" s="222"/>
      <c r="C22" s="222"/>
      <c r="D22" s="222"/>
      <c r="E22" s="222"/>
      <c r="F22" s="222"/>
      <c r="G22" s="222"/>
      <c r="H22" s="222"/>
      <c r="J22" s="222"/>
      <c r="K22" s="222"/>
      <c r="L22" s="222"/>
      <c r="M22" s="2562"/>
      <c r="N22" s="2560"/>
      <c r="O22" s="2572"/>
      <c r="P22" s="237"/>
      <c r="Q22" s="237"/>
      <c r="R22" s="2572"/>
    </row>
    <row r="23" spans="1:18">
      <c r="A23" s="222"/>
      <c r="B23" s="222"/>
      <c r="C23" s="222"/>
      <c r="D23" s="222"/>
      <c r="E23" s="222"/>
      <c r="F23" s="222"/>
      <c r="G23" s="222"/>
      <c r="H23" s="222"/>
      <c r="J23" s="222"/>
      <c r="K23" s="222"/>
      <c r="L23" s="222"/>
      <c r="M23" s="2562"/>
      <c r="N23" s="2560"/>
      <c r="O23" s="323"/>
      <c r="P23" s="2574"/>
      <c r="Q23" s="2575"/>
      <c r="R23" s="323"/>
    </row>
  </sheetData>
  <sheetProtection formatColumns="0" formatRows="0"/>
  <mergeCells count="7">
    <mergeCell ref="P4:Q4"/>
    <mergeCell ref="B1:F1"/>
    <mergeCell ref="T1:V1"/>
    <mergeCell ref="B2:F2"/>
    <mergeCell ref="T2:V2"/>
    <mergeCell ref="B3:K3"/>
    <mergeCell ref="T3:W3"/>
  </mergeCells>
  <conditionalFormatting sqref="N1:N2">
    <cfRule type="cellIs" dxfId="162" priority="3" operator="equal">
      <formula>0</formula>
    </cfRule>
  </conditionalFormatting>
  <conditionalFormatting sqref="N4:N16">
    <cfRule type="cellIs" dxfId="16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tabColor theme="2" tint="-0.499984740745262"/>
    <pageSetUpPr fitToPage="1"/>
  </sheetPr>
  <dimension ref="A1:AR41"/>
  <sheetViews>
    <sheetView showGridLines="0" zoomScaleNormal="100" zoomScaleSheetLayoutView="100" workbookViewId="0"/>
  </sheetViews>
  <sheetFormatPr defaultColWidth="8.58203125" defaultRowHeight="14"/>
  <cols>
    <col min="1" max="1" width="1.58203125" style="220" customWidth="1"/>
    <col min="2" max="2" width="34.08203125" style="220" bestFit="1" customWidth="1"/>
    <col min="3" max="3" width="10.08203125" style="220" bestFit="1" customWidth="1"/>
    <col min="4" max="4" width="13.08203125" style="220" bestFit="1" customWidth="1"/>
    <col min="5" max="5" width="12.5" style="220" customWidth="1"/>
    <col min="6" max="6" width="11.58203125" style="220" bestFit="1" customWidth="1"/>
    <col min="7" max="7" width="21.58203125" style="220" customWidth="1"/>
    <col min="8" max="8" width="18" style="220" customWidth="1"/>
    <col min="9" max="9" width="19.58203125" style="220" customWidth="1"/>
    <col min="10" max="10" width="20.58203125" style="220" customWidth="1"/>
    <col min="11" max="11" width="9" style="220" customWidth="1"/>
    <col min="12" max="12" width="22.5" style="220" customWidth="1"/>
    <col min="13" max="13" width="1.58203125" style="220" customWidth="1"/>
    <col min="14" max="14" width="9.08203125" style="220" bestFit="1" customWidth="1"/>
    <col min="15" max="15" width="1.58203125" style="220" customWidth="1"/>
    <col min="16" max="16" width="28.58203125" style="220" customWidth="1"/>
    <col min="17" max="18" width="1.58203125" style="220" customWidth="1"/>
    <col min="19" max="19" width="20.58203125" style="220" bestFit="1" customWidth="1"/>
    <col min="20" max="20" width="1.58203125" style="230" customWidth="1"/>
    <col min="21" max="21" width="20.58203125" style="230" hidden="1" customWidth="1"/>
    <col min="22" max="22" width="1.58203125" style="230" hidden="1" customWidth="1"/>
    <col min="23" max="23" width="5.58203125" style="230" hidden="1" customWidth="1"/>
    <col min="24" max="24" width="1.58203125" style="230" hidden="1" customWidth="1"/>
    <col min="25" max="25" width="5.58203125" style="230" hidden="1" customWidth="1"/>
    <col min="26" max="27" width="1.58203125" style="230" hidden="1" customWidth="1"/>
    <col min="28" max="28" width="5.58203125" style="230" hidden="1" customWidth="1"/>
    <col min="29" max="31" width="1.58203125" style="230" hidden="1" customWidth="1"/>
    <col min="32" max="32" width="1.58203125" style="220" customWidth="1"/>
    <col min="33" max="33" width="34.08203125" style="220" bestFit="1" customWidth="1"/>
    <col min="34" max="34" width="12.5" style="220" customWidth="1"/>
    <col min="35" max="35" width="14.08203125" style="220" bestFit="1" customWidth="1"/>
    <col min="36" max="37" width="12.5" style="220" customWidth="1"/>
    <col min="38" max="38" width="14.08203125" style="220" bestFit="1" customWidth="1"/>
    <col min="39" max="39" width="12.08203125" style="220" bestFit="1" customWidth="1"/>
    <col min="40" max="40" width="14.08203125" style="220" bestFit="1" customWidth="1"/>
    <col min="41" max="41" width="15.58203125" style="220" bestFit="1" customWidth="1"/>
    <col min="42" max="42" width="12.5" style="220" customWidth="1"/>
    <col min="43" max="43" width="15.58203125" style="220" bestFit="1" customWidth="1"/>
    <col min="44" max="44" width="1.58203125" style="220" customWidth="1"/>
    <col min="45" max="16384" width="8.58203125" style="220"/>
  </cols>
  <sheetData>
    <row r="1" spans="1:44" s="351" customFormat="1" ht="22.5">
      <c r="A1" s="351" t="s">
        <v>3883</v>
      </c>
      <c r="B1" s="2673" t="s">
        <v>3884</v>
      </c>
      <c r="C1" s="2673"/>
      <c r="D1" s="2673"/>
      <c r="E1" s="2673"/>
      <c r="F1" s="2673"/>
      <c r="G1" s="2673"/>
      <c r="H1" s="2673"/>
      <c r="I1" s="2673"/>
      <c r="J1" s="523"/>
      <c r="K1" s="523"/>
      <c r="L1" s="523"/>
      <c r="M1" s="523"/>
      <c r="R1" s="305"/>
      <c r="S1" s="251"/>
      <c r="T1" s="2577"/>
      <c r="U1" s="2572"/>
      <c r="V1" s="2572"/>
      <c r="W1" s="2572"/>
      <c r="X1" s="2572"/>
      <c r="Y1" s="2572"/>
      <c r="Z1" s="2572"/>
      <c r="AA1" s="2572"/>
      <c r="AB1" s="2572"/>
      <c r="AC1" s="2572"/>
      <c r="AD1" s="2572"/>
      <c r="AE1" s="2577"/>
      <c r="AG1" s="2673" t="s">
        <v>1887</v>
      </c>
      <c r="AH1" s="2673"/>
      <c r="AI1" s="2673"/>
      <c r="AJ1" s="2673"/>
      <c r="AK1" s="2673"/>
      <c r="AL1" s="2673"/>
      <c r="AM1" s="2673"/>
      <c r="AN1" s="2673"/>
      <c r="AO1" s="2673"/>
      <c r="AP1" s="2673"/>
      <c r="AQ1" s="2673"/>
    </row>
    <row r="2" spans="1:44" s="351" customFormat="1" ht="22.5">
      <c r="B2" s="2673" t="str">
        <f>SelectCompany!B4</f>
        <v>Yorkshire Water</v>
      </c>
      <c r="C2" s="2673"/>
      <c r="D2" s="2673"/>
      <c r="E2" s="2673"/>
      <c r="F2" s="2673"/>
      <c r="G2" s="491"/>
      <c r="H2" s="491"/>
      <c r="I2" s="491"/>
      <c r="J2" s="491"/>
      <c r="K2" s="491"/>
      <c r="L2" s="491"/>
      <c r="M2" s="491"/>
      <c r="R2" s="305"/>
      <c r="S2" s="251"/>
      <c r="T2" s="2577"/>
      <c r="U2" s="2572"/>
      <c r="V2" s="2572"/>
      <c r="W2" s="2572"/>
      <c r="X2" s="2572"/>
      <c r="Y2" s="2572"/>
      <c r="Z2" s="2572"/>
      <c r="AA2" s="2572"/>
      <c r="AB2" s="2572"/>
      <c r="AC2" s="2572"/>
      <c r="AD2" s="2572"/>
      <c r="AE2" s="2577"/>
      <c r="AG2" s="2673"/>
      <c r="AH2" s="2673"/>
      <c r="AI2" s="2673"/>
      <c r="AJ2" s="2673"/>
      <c r="AK2" s="2673"/>
      <c r="AL2" s="491"/>
      <c r="AM2" s="491"/>
      <c r="AN2" s="491"/>
      <c r="AO2" s="491"/>
      <c r="AP2" s="491"/>
      <c r="AQ2" s="491"/>
    </row>
    <row r="3" spans="1:44" ht="19">
      <c r="A3" s="2562"/>
      <c r="B3" s="2688" t="s">
        <v>3885</v>
      </c>
      <c r="C3" s="2689"/>
      <c r="D3" s="2689"/>
      <c r="E3" s="2689"/>
      <c r="F3" s="2689"/>
      <c r="G3" s="2689"/>
      <c r="H3" s="2689"/>
      <c r="I3" s="2689"/>
      <c r="J3" s="2689"/>
      <c r="K3" s="2689"/>
      <c r="L3" s="2689"/>
      <c r="M3" s="2689"/>
      <c r="N3" s="2689"/>
      <c r="O3" s="2689"/>
      <c r="P3" s="2689"/>
      <c r="Q3" s="2562"/>
      <c r="R3" s="307"/>
      <c r="S3" s="387" t="s">
        <v>1889</v>
      </c>
      <c r="T3" s="2577"/>
      <c r="U3" s="2662" t="s">
        <v>1890</v>
      </c>
      <c r="V3" s="2662"/>
      <c r="W3" s="2662"/>
      <c r="X3" s="2662"/>
      <c r="Y3" s="2662"/>
      <c r="Z3" s="2662"/>
      <c r="AA3" s="2662"/>
      <c r="AB3" s="2662"/>
      <c r="AC3" s="2662"/>
      <c r="AD3" s="2662"/>
      <c r="AE3" s="2577"/>
      <c r="AF3" s="2562"/>
      <c r="AG3" s="2690" t="s">
        <v>3885</v>
      </c>
      <c r="AH3" s="2691"/>
      <c r="AI3" s="2691"/>
      <c r="AJ3" s="2691"/>
      <c r="AK3" s="2691"/>
      <c r="AL3" s="2691"/>
      <c r="AM3" s="2691"/>
      <c r="AN3" s="2691"/>
      <c r="AO3" s="2691"/>
      <c r="AP3" s="2691"/>
      <c r="AQ3" s="2691"/>
      <c r="AR3" s="228"/>
    </row>
    <row r="4" spans="1:44" ht="16" thickBot="1">
      <c r="A4" s="2562"/>
      <c r="B4" s="351"/>
      <c r="C4" s="351"/>
      <c r="D4" s="351"/>
      <c r="E4" s="351"/>
      <c r="F4" s="351"/>
      <c r="G4" s="351"/>
      <c r="H4" s="351"/>
      <c r="I4" s="351"/>
      <c r="J4" s="351"/>
      <c r="K4" s="351"/>
      <c r="L4" s="351"/>
      <c r="M4" s="351"/>
      <c r="N4" s="351"/>
      <c r="O4" s="2562"/>
      <c r="P4" s="2562"/>
      <c r="Q4" s="2562"/>
      <c r="R4" s="2576"/>
      <c r="S4" s="251"/>
      <c r="T4" s="2577"/>
      <c r="U4" s="236" t="s">
        <v>1898</v>
      </c>
      <c r="V4" s="2572"/>
      <c r="W4" s="2572"/>
      <c r="X4" s="2572"/>
      <c r="Y4" s="2572"/>
      <c r="Z4" s="2562"/>
      <c r="AA4" s="236"/>
      <c r="AB4" s="236"/>
      <c r="AC4" s="237"/>
      <c r="AD4" s="237"/>
      <c r="AE4" s="2577"/>
      <c r="AF4" s="2562"/>
      <c r="AG4" s="351"/>
      <c r="AH4" s="351"/>
      <c r="AI4" s="351"/>
      <c r="AJ4" s="351"/>
      <c r="AK4" s="351"/>
      <c r="AL4" s="351"/>
      <c r="AM4" s="351"/>
      <c r="AN4" s="351"/>
      <c r="AO4" s="351"/>
      <c r="AP4" s="351"/>
      <c r="AQ4" s="351"/>
      <c r="AR4" s="228"/>
    </row>
    <row r="5" spans="1:44" ht="78" thickTop="1">
      <c r="A5" s="197"/>
      <c r="B5" s="556" t="s">
        <v>1891</v>
      </c>
      <c r="C5" s="574" t="s">
        <v>3568</v>
      </c>
      <c r="D5" s="574" t="s">
        <v>3532</v>
      </c>
      <c r="E5" s="574" t="s">
        <v>3569</v>
      </c>
      <c r="F5" s="574" t="s">
        <v>3570</v>
      </c>
      <c r="G5" s="574" t="s">
        <v>3571</v>
      </c>
      <c r="H5" s="574" t="s">
        <v>3572</v>
      </c>
      <c r="I5" s="574" t="s">
        <v>3573</v>
      </c>
      <c r="J5" s="574" t="s">
        <v>3574</v>
      </c>
      <c r="K5" s="574" t="s">
        <v>3575</v>
      </c>
      <c r="L5" s="575" t="s">
        <v>3576</v>
      </c>
      <c r="M5" s="197"/>
      <c r="N5" s="2763" t="s">
        <v>1896</v>
      </c>
      <c r="O5" s="197"/>
      <c r="P5" s="2763" t="s">
        <v>1897</v>
      </c>
      <c r="Q5" s="197"/>
      <c r="R5" s="2576"/>
      <c r="S5" s="251"/>
      <c r="T5" s="2577"/>
      <c r="U5" s="2572"/>
      <c r="V5" s="2572"/>
      <c r="W5" s="2572"/>
      <c r="X5" s="2572"/>
      <c r="Y5" s="2572"/>
      <c r="Z5" s="2562"/>
      <c r="AA5" s="2562"/>
      <c r="AB5" s="2562"/>
      <c r="AC5" s="2562"/>
      <c r="AD5" s="2562"/>
      <c r="AE5" s="2577"/>
      <c r="AF5" s="2562"/>
      <c r="AG5" s="556" t="s">
        <v>1891</v>
      </c>
      <c r="AH5" s="574" t="s">
        <v>3568</v>
      </c>
      <c r="AI5" s="574" t="s">
        <v>3532</v>
      </c>
      <c r="AJ5" s="574" t="s">
        <v>3569</v>
      </c>
      <c r="AK5" s="574" t="s">
        <v>3570</v>
      </c>
      <c r="AL5" s="574" t="s">
        <v>3571</v>
      </c>
      <c r="AM5" s="574" t="s">
        <v>3572</v>
      </c>
      <c r="AN5" s="574" t="s">
        <v>3573</v>
      </c>
      <c r="AO5" s="574" t="s">
        <v>3574</v>
      </c>
      <c r="AP5" s="574" t="s">
        <v>3575</v>
      </c>
      <c r="AQ5" s="575" t="s">
        <v>3576</v>
      </c>
      <c r="AR5" s="2562"/>
    </row>
    <row r="6" spans="1:44" ht="15.5">
      <c r="A6" s="197"/>
      <c r="B6" s="391" t="s">
        <v>1892</v>
      </c>
      <c r="C6" s="389" t="s">
        <v>137</v>
      </c>
      <c r="D6" s="389" t="s">
        <v>137</v>
      </c>
      <c r="E6" s="389" t="s">
        <v>137</v>
      </c>
      <c r="F6" s="389" t="s">
        <v>1387</v>
      </c>
      <c r="G6" s="389" t="s">
        <v>3526</v>
      </c>
      <c r="H6" s="389" t="s">
        <v>3526</v>
      </c>
      <c r="I6" s="389" t="s">
        <v>3526</v>
      </c>
      <c r="J6" s="389" t="s">
        <v>3526</v>
      </c>
      <c r="K6" s="389" t="s">
        <v>1344</v>
      </c>
      <c r="L6" s="390" t="s">
        <v>3526</v>
      </c>
      <c r="M6" s="197"/>
      <c r="N6" s="2764"/>
      <c r="O6" s="197"/>
      <c r="P6" s="2764"/>
      <c r="Q6" s="197"/>
      <c r="R6" s="2576"/>
      <c r="S6" s="251"/>
      <c r="T6" s="2577"/>
      <c r="U6" s="2572"/>
      <c r="V6" s="2572"/>
      <c r="W6" s="2572"/>
      <c r="X6" s="2572"/>
      <c r="Y6" s="2572"/>
      <c r="Z6" s="2562"/>
      <c r="AA6" s="2562"/>
      <c r="AB6" s="2562"/>
      <c r="AC6" s="2562"/>
      <c r="AD6" s="2562"/>
      <c r="AE6" s="2577"/>
      <c r="AF6" s="2562"/>
      <c r="AG6" s="391" t="s">
        <v>1892</v>
      </c>
      <c r="AH6" s="389" t="s">
        <v>137</v>
      </c>
      <c r="AI6" s="389" t="s">
        <v>137</v>
      </c>
      <c r="AJ6" s="389" t="s">
        <v>137</v>
      </c>
      <c r="AK6" s="389" t="s">
        <v>1387</v>
      </c>
      <c r="AL6" s="389" t="s">
        <v>3526</v>
      </c>
      <c r="AM6" s="389" t="s">
        <v>3526</v>
      </c>
      <c r="AN6" s="389" t="s">
        <v>3526</v>
      </c>
      <c r="AO6" s="389" t="s">
        <v>3526</v>
      </c>
      <c r="AP6" s="389" t="s">
        <v>1344</v>
      </c>
      <c r="AQ6" s="390" t="s">
        <v>3526</v>
      </c>
      <c r="AR6" s="2562"/>
    </row>
    <row r="7" spans="1:44" ht="16" thickBot="1">
      <c r="A7" s="197"/>
      <c r="B7" s="392" t="s">
        <v>136</v>
      </c>
      <c r="C7" s="238">
        <v>3</v>
      </c>
      <c r="D7" s="238">
        <v>3</v>
      </c>
      <c r="E7" s="238">
        <v>3</v>
      </c>
      <c r="F7" s="238">
        <v>3</v>
      </c>
      <c r="G7" s="238">
        <v>3</v>
      </c>
      <c r="H7" s="238">
        <v>3</v>
      </c>
      <c r="I7" s="238">
        <v>3</v>
      </c>
      <c r="J7" s="238">
        <v>3</v>
      </c>
      <c r="K7" s="238">
        <v>3</v>
      </c>
      <c r="L7" s="576">
        <v>3</v>
      </c>
      <c r="M7" s="197"/>
      <c r="N7" s="2765"/>
      <c r="O7" s="197"/>
      <c r="P7" s="2765"/>
      <c r="Q7" s="197"/>
      <c r="R7" s="2576"/>
      <c r="S7" s="251"/>
      <c r="T7" s="2577"/>
      <c r="U7" s="2572"/>
      <c r="V7" s="2572"/>
      <c r="W7" s="2572"/>
      <c r="X7" s="2572"/>
      <c r="Y7" s="2572"/>
      <c r="Z7" s="2573"/>
      <c r="AA7" s="2573"/>
      <c r="AB7" s="2573"/>
      <c r="AC7" s="2573"/>
      <c r="AD7" s="2573"/>
      <c r="AE7" s="2577"/>
      <c r="AF7" s="2562"/>
      <c r="AG7" s="392" t="s">
        <v>136</v>
      </c>
      <c r="AH7" s="238">
        <v>3</v>
      </c>
      <c r="AI7" s="238">
        <v>3</v>
      </c>
      <c r="AJ7" s="238">
        <v>3</v>
      </c>
      <c r="AK7" s="238">
        <v>3</v>
      </c>
      <c r="AL7" s="238">
        <v>3</v>
      </c>
      <c r="AM7" s="238">
        <v>3</v>
      </c>
      <c r="AN7" s="238">
        <v>3</v>
      </c>
      <c r="AO7" s="238">
        <v>3</v>
      </c>
      <c r="AP7" s="238">
        <v>3</v>
      </c>
      <c r="AQ7" s="576">
        <v>3</v>
      </c>
      <c r="AR7" s="2562"/>
    </row>
    <row r="8" spans="1:44" ht="16.5" thickTop="1" thickBot="1">
      <c r="A8" s="197"/>
      <c r="B8" s="197"/>
      <c r="C8" s="197"/>
      <c r="D8" s="197"/>
      <c r="E8" s="197"/>
      <c r="F8" s="197"/>
      <c r="G8" s="197"/>
      <c r="H8" s="197"/>
      <c r="I8" s="197"/>
      <c r="J8" s="197"/>
      <c r="K8" s="197"/>
      <c r="L8" s="197"/>
      <c r="M8" s="197"/>
      <c r="N8" s="197"/>
      <c r="O8" s="197"/>
      <c r="P8" s="197"/>
      <c r="Q8" s="197"/>
      <c r="R8" s="2576"/>
      <c r="S8" s="251"/>
      <c r="T8" s="2577"/>
      <c r="U8" s="2572"/>
      <c r="V8" s="2572"/>
      <c r="W8" s="2572"/>
      <c r="X8" s="2572"/>
      <c r="Y8" s="2572"/>
      <c r="Z8" s="237"/>
      <c r="AA8" s="237"/>
      <c r="AB8" s="237"/>
      <c r="AC8" s="237"/>
      <c r="AD8" s="237"/>
      <c r="AE8" s="2577"/>
      <c r="AF8" s="2562"/>
      <c r="AG8" s="197"/>
      <c r="AH8" s="197"/>
      <c r="AI8" s="197"/>
      <c r="AJ8" s="197"/>
      <c r="AK8" s="197"/>
      <c r="AL8" s="197"/>
      <c r="AM8" s="197"/>
      <c r="AN8" s="197"/>
      <c r="AO8" s="197"/>
      <c r="AP8" s="197"/>
      <c r="AQ8" s="197"/>
      <c r="AR8" s="2562"/>
    </row>
    <row r="9" spans="1:44" ht="15.75" customHeight="1" thickTop="1" thickBot="1">
      <c r="A9" s="197"/>
      <c r="B9" s="355" t="s">
        <v>3577</v>
      </c>
      <c r="C9" s="444"/>
      <c r="D9" s="444"/>
      <c r="E9" s="577"/>
      <c r="F9" s="106"/>
      <c r="G9" s="106"/>
      <c r="H9" s="578"/>
      <c r="I9" s="578"/>
      <c r="J9" s="578"/>
      <c r="K9" s="578"/>
      <c r="L9" s="578"/>
      <c r="M9" s="197"/>
      <c r="N9" s="228"/>
      <c r="O9" s="197"/>
      <c r="P9" s="197"/>
      <c r="Q9" s="197"/>
      <c r="R9" s="2578"/>
      <c r="S9" s="251"/>
      <c r="T9" s="2577"/>
      <c r="U9" s="2572"/>
      <c r="V9" s="2572"/>
      <c r="W9" s="2572"/>
      <c r="X9" s="2572"/>
      <c r="Y9" s="2572"/>
      <c r="Z9" s="237"/>
      <c r="AA9" s="237"/>
      <c r="AB9" s="237"/>
      <c r="AC9" s="237"/>
      <c r="AD9" s="237"/>
      <c r="AE9" s="2577"/>
      <c r="AF9" s="2562"/>
      <c r="AG9" s="355" t="s">
        <v>3577</v>
      </c>
      <c r="AH9" s="444"/>
      <c r="AI9" s="444"/>
      <c r="AJ9" s="577"/>
      <c r="AK9" s="106"/>
      <c r="AL9" s="106"/>
      <c r="AM9" s="578"/>
      <c r="AN9" s="578"/>
      <c r="AO9" s="578"/>
      <c r="AP9" s="578"/>
      <c r="AQ9" s="578"/>
      <c r="AR9" s="2562"/>
    </row>
    <row r="10" spans="1:44" ht="15.75" customHeight="1" thickTop="1">
      <c r="A10" s="197"/>
      <c r="B10" s="413" t="s">
        <v>3578</v>
      </c>
      <c r="C10" s="245"/>
      <c r="D10" s="245"/>
      <c r="E10" s="2096">
        <f>IFERROR(SUM(C10:D10),0)</f>
        <v>0</v>
      </c>
      <c r="F10" s="245"/>
      <c r="G10" s="2096">
        <f>IFERROR(IF(OR(D10=0,F10=0),0,D10/(F10/1000)),0)</f>
        <v>0</v>
      </c>
      <c r="H10" s="245"/>
      <c r="I10" s="245"/>
      <c r="J10" s="2096">
        <f>IFERROR(H10 + I10,0)</f>
        <v>0</v>
      </c>
      <c r="K10" s="245"/>
      <c r="L10" s="1163"/>
      <c r="M10" s="197"/>
      <c r="N10" s="248" t="s">
        <v>3886</v>
      </c>
      <c r="O10" s="197"/>
      <c r="P10" s="250"/>
      <c r="Q10" s="197"/>
      <c r="R10" s="2578"/>
      <c r="S10" s="251" t="str">
        <f xml:space="preserve"> IF( SUM( U10:AD10 ) = 0, 0,$U$4 )</f>
        <v>Please complete all cells in row</v>
      </c>
      <c r="T10" s="2577"/>
      <c r="U10" s="252">
        <f xml:space="preserve"> IF( ISNUMBER( C10 ), 0, 1 )</f>
        <v>1</v>
      </c>
      <c r="V10" s="252">
        <f t="shared" ref="V10:V11" si="0" xml:space="preserve"> IF( ISNUMBER( D10 ), 0, 1 )</f>
        <v>1</v>
      </c>
      <c r="W10" s="237"/>
      <c r="X10" s="252">
        <f t="shared" ref="X10:X11" si="1" xml:space="preserve"> IF( ISNUMBER( F10 ), 0, 1 )</f>
        <v>1</v>
      </c>
      <c r="Y10" s="237"/>
      <c r="Z10" s="252">
        <f t="shared" ref="Z10:Z11" si="2" xml:space="preserve"> IF( ISNUMBER( H10 ), 0, 1 )</f>
        <v>1</v>
      </c>
      <c r="AA10" s="252">
        <f t="shared" ref="AA10:AA11" si="3" xml:space="preserve"> IF( ISNUMBER( I10 ), 0, 1 )</f>
        <v>1</v>
      </c>
      <c r="AB10" s="237"/>
      <c r="AC10" s="252">
        <f t="shared" ref="AC10:AC11" si="4" xml:space="preserve"> IF( ISNUMBER( K10 ), 0, 1 )</f>
        <v>1</v>
      </c>
      <c r="AD10" s="252">
        <f t="shared" ref="AD10:AD11" si="5" xml:space="preserve"> IF( ISNUMBER( L10 ), 0, 1 )</f>
        <v>1</v>
      </c>
      <c r="AE10" s="2577"/>
      <c r="AF10" s="2562"/>
      <c r="AG10" s="413" t="s">
        <v>3578</v>
      </c>
      <c r="AH10" s="245" t="s">
        <v>3887</v>
      </c>
      <c r="AI10" s="245" t="s">
        <v>3888</v>
      </c>
      <c r="AJ10" s="579" t="s">
        <v>3889</v>
      </c>
      <c r="AK10" s="245" t="s">
        <v>3890</v>
      </c>
      <c r="AL10" s="579" t="s">
        <v>3891</v>
      </c>
      <c r="AM10" s="245" t="s">
        <v>3892</v>
      </c>
      <c r="AN10" s="245" t="s">
        <v>3893</v>
      </c>
      <c r="AO10" s="579" t="s">
        <v>3894</v>
      </c>
      <c r="AP10" s="245" t="s">
        <v>3895</v>
      </c>
      <c r="AQ10" s="580" t="s">
        <v>3896</v>
      </c>
      <c r="AR10" s="2562"/>
    </row>
    <row r="11" spans="1:44" ht="15.75" customHeight="1">
      <c r="A11" s="197"/>
      <c r="B11" s="422" t="s">
        <v>3590</v>
      </c>
      <c r="C11" s="254"/>
      <c r="D11" s="254"/>
      <c r="E11" s="2097">
        <f>IFERROR(SUM(C11:D11),0)</f>
        <v>0</v>
      </c>
      <c r="F11" s="254"/>
      <c r="G11" s="2097">
        <f>IFERROR(IF(OR(D11=0,F11=0),0,D11/(F11/1100)),0)</f>
        <v>0</v>
      </c>
      <c r="H11" s="254"/>
      <c r="I11" s="254"/>
      <c r="J11" s="2097">
        <f>IFERROR(H11 + I11,0)</f>
        <v>0</v>
      </c>
      <c r="K11" s="254"/>
      <c r="L11" s="1155"/>
      <c r="M11" s="197"/>
      <c r="N11" s="257" t="s">
        <v>3897</v>
      </c>
      <c r="O11" s="197"/>
      <c r="P11" s="258"/>
      <c r="Q11" s="197"/>
      <c r="R11" s="2578"/>
      <c r="S11" s="251" t="str">
        <f xml:space="preserve"> IF( SUM( U11:AD11 ) = 0, 0,$U$4 )</f>
        <v>Please complete all cells in row</v>
      </c>
      <c r="T11" s="2577"/>
      <c r="U11" s="252">
        <f t="shared" ref="U11" si="6" xml:space="preserve"> IF( ISNUMBER( C11 ), 0, 1 )</f>
        <v>1</v>
      </c>
      <c r="V11" s="252">
        <f t="shared" si="0"/>
        <v>1</v>
      </c>
      <c r="W11" s="237"/>
      <c r="X11" s="252">
        <f t="shared" si="1"/>
        <v>1</v>
      </c>
      <c r="Y11" s="237"/>
      <c r="Z11" s="252">
        <f t="shared" si="2"/>
        <v>1</v>
      </c>
      <c r="AA11" s="252">
        <f t="shared" si="3"/>
        <v>1</v>
      </c>
      <c r="AB11" s="237"/>
      <c r="AC11" s="252">
        <f t="shared" si="4"/>
        <v>1</v>
      </c>
      <c r="AD11" s="252">
        <f t="shared" si="5"/>
        <v>1</v>
      </c>
      <c r="AE11" s="2577"/>
      <c r="AF11" s="2562"/>
      <c r="AG11" s="422" t="s">
        <v>3590</v>
      </c>
      <c r="AH11" s="254" t="s">
        <v>3898</v>
      </c>
      <c r="AI11" s="254" t="s">
        <v>3899</v>
      </c>
      <c r="AJ11" s="581" t="s">
        <v>3900</v>
      </c>
      <c r="AK11" s="254" t="s">
        <v>3901</v>
      </c>
      <c r="AL11" s="581" t="s">
        <v>3902</v>
      </c>
      <c r="AM11" s="254" t="s">
        <v>3903</v>
      </c>
      <c r="AN11" s="254" t="s">
        <v>3904</v>
      </c>
      <c r="AO11" s="581" t="s">
        <v>3905</v>
      </c>
      <c r="AP11" s="254" t="s">
        <v>3906</v>
      </c>
      <c r="AQ11" s="582" t="s">
        <v>3907</v>
      </c>
      <c r="AR11" s="2562"/>
    </row>
    <row r="12" spans="1:44" ht="15.75" customHeight="1" thickBot="1">
      <c r="A12" s="197"/>
      <c r="B12" s="425" t="s">
        <v>3908</v>
      </c>
      <c r="C12" s="2098">
        <f t="shared" ref="C12:L12" si="7">IFERROR(SUM(C10:C11),0)</f>
        <v>0</v>
      </c>
      <c r="D12" s="2098">
        <f t="shared" si="7"/>
        <v>0</v>
      </c>
      <c r="E12" s="2098">
        <f t="shared" si="7"/>
        <v>0</v>
      </c>
      <c r="F12" s="2098">
        <f t="shared" si="7"/>
        <v>0</v>
      </c>
      <c r="G12" s="2098">
        <f t="shared" si="7"/>
        <v>0</v>
      </c>
      <c r="H12" s="2098">
        <f t="shared" si="7"/>
        <v>0</v>
      </c>
      <c r="I12" s="2098">
        <f t="shared" si="7"/>
        <v>0</v>
      </c>
      <c r="J12" s="2098">
        <f t="shared" si="7"/>
        <v>0</v>
      </c>
      <c r="K12" s="2099">
        <f t="shared" si="7"/>
        <v>0</v>
      </c>
      <c r="L12" s="2100">
        <f t="shared" si="7"/>
        <v>0</v>
      </c>
      <c r="M12" s="197"/>
      <c r="N12" s="320" t="s">
        <v>3909</v>
      </c>
      <c r="O12" s="197"/>
      <c r="P12" s="269"/>
      <c r="Q12" s="197"/>
      <c r="R12" s="2578"/>
      <c r="S12" s="251"/>
      <c r="T12" s="2577"/>
      <c r="U12" s="237"/>
      <c r="V12" s="237"/>
      <c r="W12" s="237"/>
      <c r="X12" s="237"/>
      <c r="Y12" s="237"/>
      <c r="Z12" s="237"/>
      <c r="AA12" s="237"/>
      <c r="AB12" s="237"/>
      <c r="AC12" s="237"/>
      <c r="AD12" s="237"/>
      <c r="AE12" s="2577"/>
      <c r="AF12" s="2562"/>
      <c r="AG12" s="425" t="s">
        <v>3908</v>
      </c>
      <c r="AH12" s="583" t="s">
        <v>3910</v>
      </c>
      <c r="AI12" s="583" t="s">
        <v>3911</v>
      </c>
      <c r="AJ12" s="583" t="s">
        <v>3912</v>
      </c>
      <c r="AK12" s="583" t="s">
        <v>3913</v>
      </c>
      <c r="AL12" s="583" t="s">
        <v>3914</v>
      </c>
      <c r="AM12" s="583" t="s">
        <v>3915</v>
      </c>
      <c r="AN12" s="583" t="s">
        <v>3916</v>
      </c>
      <c r="AO12" s="583" t="s">
        <v>3917</v>
      </c>
      <c r="AP12" s="584" t="s">
        <v>3918</v>
      </c>
      <c r="AQ12" s="379" t="s">
        <v>3919</v>
      </c>
      <c r="AR12" s="2562"/>
    </row>
    <row r="13" spans="1:44" ht="15.75" customHeight="1" thickTop="1" thickBot="1">
      <c r="A13" s="197"/>
      <c r="B13" s="542"/>
      <c r="C13" s="1977"/>
      <c r="D13" s="1977"/>
      <c r="E13" s="1977"/>
      <c r="F13" s="1977"/>
      <c r="G13" s="1977"/>
      <c r="H13" s="2101"/>
      <c r="I13" s="2101"/>
      <c r="J13" s="2101"/>
      <c r="K13" s="2101"/>
      <c r="L13" s="2101"/>
      <c r="M13" s="197"/>
      <c r="N13" s="228"/>
      <c r="O13" s="197"/>
      <c r="P13" s="197"/>
      <c r="Q13" s="197"/>
      <c r="R13" s="2578"/>
      <c r="S13" s="251"/>
      <c r="T13" s="2577"/>
      <c r="U13" s="237"/>
      <c r="V13" s="237"/>
      <c r="W13" s="237"/>
      <c r="X13" s="237"/>
      <c r="Y13" s="237"/>
      <c r="Z13" s="237"/>
      <c r="AA13" s="237"/>
      <c r="AB13" s="237"/>
      <c r="AC13" s="237"/>
      <c r="AD13" s="237"/>
      <c r="AE13" s="2577"/>
      <c r="AF13" s="2562"/>
      <c r="AG13" s="542"/>
      <c r="AH13" s="86"/>
      <c r="AI13" s="86"/>
      <c r="AJ13" s="86"/>
      <c r="AK13" s="86"/>
      <c r="AL13" s="86"/>
      <c r="AM13" s="542"/>
      <c r="AN13" s="542"/>
      <c r="AO13" s="542"/>
      <c r="AP13" s="542"/>
      <c r="AQ13" s="542"/>
      <c r="AR13" s="2562"/>
    </row>
    <row r="14" spans="1:44" ht="15.75" customHeight="1" thickTop="1" thickBot="1">
      <c r="A14" s="197"/>
      <c r="B14" s="355" t="s">
        <v>3920</v>
      </c>
      <c r="C14" s="1836"/>
      <c r="D14" s="1836"/>
      <c r="E14" s="1836"/>
      <c r="F14" s="1836"/>
      <c r="G14" s="1836"/>
      <c r="H14" s="1836"/>
      <c r="I14" s="1836"/>
      <c r="J14" s="1836"/>
      <c r="K14" s="1836"/>
      <c r="L14" s="1836"/>
      <c r="M14" s="197"/>
      <c r="N14" s="228"/>
      <c r="O14" s="197"/>
      <c r="P14" s="197"/>
      <c r="Q14" s="197"/>
      <c r="R14" s="2578"/>
      <c r="S14" s="251"/>
      <c r="T14" s="2577"/>
      <c r="U14" s="237"/>
      <c r="V14" s="237"/>
      <c r="W14" s="237"/>
      <c r="X14" s="237"/>
      <c r="Y14" s="237"/>
      <c r="Z14" s="237"/>
      <c r="AA14" s="237"/>
      <c r="AB14" s="237"/>
      <c r="AC14" s="237"/>
      <c r="AD14" s="237"/>
      <c r="AE14" s="2577"/>
      <c r="AF14" s="2562"/>
      <c r="AG14" s="355" t="s">
        <v>3920</v>
      </c>
      <c r="AH14" s="106"/>
      <c r="AI14" s="106"/>
      <c r="AJ14" s="106"/>
      <c r="AK14" s="106"/>
      <c r="AL14" s="106"/>
      <c r="AM14" s="106"/>
      <c r="AN14" s="106"/>
      <c r="AO14" s="106"/>
      <c r="AP14" s="106"/>
      <c r="AQ14" s="106"/>
      <c r="AR14" s="2562"/>
    </row>
    <row r="15" spans="1:44" ht="15.75" customHeight="1" thickTop="1" thickBot="1">
      <c r="A15" s="197"/>
      <c r="B15" s="382" t="s">
        <v>3578</v>
      </c>
      <c r="C15" s="383"/>
      <c r="D15" s="383"/>
      <c r="E15" s="1023">
        <f>IFERROR(SUM(C15:D15),0)</f>
        <v>0</v>
      </c>
      <c r="F15" s="383"/>
      <c r="G15" s="1023">
        <f>IFERROR(IF(OR(E15=0,F15=0),0,E15/(F15/1000)),0)</f>
        <v>0</v>
      </c>
      <c r="H15" s="383"/>
      <c r="I15" s="383"/>
      <c r="J15" s="1910"/>
      <c r="K15" s="383"/>
      <c r="L15" s="384">
        <f>IFERROR( J15 / F15,0)</f>
        <v>0</v>
      </c>
      <c r="M15" s="197"/>
      <c r="N15" s="336" t="s">
        <v>3921</v>
      </c>
      <c r="O15" s="197"/>
      <c r="P15" s="337"/>
      <c r="Q15" s="197"/>
      <c r="R15" s="2578"/>
      <c r="S15" s="251" t="str">
        <f xml:space="preserve"> IF( SUM( U15:AD15 ) = 0, 0,$U$4 )</f>
        <v>Please complete all cells in row</v>
      </c>
      <c r="T15" s="2577"/>
      <c r="U15" s="252">
        <f t="shared" ref="U15" si="8" xml:space="preserve"> IF( ISNUMBER( C15 ), 0, 1 )</f>
        <v>1</v>
      </c>
      <c r="V15" s="252">
        <f t="shared" ref="V15" si="9" xml:space="preserve"> IF( ISNUMBER( D15 ), 0, 1 )</f>
        <v>1</v>
      </c>
      <c r="W15" s="237"/>
      <c r="X15" s="252">
        <f t="shared" ref="X15" si="10" xml:space="preserve"> IF( ISNUMBER( F15 ), 0, 1 )</f>
        <v>1</v>
      </c>
      <c r="Y15" s="237"/>
      <c r="Z15" s="252">
        <f t="shared" ref="Z15" si="11" xml:space="preserve"> IF( ISNUMBER( H15 ), 0, 1 )</f>
        <v>1</v>
      </c>
      <c r="AA15" s="252">
        <f t="shared" ref="AA15" si="12" xml:space="preserve"> IF( ISNUMBER( I15 ), 0, 1 )</f>
        <v>1</v>
      </c>
      <c r="AB15" s="237"/>
      <c r="AC15" s="252">
        <f t="shared" ref="AC15" si="13" xml:space="preserve"> IF( ISNUMBER( K15 ), 0, 1 )</f>
        <v>1</v>
      </c>
      <c r="AD15" s="237"/>
      <c r="AE15" s="2577"/>
      <c r="AF15" s="2562"/>
      <c r="AG15" s="382" t="s">
        <v>3578</v>
      </c>
      <c r="AH15" s="383" t="s">
        <v>3922</v>
      </c>
      <c r="AI15" s="383" t="s">
        <v>3923</v>
      </c>
      <c r="AJ15" s="334" t="s">
        <v>3924</v>
      </c>
      <c r="AK15" s="383" t="s">
        <v>3925</v>
      </c>
      <c r="AL15" s="334" t="s">
        <v>3926</v>
      </c>
      <c r="AM15" s="383" t="s">
        <v>3927</v>
      </c>
      <c r="AN15" s="383" t="s">
        <v>3928</v>
      </c>
      <c r="AO15" s="1314" t="s">
        <v>3929</v>
      </c>
      <c r="AP15" s="383" t="s">
        <v>3930</v>
      </c>
      <c r="AQ15" s="384" t="s">
        <v>3931</v>
      </c>
      <c r="AR15" s="2562"/>
    </row>
    <row r="16" spans="1:44" ht="15.75" customHeight="1" thickTop="1" thickBot="1">
      <c r="A16" s="197"/>
      <c r="B16" s="542"/>
      <c r="C16" s="1977"/>
      <c r="D16" s="1977"/>
      <c r="E16" s="1977"/>
      <c r="F16" s="1977"/>
      <c r="G16" s="1977"/>
      <c r="H16" s="1977"/>
      <c r="I16" s="1977"/>
      <c r="J16" s="1977"/>
      <c r="K16" s="1977"/>
      <c r="L16" s="1977"/>
      <c r="M16" s="197"/>
      <c r="N16" s="228"/>
      <c r="O16" s="197"/>
      <c r="P16" s="197"/>
      <c r="Q16" s="197"/>
      <c r="R16" s="2578"/>
      <c r="S16" s="251"/>
      <c r="T16" s="2577"/>
      <c r="U16" s="237"/>
      <c r="V16" s="237"/>
      <c r="W16" s="237"/>
      <c r="X16" s="237"/>
      <c r="Y16" s="237"/>
      <c r="Z16" s="237"/>
      <c r="AA16" s="237"/>
      <c r="AB16" s="237"/>
      <c r="AC16" s="237"/>
      <c r="AD16" s="237"/>
      <c r="AE16" s="2577"/>
      <c r="AF16" s="2562"/>
      <c r="AG16" s="542"/>
      <c r="AH16" s="86"/>
      <c r="AI16" s="86"/>
      <c r="AJ16" s="86"/>
      <c r="AK16" s="86"/>
      <c r="AL16" s="86"/>
      <c r="AM16" s="86"/>
      <c r="AN16" s="86"/>
      <c r="AO16" s="86"/>
      <c r="AP16" s="86"/>
      <c r="AQ16" s="86"/>
      <c r="AR16" s="2562"/>
    </row>
    <row r="17" spans="1:43" ht="15.75" customHeight="1" thickTop="1" thickBot="1">
      <c r="A17" s="197"/>
      <c r="B17" s="382" t="s">
        <v>3614</v>
      </c>
      <c r="C17" s="1023">
        <f>IFERROR(C12+C15,0)</f>
        <v>0</v>
      </c>
      <c r="D17" s="1023">
        <f>IFERROR(D12+D15,0)</f>
        <v>0</v>
      </c>
      <c r="E17" s="1023">
        <f>IFERROR(E12+E15,0)</f>
        <v>0</v>
      </c>
      <c r="F17" s="1023">
        <f>IFERROR(F12+F15,0)</f>
        <v>0</v>
      </c>
      <c r="G17" s="1023">
        <f>IFERROR(IF(OR(E17=0,F17=0),0,E17/(F17/1000)),0)</f>
        <v>0</v>
      </c>
      <c r="H17" s="1023">
        <f>IFERROR(H12+H15,0)</f>
        <v>0</v>
      </c>
      <c r="I17" s="1023">
        <f>IFERROR(I12+I15,0)</f>
        <v>0</v>
      </c>
      <c r="J17" s="1023">
        <f>IFERROR(H17-I17,0)</f>
        <v>0</v>
      </c>
      <c r="K17" s="2102">
        <f>IFERROR(K12+K15,0)</f>
        <v>0</v>
      </c>
      <c r="L17" s="586">
        <f>IFERROR(L12 + L15,0)</f>
        <v>0</v>
      </c>
      <c r="M17" s="197"/>
      <c r="N17" s="336" t="s">
        <v>3932</v>
      </c>
      <c r="O17" s="197"/>
      <c r="P17" s="337"/>
      <c r="Q17" s="197"/>
      <c r="R17" s="2578"/>
      <c r="S17" s="251"/>
      <c r="T17" s="2577"/>
      <c r="U17" s="237"/>
      <c r="V17" s="237"/>
      <c r="W17" s="237"/>
      <c r="X17" s="237"/>
      <c r="Y17" s="237"/>
      <c r="Z17" s="237"/>
      <c r="AA17" s="237"/>
      <c r="AB17" s="237"/>
      <c r="AC17" s="237"/>
      <c r="AD17" s="237"/>
      <c r="AE17" s="2577"/>
      <c r="AF17" s="2562"/>
      <c r="AG17" s="382" t="s">
        <v>3614</v>
      </c>
      <c r="AH17" s="334" t="s">
        <v>3933</v>
      </c>
      <c r="AI17" s="334" t="s">
        <v>3934</v>
      </c>
      <c r="AJ17" s="334" t="s">
        <v>3935</v>
      </c>
      <c r="AK17" s="334" t="s">
        <v>3936</v>
      </c>
      <c r="AL17" s="334" t="s">
        <v>3937</v>
      </c>
      <c r="AM17" s="334" t="s">
        <v>3938</v>
      </c>
      <c r="AN17" s="334" t="s">
        <v>3939</v>
      </c>
      <c r="AO17" s="334" t="s">
        <v>3940</v>
      </c>
      <c r="AP17" s="585" t="s">
        <v>3941</v>
      </c>
      <c r="AQ17" s="586" t="s">
        <v>3942</v>
      </c>
    </row>
    <row r="18" spans="1:43" ht="15.75" customHeight="1" thickTop="1" thickBot="1">
      <c r="A18" s="197"/>
      <c r="B18" s="587"/>
      <c r="C18" s="2103"/>
      <c r="D18" s="2103"/>
      <c r="E18" s="2103"/>
      <c r="F18" s="2103"/>
      <c r="G18" s="2103"/>
      <c r="H18" s="2104"/>
      <c r="I18" s="2104"/>
      <c r="J18" s="2104"/>
      <c r="K18" s="2104"/>
      <c r="L18" s="2104"/>
      <c r="M18" s="197"/>
      <c r="N18" s="228"/>
      <c r="O18" s="197"/>
      <c r="P18" s="197"/>
      <c r="Q18" s="197"/>
      <c r="R18" s="2578"/>
      <c r="S18" s="251"/>
      <c r="T18" s="2577"/>
      <c r="U18" s="237"/>
      <c r="V18" s="237"/>
      <c r="W18" s="237"/>
      <c r="X18" s="237"/>
      <c r="Y18" s="237"/>
      <c r="Z18" s="237"/>
      <c r="AA18" s="237"/>
      <c r="AB18" s="237"/>
      <c r="AC18" s="237"/>
      <c r="AD18" s="237"/>
      <c r="AE18" s="2577"/>
      <c r="AF18" s="2562"/>
      <c r="AG18" s="587"/>
      <c r="AH18" s="178"/>
      <c r="AI18" s="178"/>
      <c r="AJ18" s="178"/>
      <c r="AK18" s="178"/>
      <c r="AL18" s="178"/>
      <c r="AM18" s="587"/>
      <c r="AN18" s="587"/>
      <c r="AO18" s="587"/>
      <c r="AP18" s="587"/>
      <c r="AQ18" s="587"/>
    </row>
    <row r="19" spans="1:43" ht="15.75" customHeight="1" thickTop="1" thickBot="1">
      <c r="A19" s="197"/>
      <c r="B19" s="355" t="s">
        <v>3626</v>
      </c>
      <c r="C19" s="1836"/>
      <c r="D19" s="1836"/>
      <c r="E19" s="1836"/>
      <c r="F19" s="1836"/>
      <c r="G19" s="1836"/>
      <c r="H19" s="1836"/>
      <c r="I19" s="1836"/>
      <c r="J19" s="1836"/>
      <c r="K19" s="1836"/>
      <c r="L19" s="1836"/>
      <c r="M19" s="197"/>
      <c r="N19" s="228"/>
      <c r="O19" s="197"/>
      <c r="P19" s="197"/>
      <c r="Q19" s="197"/>
      <c r="R19" s="2578"/>
      <c r="S19" s="251"/>
      <c r="T19" s="2577"/>
      <c r="U19" s="237"/>
      <c r="V19" s="237"/>
      <c r="W19" s="237"/>
      <c r="X19" s="237"/>
      <c r="Y19" s="237"/>
      <c r="Z19" s="237"/>
      <c r="AA19" s="237"/>
      <c r="AB19" s="237"/>
      <c r="AC19" s="237"/>
      <c r="AD19" s="237"/>
      <c r="AE19" s="2577"/>
      <c r="AF19" s="2562"/>
      <c r="AG19" s="355" t="s">
        <v>3626</v>
      </c>
      <c r="AH19" s="106"/>
      <c r="AI19" s="106"/>
      <c r="AJ19" s="106"/>
      <c r="AK19" s="106"/>
      <c r="AL19" s="106"/>
      <c r="AM19" s="106"/>
      <c r="AN19" s="106"/>
      <c r="AO19" s="106"/>
      <c r="AP19" s="106"/>
      <c r="AQ19" s="106"/>
    </row>
    <row r="20" spans="1:43" ht="15.75" customHeight="1" thickTop="1" thickBot="1">
      <c r="A20" s="197"/>
      <c r="B20" s="382" t="s">
        <v>3627</v>
      </c>
      <c r="C20" s="383"/>
      <c r="D20" s="383"/>
      <c r="E20" s="1023">
        <f>IFERROR(SUM(C20:D20),0)</f>
        <v>0</v>
      </c>
      <c r="F20" s="383"/>
      <c r="G20" s="1023">
        <f>IFERROR(IF(OR(E20=0,F20=0),0,E20/(F20/1000)),0)</f>
        <v>0</v>
      </c>
      <c r="H20" s="588"/>
      <c r="I20" s="588"/>
      <c r="J20" s="588"/>
      <c r="K20" s="588"/>
      <c r="L20" s="589"/>
      <c r="M20" s="197"/>
      <c r="N20" s="336" t="s">
        <v>3943</v>
      </c>
      <c r="O20" s="197"/>
      <c r="P20" s="337"/>
      <c r="Q20" s="197"/>
      <c r="R20" s="2578"/>
      <c r="S20" s="251" t="str">
        <f xml:space="preserve"> IF( SUM( U20:AD20 ) = 0, 0,$U$4 )</f>
        <v>Please complete all cells in row</v>
      </c>
      <c r="T20" s="2577"/>
      <c r="U20" s="252">
        <f t="shared" ref="U20" si="14" xml:space="preserve"> IF( ISNUMBER( C20 ), 0, 1 )</f>
        <v>1</v>
      </c>
      <c r="V20" s="252">
        <f t="shared" ref="V20" si="15" xml:space="preserve"> IF( ISNUMBER( D20 ), 0, 1 )</f>
        <v>1</v>
      </c>
      <c r="W20" s="237"/>
      <c r="X20" s="252">
        <f t="shared" ref="X20" si="16" xml:space="preserve"> IF( ISNUMBER( F20 ), 0, 1 )</f>
        <v>1</v>
      </c>
      <c r="Y20" s="237"/>
      <c r="Z20" s="237"/>
      <c r="AA20" s="237"/>
      <c r="AB20" s="237"/>
      <c r="AC20" s="237"/>
      <c r="AD20" s="237"/>
      <c r="AE20" s="2577"/>
      <c r="AF20" s="2562"/>
      <c r="AG20" s="382" t="s">
        <v>3627</v>
      </c>
      <c r="AH20" s="383" t="s">
        <v>3944</v>
      </c>
      <c r="AI20" s="383" t="s">
        <v>3945</v>
      </c>
      <c r="AJ20" s="334" t="s">
        <v>3946</v>
      </c>
      <c r="AK20" s="383" t="s">
        <v>3947</v>
      </c>
      <c r="AL20" s="334" t="s">
        <v>3948</v>
      </c>
      <c r="AM20" s="588"/>
      <c r="AN20" s="588"/>
      <c r="AO20" s="588"/>
      <c r="AP20" s="588"/>
      <c r="AQ20" s="589"/>
    </row>
    <row r="21" spans="1:43" ht="15.75" customHeight="1" thickTop="1" thickBot="1">
      <c r="A21" s="197"/>
      <c r="B21" s="587"/>
      <c r="C21" s="839"/>
      <c r="D21" s="839"/>
      <c r="E21" s="839"/>
      <c r="F21" s="839"/>
      <c r="G21" s="839"/>
      <c r="H21" s="2104"/>
      <c r="I21" s="2104"/>
      <c r="J21" s="2104"/>
      <c r="K21" s="2104"/>
      <c r="L21" s="2104"/>
      <c r="M21" s="197"/>
      <c r="N21" s="228"/>
      <c r="O21" s="197"/>
      <c r="P21" s="197"/>
      <c r="Q21" s="197"/>
      <c r="R21" s="2578"/>
      <c r="S21" s="251"/>
      <c r="T21" s="2577"/>
      <c r="U21" s="237"/>
      <c r="V21" s="237"/>
      <c r="W21" s="237"/>
      <c r="X21" s="237"/>
      <c r="Y21" s="237"/>
      <c r="Z21" s="237"/>
      <c r="AA21" s="237"/>
      <c r="AB21" s="237"/>
      <c r="AC21" s="237"/>
      <c r="AD21" s="237"/>
      <c r="AE21" s="2577"/>
      <c r="AF21" s="2562"/>
      <c r="AG21" s="587"/>
      <c r="AH21" s="197"/>
      <c r="AI21" s="197"/>
      <c r="AJ21" s="197"/>
      <c r="AK21" s="197"/>
      <c r="AL21" s="197"/>
      <c r="AM21" s="587"/>
      <c r="AN21" s="587"/>
      <c r="AO21" s="587"/>
      <c r="AP21" s="587"/>
      <c r="AQ21" s="587"/>
    </row>
    <row r="22" spans="1:43" ht="15.75" customHeight="1" thickTop="1" thickBot="1">
      <c r="A22" s="197"/>
      <c r="B22" s="382" t="s">
        <v>2112</v>
      </c>
      <c r="C22" s="1023">
        <f>IFERROR(C17+C20,0)</f>
        <v>0</v>
      </c>
      <c r="D22" s="1023">
        <f>IFERROR(D17+D20,0)</f>
        <v>0</v>
      </c>
      <c r="E22" s="1023">
        <f>IFERROR(E17+E20,0)</f>
        <v>0</v>
      </c>
      <c r="F22" s="1023">
        <f>IFERROR(F17+F20,0)</f>
        <v>0</v>
      </c>
      <c r="G22" s="1023">
        <f>IFERROR(IF(OR(D22=0,F22=0),0,D22/(F22/1000)),0)</f>
        <v>0</v>
      </c>
      <c r="H22" s="588"/>
      <c r="I22" s="588"/>
      <c r="J22" s="588"/>
      <c r="K22" s="588"/>
      <c r="L22" s="589"/>
      <c r="M22" s="197"/>
      <c r="N22" s="336" t="s">
        <v>3949</v>
      </c>
      <c r="O22" s="197"/>
      <c r="P22" s="337"/>
      <c r="Q22" s="197"/>
      <c r="R22" s="2578"/>
      <c r="S22" s="251"/>
      <c r="T22" s="2577"/>
      <c r="U22" s="237"/>
      <c r="V22" s="237"/>
      <c r="W22" s="237"/>
      <c r="X22" s="237"/>
      <c r="Y22" s="237"/>
      <c r="Z22" s="237"/>
      <c r="AA22" s="237"/>
      <c r="AB22" s="237"/>
      <c r="AC22" s="237"/>
      <c r="AD22" s="237"/>
      <c r="AE22" s="2577"/>
      <c r="AF22" s="2562"/>
      <c r="AG22" s="382" t="s">
        <v>2112</v>
      </c>
      <c r="AH22" s="334" t="s">
        <v>3950</v>
      </c>
      <c r="AI22" s="334" t="s">
        <v>3951</v>
      </c>
      <c r="AJ22" s="334" t="s">
        <v>3952</v>
      </c>
      <c r="AK22" s="334" t="s">
        <v>3953</v>
      </c>
      <c r="AL22" s="334" t="s">
        <v>3954</v>
      </c>
      <c r="AM22" s="588"/>
      <c r="AN22" s="588"/>
      <c r="AO22" s="588"/>
      <c r="AP22" s="588"/>
      <c r="AQ22" s="589"/>
    </row>
    <row r="23" spans="1:43" ht="16.5" thickTop="1" thickBot="1">
      <c r="A23" s="197"/>
      <c r="B23" s="197"/>
      <c r="C23" s="197"/>
      <c r="D23" s="197"/>
      <c r="E23" s="197"/>
      <c r="F23" s="197"/>
      <c r="G23" s="197"/>
      <c r="H23" s="197"/>
      <c r="I23" s="197"/>
      <c r="J23" s="197"/>
      <c r="K23" s="197"/>
      <c r="L23" s="197"/>
      <c r="M23" s="197"/>
      <c r="N23" s="228"/>
      <c r="O23" s="197"/>
      <c r="P23" s="197"/>
      <c r="Q23" s="197"/>
      <c r="R23" s="2578"/>
      <c r="S23" s="251"/>
      <c r="T23" s="2577"/>
      <c r="U23" s="237"/>
      <c r="V23" s="237"/>
      <c r="W23" s="237"/>
      <c r="X23" s="237"/>
      <c r="Y23" s="237"/>
      <c r="Z23" s="237"/>
      <c r="AA23" s="237"/>
      <c r="AB23" s="237"/>
      <c r="AC23" s="237"/>
      <c r="AD23" s="237"/>
      <c r="AE23" s="2577"/>
      <c r="AF23" s="2562"/>
      <c r="AG23" s="197"/>
      <c r="AH23" s="197"/>
      <c r="AI23" s="197"/>
      <c r="AJ23" s="197"/>
      <c r="AK23" s="197"/>
      <c r="AL23" s="197"/>
      <c r="AM23" s="197"/>
      <c r="AN23" s="197"/>
      <c r="AO23" s="197"/>
      <c r="AP23" s="197"/>
      <c r="AQ23" s="197"/>
    </row>
    <row r="24" spans="1:43" ht="78" thickTop="1">
      <c r="A24" s="197"/>
      <c r="B24" s="556" t="s">
        <v>1891</v>
      </c>
      <c r="C24" s="574" t="s">
        <v>3524</v>
      </c>
      <c r="D24" s="575" t="s">
        <v>3645</v>
      </c>
      <c r="E24" s="444"/>
      <c r="F24" s="444"/>
      <c r="G24" s="444"/>
      <c r="H24" s="197"/>
      <c r="I24" s="197"/>
      <c r="J24" s="197"/>
      <c r="K24" s="197"/>
      <c r="L24" s="197"/>
      <c r="M24" s="197"/>
      <c r="N24" s="228"/>
      <c r="O24" s="197"/>
      <c r="P24" s="197"/>
      <c r="Q24" s="197"/>
      <c r="R24" s="2578"/>
      <c r="S24" s="251"/>
      <c r="T24" s="332"/>
      <c r="U24" s="237"/>
      <c r="V24" s="237"/>
      <c r="W24" s="237"/>
      <c r="X24" s="237"/>
      <c r="Y24" s="237"/>
      <c r="Z24" s="237"/>
      <c r="AA24" s="237"/>
      <c r="AB24" s="237"/>
      <c r="AC24" s="237"/>
      <c r="AD24" s="237"/>
      <c r="AE24" s="332"/>
      <c r="AF24" s="2562"/>
      <c r="AG24" s="556" t="s">
        <v>1891</v>
      </c>
      <c r="AH24" s="574" t="s">
        <v>3524</v>
      </c>
      <c r="AI24" s="575" t="s">
        <v>3645</v>
      </c>
      <c r="AJ24" s="444"/>
      <c r="AK24" s="444"/>
      <c r="AL24" s="444"/>
      <c r="AM24" s="197"/>
      <c r="AN24" s="197"/>
      <c r="AO24" s="197"/>
      <c r="AP24" s="197"/>
      <c r="AQ24" s="197"/>
    </row>
    <row r="25" spans="1:43" ht="15.75" customHeight="1">
      <c r="A25" s="197"/>
      <c r="B25" s="391" t="s">
        <v>1892</v>
      </c>
      <c r="C25" s="389" t="s">
        <v>1387</v>
      </c>
      <c r="D25" s="390" t="s">
        <v>3526</v>
      </c>
      <c r="E25" s="444"/>
      <c r="F25" s="444"/>
      <c r="G25" s="444"/>
      <c r="H25" s="197"/>
      <c r="I25" s="197"/>
      <c r="J25" s="197"/>
      <c r="K25" s="197"/>
      <c r="L25" s="197"/>
      <c r="M25" s="197"/>
      <c r="N25" s="228"/>
      <c r="O25" s="197"/>
      <c r="P25" s="197"/>
      <c r="Q25" s="197"/>
      <c r="R25" s="2578"/>
      <c r="S25" s="251"/>
      <c r="T25" s="332"/>
      <c r="U25" s="237"/>
      <c r="V25" s="237"/>
      <c r="W25" s="237"/>
      <c r="X25" s="237"/>
      <c r="Y25" s="237"/>
      <c r="Z25" s="237"/>
      <c r="AA25" s="237"/>
      <c r="AB25" s="237"/>
      <c r="AC25" s="237"/>
      <c r="AD25" s="237"/>
      <c r="AE25" s="332"/>
      <c r="AF25" s="2562"/>
      <c r="AG25" s="391" t="s">
        <v>1892</v>
      </c>
      <c r="AH25" s="389" t="s">
        <v>1387</v>
      </c>
      <c r="AI25" s="390" t="s">
        <v>3526</v>
      </c>
      <c r="AJ25" s="444"/>
      <c r="AK25" s="444"/>
      <c r="AL25" s="444"/>
      <c r="AM25" s="197"/>
      <c r="AN25" s="197"/>
      <c r="AO25" s="197"/>
      <c r="AP25" s="197"/>
      <c r="AQ25" s="197"/>
    </row>
    <row r="26" spans="1:43" ht="15.75" customHeight="1" thickBot="1">
      <c r="A26" s="197"/>
      <c r="B26" s="392" t="s">
        <v>136</v>
      </c>
      <c r="C26" s="238">
        <v>3</v>
      </c>
      <c r="D26" s="576">
        <v>3</v>
      </c>
      <c r="E26" s="444"/>
      <c r="F26" s="444"/>
      <c r="G26" s="444"/>
      <c r="H26" s="197"/>
      <c r="I26" s="197"/>
      <c r="J26" s="197"/>
      <c r="K26" s="197"/>
      <c r="L26" s="197"/>
      <c r="M26" s="197"/>
      <c r="N26" s="228"/>
      <c r="O26" s="197"/>
      <c r="P26" s="197"/>
      <c r="Q26" s="197"/>
      <c r="R26" s="2578"/>
      <c r="S26" s="251"/>
      <c r="T26" s="2577"/>
      <c r="U26" s="237"/>
      <c r="V26" s="237"/>
      <c r="W26" s="237"/>
      <c r="X26" s="237"/>
      <c r="Y26" s="237"/>
      <c r="Z26" s="237"/>
      <c r="AA26" s="237"/>
      <c r="AB26" s="237"/>
      <c r="AC26" s="237"/>
      <c r="AD26" s="237"/>
      <c r="AE26" s="2577"/>
      <c r="AF26" s="2562"/>
      <c r="AG26" s="392" t="s">
        <v>136</v>
      </c>
      <c r="AH26" s="238">
        <v>3</v>
      </c>
      <c r="AI26" s="576">
        <v>3</v>
      </c>
      <c r="AJ26" s="444"/>
      <c r="AK26" s="444"/>
      <c r="AL26" s="444"/>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28"/>
      <c r="O27" s="197"/>
      <c r="P27" s="197"/>
      <c r="Q27" s="197"/>
      <c r="R27" s="2578"/>
      <c r="S27" s="251"/>
      <c r="T27" s="2577"/>
      <c r="U27" s="237"/>
      <c r="V27" s="237"/>
      <c r="W27" s="237"/>
      <c r="X27" s="237"/>
      <c r="Y27" s="237"/>
      <c r="Z27" s="237"/>
      <c r="AA27" s="237"/>
      <c r="AB27" s="237"/>
      <c r="AC27" s="237"/>
      <c r="AD27" s="237"/>
      <c r="AE27" s="2577"/>
      <c r="AF27" s="2562"/>
      <c r="AG27" s="197"/>
      <c r="AH27" s="197"/>
      <c r="AI27" s="197"/>
      <c r="AJ27" s="197"/>
      <c r="AK27" s="197"/>
      <c r="AL27" s="197"/>
      <c r="AM27" s="197"/>
      <c r="AN27" s="197"/>
      <c r="AO27" s="197"/>
      <c r="AP27" s="197"/>
      <c r="AQ27" s="197"/>
    </row>
    <row r="28" spans="1:43" ht="15.75" customHeight="1" thickTop="1" thickBot="1">
      <c r="A28" s="197"/>
      <c r="B28" s="355" t="s">
        <v>3646</v>
      </c>
      <c r="C28" s="106"/>
      <c r="D28" s="106"/>
      <c r="E28" s="106"/>
      <c r="F28" s="106"/>
      <c r="G28" s="106"/>
      <c r="H28" s="590"/>
      <c r="I28" s="590"/>
      <c r="J28" s="590"/>
      <c r="K28" s="590"/>
      <c r="L28" s="590"/>
      <c r="M28" s="197"/>
      <c r="N28" s="228"/>
      <c r="O28" s="197"/>
      <c r="P28" s="197"/>
      <c r="Q28" s="197"/>
      <c r="R28" s="2578"/>
      <c r="S28" s="251"/>
      <c r="T28" s="2577"/>
      <c r="U28" s="237"/>
      <c r="V28" s="237"/>
      <c r="W28" s="237"/>
      <c r="X28" s="237"/>
      <c r="Y28" s="237"/>
      <c r="Z28" s="237"/>
      <c r="AA28" s="237"/>
      <c r="AB28" s="237"/>
      <c r="AC28" s="237"/>
      <c r="AD28" s="237"/>
      <c r="AE28" s="2577"/>
      <c r="AF28" s="2562"/>
      <c r="AG28" s="355" t="s">
        <v>3646</v>
      </c>
      <c r="AH28" s="106"/>
      <c r="AI28" s="106"/>
      <c r="AJ28" s="106"/>
      <c r="AK28" s="106"/>
      <c r="AL28" s="106"/>
      <c r="AM28" s="590"/>
      <c r="AN28" s="590"/>
      <c r="AO28" s="590"/>
      <c r="AP28" s="590"/>
      <c r="AQ28" s="590"/>
    </row>
    <row r="29" spans="1:43" ht="15.75" customHeight="1" thickTop="1" thickBot="1">
      <c r="A29" s="197"/>
      <c r="B29" s="382" t="s">
        <v>2112</v>
      </c>
      <c r="C29" s="383"/>
      <c r="D29" s="586">
        <f>IFERROR(IF(OR(D22=0,C29=0),0,D22/(C29/1000)),0)</f>
        <v>0</v>
      </c>
      <c r="E29" s="322"/>
      <c r="F29" s="83"/>
      <c r="G29" s="83"/>
      <c r="H29" s="592"/>
      <c r="I29" s="592"/>
      <c r="J29" s="592"/>
      <c r="K29" s="592"/>
      <c r="L29" s="592"/>
      <c r="M29" s="197"/>
      <c r="N29" s="336" t="s">
        <v>3955</v>
      </c>
      <c r="O29" s="197"/>
      <c r="P29" s="337"/>
      <c r="Q29" s="197"/>
      <c r="R29" s="2578"/>
      <c r="S29" s="251" t="str">
        <f xml:space="preserve"> IF( SUM( U29:AD29 ) = 0, 0,$U$4 )</f>
        <v>Please complete all cells in row</v>
      </c>
      <c r="T29" s="2577"/>
      <c r="U29" s="252">
        <f t="shared" ref="U29" si="17" xml:space="preserve"> IF( ISNUMBER( C29 ), 0, 1 )</f>
        <v>1</v>
      </c>
      <c r="V29" s="237"/>
      <c r="W29" s="237"/>
      <c r="X29" s="237"/>
      <c r="Y29" s="237"/>
      <c r="Z29" s="237"/>
      <c r="AA29" s="237"/>
      <c r="AB29" s="237"/>
      <c r="AC29" s="237"/>
      <c r="AD29" s="237"/>
      <c r="AE29" s="2577"/>
      <c r="AF29" s="2562"/>
      <c r="AG29" s="382" t="s">
        <v>2112</v>
      </c>
      <c r="AH29" s="383" t="s">
        <v>3956</v>
      </c>
      <c r="AI29" s="591" t="s">
        <v>3957</v>
      </c>
      <c r="AJ29" s="322"/>
      <c r="AK29" s="83"/>
      <c r="AL29" s="83"/>
      <c r="AM29" s="592"/>
      <c r="AN29" s="592"/>
      <c r="AO29" s="592"/>
      <c r="AP29" s="592"/>
      <c r="AQ29" s="592"/>
    </row>
    <row r="30" spans="1:43" ht="16" thickTop="1">
      <c r="A30" s="197"/>
      <c r="B30" s="197"/>
      <c r="C30" s="197"/>
      <c r="D30" s="197"/>
      <c r="E30" s="197"/>
      <c r="F30" s="197"/>
      <c r="G30" s="197"/>
      <c r="H30" s="197"/>
      <c r="I30" s="197"/>
      <c r="J30" s="197"/>
      <c r="K30" s="197"/>
      <c r="L30" s="197"/>
      <c r="M30" s="197"/>
      <c r="N30" s="197"/>
      <c r="O30" s="197"/>
      <c r="P30" s="197"/>
      <c r="Q30" s="197"/>
      <c r="R30" s="2562"/>
      <c r="S30" s="251"/>
      <c r="T30" s="2572"/>
      <c r="U30" s="237"/>
      <c r="V30" s="237"/>
      <c r="W30" s="237"/>
      <c r="X30" s="237"/>
      <c r="Y30" s="237"/>
      <c r="Z30" s="237"/>
      <c r="AA30" s="237"/>
      <c r="AB30" s="237"/>
      <c r="AC30" s="237"/>
      <c r="AD30" s="237"/>
      <c r="AE30" s="2572"/>
      <c r="AF30" s="2562"/>
      <c r="AG30" s="2562"/>
      <c r="AH30" s="2562"/>
      <c r="AI30" s="2562"/>
      <c r="AJ30" s="2562"/>
      <c r="AK30" s="2562"/>
      <c r="AL30" s="2562"/>
      <c r="AM30" s="2562"/>
      <c r="AN30" s="2562"/>
      <c r="AO30" s="2562"/>
      <c r="AP30" s="2562"/>
      <c r="AQ30" s="2562"/>
    </row>
    <row r="31" spans="1:43" ht="15.5">
      <c r="A31" s="197"/>
      <c r="B31" s="197"/>
      <c r="C31" s="197"/>
      <c r="D31" s="197"/>
      <c r="E31" s="197"/>
      <c r="F31" s="197"/>
      <c r="G31" s="197"/>
      <c r="H31" s="197"/>
      <c r="I31" s="197"/>
      <c r="J31" s="197"/>
      <c r="K31" s="197"/>
      <c r="L31" s="197"/>
      <c r="M31" s="197"/>
      <c r="N31" s="197"/>
      <c r="O31" s="197"/>
      <c r="P31" s="197"/>
      <c r="Q31" s="197"/>
      <c r="R31" s="2562"/>
      <c r="S31" s="251"/>
      <c r="T31" s="2572"/>
      <c r="U31" s="237"/>
      <c r="V31" s="237"/>
      <c r="W31" s="237"/>
      <c r="X31" s="237"/>
      <c r="Y31" s="237"/>
      <c r="Z31" s="237"/>
      <c r="AA31" s="237"/>
      <c r="AB31" s="237"/>
      <c r="AC31" s="237"/>
      <c r="AD31" s="237"/>
      <c r="AE31" s="2572"/>
      <c r="AF31" s="2562"/>
      <c r="AG31" s="2562"/>
      <c r="AH31" s="2562"/>
      <c r="AI31" s="2562"/>
      <c r="AJ31" s="2562"/>
      <c r="AK31" s="2562"/>
      <c r="AL31" s="2562"/>
      <c r="AM31" s="2562"/>
      <c r="AN31" s="2562"/>
      <c r="AO31" s="2562"/>
      <c r="AP31" s="2562"/>
      <c r="AQ31" s="2562"/>
    </row>
    <row r="32" spans="1:43" ht="15.5">
      <c r="A32" s="197"/>
      <c r="B32" s="197"/>
      <c r="C32" s="197"/>
      <c r="D32" s="197"/>
      <c r="E32" s="197"/>
      <c r="F32" s="197"/>
      <c r="G32" s="197"/>
      <c r="H32" s="197"/>
      <c r="I32" s="197"/>
      <c r="J32" s="197"/>
      <c r="K32" s="197"/>
      <c r="L32" s="197"/>
      <c r="M32" s="197"/>
      <c r="N32" s="197"/>
      <c r="O32" s="197"/>
      <c r="P32" s="197"/>
      <c r="Q32" s="197"/>
      <c r="R32" s="2562"/>
      <c r="S32" s="251"/>
      <c r="T32" s="2572"/>
      <c r="U32" s="2572"/>
      <c r="V32" s="2572"/>
      <c r="W32" s="2572"/>
      <c r="X32" s="2572"/>
      <c r="Y32" s="2572"/>
      <c r="Z32" s="2574"/>
      <c r="AA32" s="2574"/>
      <c r="AB32" s="2574"/>
      <c r="AC32" s="2575"/>
      <c r="AD32" s="2575"/>
      <c r="AE32" s="2572"/>
      <c r="AF32" s="2562"/>
      <c r="AG32" s="2562"/>
      <c r="AH32" s="2562"/>
      <c r="AI32" s="2562"/>
      <c r="AJ32" s="2562"/>
      <c r="AK32" s="2562"/>
      <c r="AL32" s="2562"/>
      <c r="AM32" s="2562"/>
      <c r="AN32" s="2562"/>
      <c r="AO32" s="2562"/>
      <c r="AP32" s="2562"/>
      <c r="AQ32" s="2562"/>
    </row>
    <row r="33" spans="1:30" ht="15.5">
      <c r="A33" s="197"/>
      <c r="B33" s="197"/>
      <c r="C33" s="197"/>
      <c r="D33" s="197"/>
      <c r="E33" s="197"/>
      <c r="F33" s="197"/>
      <c r="G33" s="197"/>
      <c r="H33" s="197"/>
      <c r="I33" s="197"/>
      <c r="J33" s="197"/>
      <c r="K33" s="197"/>
      <c r="L33" s="197"/>
      <c r="M33" s="197"/>
      <c r="N33" s="197"/>
      <c r="O33" s="197"/>
      <c r="P33" s="197"/>
      <c r="Q33" s="197"/>
      <c r="R33" s="2562"/>
      <c r="S33" s="251"/>
      <c r="T33" s="2572"/>
      <c r="U33" s="2562"/>
      <c r="V33" s="2562"/>
      <c r="W33" s="2562"/>
      <c r="X33" s="2562"/>
      <c r="Y33" s="2562"/>
      <c r="Z33" s="2562"/>
      <c r="AA33" s="2562"/>
      <c r="AB33" s="2562"/>
      <c r="AC33" s="2562"/>
      <c r="AD33" s="2562"/>
    </row>
    <row r="34" spans="1:30" ht="15.5">
      <c r="A34" s="197"/>
      <c r="B34" s="197"/>
      <c r="C34" s="197"/>
      <c r="D34" s="197"/>
      <c r="E34" s="197"/>
      <c r="F34" s="197"/>
      <c r="G34" s="197"/>
      <c r="H34" s="197"/>
      <c r="I34" s="197"/>
      <c r="J34" s="197"/>
      <c r="K34" s="197"/>
      <c r="L34" s="197"/>
      <c r="M34" s="197"/>
      <c r="N34" s="197"/>
      <c r="O34" s="197"/>
      <c r="P34" s="197"/>
      <c r="Q34" s="197"/>
      <c r="R34" s="2562"/>
      <c r="S34" s="251"/>
      <c r="T34" s="2572"/>
      <c r="U34" s="2562"/>
      <c r="V34" s="2562"/>
      <c r="W34" s="2562"/>
      <c r="X34" s="2562"/>
      <c r="Y34" s="2562"/>
      <c r="Z34" s="2562"/>
      <c r="AA34" s="2562"/>
      <c r="AB34" s="2562"/>
      <c r="AC34" s="2562"/>
      <c r="AD34" s="2562"/>
    </row>
    <row r="35" spans="1:30" ht="15.5">
      <c r="A35" s="197"/>
      <c r="B35" s="197"/>
      <c r="C35" s="197"/>
      <c r="D35" s="197"/>
      <c r="E35" s="197"/>
      <c r="F35" s="197"/>
      <c r="G35" s="197"/>
      <c r="H35" s="197"/>
      <c r="I35" s="197"/>
      <c r="J35" s="197"/>
      <c r="K35" s="197"/>
      <c r="L35" s="197"/>
      <c r="M35" s="197"/>
      <c r="N35" s="197"/>
      <c r="O35" s="197"/>
      <c r="P35" s="197"/>
      <c r="Q35" s="197"/>
      <c r="R35" s="2562"/>
      <c r="S35" s="251"/>
      <c r="T35" s="2572"/>
      <c r="U35" s="2572"/>
      <c r="V35" s="2572"/>
      <c r="W35" s="2572"/>
      <c r="X35" s="2572"/>
      <c r="Y35" s="2572"/>
      <c r="Z35" s="2562"/>
      <c r="AA35" s="2562"/>
      <c r="AB35" s="2562"/>
      <c r="AC35" s="2562"/>
      <c r="AD35" s="2562"/>
    </row>
    <row r="36" spans="1:30" ht="15.5">
      <c r="A36" s="197"/>
      <c r="B36" s="197"/>
      <c r="C36" s="197"/>
      <c r="D36" s="197"/>
      <c r="E36" s="197"/>
      <c r="F36" s="197"/>
      <c r="G36" s="197"/>
      <c r="H36" s="197"/>
      <c r="I36" s="197"/>
      <c r="J36" s="197"/>
      <c r="K36" s="197"/>
      <c r="L36" s="197"/>
      <c r="M36" s="197"/>
      <c r="N36" s="197"/>
      <c r="O36" s="197"/>
      <c r="P36" s="197"/>
      <c r="Q36" s="197"/>
      <c r="R36" s="2562"/>
      <c r="S36" s="251"/>
      <c r="T36" s="2572"/>
      <c r="U36" s="2572"/>
      <c r="V36" s="2572"/>
      <c r="W36" s="2572"/>
      <c r="X36" s="2572"/>
      <c r="Y36" s="2572"/>
      <c r="Z36" s="237"/>
      <c r="AA36" s="237"/>
      <c r="AB36" s="237"/>
      <c r="AC36" s="237"/>
      <c r="AD36" s="237"/>
    </row>
    <row r="37" spans="1:30" ht="15.5">
      <c r="A37" s="197"/>
      <c r="B37" s="197"/>
      <c r="C37" s="197"/>
      <c r="D37" s="197"/>
      <c r="E37" s="197"/>
      <c r="F37" s="197"/>
      <c r="G37" s="197"/>
      <c r="H37" s="197"/>
      <c r="I37" s="197"/>
      <c r="J37" s="197"/>
      <c r="K37" s="197"/>
      <c r="L37" s="197"/>
      <c r="M37" s="197"/>
      <c r="N37" s="197"/>
      <c r="O37" s="197"/>
      <c r="P37" s="197"/>
      <c r="Q37" s="197"/>
      <c r="R37" s="2562"/>
      <c r="S37" s="251"/>
      <c r="T37" s="2572"/>
      <c r="U37" s="2572"/>
      <c r="V37" s="2572"/>
      <c r="W37" s="2572"/>
      <c r="X37" s="2572"/>
      <c r="Y37" s="2572"/>
      <c r="Z37" s="237"/>
      <c r="AA37" s="237"/>
      <c r="AB37" s="237"/>
      <c r="AC37" s="237"/>
      <c r="AD37" s="237"/>
    </row>
    <row r="38" spans="1:30" ht="15.5">
      <c r="A38" s="197"/>
      <c r="B38" s="197"/>
      <c r="C38" s="197"/>
      <c r="D38" s="197"/>
      <c r="E38" s="197"/>
      <c r="F38" s="197"/>
      <c r="G38" s="197"/>
      <c r="H38" s="197"/>
      <c r="I38" s="197"/>
      <c r="J38" s="197"/>
      <c r="K38" s="197"/>
      <c r="L38" s="197"/>
      <c r="M38" s="197"/>
      <c r="N38" s="197"/>
      <c r="O38" s="197"/>
      <c r="P38" s="197"/>
      <c r="Q38" s="197"/>
      <c r="R38" s="2562"/>
      <c r="S38" s="350"/>
      <c r="T38" s="2572"/>
      <c r="U38" s="2572"/>
      <c r="V38" s="2572"/>
      <c r="W38" s="2572"/>
      <c r="X38" s="2572"/>
      <c r="Y38" s="2572"/>
      <c r="Z38" s="237"/>
      <c r="AA38" s="237"/>
      <c r="AB38" s="237"/>
      <c r="AC38" s="237"/>
      <c r="AD38" s="237"/>
    </row>
    <row r="39" spans="1:30" ht="15.5">
      <c r="A39" s="197"/>
      <c r="B39" s="197"/>
      <c r="C39" s="197"/>
      <c r="D39" s="197"/>
      <c r="E39" s="197"/>
      <c r="F39" s="197"/>
      <c r="G39" s="197"/>
      <c r="H39" s="197"/>
      <c r="I39" s="197"/>
      <c r="J39" s="197"/>
      <c r="K39" s="197"/>
      <c r="L39" s="197"/>
      <c r="M39" s="197"/>
      <c r="N39" s="197"/>
      <c r="O39" s="197"/>
      <c r="P39" s="197"/>
      <c r="Q39" s="197"/>
      <c r="R39" s="2562"/>
      <c r="S39" s="350"/>
      <c r="T39" s="2572"/>
      <c r="U39" s="2572"/>
      <c r="V39" s="2572"/>
      <c r="W39" s="2572"/>
      <c r="X39" s="2572"/>
      <c r="Y39" s="2572"/>
      <c r="Z39" s="237"/>
      <c r="AA39" s="237"/>
      <c r="AB39" s="237"/>
      <c r="AC39" s="237"/>
      <c r="AD39" s="237"/>
    </row>
    <row r="40" spans="1:30" ht="15.5">
      <c r="A40" s="197"/>
      <c r="B40" s="197"/>
      <c r="C40" s="197"/>
      <c r="D40" s="197"/>
      <c r="E40" s="197"/>
      <c r="F40" s="197"/>
      <c r="G40" s="197"/>
      <c r="H40" s="197"/>
      <c r="I40" s="197"/>
      <c r="J40" s="197"/>
      <c r="K40" s="197"/>
      <c r="L40" s="197"/>
      <c r="M40" s="197"/>
      <c r="N40" s="197"/>
      <c r="O40" s="197"/>
      <c r="P40" s="197"/>
      <c r="Q40" s="197"/>
      <c r="R40" s="2562"/>
      <c r="S40" s="350"/>
      <c r="T40" s="2572"/>
      <c r="U40" s="2572"/>
      <c r="V40" s="2572"/>
      <c r="W40" s="2572"/>
      <c r="X40" s="2572"/>
      <c r="Y40" s="2572"/>
      <c r="Z40" s="237"/>
      <c r="AA40" s="237"/>
      <c r="AB40" s="237"/>
      <c r="AC40" s="237"/>
      <c r="AD40" s="237"/>
    </row>
    <row r="41" spans="1:30" ht="15.5">
      <c r="A41" s="197"/>
      <c r="B41" s="197"/>
      <c r="C41" s="197"/>
      <c r="D41" s="197"/>
      <c r="E41" s="197"/>
      <c r="F41" s="197"/>
      <c r="G41" s="197"/>
      <c r="H41" s="197"/>
      <c r="I41" s="197"/>
      <c r="J41" s="197"/>
      <c r="K41" s="197"/>
      <c r="L41" s="197"/>
      <c r="M41" s="197"/>
      <c r="N41" s="197"/>
      <c r="O41" s="197"/>
      <c r="P41" s="197"/>
      <c r="Q41" s="197"/>
      <c r="R41" s="2572"/>
      <c r="S41" s="350"/>
      <c r="T41" s="2572"/>
      <c r="U41" s="2572"/>
      <c r="V41" s="2572"/>
      <c r="W41" s="2572"/>
      <c r="X41" s="2572"/>
      <c r="Y41" s="2572"/>
      <c r="Z41" s="237"/>
      <c r="AA41" s="237"/>
      <c r="AB41" s="237"/>
      <c r="AC41" s="237"/>
      <c r="AD41" s="237"/>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60" priority="10" operator="equal">
      <formula>0</formula>
    </cfRule>
  </conditionalFormatting>
  <conditionalFormatting sqref="S4:S41">
    <cfRule type="cellIs" dxfId="159"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G16" sqref="G16"/>
    </sheetView>
  </sheetViews>
  <sheetFormatPr defaultColWidth="8.58203125" defaultRowHeight="14.5"/>
  <cols>
    <col min="1" max="1" width="1.58203125" style="17" customWidth="1"/>
    <col min="2" max="2" width="50.58203125" style="17" customWidth="1"/>
    <col min="3" max="3" width="7" style="17" customWidth="1"/>
    <col min="4" max="4" width="5.5" style="17" customWidth="1"/>
    <col min="5" max="9" width="12.5" style="17" customWidth="1"/>
    <col min="10" max="10" width="1.58203125" style="17" customWidth="1"/>
    <col min="11" max="11" width="12.5" style="10" customWidth="1"/>
    <col min="12" max="12" width="1.58203125" style="17" customWidth="1"/>
    <col min="13" max="13" width="33.58203125" style="17" customWidth="1"/>
    <col min="14" max="15" width="1.58203125" style="17" customWidth="1"/>
    <col min="16" max="16" width="25" style="17" customWidth="1"/>
    <col min="17" max="17" width="1.58203125" style="21" customWidth="1"/>
    <col min="18" max="21" width="7.5" style="21" hidden="1" customWidth="1"/>
    <col min="22" max="22" width="1.58203125" style="21" hidden="1" customWidth="1"/>
    <col min="23" max="23" width="1.58203125" style="17" customWidth="1"/>
    <col min="24" max="24" width="36.08203125" style="17" customWidth="1"/>
    <col min="25" max="29" width="12.5" style="17" customWidth="1"/>
    <col min="30" max="30" width="1.58203125" style="17" customWidth="1"/>
    <col min="31" max="16384" width="8.58203125" style="17"/>
  </cols>
  <sheetData>
    <row r="1" spans="1:33" s="8" customFormat="1" ht="30" customHeight="1">
      <c r="A1" s="351"/>
      <c r="B1" s="2771" t="s">
        <v>3958</v>
      </c>
      <c r="C1" s="2771"/>
      <c r="D1" s="2771"/>
      <c r="E1" s="2771"/>
      <c r="F1" s="2771"/>
      <c r="G1" s="627"/>
      <c r="H1" s="627"/>
      <c r="I1" s="627"/>
      <c r="J1" s="351"/>
      <c r="K1" s="635"/>
      <c r="L1" s="351"/>
      <c r="M1" s="351"/>
      <c r="N1" s="351"/>
      <c r="O1" s="305"/>
      <c r="P1" s="227"/>
      <c r="Q1" s="2571"/>
      <c r="R1" s="2572"/>
      <c r="S1" s="2572"/>
      <c r="T1" s="2572"/>
      <c r="U1" s="2572"/>
      <c r="V1" s="2571"/>
      <c r="W1" s="351"/>
      <c r="X1" s="2771" t="s">
        <v>1887</v>
      </c>
      <c r="Y1" s="2771"/>
      <c r="Z1" s="2771"/>
      <c r="AA1" s="2771"/>
      <c r="AB1" s="2771"/>
      <c r="AC1" s="2771"/>
      <c r="AD1" s="351"/>
      <c r="AE1" s="351"/>
      <c r="AF1" s="351"/>
      <c r="AG1" s="351"/>
    </row>
    <row r="2" spans="1:33" s="8" customFormat="1" ht="30" customHeight="1">
      <c r="A2" s="351"/>
      <c r="B2" s="2771" t="str">
        <f>SelectCompany!B4</f>
        <v>Yorkshire Water</v>
      </c>
      <c r="C2" s="2771"/>
      <c r="D2" s="2771"/>
      <c r="E2" s="2771"/>
      <c r="F2" s="2771"/>
      <c r="G2" s="491"/>
      <c r="H2" s="491"/>
      <c r="I2" s="491"/>
      <c r="J2" s="351"/>
      <c r="K2" s="635"/>
      <c r="L2" s="351"/>
      <c r="M2" s="351"/>
      <c r="N2" s="351"/>
      <c r="O2" s="305"/>
      <c r="P2" s="227"/>
      <c r="Q2" s="2571"/>
      <c r="R2" s="2572"/>
      <c r="S2" s="2572"/>
      <c r="T2" s="2572"/>
      <c r="U2" s="2572"/>
      <c r="V2" s="2571"/>
      <c r="W2" s="351"/>
      <c r="X2" s="2771"/>
      <c r="Y2" s="2771"/>
      <c r="Z2" s="2771"/>
      <c r="AA2" s="2771"/>
      <c r="AB2" s="2771"/>
      <c r="AC2" s="2771"/>
      <c r="AD2" s="351"/>
      <c r="AE2" s="351"/>
      <c r="AF2" s="351"/>
      <c r="AG2" s="351"/>
    </row>
    <row r="3" spans="1:33" ht="45" customHeight="1">
      <c r="A3" s="2562"/>
      <c r="B3" s="2689" t="s">
        <v>3959</v>
      </c>
      <c r="C3" s="2689"/>
      <c r="D3" s="2689"/>
      <c r="E3" s="2689"/>
      <c r="F3" s="2689"/>
      <c r="G3" s="2689"/>
      <c r="H3" s="2689"/>
      <c r="I3" s="2689"/>
      <c r="J3" s="2689"/>
      <c r="K3" s="2689"/>
      <c r="L3" s="2689"/>
      <c r="M3" s="2689"/>
      <c r="N3" s="2562"/>
      <c r="O3" s="307"/>
      <c r="P3" s="232" t="s">
        <v>1889</v>
      </c>
      <c r="Q3" s="2571"/>
      <c r="R3" s="2572"/>
      <c r="S3" s="2572"/>
      <c r="T3" s="2572"/>
      <c r="U3" s="2572"/>
      <c r="V3" s="2571"/>
      <c r="W3" s="2562"/>
      <c r="X3" s="2690" t="s">
        <v>3960</v>
      </c>
      <c r="Y3" s="2691"/>
      <c r="Z3" s="2691"/>
      <c r="AA3" s="2691"/>
      <c r="AB3" s="2691"/>
      <c r="AC3" s="2691"/>
      <c r="AD3" s="2562"/>
      <c r="AE3" s="2562"/>
      <c r="AF3" s="2562"/>
      <c r="AG3" s="2562"/>
    </row>
    <row r="4" spans="1:33" ht="14.25" customHeight="1" thickBot="1">
      <c r="A4" s="2562"/>
      <c r="B4" s="492"/>
      <c r="C4" s="492"/>
      <c r="D4" s="492"/>
      <c r="E4" s="492"/>
      <c r="F4" s="492"/>
      <c r="G4" s="492"/>
      <c r="H4" s="492"/>
      <c r="I4" s="492"/>
      <c r="J4" s="324"/>
      <c r="K4" s="527"/>
      <c r="L4" s="2562"/>
      <c r="M4" s="2562"/>
      <c r="N4" s="2562"/>
      <c r="O4" s="2576"/>
      <c r="P4" s="2562"/>
      <c r="Q4" s="2571"/>
      <c r="R4" s="2662" t="s">
        <v>1890</v>
      </c>
      <c r="S4" s="2662"/>
      <c r="T4" s="2662"/>
      <c r="U4" s="636"/>
      <c r="V4" s="2571"/>
      <c r="W4" s="2562"/>
      <c r="X4" s="492"/>
      <c r="Y4" s="492"/>
      <c r="Z4" s="492"/>
      <c r="AA4" s="492"/>
      <c r="AB4" s="492"/>
      <c r="AC4" s="492"/>
      <c r="AD4" s="2562"/>
      <c r="AE4" s="2562"/>
      <c r="AF4" s="2562"/>
      <c r="AG4" s="2562"/>
    </row>
    <row r="5" spans="1:33" ht="47.5" thickTop="1" thickBot="1">
      <c r="A5" s="197"/>
      <c r="B5" s="407" t="s">
        <v>1891</v>
      </c>
      <c r="C5" s="408" t="s">
        <v>1892</v>
      </c>
      <c r="D5" s="408" t="s">
        <v>136</v>
      </c>
      <c r="E5" s="408" t="s">
        <v>2828</v>
      </c>
      <c r="F5" s="408" t="s">
        <v>2829</v>
      </c>
      <c r="G5" s="408" t="s">
        <v>2830</v>
      </c>
      <c r="H5" s="408" t="s">
        <v>3961</v>
      </c>
      <c r="I5" s="409" t="s">
        <v>2112</v>
      </c>
      <c r="J5" s="106"/>
      <c r="K5" s="411" t="s">
        <v>1896</v>
      </c>
      <c r="L5" s="197"/>
      <c r="M5" s="411" t="s">
        <v>1897</v>
      </c>
      <c r="N5" s="197"/>
      <c r="O5" s="2576"/>
      <c r="P5" s="2562"/>
      <c r="Q5" s="2571"/>
      <c r="R5" s="236" t="s">
        <v>1898</v>
      </c>
      <c r="S5" s="236"/>
      <c r="T5" s="236"/>
      <c r="U5" s="236"/>
      <c r="V5" s="2571"/>
      <c r="W5" s="2562"/>
      <c r="X5" s="407" t="s">
        <v>1891</v>
      </c>
      <c r="Y5" s="408" t="s">
        <v>2828</v>
      </c>
      <c r="Z5" s="408" t="s">
        <v>2829</v>
      </c>
      <c r="AA5" s="408" t="s">
        <v>2830</v>
      </c>
      <c r="AB5" s="408" t="s">
        <v>3961</v>
      </c>
      <c r="AC5" s="409" t="s">
        <v>2112</v>
      </c>
      <c r="AD5" s="2562"/>
      <c r="AE5" s="2562"/>
      <c r="AF5" s="2562"/>
      <c r="AG5" s="2562"/>
    </row>
    <row r="6" spans="1:33" ht="15.75" customHeight="1" thickTop="1" thickBot="1">
      <c r="A6" s="197"/>
      <c r="B6" s="637"/>
      <c r="C6" s="637"/>
      <c r="D6" s="637"/>
      <c r="E6" s="638"/>
      <c r="F6" s="638"/>
      <c r="G6" s="638"/>
      <c r="H6" s="638"/>
      <c r="I6" s="638"/>
      <c r="J6" s="106"/>
      <c r="K6" s="527"/>
      <c r="L6" s="197"/>
      <c r="M6" s="197"/>
      <c r="N6" s="197"/>
      <c r="O6" s="2576"/>
      <c r="P6" s="2562"/>
      <c r="Q6" s="2571"/>
      <c r="R6" s="2562"/>
      <c r="S6" s="2562"/>
      <c r="T6" s="2562"/>
      <c r="U6" s="2562"/>
      <c r="V6" s="2571"/>
      <c r="W6" s="2562"/>
      <c r="X6" s="637"/>
      <c r="Y6" s="638"/>
      <c r="Z6" s="638"/>
      <c r="AA6" s="638"/>
      <c r="AB6" s="638"/>
      <c r="AC6" s="638"/>
      <c r="AD6" s="2562"/>
      <c r="AE6" s="2562"/>
      <c r="AF6" s="2562"/>
      <c r="AG6" s="2562"/>
    </row>
    <row r="7" spans="1:33" ht="15.75" customHeight="1" thickTop="1" thickBot="1">
      <c r="A7" s="197"/>
      <c r="B7" s="431" t="s">
        <v>3962</v>
      </c>
      <c r="C7" s="333" t="s">
        <v>137</v>
      </c>
      <c r="D7" s="333">
        <v>3</v>
      </c>
      <c r="E7" s="383">
        <v>4.5900000000000003E-3</v>
      </c>
      <c r="F7" s="383">
        <v>0.38813024000000002</v>
      </c>
      <c r="G7" s="383">
        <v>4.3153615699999994</v>
      </c>
      <c r="H7" s="383">
        <v>0</v>
      </c>
      <c r="I7" s="433">
        <f>SUM(E7:H7)</f>
        <v>4.7080818099999995</v>
      </c>
      <c r="J7" s="197"/>
      <c r="K7" s="620" t="s">
        <v>3963</v>
      </c>
      <c r="L7" s="197"/>
      <c r="M7" s="337"/>
      <c r="N7" s="197"/>
      <c r="O7" s="2576"/>
      <c r="P7" s="251">
        <f xml:space="preserve"> IF( SUM( R7:U7 ) = 0, 0,$R$5)</f>
        <v>0</v>
      </c>
      <c r="Q7" s="2571"/>
      <c r="R7" s="252">
        <f xml:space="preserve"> IF( ISNUMBER(E7 ), 0, 1 )</f>
        <v>0</v>
      </c>
      <c r="S7" s="252">
        <f t="shared" ref="S7:U7" si="0" xml:space="preserve"> IF( ISNUMBER(F7 ), 0, 1 )</f>
        <v>0</v>
      </c>
      <c r="T7" s="252">
        <f t="shared" si="0"/>
        <v>0</v>
      </c>
      <c r="U7" s="252">
        <f t="shared" si="0"/>
        <v>0</v>
      </c>
      <c r="V7" s="2571"/>
      <c r="W7" s="2562"/>
      <c r="X7" s="431" t="s">
        <v>3964</v>
      </c>
      <c r="Y7" s="383" t="s">
        <v>3965</v>
      </c>
      <c r="Z7" s="383" t="s">
        <v>3966</v>
      </c>
      <c r="AA7" s="383" t="s">
        <v>3967</v>
      </c>
      <c r="AB7" s="383" t="s">
        <v>3968</v>
      </c>
      <c r="AC7" s="433" t="s">
        <v>3969</v>
      </c>
      <c r="AD7" s="2562"/>
      <c r="AE7" s="2562"/>
      <c r="AF7" s="2562"/>
      <c r="AG7" s="2562"/>
    </row>
    <row r="8" spans="1:33" ht="16" thickTop="1">
      <c r="A8" s="197"/>
      <c r="B8" s="197"/>
      <c r="C8" s="197"/>
      <c r="D8" s="197"/>
      <c r="E8" s="197"/>
      <c r="F8" s="197"/>
      <c r="G8" s="197"/>
      <c r="H8" s="197"/>
      <c r="I8" s="197"/>
      <c r="J8" s="197"/>
      <c r="K8" s="543"/>
      <c r="L8" s="197"/>
      <c r="M8" s="197"/>
      <c r="N8" s="197"/>
      <c r="O8" s="2562"/>
      <c r="P8" s="350"/>
      <c r="Q8" s="2572"/>
      <c r="R8" s="237"/>
      <c r="S8" s="237"/>
      <c r="T8" s="237"/>
      <c r="U8" s="237"/>
      <c r="V8" s="2572"/>
      <c r="W8" s="2562"/>
      <c r="X8" s="2562"/>
      <c r="Y8" s="2562"/>
      <c r="Z8" s="2562"/>
      <c r="AA8" s="2562"/>
      <c r="AB8" s="2562"/>
      <c r="AC8" s="2562"/>
      <c r="AD8" s="2562"/>
      <c r="AE8" s="2562"/>
      <c r="AF8" s="2562"/>
      <c r="AG8" s="2562"/>
    </row>
    <row r="9" spans="1:33" ht="15.5">
      <c r="A9" s="197"/>
      <c r="B9" s="197"/>
      <c r="C9" s="197"/>
      <c r="D9" s="197"/>
      <c r="E9" s="197"/>
      <c r="F9" s="197"/>
      <c r="G9" s="197"/>
      <c r="H9" s="197"/>
      <c r="I9" s="197"/>
      <c r="J9" s="197"/>
      <c r="K9" s="543"/>
      <c r="L9" s="197"/>
      <c r="M9" s="197"/>
      <c r="N9" s="197"/>
      <c r="O9" s="2562"/>
      <c r="P9" s="350"/>
      <c r="Q9" s="2572"/>
      <c r="R9" s="237"/>
      <c r="S9" s="237"/>
      <c r="T9" s="237"/>
      <c r="U9" s="237"/>
      <c r="V9" s="2572"/>
      <c r="W9" s="2562"/>
      <c r="X9" s="2562"/>
      <c r="Y9" s="2562"/>
      <c r="Z9" s="2562"/>
      <c r="AA9" s="2562"/>
      <c r="AB9" s="2562"/>
      <c r="AC9" s="2562"/>
      <c r="AD9" s="2562"/>
      <c r="AE9" s="2562"/>
      <c r="AF9" s="2562"/>
      <c r="AG9" s="2562"/>
    </row>
    <row r="10" spans="1:33" ht="15.5">
      <c r="A10" s="197"/>
      <c r="B10" s="197"/>
      <c r="C10" s="197"/>
      <c r="D10" s="197"/>
      <c r="E10" s="197"/>
      <c r="F10" s="197"/>
      <c r="G10" s="197"/>
      <c r="H10" s="197"/>
      <c r="I10" s="197"/>
      <c r="J10" s="197"/>
      <c r="K10" s="543"/>
      <c r="L10" s="197"/>
      <c r="M10" s="197"/>
      <c r="N10" s="197"/>
      <c r="O10" s="2562"/>
      <c r="P10" s="2562"/>
      <c r="Q10" s="2572"/>
      <c r="R10" s="237"/>
      <c r="S10" s="237"/>
      <c r="T10" s="237"/>
      <c r="U10" s="237"/>
      <c r="V10" s="2572"/>
      <c r="W10" s="2562"/>
      <c r="X10" s="2562"/>
      <c r="Y10" s="2562"/>
      <c r="Z10" s="2562"/>
      <c r="AA10" s="2562"/>
      <c r="AB10" s="2562"/>
      <c r="AC10" s="2562"/>
      <c r="AD10" s="2562"/>
      <c r="AE10" s="2562"/>
      <c r="AF10" s="2562"/>
      <c r="AG10" s="2562"/>
    </row>
    <row r="11" spans="1:33" ht="15.5">
      <c r="A11" s="197"/>
      <c r="B11" s="197"/>
      <c r="C11" s="197"/>
      <c r="D11" s="197"/>
      <c r="E11" s="197"/>
      <c r="F11" s="197"/>
      <c r="G11" s="197"/>
      <c r="H11" s="197"/>
      <c r="I11" s="197"/>
      <c r="J11" s="197"/>
      <c r="K11" s="543"/>
      <c r="L11" s="197"/>
      <c r="M11" s="197"/>
      <c r="N11" s="197"/>
      <c r="O11" s="2562"/>
      <c r="P11" s="251"/>
      <c r="Q11" s="2572"/>
      <c r="R11" s="237"/>
      <c r="S11" s="237"/>
      <c r="T11" s="237"/>
      <c r="U11" s="237"/>
      <c r="V11" s="2572"/>
      <c r="W11" s="2562"/>
      <c r="X11" s="2562"/>
      <c r="Y11" s="2562"/>
      <c r="Z11" s="2562"/>
      <c r="AA11" s="2562"/>
      <c r="AB11" s="2562"/>
      <c r="AC11" s="2562"/>
      <c r="AD11" s="2562"/>
      <c r="AE11" s="2562"/>
      <c r="AF11" s="2562"/>
      <c r="AG11" s="2562"/>
    </row>
    <row r="12" spans="1:33" ht="15.5">
      <c r="A12" s="197"/>
      <c r="B12" s="197"/>
      <c r="C12" s="197"/>
      <c r="D12" s="197"/>
      <c r="E12" s="197"/>
      <c r="F12" s="197"/>
      <c r="G12" s="197"/>
      <c r="H12" s="197"/>
      <c r="I12" s="197"/>
      <c r="J12" s="197"/>
      <c r="K12" s="543"/>
      <c r="L12" s="197"/>
      <c r="M12" s="197"/>
      <c r="N12" s="197"/>
      <c r="O12" s="2562"/>
      <c r="P12" s="2562"/>
      <c r="Q12" s="2572"/>
      <c r="R12" s="237"/>
      <c r="S12" s="237"/>
      <c r="T12" s="237"/>
      <c r="U12" s="237"/>
      <c r="V12" s="2572"/>
      <c r="W12" s="2562"/>
      <c r="X12" s="2562"/>
      <c r="Y12" s="2562"/>
      <c r="Z12" s="2562"/>
      <c r="AA12" s="2562"/>
      <c r="AB12" s="2562"/>
      <c r="AC12" s="2562"/>
      <c r="AD12" s="2562"/>
      <c r="AE12" s="2562"/>
      <c r="AF12" s="2562"/>
      <c r="AG12" s="2562"/>
    </row>
    <row r="13" spans="1:33" ht="15.5">
      <c r="A13" s="197"/>
      <c r="B13" s="197"/>
      <c r="C13" s="197"/>
      <c r="D13" s="197"/>
      <c r="E13" s="197"/>
      <c r="F13" s="197"/>
      <c r="G13" s="197"/>
      <c r="H13" s="197"/>
      <c r="I13" s="197"/>
      <c r="J13" s="197"/>
      <c r="K13" s="543"/>
      <c r="L13" s="197"/>
      <c r="M13" s="197"/>
      <c r="N13" s="197"/>
      <c r="O13" s="2562"/>
      <c r="P13" s="251"/>
      <c r="Q13" s="2572"/>
      <c r="R13" s="237"/>
      <c r="S13" s="237"/>
      <c r="T13" s="237"/>
      <c r="U13" s="237"/>
      <c r="V13" s="2572"/>
      <c r="W13" s="2562"/>
      <c r="X13" s="2562"/>
      <c r="Y13" s="2562"/>
      <c r="Z13" s="2562"/>
      <c r="AA13" s="2562"/>
      <c r="AB13" s="2562"/>
      <c r="AC13" s="2562"/>
      <c r="AD13" s="2562"/>
      <c r="AE13" s="2562"/>
      <c r="AF13" s="2562"/>
      <c r="AG13" s="2562"/>
    </row>
  </sheetData>
  <sheetProtection formatColumns="0" formatRows="0"/>
  <mergeCells count="7">
    <mergeCell ref="R4:T4"/>
    <mergeCell ref="B1:F1"/>
    <mergeCell ref="X1:AC1"/>
    <mergeCell ref="B2:F2"/>
    <mergeCell ref="X2:AC2"/>
    <mergeCell ref="B3:M3"/>
    <mergeCell ref="X3:AC3"/>
  </mergeCells>
  <conditionalFormatting sqref="P7:P9">
    <cfRule type="cellIs" dxfId="158" priority="1" operator="equal">
      <formula>0</formula>
    </cfRule>
  </conditionalFormatting>
  <conditionalFormatting sqref="P11">
    <cfRule type="cellIs" dxfId="157" priority="8" operator="equal">
      <formula>0</formula>
    </cfRule>
  </conditionalFormatting>
  <conditionalFormatting sqref="P13">
    <cfRule type="cellIs" dxfId="156" priority="7"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60" zoomScaleNormal="60" zoomScaleSheetLayoutView="100" workbookViewId="0">
      <selection activeCell="I25" sqref="I25"/>
    </sheetView>
  </sheetViews>
  <sheetFormatPr defaultColWidth="9" defaultRowHeight="15.5"/>
  <cols>
    <col min="1" max="1" width="1.58203125" style="17" customWidth="1"/>
    <col min="2" max="2" width="66.58203125" style="17" bestFit="1" customWidth="1"/>
    <col min="3" max="3" width="5.5" style="17" bestFit="1" customWidth="1"/>
    <col min="4" max="4" width="4.58203125" style="17" bestFit="1" customWidth="1"/>
    <col min="5" max="10" width="13.08203125" style="17" customWidth="1"/>
    <col min="11" max="11" width="1.58203125" style="17" customWidth="1"/>
    <col min="12" max="12" width="9.08203125" style="1" bestFit="1" customWidth="1"/>
    <col min="13" max="13" width="1.58203125" style="17" customWidth="1"/>
    <col min="14" max="14" width="30.08203125" style="17" customWidth="1"/>
    <col min="15" max="16" width="1.58203125" style="17" customWidth="1"/>
    <col min="17" max="17" width="25.08203125" style="17" customWidth="1"/>
    <col min="18" max="18" width="1.58203125" style="21" customWidth="1"/>
    <col min="19" max="23" width="7.5" style="21" hidden="1" customWidth="1"/>
    <col min="24" max="24" width="1.58203125" style="21" hidden="1" customWidth="1"/>
    <col min="25" max="25" width="1.58203125" style="17" customWidth="1"/>
    <col min="26" max="26" width="36.08203125" style="17" customWidth="1"/>
    <col min="27" max="32" width="15.08203125" style="17" customWidth="1"/>
    <col min="33" max="33" width="1.58203125" style="17" customWidth="1"/>
    <col min="34" max="37" width="9" style="16"/>
    <col min="38" max="16384" width="9" style="17"/>
  </cols>
  <sheetData>
    <row r="1" spans="1:37" s="8" customFormat="1" ht="30" customHeight="1">
      <c r="A1" s="351"/>
      <c r="B1" s="2771" t="s">
        <v>3970</v>
      </c>
      <c r="C1" s="2771"/>
      <c r="D1" s="2771"/>
      <c r="E1" s="2771"/>
      <c r="F1" s="2771"/>
      <c r="G1" s="627"/>
      <c r="H1" s="627"/>
      <c r="I1" s="627"/>
      <c r="J1" s="627"/>
      <c r="K1" s="490"/>
      <c r="L1" s="228"/>
      <c r="M1" s="351"/>
      <c r="N1" s="351"/>
      <c r="O1" s="351"/>
      <c r="P1" s="305"/>
      <c r="Q1" s="227"/>
      <c r="R1" s="2571"/>
      <c r="S1" s="2572"/>
      <c r="T1" s="2572"/>
      <c r="U1" s="2572"/>
      <c r="V1" s="2572"/>
      <c r="W1" s="2572"/>
      <c r="X1" s="2571"/>
      <c r="Y1" s="351"/>
      <c r="Z1" s="2771" t="s">
        <v>1887</v>
      </c>
      <c r="AA1" s="2771"/>
      <c r="AB1" s="2771"/>
      <c r="AC1" s="627"/>
      <c r="AD1" s="627"/>
      <c r="AE1" s="627"/>
      <c r="AF1" s="627"/>
      <c r="AG1" s="490"/>
      <c r="AH1" s="639"/>
      <c r="AI1" s="2560"/>
      <c r="AJ1" s="2560"/>
      <c r="AK1" s="351"/>
    </row>
    <row r="2" spans="1:37" s="8" customFormat="1" ht="30" customHeight="1">
      <c r="A2" s="351"/>
      <c r="B2" s="2771" t="str">
        <f>SelectCompany!B4</f>
        <v>Yorkshire Water</v>
      </c>
      <c r="C2" s="2771"/>
      <c r="D2" s="2771"/>
      <c r="E2" s="2771"/>
      <c r="F2" s="2771"/>
      <c r="G2" s="491"/>
      <c r="H2" s="491"/>
      <c r="I2" s="491"/>
      <c r="J2" s="491"/>
      <c r="K2" s="490"/>
      <c r="L2" s="228"/>
      <c r="M2" s="351"/>
      <c r="N2" s="351"/>
      <c r="O2" s="351"/>
      <c r="P2" s="305"/>
      <c r="Q2" s="227"/>
      <c r="R2" s="2571"/>
      <c r="S2" s="2572"/>
      <c r="T2" s="2572"/>
      <c r="U2" s="2572"/>
      <c r="V2" s="2572"/>
      <c r="W2" s="2572"/>
      <c r="X2" s="2571"/>
      <c r="Y2" s="351"/>
      <c r="Z2" s="2771"/>
      <c r="AA2" s="2771"/>
      <c r="AB2" s="2771"/>
      <c r="AC2" s="491"/>
      <c r="AD2" s="491"/>
      <c r="AE2" s="491"/>
      <c r="AF2" s="491"/>
      <c r="AG2" s="490"/>
      <c r="AH2" s="2560"/>
      <c r="AI2" s="2560"/>
      <c r="AJ2" s="2560"/>
      <c r="AK2" s="351"/>
    </row>
    <row r="3" spans="1:37" s="11" customFormat="1" ht="47.25" customHeight="1">
      <c r="A3" s="608"/>
      <c r="B3" s="2688" t="s">
        <v>3971</v>
      </c>
      <c r="C3" s="2689"/>
      <c r="D3" s="2689"/>
      <c r="E3" s="2689"/>
      <c r="F3" s="2689"/>
      <c r="G3" s="2689"/>
      <c r="H3" s="2689"/>
      <c r="I3" s="2689"/>
      <c r="J3" s="2689"/>
      <c r="K3" s="2689"/>
      <c r="L3" s="2689"/>
      <c r="M3" s="2689"/>
      <c r="N3" s="2689"/>
      <c r="O3" s="608"/>
      <c r="P3" s="307"/>
      <c r="Q3" s="232" t="s">
        <v>1889</v>
      </c>
      <c r="R3" s="2571"/>
      <c r="S3" s="2572"/>
      <c r="T3" s="2572"/>
      <c r="U3" s="2572"/>
      <c r="V3" s="2572"/>
      <c r="W3" s="2572"/>
      <c r="X3" s="2571"/>
      <c r="Y3" s="608"/>
      <c r="Z3" s="2690" t="s">
        <v>3971</v>
      </c>
      <c r="AA3" s="2691"/>
      <c r="AB3" s="2691"/>
      <c r="AC3" s="2691"/>
      <c r="AD3" s="2691"/>
      <c r="AE3" s="2691"/>
      <c r="AF3" s="2691"/>
      <c r="AG3" s="608"/>
      <c r="AH3" s="2560"/>
      <c r="AI3" s="2560"/>
      <c r="AJ3" s="2560"/>
      <c r="AK3" s="2560"/>
    </row>
    <row r="4" spans="1:37" s="11" customFormat="1" ht="19.5" customHeight="1" thickBot="1">
      <c r="A4" s="608"/>
      <c r="B4" s="594"/>
      <c r="C4" s="594"/>
      <c r="D4" s="594"/>
      <c r="E4" s="594"/>
      <c r="F4" s="594"/>
      <c r="G4" s="594"/>
      <c r="H4" s="594"/>
      <c r="I4" s="594"/>
      <c r="J4" s="594"/>
      <c r="K4" s="2562"/>
      <c r="L4" s="228"/>
      <c r="M4" s="608"/>
      <c r="N4" s="608"/>
      <c r="O4" s="608"/>
      <c r="P4" s="2576"/>
      <c r="Q4" s="251"/>
      <c r="R4" s="2571"/>
      <c r="S4" s="2662" t="s">
        <v>1890</v>
      </c>
      <c r="T4" s="2662"/>
      <c r="U4" s="2662"/>
      <c r="V4" s="2662"/>
      <c r="W4" s="2662"/>
      <c r="X4" s="2571"/>
      <c r="Y4" s="608"/>
      <c r="Z4" s="594"/>
      <c r="AA4" s="594"/>
      <c r="AB4" s="594"/>
      <c r="AC4" s="594"/>
      <c r="AD4" s="594"/>
      <c r="AE4" s="594"/>
      <c r="AF4" s="594"/>
      <c r="AG4" s="2562"/>
      <c r="AH4" s="2560"/>
      <c r="AI4" s="2560"/>
      <c r="AJ4" s="2560"/>
      <c r="AK4" s="2560"/>
    </row>
    <row r="5" spans="1:37" ht="55.5" customHeight="1" thickTop="1" thickBot="1">
      <c r="A5" s="197"/>
      <c r="B5" s="407" t="s">
        <v>1891</v>
      </c>
      <c r="C5" s="408" t="s">
        <v>1892</v>
      </c>
      <c r="D5" s="408" t="s">
        <v>136</v>
      </c>
      <c r="E5" s="408" t="s">
        <v>2828</v>
      </c>
      <c r="F5" s="408" t="s">
        <v>3654</v>
      </c>
      <c r="G5" s="408" t="s">
        <v>3508</v>
      </c>
      <c r="H5" s="408" t="s">
        <v>2831</v>
      </c>
      <c r="I5" s="408" t="s">
        <v>2832</v>
      </c>
      <c r="J5" s="409" t="s">
        <v>2112</v>
      </c>
      <c r="K5" s="197"/>
      <c r="L5" s="411" t="s">
        <v>1896</v>
      </c>
      <c r="M5" s="197"/>
      <c r="N5" s="411" t="s">
        <v>1897</v>
      </c>
      <c r="O5" s="197"/>
      <c r="P5" s="2576"/>
      <c r="Q5" s="251"/>
      <c r="R5" s="2571"/>
      <c r="S5" s="236" t="s">
        <v>1898</v>
      </c>
      <c r="T5" s="236"/>
      <c r="U5" s="236"/>
      <c r="V5" s="236"/>
      <c r="W5" s="237"/>
      <c r="X5" s="2571"/>
      <c r="Y5" s="2562"/>
      <c r="Z5" s="407" t="s">
        <v>1891</v>
      </c>
      <c r="AA5" s="408" t="s">
        <v>2828</v>
      </c>
      <c r="AB5" s="408" t="s">
        <v>3654</v>
      </c>
      <c r="AC5" s="408" t="s">
        <v>3508</v>
      </c>
      <c r="AD5" s="408" t="s">
        <v>2831</v>
      </c>
      <c r="AE5" s="408" t="s">
        <v>2928</v>
      </c>
      <c r="AF5" s="409" t="s">
        <v>2112</v>
      </c>
      <c r="AG5" s="2562"/>
      <c r="AH5" s="2560"/>
      <c r="AI5" s="2560"/>
      <c r="AJ5" s="2560"/>
      <c r="AK5" s="2560"/>
    </row>
    <row r="6" spans="1:37" ht="15.75" customHeight="1" thickTop="1" thickBot="1">
      <c r="A6" s="197"/>
      <c r="B6" s="444"/>
      <c r="C6" s="444"/>
      <c r="D6" s="444"/>
      <c r="E6" s="444"/>
      <c r="F6" s="444"/>
      <c r="G6" s="444"/>
      <c r="H6" s="444"/>
      <c r="I6" s="444"/>
      <c r="J6" s="444"/>
      <c r="K6" s="197"/>
      <c r="L6" s="444"/>
      <c r="M6" s="197"/>
      <c r="N6" s="197"/>
      <c r="O6" s="197"/>
      <c r="P6" s="2576"/>
      <c r="Q6" s="251"/>
      <c r="R6" s="2571"/>
      <c r="S6" s="2562"/>
      <c r="T6" s="2562"/>
      <c r="U6" s="2562"/>
      <c r="V6" s="2562"/>
      <c r="W6" s="2562"/>
      <c r="X6" s="2571"/>
      <c r="Y6" s="2562"/>
      <c r="Z6" s="444"/>
      <c r="AA6" s="444"/>
      <c r="AB6" s="444"/>
      <c r="AC6" s="444"/>
      <c r="AD6" s="444"/>
      <c r="AE6" s="444"/>
      <c r="AF6" s="444"/>
      <c r="AG6" s="2562"/>
      <c r="AH6" s="2560"/>
      <c r="AI6" s="2560"/>
      <c r="AJ6" s="2560"/>
      <c r="AK6" s="2560"/>
    </row>
    <row r="7" spans="1:37" ht="15.75" customHeight="1" thickTop="1" thickBot="1">
      <c r="A7" s="197"/>
      <c r="B7" s="355" t="s">
        <v>3972</v>
      </c>
      <c r="C7" s="356"/>
      <c r="D7" s="356"/>
      <c r="E7" s="444"/>
      <c r="F7" s="444"/>
      <c r="G7" s="444"/>
      <c r="H7" s="444"/>
      <c r="I7" s="444"/>
      <c r="J7" s="444"/>
      <c r="K7" s="200"/>
      <c r="L7" s="641"/>
      <c r="M7" s="197"/>
      <c r="N7" s="197"/>
      <c r="O7" s="197"/>
      <c r="P7" s="2576"/>
      <c r="Q7" s="251"/>
      <c r="R7" s="2571"/>
      <c r="S7" s="2573"/>
      <c r="T7" s="2573"/>
      <c r="U7" s="2573"/>
      <c r="V7" s="2573"/>
      <c r="W7" s="2573"/>
      <c r="X7" s="2571"/>
      <c r="Y7" s="2562"/>
      <c r="Z7" s="355" t="s">
        <v>3972</v>
      </c>
      <c r="AA7" s="444"/>
      <c r="AB7" s="444"/>
      <c r="AC7" s="444"/>
      <c r="AD7" s="444"/>
      <c r="AE7" s="444"/>
      <c r="AF7" s="444"/>
      <c r="AG7" s="609"/>
      <c r="AH7" s="2560"/>
      <c r="AI7" s="2560"/>
      <c r="AJ7" s="2560"/>
      <c r="AK7" s="2560"/>
    </row>
    <row r="8" spans="1:37" ht="15.75" customHeight="1" thickTop="1">
      <c r="A8" s="197"/>
      <c r="B8" s="413" t="s">
        <v>3973</v>
      </c>
      <c r="C8" s="244" t="s">
        <v>137</v>
      </c>
      <c r="D8" s="244">
        <v>3</v>
      </c>
      <c r="E8" s="642">
        <f>IFERROR('2I'!H11,0)</f>
        <v>71.021999999999991</v>
      </c>
      <c r="F8" s="642">
        <f>IFERROR('2I'!I11,0)</f>
        <v>414.29599999999999</v>
      </c>
      <c r="G8" s="642">
        <f>IFERROR('2I'!H23,0)</f>
        <v>509.53900000000004</v>
      </c>
      <c r="H8" s="314">
        <f>IFERROR('2I'!I23,0)</f>
        <v>80.72699999999999</v>
      </c>
      <c r="I8" s="642">
        <f>IFERROR('2I'!G28,0)</f>
        <v>0</v>
      </c>
      <c r="J8" s="247">
        <f>IFERROR(SUM(E8:I8),0)</f>
        <v>1075.5840000000001</v>
      </c>
      <c r="K8" s="200"/>
      <c r="L8" s="248" t="s">
        <v>3974</v>
      </c>
      <c r="M8" s="197"/>
      <c r="N8" s="250"/>
      <c r="O8" s="197"/>
      <c r="P8" s="2576"/>
      <c r="Q8" s="251"/>
      <c r="R8" s="2571"/>
      <c r="S8" s="237"/>
      <c r="T8" s="237"/>
      <c r="U8" s="237"/>
      <c r="V8" s="237"/>
      <c r="W8" s="237"/>
      <c r="X8" s="2571"/>
      <c r="Y8" s="2562"/>
      <c r="Z8" s="413" t="s">
        <v>3973</v>
      </c>
      <c r="AA8" s="642" t="s">
        <v>3975</v>
      </c>
      <c r="AB8" s="642" t="s">
        <v>3976</v>
      </c>
      <c r="AC8" s="642" t="s">
        <v>3977</v>
      </c>
      <c r="AD8" s="314" t="s">
        <v>3978</v>
      </c>
      <c r="AE8" s="642" t="s">
        <v>3979</v>
      </c>
      <c r="AF8" s="247" t="s">
        <v>3980</v>
      </c>
      <c r="AG8" s="609"/>
      <c r="AH8" s="2560"/>
      <c r="AI8" s="2560"/>
      <c r="AJ8" s="2560"/>
      <c r="AK8" s="2560"/>
    </row>
    <row r="9" spans="1:37" ht="15.75" customHeight="1">
      <c r="A9" s="197"/>
      <c r="B9" s="422" t="s">
        <v>3981</v>
      </c>
      <c r="C9" s="253" t="s">
        <v>137</v>
      </c>
      <c r="D9" s="253">
        <v>3</v>
      </c>
      <c r="E9" s="643">
        <v>0</v>
      </c>
      <c r="F9" s="343">
        <v>14.662000000000001</v>
      </c>
      <c r="G9" s="343">
        <v>8.2550000000000008</v>
      </c>
      <c r="H9" s="254">
        <v>0</v>
      </c>
      <c r="I9" s="254">
        <v>0</v>
      </c>
      <c r="J9" s="256">
        <f>IFERROR(SUM(E9:G9),0)</f>
        <v>22.917000000000002</v>
      </c>
      <c r="K9" s="200"/>
      <c r="L9" s="257" t="s">
        <v>3982</v>
      </c>
      <c r="M9" s="197"/>
      <c r="N9" s="258"/>
      <c r="O9" s="197"/>
      <c r="P9" s="2576"/>
      <c r="Q9" s="251">
        <f>IF( SUM( S9:W9 ) = 0, 0, $S$5 )</f>
        <v>0</v>
      </c>
      <c r="R9" s="2571"/>
      <c r="S9" s="237"/>
      <c r="T9" s="237"/>
      <c r="U9" s="237"/>
      <c r="V9" s="252">
        <f t="shared" ref="V9:W9" si="0" xml:space="preserve"> IF( ISNUMBER(H9 ), 0, 1 )</f>
        <v>0</v>
      </c>
      <c r="W9" s="252">
        <f t="shared" si="0"/>
        <v>0</v>
      </c>
      <c r="X9" s="2571"/>
      <c r="Y9" s="2562"/>
      <c r="Z9" s="422" t="s">
        <v>3981</v>
      </c>
      <c r="AA9" s="643" t="s">
        <v>3983</v>
      </c>
      <c r="AB9" s="343" t="s">
        <v>3984</v>
      </c>
      <c r="AC9" s="343" t="s">
        <v>3985</v>
      </c>
      <c r="AD9" s="644" t="s">
        <v>3986</v>
      </c>
      <c r="AE9" s="644" t="s">
        <v>3987</v>
      </c>
      <c r="AF9" s="256" t="s">
        <v>3988</v>
      </c>
      <c r="AG9" s="609"/>
      <c r="AH9" s="2560"/>
      <c r="AI9" s="2560"/>
      <c r="AJ9" s="2560"/>
      <c r="AK9" s="2560"/>
    </row>
    <row r="10" spans="1:37" ht="15.75" customHeight="1" thickBot="1">
      <c r="A10" s="197"/>
      <c r="B10" s="425" t="s">
        <v>3989</v>
      </c>
      <c r="C10" s="319" t="s">
        <v>137</v>
      </c>
      <c r="D10" s="319">
        <v>3</v>
      </c>
      <c r="E10" s="265">
        <f>IFERROR(SUM(E8:E9),0)</f>
        <v>71.021999999999991</v>
      </c>
      <c r="F10" s="265">
        <f>IFERROR(SUM(F8:F9),0)</f>
        <v>428.95799999999997</v>
      </c>
      <c r="G10" s="265">
        <f>IFERROR(SUM(G8:G9),0)</f>
        <v>517.7940000000001</v>
      </c>
      <c r="H10" s="430">
        <f>IFERROR(H8,0)</f>
        <v>80.72699999999999</v>
      </c>
      <c r="I10" s="430">
        <f>IFERROR(I8,0)</f>
        <v>0</v>
      </c>
      <c r="J10" s="266">
        <f>IFERROR(SUM(E10:I10),0)</f>
        <v>1098.5010000000002</v>
      </c>
      <c r="K10" s="200"/>
      <c r="L10" s="320" t="s">
        <v>3990</v>
      </c>
      <c r="M10" s="197"/>
      <c r="N10" s="269"/>
      <c r="O10" s="197"/>
      <c r="P10" s="2576"/>
      <c r="Q10" s="251"/>
      <c r="R10" s="2571"/>
      <c r="S10" s="237"/>
      <c r="T10" s="237"/>
      <c r="U10" s="237"/>
      <c r="V10" s="237"/>
      <c r="W10" s="237"/>
      <c r="X10" s="2571"/>
      <c r="Y10" s="2562"/>
      <c r="Z10" s="425" t="s">
        <v>3989</v>
      </c>
      <c r="AA10" s="265" t="s">
        <v>3991</v>
      </c>
      <c r="AB10" s="265" t="s">
        <v>3992</v>
      </c>
      <c r="AC10" s="265" t="s">
        <v>3993</v>
      </c>
      <c r="AD10" s="430" t="s">
        <v>3994</v>
      </c>
      <c r="AE10" s="430" t="s">
        <v>3995</v>
      </c>
      <c r="AF10" s="266" t="s">
        <v>3996</v>
      </c>
      <c r="AG10" s="609"/>
      <c r="AH10" s="2560"/>
      <c r="AI10" s="2560"/>
      <c r="AJ10" s="2560"/>
      <c r="AK10" s="2560"/>
    </row>
    <row r="11" spans="1:37" ht="15.75" customHeight="1" thickTop="1" thickBot="1">
      <c r="A11" s="197"/>
      <c r="B11" s="377"/>
      <c r="C11" s="377"/>
      <c r="D11" s="377"/>
      <c r="E11" s="329"/>
      <c r="F11" s="329"/>
      <c r="G11" s="329"/>
      <c r="H11" s="329"/>
      <c r="I11" s="397"/>
      <c r="J11" s="329"/>
      <c r="K11" s="200"/>
      <c r="L11" s="527"/>
      <c r="M11" s="197"/>
      <c r="N11" s="197"/>
      <c r="O11" s="197"/>
      <c r="P11" s="2576"/>
      <c r="Q11" s="251"/>
      <c r="R11" s="2571"/>
      <c r="S11" s="237"/>
      <c r="T11" s="237"/>
      <c r="U11" s="237"/>
      <c r="V11" s="237"/>
      <c r="W11" s="237"/>
      <c r="X11" s="2571"/>
      <c r="Y11" s="2562"/>
      <c r="Z11" s="377"/>
      <c r="AA11" s="329"/>
      <c r="AB11" s="329"/>
      <c r="AC11" s="329"/>
      <c r="AD11" s="329"/>
      <c r="AE11" s="397"/>
      <c r="AF11" s="329"/>
      <c r="AG11" s="609"/>
      <c r="AH11" s="2560"/>
      <c r="AI11" s="2560"/>
      <c r="AJ11" s="2560"/>
      <c r="AK11" s="2560"/>
    </row>
    <row r="12" spans="1:37" ht="15.75" customHeight="1" thickTop="1" thickBot="1">
      <c r="A12" s="197"/>
      <c r="B12" s="355" t="s">
        <v>3997</v>
      </c>
      <c r="C12" s="356"/>
      <c r="D12" s="356"/>
      <c r="E12" s="281"/>
      <c r="F12" s="281"/>
      <c r="G12" s="281"/>
      <c r="H12" s="281"/>
      <c r="I12" s="281"/>
      <c r="J12" s="281"/>
      <c r="K12" s="200"/>
      <c r="L12" s="527"/>
      <c r="M12" s="197"/>
      <c r="N12" s="197"/>
      <c r="O12" s="197"/>
      <c r="P12" s="2576"/>
      <c r="Q12" s="251"/>
      <c r="R12" s="2571"/>
      <c r="S12" s="237"/>
      <c r="T12" s="237"/>
      <c r="U12" s="237"/>
      <c r="V12" s="237"/>
      <c r="W12" s="237"/>
      <c r="X12" s="2571"/>
      <c r="Y12" s="2562"/>
      <c r="Z12" s="355" t="s">
        <v>3997</v>
      </c>
      <c r="AA12" s="281"/>
      <c r="AB12" s="281"/>
      <c r="AC12" s="281"/>
      <c r="AD12" s="281"/>
      <c r="AE12" s="281"/>
      <c r="AF12" s="281"/>
      <c r="AG12" s="609"/>
      <c r="AH12" s="2560"/>
      <c r="AI12" s="2560"/>
      <c r="AJ12" s="2560"/>
      <c r="AK12" s="2560"/>
    </row>
    <row r="13" spans="1:37" ht="15.75" customHeight="1" thickTop="1">
      <c r="A13" s="197"/>
      <c r="B13" s="413" t="s">
        <v>3998</v>
      </c>
      <c r="C13" s="244" t="s">
        <v>137</v>
      </c>
      <c r="D13" s="244">
        <v>3</v>
      </c>
      <c r="E13" s="245">
        <v>72.54531301231664</v>
      </c>
      <c r="F13" s="245">
        <v>415.84817467490137</v>
      </c>
      <c r="G13" s="245">
        <v>509.20743955414514</v>
      </c>
      <c r="H13" s="245">
        <v>80.565970611564452</v>
      </c>
      <c r="I13" s="254">
        <v>0</v>
      </c>
      <c r="J13" s="247">
        <f>IFERROR(SUM(E13:I13),0)</f>
        <v>1078.1668978529276</v>
      </c>
      <c r="K13" s="200"/>
      <c r="L13" s="248" t="s">
        <v>3999</v>
      </c>
      <c r="M13" s="197"/>
      <c r="N13" s="250"/>
      <c r="O13" s="197"/>
      <c r="P13" s="2576"/>
      <c r="Q13" s="251">
        <f t="shared" ref="Q13:Q16" si="1">IF( SUM( S13:W13 ) = 0, 0, $S$5 )</f>
        <v>0</v>
      </c>
      <c r="R13" s="2571"/>
      <c r="S13" s="252">
        <f t="shared" ref="S13:S16" si="2" xml:space="preserve"> IF( ISNUMBER(E13 ), 0, 1 )</f>
        <v>0</v>
      </c>
      <c r="T13" s="252">
        <f t="shared" ref="T13:T16" si="3" xml:space="preserve"> IF( ISNUMBER(F13 ), 0, 1 )</f>
        <v>0</v>
      </c>
      <c r="U13" s="252">
        <f t="shared" ref="U13:U16" si="4" xml:space="preserve"> IF( ISNUMBER(G13 ), 0, 1 )</f>
        <v>0</v>
      </c>
      <c r="V13" s="252">
        <f t="shared" ref="V13:V16" si="5" xml:space="preserve"> IF( ISNUMBER(H13 ), 0, 1 )</f>
        <v>0</v>
      </c>
      <c r="W13" s="252">
        <f t="shared" ref="W13:W16" si="6" xml:space="preserve"> IF( ISNUMBER(I13 ), 0, 1 )</f>
        <v>0</v>
      </c>
      <c r="X13" s="2571"/>
      <c r="Y13" s="2562"/>
      <c r="Z13" s="413" t="s">
        <v>3998</v>
      </c>
      <c r="AA13" s="245" t="s">
        <v>4000</v>
      </c>
      <c r="AB13" s="245" t="s">
        <v>4001</v>
      </c>
      <c r="AC13" s="245" t="s">
        <v>4002</v>
      </c>
      <c r="AD13" s="245" t="s">
        <v>4003</v>
      </c>
      <c r="AE13" s="245" t="s">
        <v>4004</v>
      </c>
      <c r="AF13" s="247" t="s">
        <v>4005</v>
      </c>
      <c r="AG13" s="609"/>
      <c r="AH13" s="2560"/>
      <c r="AI13" s="2560"/>
      <c r="AJ13" s="2560"/>
      <c r="AK13" s="2560"/>
    </row>
    <row r="14" spans="1:37" ht="15.75" customHeight="1">
      <c r="A14" s="197"/>
      <c r="B14" s="422" t="s">
        <v>4006</v>
      </c>
      <c r="C14" s="253" t="s">
        <v>137</v>
      </c>
      <c r="D14" s="253">
        <v>3</v>
      </c>
      <c r="E14" s="254">
        <v>0</v>
      </c>
      <c r="F14" s="254">
        <v>12.159260652700905</v>
      </c>
      <c r="G14" s="254">
        <v>8.5998137697573735</v>
      </c>
      <c r="H14" s="254">
        <v>0</v>
      </c>
      <c r="I14" s="254">
        <v>0</v>
      </c>
      <c r="J14" s="256">
        <f>IFERROR(SUM(E14:I14),0)</f>
        <v>20.759074422458276</v>
      </c>
      <c r="K14" s="200"/>
      <c r="L14" s="257" t="s">
        <v>4007</v>
      </c>
      <c r="M14" s="197"/>
      <c r="N14" s="258"/>
      <c r="O14" s="197"/>
      <c r="P14" s="2576"/>
      <c r="Q14" s="251">
        <f t="shared" si="1"/>
        <v>0</v>
      </c>
      <c r="R14" s="2571"/>
      <c r="S14" s="252">
        <f t="shared" si="2"/>
        <v>0</v>
      </c>
      <c r="T14" s="252">
        <f t="shared" si="3"/>
        <v>0</v>
      </c>
      <c r="U14" s="252">
        <f t="shared" si="4"/>
        <v>0</v>
      </c>
      <c r="V14" s="252">
        <f t="shared" si="5"/>
        <v>0</v>
      </c>
      <c r="W14" s="252">
        <f t="shared" si="6"/>
        <v>0</v>
      </c>
      <c r="X14" s="2571"/>
      <c r="Y14" s="2562"/>
      <c r="Z14" s="422" t="s">
        <v>4006</v>
      </c>
      <c r="AA14" s="254" t="s">
        <v>4008</v>
      </c>
      <c r="AB14" s="254" t="s">
        <v>4009</v>
      </c>
      <c r="AC14" s="254" t="s">
        <v>4010</v>
      </c>
      <c r="AD14" s="254" t="s">
        <v>4011</v>
      </c>
      <c r="AE14" s="254" t="s">
        <v>4012</v>
      </c>
      <c r="AF14" s="256" t="s">
        <v>4013</v>
      </c>
      <c r="AG14" s="609"/>
      <c r="AH14" s="2560"/>
      <c r="AI14" s="2560"/>
      <c r="AJ14" s="2560"/>
      <c r="AK14" s="2560"/>
    </row>
    <row r="15" spans="1:37" ht="15.75" customHeight="1">
      <c r="A15" s="197"/>
      <c r="B15" s="422" t="s">
        <v>4014</v>
      </c>
      <c r="C15" s="253" t="s">
        <v>137</v>
      </c>
      <c r="D15" s="253">
        <v>3</v>
      </c>
      <c r="E15" s="254">
        <v>-2.2876519770029868</v>
      </c>
      <c r="F15" s="254">
        <v>-9.7813506650032362</v>
      </c>
      <c r="G15" s="254">
        <v>4.3309805750339905</v>
      </c>
      <c r="H15" s="254">
        <v>-1.9319268191985752</v>
      </c>
      <c r="I15" s="254">
        <v>0</v>
      </c>
      <c r="J15" s="256">
        <f>IFERROR(SUM(E15:I15),0)</f>
        <v>-9.6699488861708076</v>
      </c>
      <c r="K15" s="200"/>
      <c r="L15" s="257" t="s">
        <v>4015</v>
      </c>
      <c r="M15" s="197"/>
      <c r="N15" s="258"/>
      <c r="O15" s="197"/>
      <c r="P15" s="2576"/>
      <c r="Q15" s="251">
        <f t="shared" si="1"/>
        <v>0</v>
      </c>
      <c r="R15" s="2571"/>
      <c r="S15" s="252">
        <f t="shared" si="2"/>
        <v>0</v>
      </c>
      <c r="T15" s="252">
        <f t="shared" si="3"/>
        <v>0</v>
      </c>
      <c r="U15" s="252">
        <f t="shared" si="4"/>
        <v>0</v>
      </c>
      <c r="V15" s="252">
        <f t="shared" si="5"/>
        <v>0</v>
      </c>
      <c r="W15" s="252">
        <f t="shared" si="6"/>
        <v>0</v>
      </c>
      <c r="X15" s="2571"/>
      <c r="Y15" s="2562"/>
      <c r="Z15" s="422" t="s">
        <v>4014</v>
      </c>
      <c r="AA15" s="254" t="s">
        <v>4016</v>
      </c>
      <c r="AB15" s="254" t="s">
        <v>4017</v>
      </c>
      <c r="AC15" s="254" t="s">
        <v>4018</v>
      </c>
      <c r="AD15" s="254" t="s">
        <v>4019</v>
      </c>
      <c r="AE15" s="254" t="s">
        <v>4020</v>
      </c>
      <c r="AF15" s="256" t="s">
        <v>4021</v>
      </c>
      <c r="AG15" s="609"/>
      <c r="AH15" s="2560"/>
      <c r="AI15" s="2560"/>
      <c r="AJ15" s="2560"/>
      <c r="AK15" s="2560"/>
    </row>
    <row r="16" spans="1:37" ht="15.75" customHeight="1">
      <c r="A16" s="197"/>
      <c r="B16" s="422" t="s">
        <v>4022</v>
      </c>
      <c r="C16" s="253" t="s">
        <v>137</v>
      </c>
      <c r="D16" s="253">
        <v>3</v>
      </c>
      <c r="E16" s="254">
        <v>0</v>
      </c>
      <c r="F16" s="254">
        <v>0</v>
      </c>
      <c r="G16" s="254">
        <v>0</v>
      </c>
      <c r="H16" s="254">
        <v>0</v>
      </c>
      <c r="I16" s="254">
        <v>0</v>
      </c>
      <c r="J16" s="256">
        <f>IFERROR(SUM(E16:I16),0)</f>
        <v>0</v>
      </c>
      <c r="K16" s="200"/>
      <c r="L16" s="257" t="s">
        <v>4023</v>
      </c>
      <c r="M16" s="197"/>
      <c r="N16" s="258"/>
      <c r="O16" s="197"/>
      <c r="P16" s="2576"/>
      <c r="Q16" s="251">
        <f t="shared" si="1"/>
        <v>0</v>
      </c>
      <c r="R16" s="2571"/>
      <c r="S16" s="252">
        <f t="shared" si="2"/>
        <v>0</v>
      </c>
      <c r="T16" s="252">
        <f t="shared" si="3"/>
        <v>0</v>
      </c>
      <c r="U16" s="252">
        <f t="shared" si="4"/>
        <v>0</v>
      </c>
      <c r="V16" s="252">
        <f t="shared" si="5"/>
        <v>0</v>
      </c>
      <c r="W16" s="252">
        <f t="shared" si="6"/>
        <v>0</v>
      </c>
      <c r="X16" s="2571"/>
      <c r="Y16" s="2562"/>
      <c r="Z16" s="422" t="s">
        <v>4022</v>
      </c>
      <c r="AA16" s="254" t="s">
        <v>4024</v>
      </c>
      <c r="AB16" s="254" t="s">
        <v>4025</v>
      </c>
      <c r="AC16" s="254" t="s">
        <v>4026</v>
      </c>
      <c r="AD16" s="254" t="s">
        <v>4027</v>
      </c>
      <c r="AE16" s="254" t="s">
        <v>4028</v>
      </c>
      <c r="AF16" s="256" t="s">
        <v>4029</v>
      </c>
      <c r="AG16" s="609"/>
      <c r="AH16" s="2560"/>
      <c r="AI16" s="2560"/>
      <c r="AJ16" s="2560"/>
      <c r="AK16" s="2560"/>
    </row>
    <row r="17" spans="1:37" ht="15.75" customHeight="1" thickBot="1">
      <c r="A17" s="197"/>
      <c r="B17" s="425" t="s">
        <v>4030</v>
      </c>
      <c r="C17" s="319" t="s">
        <v>137</v>
      </c>
      <c r="D17" s="319">
        <v>3</v>
      </c>
      <c r="E17" s="265">
        <f>IFERROR(SUM(E13:E16),0)</f>
        <v>70.25766103531366</v>
      </c>
      <c r="F17" s="265">
        <f>IFERROR(SUM(F13:F16),0)</f>
        <v>418.22608466259902</v>
      </c>
      <c r="G17" s="265">
        <f>IFERROR(SUM(G13:G16),0)</f>
        <v>522.13823389893651</v>
      </c>
      <c r="H17" s="265">
        <f>IFERROR(SUM(H13:H16),0)</f>
        <v>78.634043792365873</v>
      </c>
      <c r="I17" s="265">
        <f>IFERROR(SUM(I13:I16),0)</f>
        <v>0</v>
      </c>
      <c r="J17" s="266">
        <f>IFERROR(SUM(E17:I17),0)</f>
        <v>1089.256023389215</v>
      </c>
      <c r="K17" s="200"/>
      <c r="L17" s="320" t="s">
        <v>4031</v>
      </c>
      <c r="M17" s="197"/>
      <c r="N17" s="269"/>
      <c r="O17" s="197"/>
      <c r="P17" s="2576"/>
      <c r="Q17" s="251"/>
      <c r="R17" s="2571"/>
      <c r="S17" s="237"/>
      <c r="T17" s="237"/>
      <c r="U17" s="237"/>
      <c r="V17" s="237"/>
      <c r="W17" s="237"/>
      <c r="X17" s="2571"/>
      <c r="Y17" s="2562"/>
      <c r="Z17" s="425" t="s">
        <v>4030</v>
      </c>
      <c r="AA17" s="265" t="s">
        <v>4032</v>
      </c>
      <c r="AB17" s="265" t="s">
        <v>4033</v>
      </c>
      <c r="AC17" s="265" t="s">
        <v>4034</v>
      </c>
      <c r="AD17" s="265" t="s">
        <v>4035</v>
      </c>
      <c r="AE17" s="265" t="s">
        <v>4036</v>
      </c>
      <c r="AF17" s="266" t="s">
        <v>4037</v>
      </c>
      <c r="AG17" s="609"/>
      <c r="AH17" s="2560"/>
      <c r="AI17" s="2560"/>
      <c r="AJ17" s="2560"/>
      <c r="AK17" s="2560"/>
    </row>
    <row r="18" spans="1:37" ht="15.75" customHeight="1" thickTop="1" thickBot="1">
      <c r="A18" s="197"/>
      <c r="B18" s="377"/>
      <c r="C18" s="377"/>
      <c r="D18" s="377"/>
      <c r="E18" s="329"/>
      <c r="F18" s="329"/>
      <c r="G18" s="329"/>
      <c r="H18" s="329"/>
      <c r="I18" s="397"/>
      <c r="J18" s="329"/>
      <c r="K18" s="200"/>
      <c r="L18" s="527"/>
      <c r="M18" s="197"/>
      <c r="N18" s="197"/>
      <c r="O18" s="197"/>
      <c r="P18" s="2576"/>
      <c r="Q18" s="251"/>
      <c r="R18" s="2571"/>
      <c r="S18" s="237"/>
      <c r="T18" s="237"/>
      <c r="U18" s="237"/>
      <c r="V18" s="237"/>
      <c r="W18" s="237"/>
      <c r="X18" s="2571"/>
      <c r="Y18" s="2562"/>
      <c r="Z18" s="377"/>
      <c r="AA18" s="329"/>
      <c r="AB18" s="329"/>
      <c r="AC18" s="329"/>
      <c r="AD18" s="329"/>
      <c r="AE18" s="397"/>
      <c r="AF18" s="329"/>
      <c r="AG18" s="609"/>
      <c r="AH18" s="2560"/>
      <c r="AI18" s="2560"/>
      <c r="AJ18" s="2560"/>
      <c r="AK18" s="2560"/>
    </row>
    <row r="19" spans="1:37" ht="15.75" customHeight="1" thickTop="1" thickBot="1">
      <c r="A19" s="197"/>
      <c r="B19" s="355" t="s">
        <v>4038</v>
      </c>
      <c r="C19" s="356"/>
      <c r="D19" s="356"/>
      <c r="E19" s="281"/>
      <c r="F19" s="281"/>
      <c r="G19" s="281"/>
      <c r="H19" s="281"/>
      <c r="I19" s="281"/>
      <c r="J19" s="281"/>
      <c r="K19" s="200"/>
      <c r="L19" s="527"/>
      <c r="M19" s="197"/>
      <c r="N19" s="197"/>
      <c r="O19" s="197"/>
      <c r="P19" s="2576"/>
      <c r="Q19" s="251"/>
      <c r="R19" s="2571"/>
      <c r="S19" s="237"/>
      <c r="T19" s="237"/>
      <c r="U19" s="237"/>
      <c r="V19" s="237"/>
      <c r="W19" s="237"/>
      <c r="X19" s="2571"/>
      <c r="Y19" s="2562"/>
      <c r="Z19" s="355" t="s">
        <v>4038</v>
      </c>
      <c r="AA19" s="281"/>
      <c r="AB19" s="281"/>
      <c r="AC19" s="281"/>
      <c r="AD19" s="281"/>
      <c r="AE19" s="281"/>
      <c r="AF19" s="281"/>
      <c r="AG19" s="609"/>
      <c r="AH19" s="2560"/>
      <c r="AI19" s="2560"/>
      <c r="AJ19" s="2560"/>
      <c r="AK19" s="2560"/>
    </row>
    <row r="20" spans="1:37" ht="15.75" customHeight="1" thickTop="1">
      <c r="A20" s="197"/>
      <c r="B20" s="413" t="s">
        <v>4039</v>
      </c>
      <c r="C20" s="244" t="s">
        <v>137</v>
      </c>
      <c r="D20" s="244">
        <v>3</v>
      </c>
      <c r="E20" s="314">
        <f>IFERROR(E17,0)</f>
        <v>70.25766103531366</v>
      </c>
      <c r="F20" s="314">
        <f>IFERROR(F17,0)</f>
        <v>418.22608466259902</v>
      </c>
      <c r="G20" s="314">
        <f>IFERROR(G17,0)</f>
        <v>522.13823389893651</v>
      </c>
      <c r="H20" s="314">
        <f>IFERROR(H17,0)</f>
        <v>78.634043792365873</v>
      </c>
      <c r="I20" s="314">
        <f>IFERROR(I17,0)</f>
        <v>0</v>
      </c>
      <c r="J20" s="247">
        <f>IFERROR(SUM(E20:I20),0)</f>
        <v>1089.256023389215</v>
      </c>
      <c r="K20" s="200"/>
      <c r="L20" s="248" t="s">
        <v>4040</v>
      </c>
      <c r="M20" s="197"/>
      <c r="N20" s="250"/>
      <c r="O20" s="197"/>
      <c r="P20" s="2576"/>
      <c r="Q20" s="251"/>
      <c r="R20" s="2571"/>
      <c r="S20" s="237"/>
      <c r="T20" s="237"/>
      <c r="U20" s="237"/>
      <c r="V20" s="237"/>
      <c r="W20" s="237"/>
      <c r="X20" s="2571"/>
      <c r="Y20" s="2562"/>
      <c r="Z20" s="413" t="s">
        <v>4039</v>
      </c>
      <c r="AA20" s="314" t="s">
        <v>4041</v>
      </c>
      <c r="AB20" s="314" t="s">
        <v>4042</v>
      </c>
      <c r="AC20" s="314" t="s">
        <v>4043</v>
      </c>
      <c r="AD20" s="314" t="s">
        <v>4044</v>
      </c>
      <c r="AE20" s="314" t="s">
        <v>4045</v>
      </c>
      <c r="AF20" s="247" t="s">
        <v>4046</v>
      </c>
      <c r="AG20" s="609"/>
      <c r="AH20" s="2560"/>
      <c r="AI20" s="2560"/>
      <c r="AJ20" s="2560"/>
      <c r="AK20" s="2560"/>
    </row>
    <row r="21" spans="1:37" ht="15.75" customHeight="1">
      <c r="A21" s="197"/>
      <c r="B21" s="422" t="s">
        <v>4047</v>
      </c>
      <c r="C21" s="253" t="s">
        <v>137</v>
      </c>
      <c r="D21" s="253">
        <v>3</v>
      </c>
      <c r="E21" s="343">
        <f>IFERROR(E10,0)</f>
        <v>71.021999999999991</v>
      </c>
      <c r="F21" s="343">
        <f>IFERROR(F10,0)</f>
        <v>428.95799999999997</v>
      </c>
      <c r="G21" s="343">
        <f>IFERROR(G10,0)</f>
        <v>517.7940000000001</v>
      </c>
      <c r="H21" s="343">
        <f>IFERROR(H10,0)</f>
        <v>80.72699999999999</v>
      </c>
      <c r="I21" s="343">
        <f>IFERROR(I10,0)</f>
        <v>0</v>
      </c>
      <c r="J21" s="256">
        <f>IFERROR(SUM(E21:I21),0)</f>
        <v>1098.5010000000002</v>
      </c>
      <c r="K21" s="200"/>
      <c r="L21" s="257" t="s">
        <v>4048</v>
      </c>
      <c r="M21" s="197"/>
      <c r="N21" s="258"/>
      <c r="O21" s="197"/>
      <c r="P21" s="2576"/>
      <c r="Q21" s="251"/>
      <c r="R21" s="2571"/>
      <c r="S21" s="237"/>
      <c r="T21" s="237"/>
      <c r="U21" s="237"/>
      <c r="V21" s="237"/>
      <c r="W21" s="237"/>
      <c r="X21" s="2571"/>
      <c r="Y21" s="2562"/>
      <c r="Z21" s="422" t="s">
        <v>4047</v>
      </c>
      <c r="AA21" s="343" t="s">
        <v>4049</v>
      </c>
      <c r="AB21" s="343" t="s">
        <v>4050</v>
      </c>
      <c r="AC21" s="343" t="s">
        <v>4051</v>
      </c>
      <c r="AD21" s="343" t="s">
        <v>4052</v>
      </c>
      <c r="AE21" s="343" t="s">
        <v>4053</v>
      </c>
      <c r="AF21" s="256" t="s">
        <v>4054</v>
      </c>
      <c r="AG21" s="609"/>
      <c r="AH21" s="2560"/>
      <c r="AI21" s="2560"/>
      <c r="AJ21" s="2560"/>
      <c r="AK21" s="2560"/>
    </row>
    <row r="22" spans="1:37" ht="15.75" customHeight="1" thickBot="1">
      <c r="A22" s="197"/>
      <c r="B22" s="425" t="s">
        <v>4055</v>
      </c>
      <c r="C22" s="319" t="s">
        <v>137</v>
      </c>
      <c r="D22" s="319">
        <v>3</v>
      </c>
      <c r="E22" s="265">
        <f>IFERROR(E20-E21,0)</f>
        <v>-0.76433896468633122</v>
      </c>
      <c r="F22" s="265">
        <f>IFERROR(F20-F21,0)</f>
        <v>-10.731915337400949</v>
      </c>
      <c r="G22" s="265">
        <f>IFERROR(G20-G21,0)</f>
        <v>4.3442338989364089</v>
      </c>
      <c r="H22" s="265">
        <f>IFERROR(H20-H21,0)</f>
        <v>-2.092956207634117</v>
      </c>
      <c r="I22" s="265">
        <f>IFERROR(I20-I21,0)</f>
        <v>0</v>
      </c>
      <c r="J22" s="266">
        <f>IFERROR(SUM(E22:I22),0)</f>
        <v>-9.2449766107849882</v>
      </c>
      <c r="K22" s="200"/>
      <c r="L22" s="320" t="s">
        <v>4056</v>
      </c>
      <c r="M22" s="197"/>
      <c r="N22" s="269"/>
      <c r="O22" s="197"/>
      <c r="P22" s="2576"/>
      <c r="Q22" s="251"/>
      <c r="R22" s="2571"/>
      <c r="S22" s="237"/>
      <c r="T22" s="237"/>
      <c r="U22" s="237"/>
      <c r="V22" s="237"/>
      <c r="W22" s="237"/>
      <c r="X22" s="2571"/>
      <c r="Y22" s="2562"/>
      <c r="Z22" s="425" t="s">
        <v>4055</v>
      </c>
      <c r="AA22" s="265" t="s">
        <v>4057</v>
      </c>
      <c r="AB22" s="265" t="s">
        <v>4058</v>
      </c>
      <c r="AC22" s="265" t="s">
        <v>4059</v>
      </c>
      <c r="AD22" s="265" t="s">
        <v>4060</v>
      </c>
      <c r="AE22" s="265" t="s">
        <v>4061</v>
      </c>
      <c r="AF22" s="266" t="s">
        <v>4062</v>
      </c>
      <c r="AG22" s="609"/>
      <c r="AH22" s="2560"/>
      <c r="AI22" s="2560"/>
      <c r="AJ22" s="2560"/>
      <c r="AK22" s="2560"/>
    </row>
    <row r="23" spans="1:37" ht="12" customHeight="1" thickTop="1">
      <c r="A23" s="197"/>
      <c r="B23" s="377"/>
      <c r="C23" s="377"/>
      <c r="D23" s="377"/>
      <c r="E23" s="313"/>
      <c r="F23" s="313"/>
      <c r="G23" s="313"/>
      <c r="H23" s="313"/>
      <c r="I23" s="86"/>
      <c r="J23" s="313"/>
      <c r="K23" s="200"/>
      <c r="L23" s="527"/>
      <c r="M23" s="197"/>
      <c r="N23" s="197"/>
      <c r="O23" s="197"/>
      <c r="P23" s="2562"/>
      <c r="Q23" s="251"/>
      <c r="R23" s="323"/>
      <c r="S23" s="237"/>
      <c r="T23" s="237"/>
      <c r="U23" s="237"/>
      <c r="V23" s="237"/>
      <c r="W23" s="237"/>
      <c r="X23" s="323"/>
      <c r="Y23" s="2562"/>
      <c r="Z23" s="377"/>
      <c r="AA23" s="313"/>
      <c r="AB23" s="313"/>
      <c r="AC23" s="313"/>
      <c r="AD23" s="313"/>
      <c r="AE23" s="86"/>
      <c r="AF23" s="313"/>
      <c r="AG23" s="609"/>
      <c r="AH23" s="2560"/>
      <c r="AI23" s="2560"/>
      <c r="AJ23" s="2560"/>
      <c r="AK23" s="2560"/>
    </row>
    <row r="24" spans="1:37" ht="14.25" customHeight="1">
      <c r="A24" s="197"/>
      <c r="B24" s="197"/>
      <c r="C24" s="197"/>
      <c r="D24" s="197"/>
      <c r="E24" s="440"/>
      <c r="F24" s="440"/>
      <c r="G24" s="440"/>
      <c r="H24" s="440"/>
      <c r="I24" s="440"/>
      <c r="J24" s="440"/>
      <c r="K24" s="197"/>
      <c r="L24" s="228"/>
      <c r="M24" s="197"/>
      <c r="N24" s="197"/>
      <c r="O24" s="197"/>
      <c r="P24" s="2562"/>
      <c r="Q24" s="251"/>
      <c r="R24" s="323"/>
      <c r="S24" s="237"/>
      <c r="T24" s="237"/>
      <c r="U24" s="237"/>
      <c r="V24" s="237"/>
      <c r="W24" s="237"/>
      <c r="X24" s="323"/>
      <c r="Y24" s="2562"/>
      <c r="Z24" s="2562"/>
      <c r="AA24" s="2562"/>
      <c r="AB24" s="2562"/>
      <c r="AC24" s="2562"/>
      <c r="AD24" s="2562"/>
      <c r="AE24" s="2562"/>
      <c r="AF24" s="2562"/>
      <c r="AG24" s="2562"/>
      <c r="AH24" s="2560"/>
      <c r="AI24" s="2560"/>
      <c r="AJ24" s="2560"/>
      <c r="AK24" s="2560"/>
    </row>
    <row r="25" spans="1:37">
      <c r="A25" s="197"/>
      <c r="B25" s="197"/>
      <c r="C25" s="197"/>
      <c r="D25" s="197"/>
      <c r="E25" s="197"/>
      <c r="F25" s="197"/>
      <c r="G25" s="197"/>
      <c r="H25" s="197"/>
      <c r="I25" s="197"/>
      <c r="J25" s="197"/>
      <c r="K25" s="197"/>
      <c r="L25" s="228"/>
      <c r="M25" s="197"/>
      <c r="N25" s="197"/>
      <c r="O25" s="197"/>
      <c r="P25" s="2562"/>
      <c r="Q25" s="251"/>
      <c r="R25" s="323"/>
      <c r="S25" s="237"/>
      <c r="T25" s="237"/>
      <c r="U25" s="237"/>
      <c r="V25" s="237"/>
      <c r="W25" s="237"/>
      <c r="X25" s="323"/>
      <c r="Y25" s="2562"/>
      <c r="Z25" s="2562"/>
      <c r="AA25" s="2562"/>
      <c r="AB25" s="2562"/>
      <c r="AC25" s="2562"/>
      <c r="AD25" s="2562"/>
      <c r="AE25" s="2562"/>
      <c r="AF25" s="2562"/>
      <c r="AG25" s="2562"/>
      <c r="AH25" s="2560"/>
      <c r="AI25" s="2560"/>
      <c r="AJ25" s="2560"/>
      <c r="AK25" s="2560"/>
    </row>
    <row r="26" spans="1:37">
      <c r="A26" s="197"/>
      <c r="B26" s="197"/>
      <c r="C26" s="197"/>
      <c r="D26" s="197"/>
      <c r="E26" s="197"/>
      <c r="F26" s="197"/>
      <c r="G26" s="197"/>
      <c r="H26" s="197"/>
      <c r="I26" s="197"/>
      <c r="J26" s="197"/>
      <c r="K26" s="197"/>
      <c r="L26" s="228"/>
      <c r="M26" s="197"/>
      <c r="N26" s="197"/>
      <c r="O26" s="197"/>
      <c r="P26" s="2562"/>
      <c r="Q26" s="251"/>
      <c r="R26" s="2572"/>
      <c r="S26" s="237"/>
      <c r="T26" s="237"/>
      <c r="U26" s="237"/>
      <c r="V26" s="237"/>
      <c r="W26" s="237"/>
      <c r="X26" s="2572"/>
      <c r="Y26" s="2562"/>
      <c r="Z26" s="2562"/>
      <c r="AA26" s="2562"/>
      <c r="AB26" s="2562"/>
      <c r="AC26" s="2562"/>
      <c r="AD26" s="2562"/>
      <c r="AE26" s="2562"/>
      <c r="AF26" s="2562"/>
      <c r="AG26" s="2562"/>
      <c r="AH26" s="2560"/>
      <c r="AI26" s="2560"/>
      <c r="AJ26" s="2560"/>
      <c r="AK26" s="2560"/>
    </row>
    <row r="27" spans="1:37">
      <c r="A27" s="197"/>
      <c r="B27" s="197"/>
      <c r="C27" s="197"/>
      <c r="D27" s="197"/>
      <c r="E27" s="197"/>
      <c r="F27" s="197"/>
      <c r="G27" s="197"/>
      <c r="H27" s="197"/>
      <c r="I27" s="197"/>
      <c r="J27" s="197"/>
      <c r="K27" s="197"/>
      <c r="L27" s="228"/>
      <c r="M27" s="197"/>
      <c r="N27" s="197"/>
      <c r="O27" s="197"/>
      <c r="P27" s="2562"/>
      <c r="Q27" s="2562"/>
      <c r="R27" s="2572"/>
      <c r="S27" s="237"/>
      <c r="T27" s="237"/>
      <c r="U27" s="237"/>
      <c r="V27" s="237"/>
      <c r="W27" s="237"/>
      <c r="X27" s="2572"/>
      <c r="Y27" s="2562"/>
      <c r="Z27" s="2562"/>
      <c r="AA27" s="2562"/>
      <c r="AB27" s="2562"/>
      <c r="AC27" s="2562"/>
      <c r="AD27" s="2562"/>
      <c r="AE27" s="2562"/>
      <c r="AF27" s="2562"/>
      <c r="AG27" s="2562"/>
      <c r="AH27" s="2560"/>
      <c r="AI27" s="2560"/>
      <c r="AJ27" s="2560"/>
      <c r="AK27" s="2560"/>
    </row>
  </sheetData>
  <sheetProtection formatColumns="0" formatRows="0"/>
  <mergeCells count="7">
    <mergeCell ref="S4:W4"/>
    <mergeCell ref="B1:F1"/>
    <mergeCell ref="Z1:AB1"/>
    <mergeCell ref="B2:F2"/>
    <mergeCell ref="Z2:AB2"/>
    <mergeCell ref="B3:N3"/>
    <mergeCell ref="Z3:AF3"/>
  </mergeCells>
  <conditionalFormatting sqref="Q4:Q26">
    <cfRule type="cellIs" dxfId="155" priority="1" operator="equal">
      <formula>0</formula>
    </cfRule>
  </conditionalFormatting>
  <dataValidations disablePrompts="1" count="1">
    <dataValidation type="custom" allowBlank="1" showErrorMessage="1" errorTitle="Input Error" error="Please input a numeric value." sqref="H9:I9 E22:I22 E13:I16" xr:uid="{C803F8EA-7D62-462B-9573-EBFE5DC16FAB}">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Normal="100" zoomScaleSheetLayoutView="100" workbookViewId="0">
      <selection activeCell="G30" sqref="G30"/>
    </sheetView>
  </sheetViews>
  <sheetFormatPr defaultColWidth="9" defaultRowHeight="14.5"/>
  <cols>
    <col min="1" max="1" width="1.58203125" style="16" customWidth="1"/>
    <col min="2" max="2" width="15" style="16" customWidth="1"/>
    <col min="3" max="3" width="71.58203125" style="16" customWidth="1"/>
    <col min="4" max="5" width="12.5" style="16" customWidth="1"/>
    <col min="6" max="6" width="17.5" style="16" customWidth="1"/>
    <col min="7" max="8" width="11.08203125" style="16" customWidth="1"/>
    <col min="9" max="9" width="8.58203125" style="16" customWidth="1"/>
    <col min="10" max="10" width="27.08203125" style="16" customWidth="1"/>
    <col min="11" max="11" width="1.58203125" style="16" customWidth="1"/>
    <col min="12" max="12" width="1.58203125" style="17" customWidth="1"/>
    <col min="13" max="13" width="20.08203125" style="17" customWidth="1"/>
    <col min="14" max="14" width="1.58203125" style="21" customWidth="1"/>
    <col min="15" max="17" width="11.58203125" style="21" hidden="1" customWidth="1"/>
    <col min="18" max="18" width="1.58203125" style="21" hidden="1" customWidth="1"/>
    <col min="19" max="19" width="1.58203125" style="16" customWidth="1"/>
    <col min="20" max="20" width="24" style="16" customWidth="1"/>
    <col min="21" max="21" width="17.5" style="16" customWidth="1"/>
    <col min="22" max="24" width="12.08203125" style="16" customWidth="1"/>
    <col min="25" max="25" width="1.58203125" style="16" customWidth="1"/>
    <col min="26" max="26" width="9" style="16"/>
    <col min="27" max="27" width="8.58203125" style="16" bestFit="1" customWidth="1"/>
    <col min="28" max="16384" width="9" style="16"/>
  </cols>
  <sheetData>
    <row r="1" spans="1:31" ht="30" customHeight="1">
      <c r="A1" s="2560"/>
      <c r="B1" s="2673" t="s">
        <v>4063</v>
      </c>
      <c r="C1" s="2673"/>
      <c r="D1" s="2673"/>
      <c r="E1" s="2673"/>
      <c r="F1" s="2673"/>
      <c r="G1" s="2673"/>
      <c r="H1" s="2673"/>
      <c r="I1" s="2673"/>
      <c r="J1" s="2560"/>
      <c r="K1" s="2560"/>
      <c r="L1" s="305"/>
      <c r="M1" s="251"/>
      <c r="N1" s="2571"/>
      <c r="O1" s="2572"/>
      <c r="P1" s="2572"/>
      <c r="Q1" s="2572"/>
      <c r="R1" s="2571"/>
      <c r="S1" s="2560"/>
      <c r="T1" s="2673" t="s">
        <v>1887</v>
      </c>
      <c r="U1" s="2673"/>
      <c r="V1" s="2673"/>
      <c r="W1" s="2673"/>
      <c r="X1" s="386"/>
      <c r="Y1" s="386"/>
      <c r="Z1" s="2778"/>
      <c r="AA1" s="2778"/>
      <c r="AB1" s="2778"/>
      <c r="AC1" s="2778"/>
      <c r="AD1" s="2560"/>
      <c r="AE1" s="2560"/>
    </row>
    <row r="2" spans="1:31" ht="30" customHeight="1">
      <c r="A2" s="2560"/>
      <c r="B2" s="2673" t="str">
        <f>SelectCompany!B4</f>
        <v>Yorkshire Water</v>
      </c>
      <c r="C2" s="2673"/>
      <c r="D2" s="491"/>
      <c r="E2" s="491"/>
      <c r="F2" s="491"/>
      <c r="G2" s="491"/>
      <c r="H2" s="491"/>
      <c r="I2" s="491"/>
      <c r="J2" s="2560"/>
      <c r="K2" s="2560"/>
      <c r="L2" s="305"/>
      <c r="M2" s="251"/>
      <c r="N2" s="2571"/>
      <c r="O2" s="2572"/>
      <c r="P2" s="2572"/>
      <c r="Q2" s="2572"/>
      <c r="R2" s="2571"/>
      <c r="S2" s="2560"/>
      <c r="T2" s="2673"/>
      <c r="U2" s="2673"/>
      <c r="V2" s="491"/>
      <c r="W2" s="491"/>
      <c r="X2" s="491"/>
      <c r="Y2" s="491"/>
      <c r="Z2" s="640"/>
      <c r="AA2" s="640"/>
      <c r="AB2" s="640"/>
      <c r="AC2" s="640"/>
      <c r="AD2" s="2560"/>
      <c r="AE2" s="2560"/>
    </row>
    <row r="3" spans="1:31" ht="30.75" customHeight="1">
      <c r="A3" s="2560"/>
      <c r="B3" s="2688" t="s">
        <v>4064</v>
      </c>
      <c r="C3" s="2689"/>
      <c r="D3" s="2689"/>
      <c r="E3" s="2689"/>
      <c r="F3" s="2689"/>
      <c r="G3" s="2689"/>
      <c r="H3" s="2689"/>
      <c r="I3" s="2689"/>
      <c r="J3" s="2689"/>
      <c r="K3" s="2560"/>
      <c r="L3" s="307"/>
      <c r="M3" s="232" t="s">
        <v>1889</v>
      </c>
      <c r="N3" s="2571"/>
      <c r="O3" s="2572"/>
      <c r="P3" s="2572"/>
      <c r="Q3" s="2572"/>
      <c r="R3" s="2571"/>
      <c r="S3" s="2560"/>
      <c r="T3" s="2779" t="s">
        <v>4064</v>
      </c>
      <c r="U3" s="2780"/>
      <c r="V3" s="2780"/>
      <c r="W3" s="2780"/>
      <c r="X3" s="2780"/>
      <c r="Y3" s="2560"/>
      <c r="Z3" s="2560"/>
      <c r="AA3" s="2560"/>
      <c r="AB3" s="2560"/>
      <c r="AC3" s="2560"/>
      <c r="AD3" s="2560"/>
      <c r="AE3" s="2560"/>
    </row>
    <row r="4" spans="1:31" ht="15" customHeight="1" thickBot="1">
      <c r="A4" s="2560"/>
      <c r="B4" s="442"/>
      <c r="C4" s="442"/>
      <c r="D4" s="442"/>
      <c r="E4" s="442"/>
      <c r="F4" s="442"/>
      <c r="G4" s="442"/>
      <c r="H4" s="442"/>
      <c r="I4" s="442"/>
      <c r="J4" s="2560"/>
      <c r="K4" s="2560"/>
      <c r="L4" s="2576"/>
      <c r="M4" s="251"/>
      <c r="N4" s="2571"/>
      <c r="O4" s="636" t="s">
        <v>1890</v>
      </c>
      <c r="P4" s="636"/>
      <c r="Q4" s="636"/>
      <c r="R4" s="2571"/>
      <c r="S4" s="2560"/>
      <c r="T4" s="442"/>
      <c r="U4" s="442"/>
      <c r="V4" s="442"/>
      <c r="W4" s="442"/>
      <c r="X4" s="442"/>
      <c r="Y4" s="442"/>
      <c r="Z4" s="2560"/>
      <c r="AA4" s="2560"/>
      <c r="AB4" s="2560"/>
      <c r="AC4" s="2560"/>
      <c r="AD4" s="2560"/>
      <c r="AE4" s="2560"/>
    </row>
    <row r="5" spans="1:31" ht="45" customHeight="1" thickTop="1">
      <c r="A5" s="222"/>
      <c r="B5" s="2686" t="s">
        <v>1891</v>
      </c>
      <c r="C5" s="2667"/>
      <c r="D5" s="574" t="s">
        <v>1902</v>
      </c>
      <c r="E5" s="574" t="s">
        <v>3524</v>
      </c>
      <c r="F5" s="575" t="s">
        <v>4065</v>
      </c>
      <c r="G5" s="444"/>
      <c r="H5" s="2763" t="s">
        <v>1896</v>
      </c>
      <c r="I5" s="222"/>
      <c r="J5" s="2763" t="s">
        <v>1897</v>
      </c>
      <c r="K5" s="222"/>
      <c r="L5" s="2576"/>
      <c r="M5" s="251"/>
      <c r="N5" s="2571"/>
      <c r="O5" s="236" t="s">
        <v>1898</v>
      </c>
      <c r="P5" s="236"/>
      <c r="Q5" s="236"/>
      <c r="R5" s="2571"/>
      <c r="S5" s="2560"/>
      <c r="T5" s="2686" t="s">
        <v>1891</v>
      </c>
      <c r="U5" s="2667"/>
      <c r="V5" s="574" t="s">
        <v>1902</v>
      </c>
      <c r="W5" s="574" t="s">
        <v>3524</v>
      </c>
      <c r="X5" s="575" t="s">
        <v>4065</v>
      </c>
      <c r="Y5" s="2560"/>
      <c r="Z5" s="2560"/>
      <c r="AA5" s="2560"/>
      <c r="AB5" s="2560"/>
      <c r="AC5" s="2560"/>
      <c r="AD5" s="2560"/>
      <c r="AE5" s="2560"/>
    </row>
    <row r="6" spans="1:31" ht="15" customHeight="1">
      <c r="A6" s="222"/>
      <c r="B6" s="2769" t="s">
        <v>1892</v>
      </c>
      <c r="C6" s="2770"/>
      <c r="D6" s="389" t="s">
        <v>137</v>
      </c>
      <c r="E6" s="389" t="s">
        <v>1387</v>
      </c>
      <c r="F6" s="390" t="s">
        <v>3526</v>
      </c>
      <c r="G6" s="444"/>
      <c r="H6" s="2764"/>
      <c r="I6" s="222"/>
      <c r="J6" s="2764"/>
      <c r="K6" s="222"/>
      <c r="L6" s="2576"/>
      <c r="M6" s="251"/>
      <c r="N6" s="2571"/>
      <c r="O6" s="236"/>
      <c r="P6" s="236"/>
      <c r="Q6" s="236"/>
      <c r="R6" s="2571"/>
      <c r="S6" s="2560"/>
      <c r="T6" s="2769" t="s">
        <v>1892</v>
      </c>
      <c r="U6" s="2770"/>
      <c r="V6" s="389" t="s">
        <v>137</v>
      </c>
      <c r="W6" s="389" t="s">
        <v>1387</v>
      </c>
      <c r="X6" s="390" t="s">
        <v>3526</v>
      </c>
      <c r="Y6" s="2560"/>
      <c r="Z6" s="2560"/>
      <c r="AA6" s="2560"/>
      <c r="AB6" s="2560"/>
      <c r="AC6" s="2560"/>
      <c r="AD6" s="2560"/>
      <c r="AE6" s="2560"/>
    </row>
    <row r="7" spans="1:31" ht="15" customHeight="1" thickBot="1">
      <c r="A7" s="222"/>
      <c r="B7" s="2687" t="s">
        <v>136</v>
      </c>
      <c r="C7" s="2668"/>
      <c r="D7" s="238">
        <v>3</v>
      </c>
      <c r="E7" s="238">
        <v>3</v>
      </c>
      <c r="F7" s="576">
        <v>3</v>
      </c>
      <c r="G7" s="444"/>
      <c r="H7" s="2765"/>
      <c r="I7" s="222"/>
      <c r="J7" s="2765"/>
      <c r="K7" s="222"/>
      <c r="L7" s="2576"/>
      <c r="M7" s="251"/>
      <c r="N7" s="2571"/>
      <c r="O7" s="2562"/>
      <c r="P7" s="2562"/>
      <c r="Q7" s="2562"/>
      <c r="R7" s="2571"/>
      <c r="S7" s="2560"/>
      <c r="T7" s="2687" t="s">
        <v>136</v>
      </c>
      <c r="U7" s="2668"/>
      <c r="V7" s="238">
        <v>3</v>
      </c>
      <c r="W7" s="238">
        <v>3</v>
      </c>
      <c r="X7" s="576">
        <v>3</v>
      </c>
      <c r="Y7" s="2560"/>
      <c r="Z7" s="2560"/>
      <c r="AA7" s="2560"/>
      <c r="AB7" s="2560"/>
      <c r="AC7" s="2560"/>
      <c r="AD7" s="2560"/>
      <c r="AE7" s="2560"/>
    </row>
    <row r="8" spans="1:31" ht="15.75" customHeight="1" thickTop="1" thickBot="1">
      <c r="A8" s="222"/>
      <c r="B8" s="222"/>
      <c r="C8" s="222"/>
      <c r="D8" s="222"/>
      <c r="E8" s="222"/>
      <c r="F8" s="222"/>
      <c r="G8" s="222"/>
      <c r="H8" s="222"/>
      <c r="I8" s="222"/>
      <c r="J8" s="222"/>
      <c r="K8" s="222"/>
      <c r="L8" s="2576"/>
      <c r="M8" s="251"/>
      <c r="N8" s="2571"/>
      <c r="O8" s="2562"/>
      <c r="P8" s="2573"/>
      <c r="Q8" s="2562"/>
      <c r="R8" s="2571"/>
      <c r="S8" s="2560"/>
      <c r="T8" s="222"/>
      <c r="U8" s="222"/>
      <c r="V8" s="222"/>
      <c r="W8" s="222"/>
      <c r="X8" s="222"/>
      <c r="Y8" s="2560"/>
      <c r="Z8" s="2560"/>
      <c r="AA8" s="2560"/>
      <c r="AB8" s="2560"/>
      <c r="AC8" s="2560"/>
      <c r="AD8" s="2560"/>
      <c r="AE8" s="2560"/>
    </row>
    <row r="9" spans="1:31" ht="15.75" customHeight="1" thickTop="1" thickBot="1">
      <c r="A9" s="222"/>
      <c r="B9" s="2635" t="s">
        <v>4066</v>
      </c>
      <c r="C9" s="2636"/>
      <c r="D9" s="645"/>
      <c r="E9" s="645"/>
      <c r="F9" s="645"/>
      <c r="G9" s="222"/>
      <c r="H9" s="444"/>
      <c r="I9" s="197"/>
      <c r="J9" s="222"/>
      <c r="K9" s="222"/>
      <c r="L9" s="2576"/>
      <c r="M9" s="251"/>
      <c r="N9" s="2571"/>
      <c r="O9" s="237"/>
      <c r="P9" s="237"/>
      <c r="Q9" s="237"/>
      <c r="R9" s="2571"/>
      <c r="S9" s="2560"/>
      <c r="T9" s="2635" t="s">
        <v>4066</v>
      </c>
      <c r="U9" s="2636"/>
      <c r="V9" s="645"/>
      <c r="W9" s="645"/>
      <c r="X9" s="645"/>
      <c r="Y9" s="2562"/>
      <c r="Z9" s="2560"/>
      <c r="AA9" s="2560"/>
      <c r="AB9" s="2560"/>
      <c r="AC9" s="2560"/>
      <c r="AD9" s="2560"/>
      <c r="AE9" s="2560"/>
    </row>
    <row r="10" spans="1:31" ht="15.75" customHeight="1" thickTop="1">
      <c r="A10" s="222"/>
      <c r="B10" s="2774" t="s">
        <v>4067</v>
      </c>
      <c r="C10" s="2775"/>
      <c r="D10" s="571"/>
      <c r="E10" s="2534">
        <v>3.7999999999999999E-2</v>
      </c>
      <c r="F10" s="647"/>
      <c r="G10" s="83"/>
      <c r="H10" s="248" t="s">
        <v>4068</v>
      </c>
      <c r="I10" s="222"/>
      <c r="J10" s="250"/>
      <c r="K10" s="222"/>
      <c r="L10" s="2576"/>
      <c r="M10" s="251">
        <f>IF( SUM( O10:Q10 ) = 0, 0, $O$5 )</f>
        <v>0</v>
      </c>
      <c r="N10" s="2571"/>
      <c r="O10" s="237"/>
      <c r="P10" s="252">
        <f xml:space="preserve"> IF( ISNUMBER(E10 ), 0, 1 )</f>
        <v>0</v>
      </c>
      <c r="Q10" s="237"/>
      <c r="R10" s="2571"/>
      <c r="S10" s="2560"/>
      <c r="T10" s="2774" t="s">
        <v>4069</v>
      </c>
      <c r="U10" s="2775"/>
      <c r="V10" s="571"/>
      <c r="W10" s="245" t="s">
        <v>4070</v>
      </c>
      <c r="X10" s="647"/>
      <c r="Y10" s="2560"/>
      <c r="Z10" s="2560"/>
      <c r="AA10" s="2560"/>
      <c r="AB10" s="2560"/>
      <c r="AC10" s="2560"/>
      <c r="AD10" s="2560"/>
      <c r="AE10" s="2560"/>
    </row>
    <row r="11" spans="1:31" ht="15.75" customHeight="1">
      <c r="A11" s="222"/>
      <c r="B11" s="2776" t="s">
        <v>4071</v>
      </c>
      <c r="C11" s="2777"/>
      <c r="D11" s="648"/>
      <c r="E11" s="2532">
        <v>1.4930000000000001</v>
      </c>
      <c r="F11" s="649"/>
      <c r="G11" s="83"/>
      <c r="H11" s="257" t="s">
        <v>4072</v>
      </c>
      <c r="I11" s="222"/>
      <c r="J11" s="258"/>
      <c r="K11" s="222"/>
      <c r="L11" s="2576"/>
      <c r="M11" s="251">
        <f t="shared" ref="M11:M12" si="0">IF( SUM( O11:Q11 ) = 0, 0, $O$5 )</f>
        <v>0</v>
      </c>
      <c r="N11" s="2571"/>
      <c r="O11" s="237"/>
      <c r="P11" s="252">
        <f t="shared" ref="P11:P12" si="1" xml:space="preserve"> IF( ISNUMBER(E11 ), 0, 1 )</f>
        <v>0</v>
      </c>
      <c r="Q11" s="237"/>
      <c r="R11" s="2571"/>
      <c r="S11" s="2560"/>
      <c r="T11" s="2776" t="s">
        <v>4073</v>
      </c>
      <c r="U11" s="2777"/>
      <c r="V11" s="648"/>
      <c r="W11" s="254" t="s">
        <v>4074</v>
      </c>
      <c r="X11" s="649"/>
      <c r="Y11" s="2560"/>
      <c r="Z11" s="2560"/>
      <c r="AA11" s="2560"/>
      <c r="AB11" s="2560"/>
      <c r="AC11" s="2560"/>
      <c r="AD11" s="2560"/>
      <c r="AE11" s="2560"/>
    </row>
    <row r="12" spans="1:31" ht="15.75" customHeight="1" thickBot="1">
      <c r="A12" s="222"/>
      <c r="B12" s="2772" t="s">
        <v>4075</v>
      </c>
      <c r="C12" s="2773"/>
      <c r="D12" s="572"/>
      <c r="E12" s="2536">
        <v>37.314</v>
      </c>
      <c r="F12" s="650"/>
      <c r="G12" s="83"/>
      <c r="H12" s="320" t="s">
        <v>4076</v>
      </c>
      <c r="I12" s="222"/>
      <c r="J12" s="269"/>
      <c r="K12" s="222"/>
      <c r="L12" s="2576"/>
      <c r="M12" s="251">
        <f t="shared" si="0"/>
        <v>0</v>
      </c>
      <c r="N12" s="2571"/>
      <c r="O12" s="237"/>
      <c r="P12" s="252">
        <f t="shared" si="1"/>
        <v>0</v>
      </c>
      <c r="Q12" s="237"/>
      <c r="R12" s="2571"/>
      <c r="S12" s="2560"/>
      <c r="T12" s="2772" t="s">
        <v>4077</v>
      </c>
      <c r="U12" s="2773"/>
      <c r="V12" s="572"/>
      <c r="W12" s="264" t="s">
        <v>4078</v>
      </c>
      <c r="X12" s="650"/>
      <c r="Y12" s="2560"/>
      <c r="Z12" s="2560"/>
      <c r="AA12" s="2560"/>
      <c r="AB12" s="2560"/>
      <c r="AC12" s="2560"/>
      <c r="AD12" s="2560"/>
      <c r="AE12" s="2560"/>
    </row>
    <row r="13" spans="1:31" ht="15.75" customHeight="1" thickTop="1" thickBot="1">
      <c r="A13" s="222"/>
      <c r="B13" s="651"/>
      <c r="C13" s="651"/>
      <c r="D13" s="328"/>
      <c r="E13" s="328"/>
      <c r="F13" s="328"/>
      <c r="G13" s="83"/>
      <c r="H13" s="249"/>
      <c r="I13" s="222"/>
      <c r="J13" s="222"/>
      <c r="K13" s="222"/>
      <c r="L13" s="2576"/>
      <c r="M13" s="251"/>
      <c r="N13" s="2571"/>
      <c r="O13" s="237"/>
      <c r="P13" s="237"/>
      <c r="Q13" s="237"/>
      <c r="R13" s="2571"/>
      <c r="S13" s="2560"/>
      <c r="T13" s="651"/>
      <c r="U13" s="651"/>
      <c r="V13" s="328"/>
      <c r="W13" s="328"/>
      <c r="X13" s="328"/>
      <c r="Y13" s="2560"/>
      <c r="Z13" s="2560"/>
      <c r="AA13" s="2560"/>
      <c r="AB13" s="2560"/>
      <c r="AC13" s="2560"/>
      <c r="AD13" s="2560"/>
      <c r="AE13" s="2560"/>
    </row>
    <row r="14" spans="1:31" ht="15.75" customHeight="1" thickTop="1" thickBot="1">
      <c r="A14" s="222"/>
      <c r="B14" s="2635" t="s">
        <v>4079</v>
      </c>
      <c r="C14" s="2636"/>
      <c r="D14" s="645"/>
      <c r="E14" s="645"/>
      <c r="F14" s="645"/>
      <c r="G14" s="222"/>
      <c r="H14" s="444"/>
      <c r="I14" s="197"/>
      <c r="J14" s="222"/>
      <c r="K14" s="222"/>
      <c r="L14" s="2576"/>
      <c r="M14" s="251"/>
      <c r="N14" s="2571"/>
      <c r="O14" s="237"/>
      <c r="P14" s="237"/>
      <c r="Q14" s="237"/>
      <c r="R14" s="2571"/>
      <c r="S14" s="2560"/>
      <c r="T14" s="2635" t="s">
        <v>4079</v>
      </c>
      <c r="U14" s="2636"/>
      <c r="V14" s="645"/>
      <c r="W14" s="645"/>
      <c r="X14" s="645"/>
      <c r="Y14" s="2562"/>
      <c r="Z14" s="2560"/>
      <c r="AA14" s="2560"/>
      <c r="AB14" s="2560"/>
      <c r="AC14" s="2560"/>
      <c r="AD14" s="2560"/>
      <c r="AE14" s="2560"/>
    </row>
    <row r="15" spans="1:31" ht="15.75" customHeight="1" thickTop="1">
      <c r="A15" s="222"/>
      <c r="B15" s="2774" t="s">
        <v>4080</v>
      </c>
      <c r="C15" s="2775"/>
      <c r="D15" s="571"/>
      <c r="E15" s="2534">
        <v>113.867</v>
      </c>
      <c r="F15" s="647"/>
      <c r="G15" s="83"/>
      <c r="H15" s="248" t="s">
        <v>4081</v>
      </c>
      <c r="I15" s="222"/>
      <c r="J15" s="250"/>
      <c r="K15" s="222"/>
      <c r="L15" s="2576"/>
      <c r="M15" s="251">
        <f t="shared" ref="M15:M17" si="2">IF( SUM( O15:Q15 ) = 0, 0, $O$5 )</f>
        <v>0</v>
      </c>
      <c r="N15" s="2571"/>
      <c r="O15" s="237"/>
      <c r="P15" s="252">
        <f t="shared" ref="P15:P17" si="3" xml:space="preserve"> IF( ISNUMBER(E15 ), 0, 1 )</f>
        <v>0</v>
      </c>
      <c r="Q15" s="237"/>
      <c r="R15" s="2571"/>
      <c r="S15" s="2560"/>
      <c r="T15" s="2774" t="s">
        <v>4082</v>
      </c>
      <c r="U15" s="2775"/>
      <c r="V15" s="571"/>
      <c r="W15" s="245" t="s">
        <v>4083</v>
      </c>
      <c r="X15" s="647"/>
      <c r="Y15" s="2560"/>
      <c r="Z15" s="2560"/>
      <c r="AA15" s="2560"/>
      <c r="AB15" s="2560"/>
      <c r="AC15" s="2560"/>
      <c r="AD15" s="2560"/>
      <c r="AE15" s="2560"/>
    </row>
    <row r="16" spans="1:31" ht="15.75" customHeight="1">
      <c r="A16" s="222"/>
      <c r="B16" s="2776" t="s">
        <v>4084</v>
      </c>
      <c r="C16" s="2777"/>
      <c r="D16" s="648"/>
      <c r="E16" s="2532">
        <v>121.161</v>
      </c>
      <c r="F16" s="649"/>
      <c r="G16" s="83"/>
      <c r="H16" s="257" t="s">
        <v>4085</v>
      </c>
      <c r="I16" s="222"/>
      <c r="J16" s="258"/>
      <c r="K16" s="222"/>
      <c r="L16" s="2576"/>
      <c r="M16" s="251">
        <f t="shared" si="2"/>
        <v>0</v>
      </c>
      <c r="N16" s="2571"/>
      <c r="O16" s="237"/>
      <c r="P16" s="252">
        <f t="shared" si="3"/>
        <v>0</v>
      </c>
      <c r="Q16" s="237"/>
      <c r="R16" s="2571"/>
      <c r="S16" s="2560"/>
      <c r="T16" s="2776" t="s">
        <v>4086</v>
      </c>
      <c r="U16" s="2777"/>
      <c r="V16" s="648"/>
      <c r="W16" s="254" t="s">
        <v>4087</v>
      </c>
      <c r="X16" s="649"/>
      <c r="Y16" s="2560"/>
      <c r="Z16" s="2560"/>
      <c r="AA16" s="2560"/>
      <c r="AB16" s="2560"/>
      <c r="AC16" s="2560"/>
      <c r="AD16" s="2560"/>
      <c r="AE16" s="2560"/>
    </row>
    <row r="17" spans="1:31" ht="15.75" customHeight="1" thickBot="1">
      <c r="A17" s="222"/>
      <c r="B17" s="2772" t="s">
        <v>4088</v>
      </c>
      <c r="C17" s="2773"/>
      <c r="D17" s="572"/>
      <c r="E17" s="2535">
        <v>2000.8579999999999</v>
      </c>
      <c r="F17" s="650"/>
      <c r="G17" s="83"/>
      <c r="H17" s="320" t="s">
        <v>4089</v>
      </c>
      <c r="I17" s="222"/>
      <c r="J17" s="269"/>
      <c r="K17" s="222"/>
      <c r="L17" s="2576"/>
      <c r="M17" s="251">
        <f t="shared" si="2"/>
        <v>0</v>
      </c>
      <c r="N17" s="2571"/>
      <c r="O17" s="237"/>
      <c r="P17" s="252">
        <f t="shared" si="3"/>
        <v>0</v>
      </c>
      <c r="Q17" s="237"/>
      <c r="R17" s="2571"/>
      <c r="S17" s="2560"/>
      <c r="T17" s="2772" t="s">
        <v>4090</v>
      </c>
      <c r="U17" s="2773"/>
      <c r="V17" s="572"/>
      <c r="W17" s="264" t="s">
        <v>4091</v>
      </c>
      <c r="X17" s="650"/>
      <c r="Y17" s="2560"/>
      <c r="Z17" s="2560"/>
      <c r="AA17" s="2560"/>
      <c r="AB17" s="2560"/>
      <c r="AC17" s="2560"/>
      <c r="AD17" s="2560"/>
      <c r="AE17" s="2560"/>
    </row>
    <row r="18" spans="1:31" ht="15.75" customHeight="1" thickTop="1" thickBot="1">
      <c r="A18" s="222"/>
      <c r="B18" s="222"/>
      <c r="C18" s="222"/>
      <c r="D18" s="645"/>
      <c r="E18" s="645"/>
      <c r="F18" s="645"/>
      <c r="G18" s="222"/>
      <c r="H18" s="222"/>
      <c r="I18" s="222"/>
      <c r="J18" s="222"/>
      <c r="K18" s="222"/>
      <c r="L18" s="2576"/>
      <c r="M18" s="251"/>
      <c r="N18" s="2571"/>
      <c r="O18" s="237"/>
      <c r="P18" s="237"/>
      <c r="Q18" s="237"/>
      <c r="R18" s="2571"/>
      <c r="S18" s="2560"/>
      <c r="T18" s="222"/>
      <c r="U18" s="222"/>
      <c r="V18" s="645"/>
      <c r="W18" s="645"/>
      <c r="X18" s="645"/>
      <c r="Y18" s="2560"/>
      <c r="Z18" s="2560"/>
      <c r="AA18" s="2560"/>
      <c r="AB18" s="2560"/>
      <c r="AC18" s="2560"/>
      <c r="AD18" s="2560"/>
      <c r="AE18" s="2560"/>
    </row>
    <row r="19" spans="1:31" ht="15.75" customHeight="1" thickTop="1" thickBot="1">
      <c r="A19" s="222"/>
      <c r="B19" s="2635" t="s">
        <v>4092</v>
      </c>
      <c r="C19" s="2636"/>
      <c r="D19" s="645"/>
      <c r="E19" s="645"/>
      <c r="F19" s="645"/>
      <c r="G19" s="222"/>
      <c r="H19" s="444"/>
      <c r="I19" s="197"/>
      <c r="J19" s="222"/>
      <c r="K19" s="222"/>
      <c r="L19" s="2576"/>
      <c r="M19" s="251"/>
      <c r="N19" s="2571"/>
      <c r="O19" s="237"/>
      <c r="P19" s="237"/>
      <c r="Q19" s="237"/>
      <c r="R19" s="2571"/>
      <c r="S19" s="2560"/>
      <c r="T19" s="2635" t="s">
        <v>4092</v>
      </c>
      <c r="U19" s="2636"/>
      <c r="V19" s="645"/>
      <c r="W19" s="645"/>
      <c r="X19" s="645"/>
      <c r="Y19" s="2562"/>
      <c r="Z19" s="2560"/>
      <c r="AA19" s="2560"/>
      <c r="AB19" s="2560"/>
      <c r="AC19" s="2560"/>
      <c r="AD19" s="2560"/>
      <c r="AE19" s="2560"/>
    </row>
    <row r="20" spans="1:31" ht="15.75" customHeight="1" thickTop="1">
      <c r="A20" s="222"/>
      <c r="B20" s="2774" t="s">
        <v>4093</v>
      </c>
      <c r="C20" s="2775"/>
      <c r="D20" s="571"/>
      <c r="E20" s="571"/>
      <c r="F20" s="247">
        <f>IFERROR(((D25+D33)/E10)*1000,0)</f>
        <v>105.26315789473685</v>
      </c>
      <c r="G20" s="83"/>
      <c r="H20" s="248" t="s">
        <v>4094</v>
      </c>
      <c r="I20" s="222"/>
      <c r="J20" s="250"/>
      <c r="K20" s="222"/>
      <c r="L20" s="2576"/>
      <c r="M20" s="251"/>
      <c r="N20" s="2571"/>
      <c r="O20" s="237"/>
      <c r="P20" s="237"/>
      <c r="Q20" s="237"/>
      <c r="R20" s="2571"/>
      <c r="S20" s="2560"/>
      <c r="T20" s="2774" t="s">
        <v>4093</v>
      </c>
      <c r="U20" s="2775"/>
      <c r="V20" s="571"/>
      <c r="W20" s="571"/>
      <c r="X20" s="247" t="s">
        <v>4095</v>
      </c>
      <c r="Y20" s="2560"/>
      <c r="Z20" s="2560"/>
      <c r="AA20" s="2560"/>
      <c r="AB20" s="2560"/>
      <c r="AC20" s="2560"/>
      <c r="AD20" s="2560"/>
      <c r="AE20" s="2560"/>
    </row>
    <row r="21" spans="1:31" ht="15.75" customHeight="1">
      <c r="A21" s="222"/>
      <c r="B21" s="2776" t="s">
        <v>4096</v>
      </c>
      <c r="C21" s="2777"/>
      <c r="D21" s="648"/>
      <c r="E21" s="648"/>
      <c r="F21" s="256">
        <f>IFERROR(((D26+D34)/E11)*1000,0)</f>
        <v>146.01473543201607</v>
      </c>
      <c r="G21" s="83"/>
      <c r="H21" s="257" t="s">
        <v>4097</v>
      </c>
      <c r="I21" s="222"/>
      <c r="J21" s="258"/>
      <c r="K21" s="222"/>
      <c r="L21" s="2576"/>
      <c r="M21" s="251"/>
      <c r="N21" s="2571"/>
      <c r="O21" s="237"/>
      <c r="P21" s="237"/>
      <c r="Q21" s="237"/>
      <c r="R21" s="2571"/>
      <c r="S21" s="2560"/>
      <c r="T21" s="2776" t="s">
        <v>4096</v>
      </c>
      <c r="U21" s="2777"/>
      <c r="V21" s="648"/>
      <c r="W21" s="648"/>
      <c r="X21" s="256" t="s">
        <v>4098</v>
      </c>
      <c r="Y21" s="2560"/>
      <c r="Z21" s="2560"/>
      <c r="AA21" s="2560"/>
      <c r="AB21" s="2560"/>
      <c r="AC21" s="2560"/>
      <c r="AD21" s="2560"/>
      <c r="AE21" s="2560"/>
    </row>
    <row r="22" spans="1:31" ht="15.75" customHeight="1" thickBot="1">
      <c r="A22" s="222"/>
      <c r="B22" s="2772" t="s">
        <v>4099</v>
      </c>
      <c r="C22" s="2773"/>
      <c r="D22" s="572"/>
      <c r="E22" s="572"/>
      <c r="F22" s="266">
        <f>IFERROR(((D27+D35)/E12)*1000,0)</f>
        <v>232.32566864983653</v>
      </c>
      <c r="G22" s="83"/>
      <c r="H22" s="320" t="s">
        <v>4100</v>
      </c>
      <c r="I22" s="222"/>
      <c r="J22" s="269"/>
      <c r="K22" s="222"/>
      <c r="L22" s="2576"/>
      <c r="M22" s="251"/>
      <c r="N22" s="2571"/>
      <c r="O22" s="237"/>
      <c r="P22" s="237"/>
      <c r="Q22" s="237"/>
      <c r="R22" s="2571"/>
      <c r="S22" s="2560"/>
      <c r="T22" s="2772" t="s">
        <v>4099</v>
      </c>
      <c r="U22" s="2773"/>
      <c r="V22" s="572"/>
      <c r="W22" s="572"/>
      <c r="X22" s="266" t="s">
        <v>4101</v>
      </c>
      <c r="Y22" s="2560"/>
      <c r="Z22" s="2560"/>
      <c r="AA22" s="2560"/>
      <c r="AB22" s="2560"/>
      <c r="AC22" s="2560"/>
      <c r="AD22" s="2560"/>
      <c r="AE22" s="2560"/>
    </row>
    <row r="23" spans="1:31" ht="15.75" customHeight="1" thickTop="1" thickBot="1">
      <c r="A23" s="222"/>
      <c r="B23" s="222"/>
      <c r="C23" s="222"/>
      <c r="D23" s="645"/>
      <c r="E23" s="645"/>
      <c r="F23" s="645"/>
      <c r="G23" s="222"/>
      <c r="H23" s="222"/>
      <c r="I23" s="222"/>
      <c r="J23" s="222"/>
      <c r="K23" s="222"/>
      <c r="L23" s="2576"/>
      <c r="M23" s="251"/>
      <c r="N23" s="2571"/>
      <c r="O23" s="237"/>
      <c r="P23" s="237"/>
      <c r="Q23" s="237"/>
      <c r="R23" s="2571"/>
      <c r="S23" s="2560"/>
      <c r="T23" s="222"/>
      <c r="U23" s="222"/>
      <c r="V23" s="645"/>
      <c r="W23" s="645"/>
      <c r="X23" s="645"/>
      <c r="Y23" s="2560"/>
      <c r="Z23" s="2560"/>
      <c r="AA23" s="2560"/>
      <c r="AB23" s="2560"/>
      <c r="AC23" s="2560"/>
      <c r="AD23" s="2560"/>
      <c r="AE23" s="2560"/>
    </row>
    <row r="24" spans="1:31" ht="15.75" customHeight="1" thickTop="1" thickBot="1">
      <c r="A24" s="222"/>
      <c r="B24" s="2635" t="s">
        <v>4102</v>
      </c>
      <c r="C24" s="2636"/>
      <c r="D24" s="271"/>
      <c r="E24" s="645"/>
      <c r="F24" s="645"/>
      <c r="G24" s="222"/>
      <c r="H24" s="444"/>
      <c r="I24" s="197"/>
      <c r="J24" s="222"/>
      <c r="K24" s="222"/>
      <c r="L24" s="2576"/>
      <c r="M24" s="251"/>
      <c r="N24" s="2571"/>
      <c r="O24" s="237"/>
      <c r="P24" s="237"/>
      <c r="Q24" s="237"/>
      <c r="R24" s="2571"/>
      <c r="S24" s="2560"/>
      <c r="T24" s="2635" t="s">
        <v>4102</v>
      </c>
      <c r="U24" s="2636"/>
      <c r="V24" s="645"/>
      <c r="W24" s="645"/>
      <c r="X24" s="645"/>
      <c r="Y24" s="2562"/>
      <c r="Z24" s="2560"/>
      <c r="AA24" s="2560"/>
      <c r="AB24" s="2560"/>
      <c r="AC24" s="2560"/>
      <c r="AD24" s="2560"/>
      <c r="AE24" s="2560"/>
    </row>
    <row r="25" spans="1:31" ht="15.75" customHeight="1" thickTop="1">
      <c r="A25" s="222"/>
      <c r="B25" s="2774" t="s">
        <v>4103</v>
      </c>
      <c r="C25" s="2775"/>
      <c r="D25" s="2531">
        <v>2E-3</v>
      </c>
      <c r="E25" s="653"/>
      <c r="F25" s="654"/>
      <c r="G25" s="83"/>
      <c r="H25" s="248" t="s">
        <v>4104</v>
      </c>
      <c r="I25" s="222"/>
      <c r="J25" s="250"/>
      <c r="K25" s="222"/>
      <c r="L25" s="2576"/>
      <c r="M25" s="251">
        <f t="shared" ref="M25:M27" si="4">IF( SUM( O25:Q25 ) = 0, 0, $O$5 )</f>
        <v>0</v>
      </c>
      <c r="N25" s="2571"/>
      <c r="O25" s="252">
        <f t="shared" ref="O25:O27" si="5" xml:space="preserve"> IF( ISNUMBER(D25 ), 0, 1 )</f>
        <v>0</v>
      </c>
      <c r="P25" s="237"/>
      <c r="Q25" s="237"/>
      <c r="R25" s="2571"/>
      <c r="S25" s="2560"/>
      <c r="T25" s="2774" t="s">
        <v>4103</v>
      </c>
      <c r="U25" s="2775"/>
      <c r="V25" s="652" t="s">
        <v>4105</v>
      </c>
      <c r="W25" s="653"/>
      <c r="X25" s="654"/>
      <c r="Y25" s="2560"/>
      <c r="Z25" s="2560"/>
      <c r="AA25" s="2560"/>
      <c r="AB25" s="2560"/>
      <c r="AC25" s="2560"/>
      <c r="AD25" s="2560"/>
      <c r="AE25" s="2560"/>
    </row>
    <row r="26" spans="1:31" ht="15.75" customHeight="1">
      <c r="A26" s="222"/>
      <c r="B26" s="2776" t="s">
        <v>4106</v>
      </c>
      <c r="C26" s="2777"/>
      <c r="D26" s="2532">
        <v>0.125</v>
      </c>
      <c r="E26" s="656"/>
      <c r="F26" s="657"/>
      <c r="G26" s="83"/>
      <c r="H26" s="257" t="s">
        <v>4107</v>
      </c>
      <c r="I26" s="222"/>
      <c r="J26" s="258"/>
      <c r="K26" s="222"/>
      <c r="L26" s="2576"/>
      <c r="M26" s="251">
        <f t="shared" si="4"/>
        <v>0</v>
      </c>
      <c r="N26" s="2571"/>
      <c r="O26" s="252">
        <f t="shared" si="5"/>
        <v>0</v>
      </c>
      <c r="P26" s="237"/>
      <c r="Q26" s="237"/>
      <c r="R26" s="2571"/>
      <c r="S26" s="2560"/>
      <c r="T26" s="2776" t="s">
        <v>4106</v>
      </c>
      <c r="U26" s="2777"/>
      <c r="V26" s="655" t="s">
        <v>4108</v>
      </c>
      <c r="W26" s="656"/>
      <c r="X26" s="657"/>
      <c r="Y26" s="2560"/>
      <c r="Z26" s="2560"/>
      <c r="AA26" s="2560"/>
      <c r="AB26" s="2560"/>
      <c r="AC26" s="2560"/>
      <c r="AD26" s="2560"/>
      <c r="AE26" s="2560"/>
    </row>
    <row r="27" spans="1:31" ht="15.75" customHeight="1">
      <c r="A27" s="222"/>
      <c r="B27" s="2776" t="s">
        <v>4109</v>
      </c>
      <c r="C27" s="2777"/>
      <c r="D27" s="2533">
        <v>4.9640000000000004</v>
      </c>
      <c r="E27" s="656"/>
      <c r="F27" s="657"/>
      <c r="G27" s="83"/>
      <c r="H27" s="257" t="s">
        <v>4110</v>
      </c>
      <c r="I27" s="222"/>
      <c r="J27" s="258"/>
      <c r="K27" s="222"/>
      <c r="L27" s="2576"/>
      <c r="M27" s="251">
        <f t="shared" si="4"/>
        <v>0</v>
      </c>
      <c r="N27" s="2571"/>
      <c r="O27" s="252">
        <f t="shared" si="5"/>
        <v>0</v>
      </c>
      <c r="P27" s="237"/>
      <c r="Q27" s="237"/>
      <c r="R27" s="2571"/>
      <c r="S27" s="2560"/>
      <c r="T27" s="2776" t="s">
        <v>4109</v>
      </c>
      <c r="U27" s="2777"/>
      <c r="V27" s="655" t="s">
        <v>4111</v>
      </c>
      <c r="W27" s="656"/>
      <c r="X27" s="657"/>
      <c r="Y27" s="2560"/>
      <c r="Z27" s="2560"/>
      <c r="AA27" s="2560"/>
      <c r="AB27" s="2560"/>
      <c r="AC27" s="2560"/>
      <c r="AD27" s="2560"/>
      <c r="AE27" s="2560"/>
    </row>
    <row r="28" spans="1:31" ht="15.75" customHeight="1">
      <c r="A28" s="222"/>
      <c r="B28" s="2776" t="s">
        <v>4112</v>
      </c>
      <c r="C28" s="2777"/>
      <c r="D28" s="648"/>
      <c r="E28" s="648"/>
      <c r="F28" s="256">
        <f>IFERROR(IF(OR(D25=0,E10=0,E15=0),0,D25/((E10+E15)/1000)),0)</f>
        <v>1.7558491725560774E-2</v>
      </c>
      <c r="G28" s="83"/>
      <c r="H28" s="257" t="s">
        <v>4113</v>
      </c>
      <c r="I28" s="222"/>
      <c r="J28" s="258"/>
      <c r="K28" s="222"/>
      <c r="L28" s="2576"/>
      <c r="M28" s="251"/>
      <c r="N28" s="2571"/>
      <c r="O28" s="237"/>
      <c r="P28" s="237"/>
      <c r="Q28" s="237"/>
      <c r="R28" s="2571"/>
      <c r="S28" s="2560"/>
      <c r="T28" s="2776" t="s">
        <v>4112</v>
      </c>
      <c r="U28" s="2777"/>
      <c r="V28" s="648"/>
      <c r="W28" s="648"/>
      <c r="X28" s="256" t="s">
        <v>4114</v>
      </c>
      <c r="Y28" s="2560"/>
      <c r="Z28" s="2560"/>
      <c r="AA28" s="2560"/>
      <c r="AB28" s="2560"/>
      <c r="AC28" s="2560"/>
      <c r="AD28" s="2560"/>
      <c r="AE28" s="2560"/>
    </row>
    <row r="29" spans="1:31" ht="15.75" customHeight="1">
      <c r="A29" s="222"/>
      <c r="B29" s="2776" t="s">
        <v>4115</v>
      </c>
      <c r="C29" s="2777"/>
      <c r="D29" s="648"/>
      <c r="E29" s="648"/>
      <c r="F29" s="256">
        <f>IFERROR(IF(OR(D26=0,E11=0,E16=0),0,D26/((E11+E16)/1000)),0)</f>
        <v>1.0191269750680776</v>
      </c>
      <c r="G29" s="83"/>
      <c r="H29" s="257" t="s">
        <v>4116</v>
      </c>
      <c r="I29" s="222"/>
      <c r="J29" s="258"/>
      <c r="K29" s="222"/>
      <c r="L29" s="2576"/>
      <c r="M29" s="251"/>
      <c r="N29" s="2571"/>
      <c r="O29" s="237"/>
      <c r="P29" s="237"/>
      <c r="Q29" s="237"/>
      <c r="R29" s="2571"/>
      <c r="S29" s="2560"/>
      <c r="T29" s="2776" t="s">
        <v>4115</v>
      </c>
      <c r="U29" s="2777"/>
      <c r="V29" s="648"/>
      <c r="W29" s="648"/>
      <c r="X29" s="256" t="s">
        <v>4117</v>
      </c>
      <c r="Y29" s="2560"/>
      <c r="Z29" s="2560"/>
      <c r="AA29" s="2560"/>
      <c r="AB29" s="2560"/>
      <c r="AC29" s="2560"/>
      <c r="AD29" s="2560"/>
      <c r="AE29" s="2560"/>
    </row>
    <row r="30" spans="1:31" ht="15.75" customHeight="1" thickBot="1">
      <c r="A30" s="222"/>
      <c r="B30" s="2772" t="s">
        <v>4118</v>
      </c>
      <c r="C30" s="2773"/>
      <c r="D30" s="572"/>
      <c r="E30" s="572"/>
      <c r="F30" s="266">
        <f>IFERROR(IF(OR(D27=0,E12=0,E17=0),0,D27/((E12+E17)/1000)),0)</f>
        <v>2.4355157464630075</v>
      </c>
      <c r="G30" s="83"/>
      <c r="H30" s="320" t="s">
        <v>4119</v>
      </c>
      <c r="I30" s="222"/>
      <c r="J30" s="269"/>
      <c r="K30" s="222"/>
      <c r="L30" s="2576"/>
      <c r="M30" s="251"/>
      <c r="N30" s="2571"/>
      <c r="O30" s="237"/>
      <c r="P30" s="237"/>
      <c r="Q30" s="237"/>
      <c r="R30" s="2571"/>
      <c r="S30" s="2560"/>
      <c r="T30" s="2772" t="s">
        <v>4118</v>
      </c>
      <c r="U30" s="2773"/>
      <c r="V30" s="572"/>
      <c r="W30" s="572"/>
      <c r="X30" s="266" t="s">
        <v>4120</v>
      </c>
      <c r="Y30" s="2560"/>
      <c r="Z30" s="2560"/>
      <c r="AA30" s="2560"/>
      <c r="AB30" s="2560"/>
      <c r="AC30" s="2560"/>
      <c r="AD30" s="2560"/>
      <c r="AE30" s="2560"/>
    </row>
    <row r="31" spans="1:31" ht="15.75" customHeight="1" thickTop="1" thickBot="1">
      <c r="A31" s="222"/>
      <c r="B31" s="651"/>
      <c r="C31" s="651"/>
      <c r="D31" s="328"/>
      <c r="E31" s="328"/>
      <c r="F31" s="328"/>
      <c r="G31" s="83"/>
      <c r="H31" s="249"/>
      <c r="I31" s="222"/>
      <c r="J31" s="222"/>
      <c r="K31" s="222"/>
      <c r="L31" s="2576"/>
      <c r="M31" s="251"/>
      <c r="N31" s="2571"/>
      <c r="O31" s="237"/>
      <c r="P31" s="237"/>
      <c r="Q31" s="237"/>
      <c r="R31" s="2571"/>
      <c r="S31" s="2560"/>
      <c r="T31" s="651"/>
      <c r="U31" s="651"/>
      <c r="V31" s="328"/>
      <c r="W31" s="328"/>
      <c r="X31" s="328"/>
      <c r="Y31" s="2560"/>
      <c r="Z31" s="2560"/>
      <c r="AA31" s="2560"/>
      <c r="AB31" s="2560"/>
      <c r="AC31" s="2560"/>
      <c r="AD31" s="2560"/>
      <c r="AE31" s="2560"/>
    </row>
    <row r="32" spans="1:31" ht="15.75" customHeight="1" thickTop="1" thickBot="1">
      <c r="A32" s="222"/>
      <c r="B32" s="2635" t="s">
        <v>4121</v>
      </c>
      <c r="C32" s="2636"/>
      <c r="D32" s="645"/>
      <c r="E32" s="645"/>
      <c r="F32" s="645"/>
      <c r="G32" s="222"/>
      <c r="H32" s="444"/>
      <c r="I32" s="197"/>
      <c r="J32" s="222"/>
      <c r="K32" s="222"/>
      <c r="L32" s="2576"/>
      <c r="M32" s="251"/>
      <c r="N32" s="2571"/>
      <c r="O32" s="237"/>
      <c r="P32" s="237"/>
      <c r="Q32" s="237"/>
      <c r="R32" s="2571"/>
      <c r="S32" s="2560"/>
      <c r="T32" s="2635" t="s">
        <v>4121</v>
      </c>
      <c r="U32" s="2636"/>
      <c r="V32" s="645"/>
      <c r="W32" s="645"/>
      <c r="X32" s="645"/>
      <c r="Y32" s="2562"/>
      <c r="Z32" s="2560"/>
      <c r="AA32" s="2560"/>
      <c r="AB32" s="2560"/>
      <c r="AC32" s="2560"/>
      <c r="AD32" s="2560"/>
      <c r="AE32" s="2560"/>
    </row>
    <row r="33" spans="1:31" ht="15.75" customHeight="1" thickTop="1">
      <c r="A33" s="222"/>
      <c r="B33" s="2774" t="s">
        <v>4122</v>
      </c>
      <c r="C33" s="2775"/>
      <c r="D33" s="2531">
        <v>2E-3</v>
      </c>
      <c r="E33" s="653"/>
      <c r="F33" s="658"/>
      <c r="G33" s="83"/>
      <c r="H33" s="248" t="s">
        <v>4123</v>
      </c>
      <c r="I33" s="222"/>
      <c r="J33" s="250"/>
      <c r="K33" s="222"/>
      <c r="L33" s="2576"/>
      <c r="M33" s="251">
        <f t="shared" ref="M33:M35" si="6">IF( SUM( O33:Q33 ) = 0, 0, $O$5 )</f>
        <v>0</v>
      </c>
      <c r="N33" s="2571"/>
      <c r="O33" s="252">
        <f t="shared" ref="O33:O35" si="7" xml:space="preserve"> IF( ISNUMBER(D33 ), 0, 1 )</f>
        <v>0</v>
      </c>
      <c r="P33" s="237"/>
      <c r="Q33" s="237"/>
      <c r="R33" s="2571"/>
      <c r="S33" s="2560"/>
      <c r="T33" s="2774" t="s">
        <v>4122</v>
      </c>
      <c r="U33" s="2775"/>
      <c r="V33" s="652" t="s">
        <v>4124</v>
      </c>
      <c r="W33" s="653"/>
      <c r="X33" s="658"/>
      <c r="Y33" s="2560"/>
      <c r="Z33" s="2560"/>
      <c r="AA33" s="2560"/>
      <c r="AB33" s="2560"/>
      <c r="AC33" s="2560"/>
      <c r="AD33" s="2560"/>
      <c r="AE33" s="2560"/>
    </row>
    <row r="34" spans="1:31" ht="32.25" customHeight="1">
      <c r="A34" s="222"/>
      <c r="B34" s="2776" t="s">
        <v>4125</v>
      </c>
      <c r="C34" s="2777"/>
      <c r="D34" s="2532">
        <v>9.2999999999999999E-2</v>
      </c>
      <c r="E34" s="656"/>
      <c r="F34" s="659"/>
      <c r="G34" s="83"/>
      <c r="H34" s="257" t="s">
        <v>4126</v>
      </c>
      <c r="I34" s="222"/>
      <c r="J34" s="258"/>
      <c r="K34" s="222"/>
      <c r="L34" s="2576"/>
      <c r="M34" s="251">
        <f t="shared" si="6"/>
        <v>0</v>
      </c>
      <c r="N34" s="2571"/>
      <c r="O34" s="252">
        <f t="shared" si="7"/>
        <v>0</v>
      </c>
      <c r="P34" s="237"/>
      <c r="Q34" s="237"/>
      <c r="R34" s="2571"/>
      <c r="S34" s="2560"/>
      <c r="T34" s="2776" t="s">
        <v>4125</v>
      </c>
      <c r="U34" s="2777"/>
      <c r="V34" s="655" t="s">
        <v>4127</v>
      </c>
      <c r="W34" s="656"/>
      <c r="X34" s="659"/>
      <c r="Y34" s="2560"/>
      <c r="Z34" s="2560"/>
      <c r="AA34" s="2560"/>
      <c r="AB34" s="2560"/>
      <c r="AC34" s="2560"/>
      <c r="AD34" s="2560"/>
      <c r="AE34" s="2560"/>
    </row>
    <row r="35" spans="1:31" ht="15.75" customHeight="1">
      <c r="A35" s="222"/>
      <c r="B35" s="2776" t="s">
        <v>4128</v>
      </c>
      <c r="C35" s="2777"/>
      <c r="D35" s="2533">
        <v>3.7050000000000001</v>
      </c>
      <c r="E35" s="656"/>
      <c r="F35" s="659"/>
      <c r="G35" s="83"/>
      <c r="H35" s="257" t="s">
        <v>4129</v>
      </c>
      <c r="I35" s="222"/>
      <c r="J35" s="258"/>
      <c r="K35" s="222"/>
      <c r="L35" s="2576"/>
      <c r="M35" s="251">
        <f t="shared" si="6"/>
        <v>0</v>
      </c>
      <c r="N35" s="2571"/>
      <c r="O35" s="252">
        <f t="shared" si="7"/>
        <v>0</v>
      </c>
      <c r="P35" s="237"/>
      <c r="Q35" s="237"/>
      <c r="R35" s="2571"/>
      <c r="S35" s="2560"/>
      <c r="T35" s="2776" t="s">
        <v>4128</v>
      </c>
      <c r="U35" s="2777"/>
      <c r="V35" s="655" t="s">
        <v>4130</v>
      </c>
      <c r="W35" s="656"/>
      <c r="X35" s="659"/>
      <c r="Y35" s="2560"/>
      <c r="Z35" s="2560"/>
      <c r="AA35" s="2560"/>
      <c r="AB35" s="2560"/>
      <c r="AC35" s="2560"/>
      <c r="AD35" s="2560"/>
      <c r="AE35" s="2560"/>
    </row>
    <row r="36" spans="1:31" ht="15.75" customHeight="1">
      <c r="A36" s="222"/>
      <c r="B36" s="2776" t="s">
        <v>4131</v>
      </c>
      <c r="C36" s="2777"/>
      <c r="D36" s="648"/>
      <c r="E36" s="648"/>
      <c r="F36" s="256">
        <f>IFERROR(IF(OR(D33=0,E10=0),0,D33/(E10/1000)),0)</f>
        <v>52.631578947368418</v>
      </c>
      <c r="G36" s="83"/>
      <c r="H36" s="257" t="s">
        <v>4132</v>
      </c>
      <c r="I36" s="222"/>
      <c r="J36" s="258"/>
      <c r="K36" s="222"/>
      <c r="L36" s="2576"/>
      <c r="M36" s="251"/>
      <c r="N36" s="2571"/>
      <c r="O36" s="237"/>
      <c r="P36" s="237"/>
      <c r="Q36" s="237"/>
      <c r="R36" s="2571"/>
      <c r="S36" s="2560"/>
      <c r="T36" s="2776" t="s">
        <v>4131</v>
      </c>
      <c r="U36" s="2777"/>
      <c r="V36" s="648"/>
      <c r="W36" s="648"/>
      <c r="X36" s="256" t="s">
        <v>4133</v>
      </c>
      <c r="Y36" s="2560"/>
      <c r="Z36" s="2560"/>
      <c r="AA36" s="2560"/>
      <c r="AB36" s="2560"/>
      <c r="AC36" s="2560"/>
      <c r="AD36" s="2560"/>
      <c r="AE36" s="2560"/>
    </row>
    <row r="37" spans="1:31" ht="32.25" customHeight="1">
      <c r="A37" s="222"/>
      <c r="B37" s="2776" t="s">
        <v>4134</v>
      </c>
      <c r="C37" s="2777"/>
      <c r="D37" s="648"/>
      <c r="E37" s="648"/>
      <c r="F37" s="256">
        <f>IFERROR(IF(OR(D34=0,E11=0),0,D34/(E11/1000)),0)</f>
        <v>62.29068988613529</v>
      </c>
      <c r="G37" s="83"/>
      <c r="H37" s="257" t="s">
        <v>4135</v>
      </c>
      <c r="I37" s="222"/>
      <c r="J37" s="258"/>
      <c r="K37" s="222"/>
      <c r="L37" s="2576"/>
      <c r="M37" s="251"/>
      <c r="N37" s="2571"/>
      <c r="O37" s="237"/>
      <c r="P37" s="237"/>
      <c r="Q37" s="237"/>
      <c r="R37" s="2571"/>
      <c r="S37" s="2560"/>
      <c r="T37" s="2776" t="s">
        <v>4134</v>
      </c>
      <c r="U37" s="2777"/>
      <c r="V37" s="648"/>
      <c r="W37" s="648"/>
      <c r="X37" s="256" t="s">
        <v>4136</v>
      </c>
      <c r="Y37" s="2560"/>
      <c r="Z37" s="2560"/>
      <c r="AA37" s="2560"/>
      <c r="AB37" s="2560"/>
      <c r="AC37" s="2560"/>
      <c r="AD37" s="2560"/>
      <c r="AE37" s="2560"/>
    </row>
    <row r="38" spans="1:31" ht="32.25" customHeight="1" thickBot="1">
      <c r="A38" s="222"/>
      <c r="B38" s="2772" t="s">
        <v>4137</v>
      </c>
      <c r="C38" s="2773"/>
      <c r="D38" s="572"/>
      <c r="E38" s="572"/>
      <c r="F38" s="266">
        <f>IFERROR(IF(OR(D35=0,E12=0),0,D35/(E12/1000)),0)</f>
        <v>99.292490754140545</v>
      </c>
      <c r="G38" s="83"/>
      <c r="H38" s="320" t="s">
        <v>4138</v>
      </c>
      <c r="I38" s="222"/>
      <c r="J38" s="269"/>
      <c r="K38" s="222"/>
      <c r="L38" s="2576"/>
      <c r="M38" s="251"/>
      <c r="N38" s="2571"/>
      <c r="O38" s="237"/>
      <c r="P38" s="237"/>
      <c r="Q38" s="237"/>
      <c r="R38" s="2571"/>
      <c r="S38" s="2560"/>
      <c r="T38" s="2772" t="s">
        <v>4137</v>
      </c>
      <c r="U38" s="2773"/>
      <c r="V38" s="572"/>
      <c r="W38" s="572"/>
      <c r="X38" s="266" t="s">
        <v>4139</v>
      </c>
      <c r="Y38" s="2560"/>
      <c r="Z38" s="2560"/>
      <c r="AA38" s="2560"/>
      <c r="AB38" s="2560"/>
      <c r="AC38" s="2560"/>
      <c r="AD38" s="2560"/>
      <c r="AE38" s="2560"/>
    </row>
    <row r="39" spans="1:31" ht="15.75" customHeight="1" thickTop="1" thickBot="1">
      <c r="A39" s="222"/>
      <c r="B39" s="222"/>
      <c r="C39" s="222"/>
      <c r="D39" s="645"/>
      <c r="E39" s="645"/>
      <c r="F39" s="645"/>
      <c r="G39" s="222"/>
      <c r="H39" s="222"/>
      <c r="I39" s="222"/>
      <c r="J39" s="222"/>
      <c r="K39" s="222"/>
      <c r="L39" s="2576"/>
      <c r="M39" s="251"/>
      <c r="N39" s="2571"/>
      <c r="O39" s="237"/>
      <c r="P39" s="237"/>
      <c r="Q39" s="237"/>
      <c r="R39" s="2571"/>
      <c r="S39" s="2560"/>
      <c r="T39" s="222"/>
      <c r="U39" s="222"/>
      <c r="V39" s="645"/>
      <c r="W39" s="645"/>
      <c r="X39" s="645"/>
      <c r="Y39" s="2560"/>
      <c r="Z39" s="2560"/>
      <c r="AA39" s="2560"/>
      <c r="AB39" s="2560"/>
      <c r="AC39" s="2560"/>
      <c r="AD39" s="2560"/>
      <c r="AE39" s="2560"/>
    </row>
    <row r="40" spans="1:31" ht="15.75" customHeight="1" thickTop="1" thickBot="1">
      <c r="A40" s="222"/>
      <c r="B40" s="2635" t="s">
        <v>4140</v>
      </c>
      <c r="C40" s="2636"/>
      <c r="D40" s="645"/>
      <c r="E40" s="645"/>
      <c r="F40" s="645"/>
      <c r="G40" s="222"/>
      <c r="H40" s="444"/>
      <c r="I40" s="197"/>
      <c r="J40" s="222"/>
      <c r="K40" s="222"/>
      <c r="L40" s="2576"/>
      <c r="M40" s="251"/>
      <c r="N40" s="2571"/>
      <c r="O40" s="237"/>
      <c r="P40" s="237"/>
      <c r="Q40" s="237"/>
      <c r="R40" s="2571"/>
      <c r="S40" s="2560"/>
      <c r="T40" s="2635" t="s">
        <v>4140</v>
      </c>
      <c r="U40" s="2636"/>
      <c r="V40" s="645"/>
      <c r="W40" s="645"/>
      <c r="X40" s="645"/>
      <c r="Y40" s="2562"/>
      <c r="Z40" s="2560"/>
      <c r="AA40" s="2560"/>
      <c r="AB40" s="2560"/>
      <c r="AC40" s="2560"/>
      <c r="AD40" s="2560"/>
      <c r="AE40" s="2560"/>
    </row>
    <row r="41" spans="1:31" ht="15.75" customHeight="1" thickTop="1">
      <c r="A41" s="222"/>
      <c r="B41" s="2774" t="s">
        <v>4141</v>
      </c>
      <c r="C41" s="2775"/>
      <c r="D41" s="571"/>
      <c r="E41" s="571"/>
      <c r="F41" s="621">
        <v>4</v>
      </c>
      <c r="G41" s="83"/>
      <c r="H41" s="248" t="s">
        <v>4142</v>
      </c>
      <c r="I41" s="222"/>
      <c r="J41" s="250"/>
      <c r="K41" s="222"/>
      <c r="L41" s="2576"/>
      <c r="M41" s="251">
        <f t="shared" ref="M41:M42" si="8">IF( SUM( O41:Q41 ) = 0, 0, $O$5 )</f>
        <v>0</v>
      </c>
      <c r="N41" s="2571"/>
      <c r="O41" s="237"/>
      <c r="P41" s="237"/>
      <c r="Q41" s="252">
        <f t="shared" ref="Q41:Q42" si="9" xml:space="preserve"> IF( ISNUMBER(F41 ), 0, 1 )</f>
        <v>0</v>
      </c>
      <c r="R41" s="2571"/>
      <c r="S41" s="2560"/>
      <c r="T41" s="2774" t="s">
        <v>4141</v>
      </c>
      <c r="U41" s="2775"/>
      <c r="V41" s="571"/>
      <c r="W41" s="571"/>
      <c r="X41" s="621" t="s">
        <v>4143</v>
      </c>
      <c r="Y41" s="2560"/>
      <c r="Z41" s="2560"/>
      <c r="AA41" s="2560"/>
      <c r="AB41" s="2560"/>
      <c r="AC41" s="2560"/>
      <c r="AD41" s="2560"/>
      <c r="AE41" s="2560"/>
    </row>
    <row r="42" spans="1:31" ht="15.75" customHeight="1" thickBot="1">
      <c r="A42" s="222"/>
      <c r="B42" s="2772" t="s">
        <v>4144</v>
      </c>
      <c r="C42" s="2773"/>
      <c r="D42" s="572"/>
      <c r="E42" s="572"/>
      <c r="F42" s="622">
        <v>4.6500000000000004</v>
      </c>
      <c r="G42" s="83"/>
      <c r="H42" s="320" t="s">
        <v>4145</v>
      </c>
      <c r="I42" s="222"/>
      <c r="J42" s="269"/>
      <c r="K42" s="222"/>
      <c r="L42" s="2576"/>
      <c r="M42" s="251">
        <f t="shared" si="8"/>
        <v>0</v>
      </c>
      <c r="N42" s="2571"/>
      <c r="O42" s="237"/>
      <c r="P42" s="237"/>
      <c r="Q42" s="252">
        <f t="shared" si="9"/>
        <v>0</v>
      </c>
      <c r="R42" s="2571"/>
      <c r="S42" s="2560"/>
      <c r="T42" s="2772" t="s">
        <v>4144</v>
      </c>
      <c r="U42" s="2773"/>
      <c r="V42" s="572"/>
      <c r="W42" s="572"/>
      <c r="X42" s="622" t="s">
        <v>4146</v>
      </c>
      <c r="Y42" s="2560"/>
      <c r="Z42" s="2560"/>
      <c r="AA42" s="2560"/>
      <c r="AB42" s="2560"/>
      <c r="AC42" s="2560"/>
      <c r="AD42" s="2560"/>
      <c r="AE42" s="2560"/>
    </row>
    <row r="43" spans="1:31" ht="16" thickTop="1">
      <c r="A43" s="222"/>
      <c r="B43" s="222"/>
      <c r="C43" s="222"/>
      <c r="D43" s="222"/>
      <c r="E43" s="222"/>
      <c r="F43" s="222"/>
      <c r="G43" s="222"/>
      <c r="H43" s="222"/>
      <c r="I43" s="222"/>
      <c r="J43" s="222"/>
      <c r="K43" s="222"/>
      <c r="L43" s="2562"/>
      <c r="M43" s="251"/>
      <c r="N43" s="2572"/>
      <c r="O43" s="237"/>
      <c r="P43" s="237"/>
      <c r="Q43" s="237"/>
      <c r="R43" s="2572"/>
      <c r="S43" s="2560"/>
      <c r="T43" s="2560"/>
      <c r="U43" s="2560"/>
      <c r="V43" s="2560"/>
      <c r="W43" s="2560"/>
      <c r="X43" s="2560"/>
      <c r="Y43" s="2560"/>
      <c r="Z43" s="2560"/>
      <c r="AA43" s="2560"/>
      <c r="AB43" s="2560"/>
      <c r="AC43" s="2560"/>
      <c r="AD43" s="2560"/>
      <c r="AE43" s="2560"/>
    </row>
    <row r="44" spans="1:31" ht="15.5">
      <c r="A44" s="222"/>
      <c r="B44" s="222"/>
      <c r="C44" s="222"/>
      <c r="D44" s="222"/>
      <c r="E44" s="222"/>
      <c r="F44" s="222"/>
      <c r="G44" s="222"/>
      <c r="H44" s="222"/>
      <c r="I44" s="222"/>
      <c r="J44" s="222"/>
      <c r="K44" s="222"/>
      <c r="L44" s="2562"/>
      <c r="M44" s="2562"/>
      <c r="N44" s="2572"/>
      <c r="O44" s="237"/>
      <c r="P44" s="237"/>
      <c r="Q44" s="237"/>
      <c r="R44" s="2572"/>
      <c r="S44" s="2560"/>
      <c r="T44" s="2560"/>
      <c r="U44" s="2560"/>
      <c r="V44" s="2560"/>
      <c r="W44" s="2560"/>
      <c r="X44" s="2560"/>
      <c r="Y44" s="2560"/>
      <c r="Z44" s="2560"/>
      <c r="AA44" s="2560"/>
      <c r="AB44" s="2560"/>
      <c r="AC44" s="2560"/>
      <c r="AD44" s="2560"/>
      <c r="AE44" s="2560"/>
    </row>
    <row r="45" spans="1:31" ht="15.5">
      <c r="A45" s="222"/>
      <c r="B45" s="222"/>
      <c r="C45" s="222"/>
      <c r="D45" s="222"/>
      <c r="E45" s="222"/>
      <c r="F45" s="222"/>
      <c r="G45" s="222"/>
      <c r="H45" s="222"/>
      <c r="I45" s="222"/>
      <c r="J45" s="222"/>
      <c r="K45" s="222"/>
      <c r="L45" s="2562"/>
      <c r="M45" s="2562"/>
      <c r="N45" s="2572"/>
      <c r="O45" s="237"/>
      <c r="P45" s="237"/>
      <c r="Q45" s="237"/>
      <c r="R45" s="2572"/>
      <c r="S45" s="2560"/>
      <c r="T45" s="2560"/>
      <c r="U45" s="2560"/>
      <c r="V45" s="2560"/>
      <c r="W45" s="2560"/>
      <c r="X45" s="2560"/>
      <c r="Y45" s="2560"/>
      <c r="Z45" s="2560"/>
      <c r="AA45" s="2560"/>
      <c r="AB45" s="2560"/>
      <c r="AC45" s="2560"/>
      <c r="AD45" s="2560"/>
      <c r="AE45" s="2560"/>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M2">
    <cfRule type="cellIs" dxfId="154" priority="7" operator="equal">
      <formula>0</formula>
    </cfRule>
  </conditionalFormatting>
  <conditionalFormatting sqref="M4:M43">
    <cfRule type="cellIs" dxfId="153" priority="1" operator="equal">
      <formula>0</formula>
    </cfRule>
  </conditionalFormatting>
  <dataValidations count="1">
    <dataValidation type="custom" allowBlank="1" showErrorMessage="1" errorTitle="Input Error" error="Please enter a numeric value." sqref="F41:F42" xr:uid="{1D002634-D871-415F-A873-33B702D34254}">
      <formula1>ISNUMBER(F41)</formula1>
    </dataValidation>
  </dataValidations>
  <pageMargins left="0.7" right="0.7" top="0.75" bottom="0.75" header="0.3" footer="0.3"/>
  <pageSetup paperSize="8" orientation="portrait" r:id="rId1"/>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85" zoomScaleNormal="85" zoomScaleSheetLayoutView="100" workbookViewId="0">
      <selection activeCell="P35" sqref="P35"/>
    </sheetView>
  </sheetViews>
  <sheetFormatPr defaultColWidth="8.58203125" defaultRowHeight="22.5" customHeight="1"/>
  <cols>
    <col min="1" max="1" width="1.58203125" style="17" customWidth="1"/>
    <col min="2" max="2" width="32" style="17" customWidth="1"/>
    <col min="3" max="3" width="7" style="17" customWidth="1"/>
    <col min="4" max="4" width="5.5" style="17" customWidth="1"/>
    <col min="5" max="5" width="12.08203125" style="17" customWidth="1"/>
    <col min="6" max="6" width="12.58203125" style="17" customWidth="1"/>
    <col min="7" max="12" width="12.5" style="17" customWidth="1"/>
    <col min="13" max="13" width="1.58203125" style="1" customWidth="1"/>
    <col min="14" max="14" width="12.5" style="10" customWidth="1"/>
    <col min="15" max="15" width="1.58203125" style="17" customWidth="1"/>
    <col min="16" max="16" width="33.58203125" style="17" customWidth="1"/>
    <col min="17" max="18" width="1.58203125" style="17" customWidth="1"/>
    <col min="19" max="19" width="25" style="17" customWidth="1"/>
    <col min="20" max="20" width="1.58203125" style="21" customWidth="1"/>
    <col min="21" max="27" width="8.08203125" style="21" hidden="1" customWidth="1"/>
    <col min="28" max="28" width="1.58203125" style="21" hidden="1" customWidth="1"/>
    <col min="29" max="29" width="1.58203125" style="17" customWidth="1"/>
    <col min="30" max="30" width="36.08203125" style="17" customWidth="1"/>
    <col min="31" max="38" width="15" style="17" customWidth="1"/>
    <col min="39" max="16384" width="8.58203125" style="17"/>
  </cols>
  <sheetData>
    <row r="1" spans="1:41" s="8" customFormat="1" ht="30" customHeight="1">
      <c r="A1" s="351"/>
      <c r="B1" s="2673" t="s">
        <v>4147</v>
      </c>
      <c r="C1" s="2673"/>
      <c r="D1" s="2673"/>
      <c r="E1" s="2673"/>
      <c r="F1" s="2673"/>
      <c r="G1" s="2673"/>
      <c r="H1" s="2673"/>
      <c r="I1" s="2673"/>
      <c r="J1" s="2673"/>
      <c r="K1" s="523"/>
      <c r="L1" s="2673"/>
      <c r="M1" s="2673"/>
      <c r="N1" s="2673"/>
      <c r="O1" s="351"/>
      <c r="P1" s="351"/>
      <c r="Q1" s="351"/>
      <c r="R1" s="305"/>
      <c r="S1" s="2573"/>
      <c r="T1" s="2577"/>
      <c r="U1" s="2572"/>
      <c r="V1" s="2572"/>
      <c r="W1" s="2572"/>
      <c r="X1" s="2572"/>
      <c r="Y1" s="2572"/>
      <c r="Z1" s="2572"/>
      <c r="AA1" s="2572"/>
      <c r="AB1" s="2577"/>
      <c r="AC1" s="351"/>
      <c r="AD1" s="2673" t="s">
        <v>1887</v>
      </c>
      <c r="AE1" s="2673"/>
      <c r="AF1" s="2673"/>
      <c r="AG1" s="2673"/>
      <c r="AH1" s="2673"/>
      <c r="AI1" s="2673"/>
      <c r="AJ1" s="2673"/>
      <c r="AK1" s="2673"/>
      <c r="AL1" s="2673"/>
      <c r="AM1" s="351"/>
      <c r="AN1" s="351"/>
      <c r="AO1" s="351"/>
    </row>
    <row r="2" spans="1:41" s="8" customFormat="1" ht="30" customHeight="1">
      <c r="A2" s="351"/>
      <c r="B2" s="2673" t="str">
        <f>SelectCompany!B4</f>
        <v>Yorkshire Water</v>
      </c>
      <c r="C2" s="2673"/>
      <c r="D2" s="2673"/>
      <c r="E2" s="2673"/>
      <c r="F2" s="2673"/>
      <c r="G2" s="2673"/>
      <c r="H2" s="2673"/>
      <c r="I2" s="2673"/>
      <c r="J2" s="2673"/>
      <c r="K2" s="523"/>
      <c r="L2" s="491"/>
      <c r="M2" s="491"/>
      <c r="N2" s="491"/>
      <c r="O2" s="351"/>
      <c r="P2" s="351"/>
      <c r="Q2" s="351"/>
      <c r="R2" s="305"/>
      <c r="S2" s="2573"/>
      <c r="T2" s="2577"/>
      <c r="U2" s="2572"/>
      <c r="V2" s="2572"/>
      <c r="W2" s="2572"/>
      <c r="X2" s="2572"/>
      <c r="Y2" s="2572"/>
      <c r="Z2" s="2572"/>
      <c r="AA2" s="2572"/>
      <c r="AB2" s="2577"/>
      <c r="AC2" s="351"/>
      <c r="AD2" s="2673"/>
      <c r="AE2" s="2673"/>
      <c r="AF2" s="2673"/>
      <c r="AG2" s="2673"/>
      <c r="AH2" s="2673"/>
      <c r="AI2" s="2673"/>
      <c r="AJ2" s="2673"/>
      <c r="AK2" s="2673"/>
      <c r="AL2" s="2673"/>
      <c r="AM2" s="351"/>
      <c r="AN2" s="351"/>
      <c r="AO2" s="351"/>
    </row>
    <row r="3" spans="1:41" s="4" customFormat="1" ht="26.9" customHeight="1">
      <c r="A3" s="197"/>
      <c r="B3" s="2674" t="s">
        <v>4148</v>
      </c>
      <c r="C3" s="2675"/>
      <c r="D3" s="2675"/>
      <c r="E3" s="2675"/>
      <c r="F3" s="2675"/>
      <c r="G3" s="2675"/>
      <c r="H3" s="2675"/>
      <c r="I3" s="2675"/>
      <c r="J3" s="2675"/>
      <c r="K3" s="2675"/>
      <c r="L3" s="2675"/>
      <c r="M3" s="2675"/>
      <c r="N3" s="2675"/>
      <c r="O3" s="2675"/>
      <c r="P3" s="2675"/>
      <c r="Q3" s="197"/>
      <c r="R3" s="307"/>
      <c r="S3" s="232" t="s">
        <v>1889</v>
      </c>
      <c r="T3" s="2577"/>
      <c r="U3" s="2572"/>
      <c r="V3" s="2572"/>
      <c r="W3" s="2572"/>
      <c r="X3" s="2572"/>
      <c r="Y3" s="2572"/>
      <c r="Z3" s="2572"/>
      <c r="AA3" s="2572"/>
      <c r="AB3" s="2577"/>
      <c r="AC3" s="197"/>
      <c r="AD3" s="2674" t="s">
        <v>4148</v>
      </c>
      <c r="AE3" s="2675"/>
      <c r="AF3" s="2675"/>
      <c r="AG3" s="2675"/>
      <c r="AH3" s="2675"/>
      <c r="AI3" s="2675"/>
      <c r="AJ3" s="2675"/>
      <c r="AK3" s="2675"/>
      <c r="AL3" s="2675"/>
      <c r="AM3" s="197"/>
      <c r="AN3" s="197"/>
      <c r="AO3" s="197"/>
    </row>
    <row r="4" spans="1:41" s="4" customFormat="1" ht="15" customHeight="1" thickBot="1">
      <c r="A4" s="197"/>
      <c r="B4" s="492"/>
      <c r="C4" s="492"/>
      <c r="D4" s="492"/>
      <c r="E4" s="492"/>
      <c r="F4" s="492"/>
      <c r="G4" s="492"/>
      <c r="H4" s="492"/>
      <c r="I4" s="492"/>
      <c r="J4" s="492"/>
      <c r="K4" s="492"/>
      <c r="L4" s="492"/>
      <c r="M4" s="106"/>
      <c r="N4" s="527"/>
      <c r="O4" s="197"/>
      <c r="P4" s="197"/>
      <c r="Q4" s="197"/>
      <c r="R4" s="2576"/>
      <c r="S4" s="2573"/>
      <c r="T4" s="2577"/>
      <c r="U4" s="2662" t="s">
        <v>1890</v>
      </c>
      <c r="V4" s="2662"/>
      <c r="W4" s="2662"/>
      <c r="X4" s="2662"/>
      <c r="Y4" s="2662"/>
      <c r="Z4" s="2662"/>
      <c r="AA4" s="2662"/>
      <c r="AB4" s="2577"/>
      <c r="AC4" s="197"/>
      <c r="AD4" s="492"/>
      <c r="AE4" s="492"/>
      <c r="AF4" s="492"/>
      <c r="AG4" s="492"/>
      <c r="AH4" s="492"/>
      <c r="AI4" s="492"/>
      <c r="AJ4" s="492"/>
      <c r="AK4" s="492"/>
      <c r="AL4" s="492"/>
      <c r="AM4" s="197"/>
      <c r="AN4" s="197"/>
      <c r="AO4" s="197"/>
    </row>
    <row r="5" spans="1:41" ht="47.5" thickTop="1" thickBot="1">
      <c r="A5" s="197"/>
      <c r="B5" s="407" t="s">
        <v>1891</v>
      </c>
      <c r="C5" s="408" t="s">
        <v>1892</v>
      </c>
      <c r="D5" s="408" t="s">
        <v>136</v>
      </c>
      <c r="E5" s="528" t="s">
        <v>3290</v>
      </c>
      <c r="F5" s="660" t="s">
        <v>3291</v>
      </c>
      <c r="G5" s="528" t="s">
        <v>3292</v>
      </c>
      <c r="H5" s="528" t="s">
        <v>2829</v>
      </c>
      <c r="I5" s="528" t="s">
        <v>2830</v>
      </c>
      <c r="J5" s="528" t="s">
        <v>2831</v>
      </c>
      <c r="K5" s="528" t="s">
        <v>2832</v>
      </c>
      <c r="L5" s="610" t="s">
        <v>2112</v>
      </c>
      <c r="M5" s="106"/>
      <c r="N5" s="531" t="s">
        <v>1896</v>
      </c>
      <c r="O5" s="197"/>
      <c r="P5" s="411" t="s">
        <v>1897</v>
      </c>
      <c r="Q5" s="197"/>
      <c r="R5" s="2576"/>
      <c r="S5" s="2573"/>
      <c r="T5" s="2577"/>
      <c r="U5" s="236" t="s">
        <v>1898</v>
      </c>
      <c r="V5" s="237"/>
      <c r="W5" s="237"/>
      <c r="X5" s="237"/>
      <c r="Y5" s="237"/>
      <c r="Z5" s="237"/>
      <c r="AA5" s="237"/>
      <c r="AB5" s="2577"/>
      <c r="AC5" s="2562"/>
      <c r="AD5" s="407" t="s">
        <v>1891</v>
      </c>
      <c r="AE5" s="528" t="s">
        <v>3292</v>
      </c>
      <c r="AF5" s="660" t="s">
        <v>2829</v>
      </c>
      <c r="AG5" s="528" t="s">
        <v>2830</v>
      </c>
      <c r="AH5" s="528" t="s">
        <v>2831</v>
      </c>
      <c r="AI5" s="528" t="s">
        <v>2832</v>
      </c>
      <c r="AJ5" s="528" t="s">
        <v>4149</v>
      </c>
      <c r="AK5" s="528" t="s">
        <v>2834</v>
      </c>
      <c r="AL5" s="610" t="s">
        <v>2112</v>
      </c>
      <c r="AM5" s="2562"/>
      <c r="AN5" s="2562"/>
      <c r="AO5" s="2562"/>
    </row>
    <row r="6" spans="1:41" ht="15.75" customHeight="1" thickTop="1" thickBot="1">
      <c r="A6" s="197"/>
      <c r="B6" s="106"/>
      <c r="C6" s="106"/>
      <c r="D6" s="106"/>
      <c r="E6" s="611"/>
      <c r="F6" s="611"/>
      <c r="G6" s="611"/>
      <c r="H6" s="611"/>
      <c r="I6" s="611"/>
      <c r="J6" s="611"/>
      <c r="K6" s="611"/>
      <c r="L6" s="611"/>
      <c r="M6" s="106"/>
      <c r="N6" s="496"/>
      <c r="O6" s="197"/>
      <c r="P6" s="197"/>
      <c r="Q6" s="197"/>
      <c r="R6" s="2576"/>
      <c r="S6" s="2573"/>
      <c r="T6" s="2577"/>
      <c r="U6" s="2562"/>
      <c r="V6" s="2562"/>
      <c r="W6" s="2562"/>
      <c r="X6" s="2562"/>
      <c r="Y6" s="2562"/>
      <c r="Z6" s="2562"/>
      <c r="AA6" s="2562"/>
      <c r="AB6" s="2577"/>
      <c r="AC6" s="2562"/>
      <c r="AD6" s="106"/>
      <c r="AE6" s="611"/>
      <c r="AF6" s="611"/>
      <c r="AG6" s="611"/>
      <c r="AH6" s="611"/>
      <c r="AI6" s="611"/>
      <c r="AJ6" s="611"/>
      <c r="AK6" s="611"/>
      <c r="AL6" s="611"/>
      <c r="AM6" s="2562"/>
      <c r="AN6" s="2562"/>
      <c r="AO6" s="2562"/>
    </row>
    <row r="7" spans="1:41" ht="15.75" customHeight="1" thickTop="1" thickBot="1">
      <c r="A7" s="197"/>
      <c r="B7" s="355" t="s">
        <v>3293</v>
      </c>
      <c r="C7" s="356"/>
      <c r="D7" s="356"/>
      <c r="E7" s="106"/>
      <c r="F7" s="106"/>
      <c r="G7" s="106"/>
      <c r="H7" s="106"/>
      <c r="I7" s="106"/>
      <c r="J7" s="106"/>
      <c r="K7" s="106"/>
      <c r="L7" s="106"/>
      <c r="M7" s="106"/>
      <c r="N7" s="106"/>
      <c r="O7" s="197"/>
      <c r="P7" s="197"/>
      <c r="Q7" s="197"/>
      <c r="R7" s="2576"/>
      <c r="S7" s="2573"/>
      <c r="T7" s="2577"/>
      <c r="U7" s="2573"/>
      <c r="V7" s="2573"/>
      <c r="W7" s="2573"/>
      <c r="X7" s="2573"/>
      <c r="Y7" s="2573"/>
      <c r="Z7" s="2573"/>
      <c r="AA7" s="2573"/>
      <c r="AB7" s="2577"/>
      <c r="AC7" s="2562"/>
      <c r="AD7" s="355" t="s">
        <v>3293</v>
      </c>
      <c r="AE7" s="106"/>
      <c r="AF7" s="106"/>
      <c r="AG7" s="106"/>
      <c r="AH7" s="106"/>
      <c r="AI7" s="106"/>
      <c r="AJ7" s="106"/>
      <c r="AK7" s="106"/>
      <c r="AL7" s="106"/>
      <c r="AM7" s="2562"/>
      <c r="AN7" s="2562"/>
      <c r="AO7" s="2562"/>
    </row>
    <row r="8" spans="1:41" ht="15.75" customHeight="1" thickTop="1">
      <c r="A8" s="197"/>
      <c r="B8" s="413" t="s">
        <v>3294</v>
      </c>
      <c r="C8" s="244" t="s">
        <v>137</v>
      </c>
      <c r="D8" s="244">
        <v>3</v>
      </c>
      <c r="E8" s="245">
        <v>17.39</v>
      </c>
      <c r="F8" s="245">
        <v>0</v>
      </c>
      <c r="G8" s="245">
        <v>0.99299999999999999</v>
      </c>
      <c r="H8" s="245">
        <v>13.124000000000001</v>
      </c>
      <c r="I8" s="245">
        <v>229.066</v>
      </c>
      <c r="J8" s="245">
        <v>0</v>
      </c>
      <c r="K8" s="245">
        <v>0</v>
      </c>
      <c r="L8" s="247">
        <f t="shared" ref="L8:L13" si="0">IFERROR(SUM(E8:K8),0)</f>
        <v>260.57299999999998</v>
      </c>
      <c r="M8" s="106"/>
      <c r="N8" s="534" t="s">
        <v>4150</v>
      </c>
      <c r="O8" s="197"/>
      <c r="P8" s="250"/>
      <c r="Q8" s="197"/>
      <c r="R8" s="2576"/>
      <c r="S8" s="251">
        <f>IF( SUM( U8:AA8 ) = 0, 0, $U$5 )</f>
        <v>0</v>
      </c>
      <c r="T8" s="2577"/>
      <c r="U8" s="252">
        <f xml:space="preserve"> IF( ISNUMBER( E8 ), 0, 1 )</f>
        <v>0</v>
      </c>
      <c r="V8" s="252">
        <f t="shared" ref="V8:V12" si="1" xml:space="preserve"> IF( ISNUMBER( F8 ), 0, 1 )</f>
        <v>0</v>
      </c>
      <c r="W8" s="252">
        <f t="shared" ref="W8:W12" si="2" xml:space="preserve"> IF( ISNUMBER( G8 ), 0, 1 )</f>
        <v>0</v>
      </c>
      <c r="X8" s="252">
        <f t="shared" ref="X8:X12" si="3" xml:space="preserve"> IF( ISNUMBER( H8 ), 0, 1 )</f>
        <v>0</v>
      </c>
      <c r="Y8" s="252">
        <f t="shared" ref="Y8:Y12" si="4" xml:space="preserve"> IF( ISNUMBER( I8 ), 0, 1 )</f>
        <v>0</v>
      </c>
      <c r="Z8" s="252">
        <f t="shared" ref="Z8:AA12" si="5" xml:space="preserve"> IF( ISNUMBER( J8 ), 0, 1 )</f>
        <v>0</v>
      </c>
      <c r="AA8" s="252">
        <f t="shared" si="5"/>
        <v>0</v>
      </c>
      <c r="AB8" s="2577"/>
      <c r="AC8" s="2562"/>
      <c r="AD8" s="413" t="s">
        <v>3294</v>
      </c>
      <c r="AE8" s="245" t="s">
        <v>4151</v>
      </c>
      <c r="AF8" s="245" t="s">
        <v>4152</v>
      </c>
      <c r="AG8" s="245" t="s">
        <v>4153</v>
      </c>
      <c r="AH8" s="245" t="s">
        <v>4154</v>
      </c>
      <c r="AI8" s="245" t="s">
        <v>4155</v>
      </c>
      <c r="AJ8" s="245" t="s">
        <v>4156</v>
      </c>
      <c r="AK8" s="245" t="s">
        <v>4157</v>
      </c>
      <c r="AL8" s="247" t="s">
        <v>4158</v>
      </c>
      <c r="AM8" s="2562"/>
      <c r="AN8" s="2562"/>
      <c r="AO8" s="2562"/>
    </row>
    <row r="9" spans="1:41" ht="15.75" customHeight="1">
      <c r="A9" s="197"/>
      <c r="B9" s="422" t="s">
        <v>3304</v>
      </c>
      <c r="C9" s="253" t="s">
        <v>137</v>
      </c>
      <c r="D9" s="253">
        <v>3</v>
      </c>
      <c r="E9" s="254">
        <v>-1.8380000000000001</v>
      </c>
      <c r="F9" s="254">
        <v>0</v>
      </c>
      <c r="G9" s="254">
        <v>-0.14000000000000001</v>
      </c>
      <c r="H9" s="254">
        <v>-0.33300000000000002</v>
      </c>
      <c r="I9" s="254">
        <v>-7.7160000000000002</v>
      </c>
      <c r="J9" s="254">
        <v>0</v>
      </c>
      <c r="K9" s="254">
        <v>0</v>
      </c>
      <c r="L9" s="256">
        <f t="shared" si="0"/>
        <v>-10.027000000000001</v>
      </c>
      <c r="M9" s="106"/>
      <c r="N9" s="535" t="s">
        <v>4159</v>
      </c>
      <c r="O9" s="197"/>
      <c r="P9" s="258"/>
      <c r="Q9" s="197"/>
      <c r="R9" s="2578"/>
      <c r="S9" s="251">
        <f t="shared" ref="S9:S12" si="6">IF( SUM( U9:AA9 ) = 0, 0, $U$5 )</f>
        <v>0</v>
      </c>
      <c r="T9" s="2577"/>
      <c r="U9" s="252">
        <f t="shared" ref="U9:U12" si="7" xml:space="preserve"> IF( ISNUMBER( E9 ), 0, 1 )</f>
        <v>0</v>
      </c>
      <c r="V9" s="252">
        <f t="shared" si="1"/>
        <v>0</v>
      </c>
      <c r="W9" s="252">
        <f t="shared" si="2"/>
        <v>0</v>
      </c>
      <c r="X9" s="252">
        <f t="shared" si="3"/>
        <v>0</v>
      </c>
      <c r="Y9" s="252">
        <f t="shared" si="4"/>
        <v>0</v>
      </c>
      <c r="Z9" s="252">
        <f t="shared" si="5"/>
        <v>0</v>
      </c>
      <c r="AA9" s="252">
        <f t="shared" si="5"/>
        <v>0</v>
      </c>
      <c r="AB9" s="2577"/>
      <c r="AC9" s="2562"/>
      <c r="AD9" s="422" t="s">
        <v>3304</v>
      </c>
      <c r="AE9" s="254" t="s">
        <v>4160</v>
      </c>
      <c r="AF9" s="254" t="s">
        <v>4161</v>
      </c>
      <c r="AG9" s="254" t="s">
        <v>4162</v>
      </c>
      <c r="AH9" s="254" t="s">
        <v>4163</v>
      </c>
      <c r="AI9" s="254" t="s">
        <v>4164</v>
      </c>
      <c r="AJ9" s="254" t="s">
        <v>4165</v>
      </c>
      <c r="AK9" s="254" t="s">
        <v>4166</v>
      </c>
      <c r="AL9" s="256" t="s">
        <v>4167</v>
      </c>
      <c r="AM9" s="2562"/>
      <c r="AN9" s="2562"/>
      <c r="AO9" s="2562"/>
    </row>
    <row r="10" spans="1:41" ht="15.75" customHeight="1">
      <c r="A10" s="197"/>
      <c r="B10" s="422" t="s">
        <v>3314</v>
      </c>
      <c r="C10" s="253" t="s">
        <v>137</v>
      </c>
      <c r="D10" s="253">
        <v>3</v>
      </c>
      <c r="E10" s="254">
        <v>10.875</v>
      </c>
      <c r="F10" s="254">
        <v>0</v>
      </c>
      <c r="G10" s="254">
        <v>2.194</v>
      </c>
      <c r="H10" s="254">
        <v>7.1040000000000001</v>
      </c>
      <c r="I10" s="254">
        <v>60.698</v>
      </c>
      <c r="J10" s="254">
        <v>0.123</v>
      </c>
      <c r="K10" s="254">
        <v>0</v>
      </c>
      <c r="L10" s="256">
        <f t="shared" si="0"/>
        <v>80.994</v>
      </c>
      <c r="M10" s="106"/>
      <c r="N10" s="536" t="s">
        <v>4168</v>
      </c>
      <c r="O10" s="197"/>
      <c r="P10" s="258"/>
      <c r="Q10" s="197"/>
      <c r="R10" s="2578"/>
      <c r="S10" s="251">
        <f t="shared" si="6"/>
        <v>0</v>
      </c>
      <c r="T10" s="2577"/>
      <c r="U10" s="252">
        <f t="shared" si="7"/>
        <v>0</v>
      </c>
      <c r="V10" s="252">
        <f t="shared" si="1"/>
        <v>0</v>
      </c>
      <c r="W10" s="252">
        <f t="shared" si="2"/>
        <v>0</v>
      </c>
      <c r="X10" s="252">
        <f t="shared" si="3"/>
        <v>0</v>
      </c>
      <c r="Y10" s="252">
        <f t="shared" si="4"/>
        <v>0</v>
      </c>
      <c r="Z10" s="252">
        <f t="shared" si="5"/>
        <v>0</v>
      </c>
      <c r="AA10" s="252">
        <f t="shared" si="5"/>
        <v>0</v>
      </c>
      <c r="AB10" s="2577"/>
      <c r="AC10" s="2562"/>
      <c r="AD10" s="422" t="s">
        <v>3314</v>
      </c>
      <c r="AE10" s="254" t="s">
        <v>4169</v>
      </c>
      <c r="AF10" s="254" t="s">
        <v>4170</v>
      </c>
      <c r="AG10" s="254" t="s">
        <v>4171</v>
      </c>
      <c r="AH10" s="254" t="s">
        <v>4172</v>
      </c>
      <c r="AI10" s="254" t="s">
        <v>4173</v>
      </c>
      <c r="AJ10" s="254" t="s">
        <v>4174</v>
      </c>
      <c r="AK10" s="254" t="s">
        <v>4175</v>
      </c>
      <c r="AL10" s="256" t="s">
        <v>4176</v>
      </c>
      <c r="AM10" s="2562"/>
      <c r="AN10" s="2562"/>
      <c r="AO10" s="2562"/>
    </row>
    <row r="11" spans="1:41" ht="15.75" customHeight="1">
      <c r="A11" s="197"/>
      <c r="B11" s="422" t="s">
        <v>1894</v>
      </c>
      <c r="C11" s="253" t="s">
        <v>137</v>
      </c>
      <c r="D11" s="253">
        <v>3</v>
      </c>
      <c r="E11" s="254">
        <v>0</v>
      </c>
      <c r="F11" s="254">
        <v>0</v>
      </c>
      <c r="G11" s="254">
        <v>0</v>
      </c>
      <c r="H11" s="254">
        <v>0</v>
      </c>
      <c r="I11" s="254">
        <v>0</v>
      </c>
      <c r="J11" s="254">
        <v>0</v>
      </c>
      <c r="K11" s="254">
        <v>0</v>
      </c>
      <c r="L11" s="256">
        <f t="shared" si="0"/>
        <v>0</v>
      </c>
      <c r="M11" s="106"/>
      <c r="N11" s="537" t="s">
        <v>4177</v>
      </c>
      <c r="O11" s="197"/>
      <c r="P11" s="258"/>
      <c r="Q11" s="197"/>
      <c r="R11" s="2578"/>
      <c r="S11" s="251">
        <f t="shared" si="6"/>
        <v>0</v>
      </c>
      <c r="T11" s="2577"/>
      <c r="U11" s="252">
        <f t="shared" si="7"/>
        <v>0</v>
      </c>
      <c r="V11" s="252">
        <f t="shared" si="1"/>
        <v>0</v>
      </c>
      <c r="W11" s="252">
        <f t="shared" si="2"/>
        <v>0</v>
      </c>
      <c r="X11" s="252">
        <f t="shared" si="3"/>
        <v>0</v>
      </c>
      <c r="Y11" s="252">
        <f t="shared" si="4"/>
        <v>0</v>
      </c>
      <c r="Z11" s="252">
        <f t="shared" si="5"/>
        <v>0</v>
      </c>
      <c r="AA11" s="252">
        <f t="shared" si="5"/>
        <v>0</v>
      </c>
      <c r="AB11" s="2577"/>
      <c r="AC11" s="2562"/>
      <c r="AD11" s="422" t="s">
        <v>1894</v>
      </c>
      <c r="AE11" s="254" t="s">
        <v>4178</v>
      </c>
      <c r="AF11" s="254" t="s">
        <v>4179</v>
      </c>
      <c r="AG11" s="254" t="s">
        <v>4180</v>
      </c>
      <c r="AH11" s="254" t="s">
        <v>4181</v>
      </c>
      <c r="AI11" s="254" t="s">
        <v>4182</v>
      </c>
      <c r="AJ11" s="254" t="s">
        <v>4183</v>
      </c>
      <c r="AK11" s="254" t="s">
        <v>4184</v>
      </c>
      <c r="AL11" s="256" t="s">
        <v>4185</v>
      </c>
      <c r="AM11" s="2562"/>
      <c r="AN11" s="2562"/>
      <c r="AO11" s="2562"/>
    </row>
    <row r="12" spans="1:41" ht="15.75" customHeight="1">
      <c r="A12" s="197"/>
      <c r="B12" s="422" t="s">
        <v>3333</v>
      </c>
      <c r="C12" s="253" t="s">
        <v>137</v>
      </c>
      <c r="D12" s="253">
        <v>3</v>
      </c>
      <c r="E12" s="254">
        <v>0</v>
      </c>
      <c r="F12" s="254">
        <v>0</v>
      </c>
      <c r="G12" s="254">
        <v>0</v>
      </c>
      <c r="H12" s="254">
        <v>0</v>
      </c>
      <c r="I12" s="254">
        <v>0</v>
      </c>
      <c r="J12" s="254">
        <v>0</v>
      </c>
      <c r="K12" s="254">
        <v>0</v>
      </c>
      <c r="L12" s="256">
        <f t="shared" si="0"/>
        <v>0</v>
      </c>
      <c r="M12" s="106"/>
      <c r="N12" s="535" t="s">
        <v>4186</v>
      </c>
      <c r="O12" s="197"/>
      <c r="P12" s="258"/>
      <c r="Q12" s="197"/>
      <c r="R12" s="2578"/>
      <c r="S12" s="251">
        <f t="shared" si="6"/>
        <v>0</v>
      </c>
      <c r="T12" s="2577"/>
      <c r="U12" s="252">
        <f t="shared" si="7"/>
        <v>0</v>
      </c>
      <c r="V12" s="252">
        <f t="shared" si="1"/>
        <v>0</v>
      </c>
      <c r="W12" s="252">
        <f t="shared" si="2"/>
        <v>0</v>
      </c>
      <c r="X12" s="252">
        <f t="shared" si="3"/>
        <v>0</v>
      </c>
      <c r="Y12" s="252">
        <f t="shared" si="4"/>
        <v>0</v>
      </c>
      <c r="Z12" s="252">
        <f t="shared" si="5"/>
        <v>0</v>
      </c>
      <c r="AA12" s="252">
        <f t="shared" si="5"/>
        <v>0</v>
      </c>
      <c r="AB12" s="2577"/>
      <c r="AC12" s="2562"/>
      <c r="AD12" s="422" t="s">
        <v>3333</v>
      </c>
      <c r="AE12" s="254" t="s">
        <v>4187</v>
      </c>
      <c r="AF12" s="254" t="s">
        <v>4188</v>
      </c>
      <c r="AG12" s="254" t="s">
        <v>4189</v>
      </c>
      <c r="AH12" s="254" t="s">
        <v>4190</v>
      </c>
      <c r="AI12" s="254" t="s">
        <v>4191</v>
      </c>
      <c r="AJ12" s="254" t="s">
        <v>4192</v>
      </c>
      <c r="AK12" s="254" t="s">
        <v>4193</v>
      </c>
      <c r="AL12" s="256" t="s">
        <v>4194</v>
      </c>
      <c r="AM12" s="2562"/>
      <c r="AN12" s="2562"/>
      <c r="AO12" s="2562"/>
    </row>
    <row r="13" spans="1:41" ht="15.75" customHeight="1" thickBot="1">
      <c r="A13" s="197"/>
      <c r="B13" s="425" t="s">
        <v>3343</v>
      </c>
      <c r="C13" s="319" t="s">
        <v>137</v>
      </c>
      <c r="D13" s="319">
        <v>3</v>
      </c>
      <c r="E13" s="265">
        <f t="shared" ref="E13:K13" si="8">IFERROR(SUM(E8:E12),0)</f>
        <v>26.427</v>
      </c>
      <c r="F13" s="265">
        <f t="shared" si="8"/>
        <v>0</v>
      </c>
      <c r="G13" s="265">
        <f t="shared" si="8"/>
        <v>3.0469999999999997</v>
      </c>
      <c r="H13" s="265">
        <f t="shared" si="8"/>
        <v>19.895</v>
      </c>
      <c r="I13" s="265">
        <f t="shared" si="8"/>
        <v>282.048</v>
      </c>
      <c r="J13" s="265">
        <f t="shared" si="8"/>
        <v>0.123</v>
      </c>
      <c r="K13" s="265">
        <f t="shared" si="8"/>
        <v>0</v>
      </c>
      <c r="L13" s="266">
        <f t="shared" si="0"/>
        <v>331.54</v>
      </c>
      <c r="M13" s="106"/>
      <c r="N13" s="538" t="s">
        <v>4195</v>
      </c>
      <c r="O13" s="197"/>
      <c r="P13" s="269"/>
      <c r="Q13" s="197"/>
      <c r="R13" s="2578"/>
      <c r="S13" s="251"/>
      <c r="T13" s="2577"/>
      <c r="U13" s="2573"/>
      <c r="V13" s="2573"/>
      <c r="W13" s="2573"/>
      <c r="X13" s="2573"/>
      <c r="Y13" s="2573"/>
      <c r="Z13" s="2573"/>
      <c r="AA13" s="2573"/>
      <c r="AB13" s="2577"/>
      <c r="AC13" s="2562"/>
      <c r="AD13" s="425" t="s">
        <v>3343</v>
      </c>
      <c r="AE13" s="265" t="s">
        <v>4196</v>
      </c>
      <c r="AF13" s="265" t="s">
        <v>4197</v>
      </c>
      <c r="AG13" s="265" t="s">
        <v>4198</v>
      </c>
      <c r="AH13" s="265" t="s">
        <v>4199</v>
      </c>
      <c r="AI13" s="265" t="s">
        <v>4200</v>
      </c>
      <c r="AJ13" s="265" t="s">
        <v>4201</v>
      </c>
      <c r="AK13" s="265" t="s">
        <v>4202</v>
      </c>
      <c r="AL13" s="266" t="s">
        <v>4203</v>
      </c>
      <c r="AM13" s="2562"/>
      <c r="AN13" s="2562"/>
      <c r="AO13" s="2562"/>
    </row>
    <row r="14" spans="1:41" ht="15.75" customHeight="1" thickTop="1" thickBot="1">
      <c r="A14" s="197"/>
      <c r="B14" s="539"/>
      <c r="C14" s="539"/>
      <c r="D14" s="539"/>
      <c r="E14" s="274"/>
      <c r="F14" s="274"/>
      <c r="G14" s="274"/>
      <c r="H14" s="274"/>
      <c r="I14" s="274"/>
      <c r="J14" s="274"/>
      <c r="K14" s="274"/>
      <c r="L14" s="274"/>
      <c r="M14" s="106"/>
      <c r="N14" s="527"/>
      <c r="O14" s="197"/>
      <c r="P14" s="197"/>
      <c r="Q14" s="197"/>
      <c r="R14" s="2578"/>
      <c r="S14" s="251"/>
      <c r="T14" s="2577"/>
      <c r="U14" s="2573"/>
      <c r="V14" s="2573"/>
      <c r="W14" s="2573"/>
      <c r="X14" s="2573"/>
      <c r="Y14" s="2573"/>
      <c r="Z14" s="2573"/>
      <c r="AA14" s="2573"/>
      <c r="AB14" s="2577"/>
      <c r="AC14" s="2562"/>
      <c r="AD14" s="539"/>
      <c r="AE14" s="274"/>
      <c r="AF14" s="274"/>
      <c r="AG14" s="274"/>
      <c r="AH14" s="274"/>
      <c r="AI14" s="274"/>
      <c r="AJ14" s="274"/>
      <c r="AK14" s="274"/>
      <c r="AL14" s="274"/>
      <c r="AM14" s="2562"/>
      <c r="AN14" s="2562"/>
      <c r="AO14" s="2562"/>
    </row>
    <row r="15" spans="1:41" ht="15.75" customHeight="1" thickTop="1" thickBot="1">
      <c r="A15" s="197"/>
      <c r="B15" s="355" t="s">
        <v>4204</v>
      </c>
      <c r="C15" s="356"/>
      <c r="D15" s="356"/>
      <c r="E15" s="274"/>
      <c r="F15" s="274"/>
      <c r="G15" s="274"/>
      <c r="H15" s="274"/>
      <c r="I15" s="274"/>
      <c r="J15" s="274"/>
      <c r="K15" s="274"/>
      <c r="L15" s="274"/>
      <c r="M15" s="106"/>
      <c r="N15" s="527"/>
      <c r="O15" s="197"/>
      <c r="P15" s="197"/>
      <c r="Q15" s="197"/>
      <c r="R15" s="2578"/>
      <c r="S15" s="251"/>
      <c r="T15" s="2577"/>
      <c r="U15" s="2573"/>
      <c r="V15" s="2573"/>
      <c r="W15" s="2573"/>
      <c r="X15" s="2573"/>
      <c r="Y15" s="2573"/>
      <c r="Z15" s="2573"/>
      <c r="AA15" s="2573"/>
      <c r="AB15" s="2577"/>
      <c r="AC15" s="2562"/>
      <c r="AD15" s="355" t="s">
        <v>4204</v>
      </c>
      <c r="AE15" s="274"/>
      <c r="AF15" s="274"/>
      <c r="AG15" s="274"/>
      <c r="AH15" s="274"/>
      <c r="AI15" s="274"/>
      <c r="AJ15" s="274"/>
      <c r="AK15" s="274"/>
      <c r="AL15" s="274"/>
      <c r="AM15" s="2562"/>
      <c r="AN15" s="2562"/>
      <c r="AO15" s="2562"/>
    </row>
    <row r="16" spans="1:41" ht="15.75" customHeight="1" thickTop="1">
      <c r="A16" s="197"/>
      <c r="B16" s="413" t="s">
        <v>3294</v>
      </c>
      <c r="C16" s="244" t="s">
        <v>137</v>
      </c>
      <c r="D16" s="244">
        <v>3</v>
      </c>
      <c r="E16" s="245">
        <v>-3.585</v>
      </c>
      <c r="F16" s="245">
        <v>0</v>
      </c>
      <c r="G16" s="245">
        <v>-0.45700000000000002</v>
      </c>
      <c r="H16" s="245">
        <v>-3.7690000000000001</v>
      </c>
      <c r="I16" s="245">
        <v>-77.11399999999999</v>
      </c>
      <c r="J16" s="245">
        <v>0</v>
      </c>
      <c r="K16" s="245">
        <v>0</v>
      </c>
      <c r="L16" s="247">
        <f>IFERROR(SUM(E16:K16),0)</f>
        <v>-84.924999999999983</v>
      </c>
      <c r="M16" s="106"/>
      <c r="N16" s="248" t="s">
        <v>4205</v>
      </c>
      <c r="O16" s="197"/>
      <c r="P16" s="250"/>
      <c r="Q16" s="197"/>
      <c r="R16" s="2578"/>
      <c r="S16" s="251">
        <f t="shared" ref="S16:S19" si="9">IF( SUM( U16:AA16 ) = 0, 0, $U$5 )</f>
        <v>0</v>
      </c>
      <c r="T16" s="2577"/>
      <c r="U16" s="252">
        <f t="shared" ref="U16:U19" si="10" xml:space="preserve"> IF( ISNUMBER( E16 ), 0, 1 )</f>
        <v>0</v>
      </c>
      <c r="V16" s="252">
        <f t="shared" ref="V16:V19" si="11" xml:space="preserve"> IF( ISNUMBER( F16 ), 0, 1 )</f>
        <v>0</v>
      </c>
      <c r="W16" s="252">
        <f t="shared" ref="W16:W19" si="12" xml:space="preserve"> IF( ISNUMBER( G16 ), 0, 1 )</f>
        <v>0</v>
      </c>
      <c r="X16" s="252">
        <f t="shared" ref="X16:X19" si="13" xml:space="preserve"> IF( ISNUMBER( H16 ), 0, 1 )</f>
        <v>0</v>
      </c>
      <c r="Y16" s="252">
        <f t="shared" ref="Y16:Y19" si="14" xml:space="preserve"> IF( ISNUMBER( I16 ), 0, 1 )</f>
        <v>0</v>
      </c>
      <c r="Z16" s="252">
        <f t="shared" ref="Z16:Z19" si="15" xml:space="preserve"> IF( ISNUMBER( J16 ), 0, 1 )</f>
        <v>0</v>
      </c>
      <c r="AA16" s="252">
        <f t="shared" ref="AA16:AA19" si="16" xml:space="preserve"> IF( ISNUMBER( K16 ), 0, 1 )</f>
        <v>0</v>
      </c>
      <c r="AB16" s="2577"/>
      <c r="AC16" s="2562"/>
      <c r="AD16" s="413" t="s">
        <v>3294</v>
      </c>
      <c r="AE16" s="245" t="s">
        <v>4206</v>
      </c>
      <c r="AF16" s="245" t="s">
        <v>4207</v>
      </c>
      <c r="AG16" s="245" t="s">
        <v>4208</v>
      </c>
      <c r="AH16" s="245" t="s">
        <v>4209</v>
      </c>
      <c r="AI16" s="245" t="s">
        <v>4210</v>
      </c>
      <c r="AJ16" s="245" t="s">
        <v>4211</v>
      </c>
      <c r="AK16" s="245" t="s">
        <v>4212</v>
      </c>
      <c r="AL16" s="247" t="s">
        <v>4213</v>
      </c>
      <c r="AM16" s="2562"/>
      <c r="AN16" s="2562"/>
      <c r="AO16" s="2562"/>
    </row>
    <row r="17" spans="1:41" ht="15.75" customHeight="1">
      <c r="A17" s="197"/>
      <c r="B17" s="422" t="s">
        <v>3304</v>
      </c>
      <c r="C17" s="253" t="s">
        <v>137</v>
      </c>
      <c r="D17" s="253">
        <v>3</v>
      </c>
      <c r="E17" s="254">
        <v>1.8380000000000001</v>
      </c>
      <c r="F17" s="254">
        <v>0</v>
      </c>
      <c r="G17" s="254">
        <v>0.14000000000000001</v>
      </c>
      <c r="H17" s="254">
        <v>0.33300000000000002</v>
      </c>
      <c r="I17" s="254">
        <v>7.7160000000000002</v>
      </c>
      <c r="J17" s="254">
        <v>0</v>
      </c>
      <c r="K17" s="254">
        <v>0</v>
      </c>
      <c r="L17" s="256">
        <f>IFERROR(SUM(E17:K17),0)</f>
        <v>10.027000000000001</v>
      </c>
      <c r="M17" s="106"/>
      <c r="N17" s="257" t="s">
        <v>4214</v>
      </c>
      <c r="O17" s="197"/>
      <c r="P17" s="258"/>
      <c r="Q17" s="197"/>
      <c r="R17" s="2578"/>
      <c r="S17" s="251">
        <f t="shared" si="9"/>
        <v>0</v>
      </c>
      <c r="T17" s="2577"/>
      <c r="U17" s="252">
        <f t="shared" si="10"/>
        <v>0</v>
      </c>
      <c r="V17" s="252">
        <f t="shared" si="11"/>
        <v>0</v>
      </c>
      <c r="W17" s="252">
        <f t="shared" si="12"/>
        <v>0</v>
      </c>
      <c r="X17" s="252">
        <f t="shared" si="13"/>
        <v>0</v>
      </c>
      <c r="Y17" s="252">
        <f t="shared" si="14"/>
        <v>0</v>
      </c>
      <c r="Z17" s="252">
        <f t="shared" si="15"/>
        <v>0</v>
      </c>
      <c r="AA17" s="252">
        <f t="shared" si="16"/>
        <v>0</v>
      </c>
      <c r="AB17" s="2577"/>
      <c r="AC17" s="2562"/>
      <c r="AD17" s="422" t="s">
        <v>3304</v>
      </c>
      <c r="AE17" s="254" t="s">
        <v>4215</v>
      </c>
      <c r="AF17" s="254" t="s">
        <v>4216</v>
      </c>
      <c r="AG17" s="254" t="s">
        <v>4217</v>
      </c>
      <c r="AH17" s="254" t="s">
        <v>4218</v>
      </c>
      <c r="AI17" s="254" t="s">
        <v>4219</v>
      </c>
      <c r="AJ17" s="254" t="s">
        <v>4220</v>
      </c>
      <c r="AK17" s="254" t="s">
        <v>4221</v>
      </c>
      <c r="AL17" s="256" t="s">
        <v>4222</v>
      </c>
      <c r="AM17" s="2562"/>
      <c r="AN17" s="2562"/>
      <c r="AO17" s="2562"/>
    </row>
    <row r="18" spans="1:41" ht="15.75" customHeight="1">
      <c r="A18" s="197"/>
      <c r="B18" s="422" t="s">
        <v>1894</v>
      </c>
      <c r="C18" s="253" t="s">
        <v>137</v>
      </c>
      <c r="D18" s="253">
        <v>3</v>
      </c>
      <c r="E18" s="254">
        <v>0</v>
      </c>
      <c r="F18" s="254">
        <v>0</v>
      </c>
      <c r="G18" s="254">
        <v>0</v>
      </c>
      <c r="H18" s="254">
        <v>0</v>
      </c>
      <c r="I18" s="254">
        <v>0</v>
      </c>
      <c r="J18" s="254">
        <v>0</v>
      </c>
      <c r="K18" s="254">
        <v>0</v>
      </c>
      <c r="L18" s="256">
        <f>IFERROR(SUM(E18:K18),0)</f>
        <v>0</v>
      </c>
      <c r="M18" s="106"/>
      <c r="N18" s="257" t="s">
        <v>4223</v>
      </c>
      <c r="O18" s="197"/>
      <c r="P18" s="258"/>
      <c r="Q18" s="197"/>
      <c r="R18" s="2578"/>
      <c r="S18" s="251">
        <f t="shared" si="9"/>
        <v>0</v>
      </c>
      <c r="T18" s="2577"/>
      <c r="U18" s="252">
        <f t="shared" si="10"/>
        <v>0</v>
      </c>
      <c r="V18" s="252">
        <f t="shared" si="11"/>
        <v>0</v>
      </c>
      <c r="W18" s="252">
        <f t="shared" si="12"/>
        <v>0</v>
      </c>
      <c r="X18" s="252">
        <f t="shared" si="13"/>
        <v>0</v>
      </c>
      <c r="Y18" s="252">
        <f t="shared" si="14"/>
        <v>0</v>
      </c>
      <c r="Z18" s="252">
        <f t="shared" si="15"/>
        <v>0</v>
      </c>
      <c r="AA18" s="252">
        <f t="shared" si="16"/>
        <v>0</v>
      </c>
      <c r="AB18" s="2577"/>
      <c r="AC18" s="2562"/>
      <c r="AD18" s="422" t="s">
        <v>1894</v>
      </c>
      <c r="AE18" s="254" t="s">
        <v>4224</v>
      </c>
      <c r="AF18" s="254" t="s">
        <v>4225</v>
      </c>
      <c r="AG18" s="254" t="s">
        <v>4226</v>
      </c>
      <c r="AH18" s="254" t="s">
        <v>4227</v>
      </c>
      <c r="AI18" s="254" t="s">
        <v>4228</v>
      </c>
      <c r="AJ18" s="254" t="s">
        <v>4229</v>
      </c>
      <c r="AK18" s="254" t="s">
        <v>4230</v>
      </c>
      <c r="AL18" s="256" t="s">
        <v>4231</v>
      </c>
      <c r="AM18" s="2562"/>
      <c r="AN18" s="2562"/>
      <c r="AO18" s="2562"/>
    </row>
    <row r="19" spans="1:41" ht="15.75" customHeight="1">
      <c r="A19" s="197"/>
      <c r="B19" s="422" t="s">
        <v>3380</v>
      </c>
      <c r="C19" s="253" t="s">
        <v>137</v>
      </c>
      <c r="D19" s="253">
        <v>3</v>
      </c>
      <c r="E19" s="254">
        <v>-2.609</v>
      </c>
      <c r="F19" s="254">
        <v>0</v>
      </c>
      <c r="G19" s="254">
        <v>-0.29899999999999999</v>
      </c>
      <c r="H19" s="254">
        <v>-2.5880000000000001</v>
      </c>
      <c r="I19" s="254">
        <v>-27.744000000000003</v>
      </c>
      <c r="J19" s="254">
        <v>-1.9E-2</v>
      </c>
      <c r="K19" s="254">
        <v>0</v>
      </c>
      <c r="L19" s="256">
        <f>IFERROR(SUM(E19:K19),0)</f>
        <v>-33.259</v>
      </c>
      <c r="M19" s="106"/>
      <c r="N19" s="257" t="s">
        <v>4232</v>
      </c>
      <c r="O19" s="197"/>
      <c r="P19" s="258"/>
      <c r="Q19" s="197"/>
      <c r="R19" s="2578"/>
      <c r="S19" s="251">
        <f t="shared" si="9"/>
        <v>0</v>
      </c>
      <c r="T19" s="2577"/>
      <c r="U19" s="252">
        <f t="shared" si="10"/>
        <v>0</v>
      </c>
      <c r="V19" s="252">
        <f t="shared" si="11"/>
        <v>0</v>
      </c>
      <c r="W19" s="252">
        <f t="shared" si="12"/>
        <v>0</v>
      </c>
      <c r="X19" s="252">
        <f t="shared" si="13"/>
        <v>0</v>
      </c>
      <c r="Y19" s="252">
        <f t="shared" si="14"/>
        <v>0</v>
      </c>
      <c r="Z19" s="252">
        <f t="shared" si="15"/>
        <v>0</v>
      </c>
      <c r="AA19" s="252">
        <f t="shared" si="16"/>
        <v>0</v>
      </c>
      <c r="AB19" s="2577"/>
      <c r="AC19" s="2562"/>
      <c r="AD19" s="422" t="s">
        <v>3380</v>
      </c>
      <c r="AE19" s="254" t="s">
        <v>4233</v>
      </c>
      <c r="AF19" s="254" t="s">
        <v>4234</v>
      </c>
      <c r="AG19" s="254" t="s">
        <v>4235</v>
      </c>
      <c r="AH19" s="254" t="s">
        <v>4236</v>
      </c>
      <c r="AI19" s="254" t="s">
        <v>4237</v>
      </c>
      <c r="AJ19" s="254" t="s">
        <v>4238</v>
      </c>
      <c r="AK19" s="254" t="s">
        <v>4239</v>
      </c>
      <c r="AL19" s="256" t="s">
        <v>4240</v>
      </c>
      <c r="AM19" s="2562"/>
      <c r="AN19" s="2562"/>
      <c r="AO19" s="2562"/>
    </row>
    <row r="20" spans="1:41" ht="15.75" customHeight="1" thickBot="1">
      <c r="A20" s="197"/>
      <c r="B20" s="425" t="s">
        <v>3343</v>
      </c>
      <c r="C20" s="319" t="s">
        <v>137</v>
      </c>
      <c r="D20" s="319">
        <v>3</v>
      </c>
      <c r="E20" s="265">
        <f t="shared" ref="E20:K20" si="17">IFERROR(SUM(E16:E19),0)</f>
        <v>-4.3559999999999999</v>
      </c>
      <c r="F20" s="265">
        <f t="shared" si="17"/>
        <v>0</v>
      </c>
      <c r="G20" s="265">
        <f t="shared" si="17"/>
        <v>-0.61599999999999999</v>
      </c>
      <c r="H20" s="265">
        <f t="shared" si="17"/>
        <v>-6.024</v>
      </c>
      <c r="I20" s="265">
        <f t="shared" si="17"/>
        <v>-97.141999999999996</v>
      </c>
      <c r="J20" s="265">
        <f t="shared" si="17"/>
        <v>-1.9E-2</v>
      </c>
      <c r="K20" s="265">
        <f t="shared" si="17"/>
        <v>0</v>
      </c>
      <c r="L20" s="266">
        <f>IFERROR(SUM(E20:K20),0)</f>
        <v>-108.157</v>
      </c>
      <c r="M20" s="106"/>
      <c r="N20" s="320" t="s">
        <v>4241</v>
      </c>
      <c r="O20" s="197"/>
      <c r="P20" s="269"/>
      <c r="Q20" s="197"/>
      <c r="R20" s="2578"/>
      <c r="S20" s="251"/>
      <c r="T20" s="2577"/>
      <c r="U20" s="2573"/>
      <c r="V20" s="2573"/>
      <c r="W20" s="2573"/>
      <c r="X20" s="2573"/>
      <c r="Y20" s="2573"/>
      <c r="Z20" s="2573"/>
      <c r="AA20" s="2573"/>
      <c r="AB20" s="2577"/>
      <c r="AC20" s="2562"/>
      <c r="AD20" s="425" t="s">
        <v>3343</v>
      </c>
      <c r="AE20" s="265" t="s">
        <v>4242</v>
      </c>
      <c r="AF20" s="265" t="s">
        <v>4243</v>
      </c>
      <c r="AG20" s="265" t="s">
        <v>4244</v>
      </c>
      <c r="AH20" s="265" t="s">
        <v>4245</v>
      </c>
      <c r="AI20" s="265" t="s">
        <v>4246</v>
      </c>
      <c r="AJ20" s="265" t="s">
        <v>4247</v>
      </c>
      <c r="AK20" s="265" t="s">
        <v>4248</v>
      </c>
      <c r="AL20" s="266" t="s">
        <v>4249</v>
      </c>
      <c r="AM20" s="2562"/>
      <c r="AN20" s="2562"/>
      <c r="AO20" s="2562"/>
    </row>
    <row r="21" spans="1:41" ht="15.75" customHeight="1" thickTop="1" thickBot="1">
      <c r="A21" s="197"/>
      <c r="B21" s="106"/>
      <c r="C21" s="106"/>
      <c r="D21" s="106"/>
      <c r="E21" s="274"/>
      <c r="F21" s="274"/>
      <c r="G21" s="274"/>
      <c r="H21" s="274"/>
      <c r="I21" s="274"/>
      <c r="J21" s="274"/>
      <c r="K21" s="274"/>
      <c r="L21" s="274"/>
      <c r="M21" s="106"/>
      <c r="N21" s="527"/>
      <c r="O21" s="197"/>
      <c r="P21" s="197"/>
      <c r="Q21" s="197"/>
      <c r="R21" s="2578"/>
      <c r="S21" s="251"/>
      <c r="T21" s="2577"/>
      <c r="U21" s="2573"/>
      <c r="V21" s="2573"/>
      <c r="W21" s="2573"/>
      <c r="X21" s="2573"/>
      <c r="Y21" s="2573"/>
      <c r="Z21" s="2573"/>
      <c r="AA21" s="2573"/>
      <c r="AB21" s="2577"/>
      <c r="AC21" s="2562"/>
      <c r="AD21" s="106"/>
      <c r="AE21" s="274"/>
      <c r="AF21" s="274"/>
      <c r="AG21" s="274"/>
      <c r="AH21" s="274"/>
      <c r="AI21" s="274"/>
      <c r="AJ21" s="274"/>
      <c r="AK21" s="274"/>
      <c r="AL21" s="274"/>
      <c r="AM21" s="2562"/>
      <c r="AN21" s="2562"/>
      <c r="AO21" s="2562"/>
    </row>
    <row r="22" spans="1:41" ht="15.75" customHeight="1" thickTop="1" thickBot="1">
      <c r="A22" s="197"/>
      <c r="B22" s="541" t="s">
        <v>3399</v>
      </c>
      <c r="C22" s="346" t="s">
        <v>137</v>
      </c>
      <c r="D22" s="346">
        <v>3</v>
      </c>
      <c r="E22" s="400">
        <f t="shared" ref="E22:K22" si="18">IFERROR(E13+E20,0)</f>
        <v>22.070999999999998</v>
      </c>
      <c r="F22" s="400">
        <f t="shared" si="18"/>
        <v>0</v>
      </c>
      <c r="G22" s="400">
        <f t="shared" si="18"/>
        <v>2.4309999999999996</v>
      </c>
      <c r="H22" s="400">
        <f t="shared" si="18"/>
        <v>13.870999999999999</v>
      </c>
      <c r="I22" s="400">
        <f t="shared" si="18"/>
        <v>184.90600000000001</v>
      </c>
      <c r="J22" s="400">
        <f t="shared" si="18"/>
        <v>0.104</v>
      </c>
      <c r="K22" s="400">
        <f t="shared" si="18"/>
        <v>0</v>
      </c>
      <c r="L22" s="401">
        <f>IFERROR(SUM(E22:K22),0)</f>
        <v>223.38300000000001</v>
      </c>
      <c r="M22" s="106"/>
      <c r="N22" s="336" t="s">
        <v>4250</v>
      </c>
      <c r="O22" s="197"/>
      <c r="P22" s="337"/>
      <c r="Q22" s="197"/>
      <c r="R22" s="2578"/>
      <c r="S22" s="251"/>
      <c r="T22" s="2577"/>
      <c r="U22" s="2573"/>
      <c r="V22" s="2573"/>
      <c r="W22" s="2573"/>
      <c r="X22" s="2573"/>
      <c r="Y22" s="2573"/>
      <c r="Z22" s="2573"/>
      <c r="AA22" s="2573"/>
      <c r="AB22" s="2577"/>
      <c r="AC22" s="2562"/>
      <c r="AD22" s="541" t="s">
        <v>3399</v>
      </c>
      <c r="AE22" s="400" t="s">
        <v>4251</v>
      </c>
      <c r="AF22" s="400" t="s">
        <v>4252</v>
      </c>
      <c r="AG22" s="400" t="s">
        <v>4253</v>
      </c>
      <c r="AH22" s="400" t="s">
        <v>4254</v>
      </c>
      <c r="AI22" s="400" t="s">
        <v>4255</v>
      </c>
      <c r="AJ22" s="400" t="s">
        <v>4256</v>
      </c>
      <c r="AK22" s="400" t="s">
        <v>4257</v>
      </c>
      <c r="AL22" s="401" t="s">
        <v>4258</v>
      </c>
      <c r="AM22" s="2562"/>
      <c r="AN22" s="2562"/>
      <c r="AO22" s="2562"/>
    </row>
    <row r="23" spans="1:41" ht="15.75" customHeight="1" thickTop="1" thickBot="1">
      <c r="A23" s="197"/>
      <c r="B23" s="542"/>
      <c r="C23" s="542"/>
      <c r="D23" s="542"/>
      <c r="E23" s="274"/>
      <c r="F23" s="274"/>
      <c r="G23" s="274"/>
      <c r="H23" s="274"/>
      <c r="I23" s="274"/>
      <c r="J23" s="274"/>
      <c r="K23" s="274"/>
      <c r="L23" s="274"/>
      <c r="M23" s="106"/>
      <c r="N23" s="527"/>
      <c r="O23" s="197"/>
      <c r="P23" s="197"/>
      <c r="Q23" s="197"/>
      <c r="R23" s="2578"/>
      <c r="S23" s="251"/>
      <c r="T23" s="332"/>
      <c r="U23" s="2573"/>
      <c r="V23" s="2573"/>
      <c r="W23" s="2573"/>
      <c r="X23" s="2573"/>
      <c r="Y23" s="2573"/>
      <c r="Z23" s="2573"/>
      <c r="AA23" s="2573"/>
      <c r="AB23" s="332"/>
      <c r="AC23" s="2562"/>
      <c r="AD23" s="542"/>
      <c r="AE23" s="274"/>
      <c r="AF23" s="274"/>
      <c r="AG23" s="274"/>
      <c r="AH23" s="274"/>
      <c r="AI23" s="274"/>
      <c r="AJ23" s="274"/>
      <c r="AK23" s="274"/>
      <c r="AL23" s="274"/>
      <c r="AM23" s="2562"/>
      <c r="AN23" s="2562"/>
      <c r="AO23" s="2562"/>
    </row>
    <row r="24" spans="1:41" ht="15.75" customHeight="1" thickTop="1" thickBot="1">
      <c r="A24" s="197"/>
      <c r="B24" s="541" t="s">
        <v>3409</v>
      </c>
      <c r="C24" s="346" t="s">
        <v>137</v>
      </c>
      <c r="D24" s="346">
        <v>3</v>
      </c>
      <c r="E24" s="400">
        <f t="shared" ref="E24:K24" si="19">IFERROR(E8+E16,0)</f>
        <v>13.805</v>
      </c>
      <c r="F24" s="400">
        <f t="shared" si="19"/>
        <v>0</v>
      </c>
      <c r="G24" s="400">
        <f t="shared" si="19"/>
        <v>0.53600000000000003</v>
      </c>
      <c r="H24" s="400">
        <f t="shared" si="19"/>
        <v>9.3550000000000004</v>
      </c>
      <c r="I24" s="400">
        <f t="shared" si="19"/>
        <v>151.952</v>
      </c>
      <c r="J24" s="400">
        <f t="shared" si="19"/>
        <v>0</v>
      </c>
      <c r="K24" s="400">
        <f t="shared" si="19"/>
        <v>0</v>
      </c>
      <c r="L24" s="401">
        <f>IFERROR(SUM(E24:K24),0)</f>
        <v>175.648</v>
      </c>
      <c r="M24" s="106"/>
      <c r="N24" s="336" t="s">
        <v>4259</v>
      </c>
      <c r="O24" s="197"/>
      <c r="P24" s="337"/>
      <c r="Q24" s="197"/>
      <c r="R24" s="2578"/>
      <c r="S24" s="251"/>
      <c r="T24" s="332"/>
      <c r="U24" s="2573"/>
      <c r="V24" s="2573"/>
      <c r="W24" s="2573"/>
      <c r="X24" s="2573"/>
      <c r="Y24" s="2573"/>
      <c r="Z24" s="2573"/>
      <c r="AA24" s="2573"/>
      <c r="AB24" s="332"/>
      <c r="AC24" s="2562"/>
      <c r="AD24" s="541" t="s">
        <v>3409</v>
      </c>
      <c r="AE24" s="400" t="s">
        <v>4260</v>
      </c>
      <c r="AF24" s="400" t="s">
        <v>4261</v>
      </c>
      <c r="AG24" s="400" t="s">
        <v>4262</v>
      </c>
      <c r="AH24" s="400" t="s">
        <v>4263</v>
      </c>
      <c r="AI24" s="400" t="s">
        <v>4264</v>
      </c>
      <c r="AJ24" s="400" t="s">
        <v>4265</v>
      </c>
      <c r="AK24" s="400" t="s">
        <v>4266</v>
      </c>
      <c r="AL24" s="401" t="s">
        <v>4267</v>
      </c>
      <c r="AM24" s="2562"/>
      <c r="AN24" s="2562"/>
      <c r="AO24" s="2562"/>
    </row>
    <row r="25" spans="1:41" ht="15.75" customHeight="1" thickTop="1" thickBot="1">
      <c r="A25" s="197"/>
      <c r="B25" s="106"/>
      <c r="C25" s="106"/>
      <c r="D25" s="106"/>
      <c r="E25" s="274"/>
      <c r="F25" s="274"/>
      <c r="G25" s="274"/>
      <c r="H25" s="274"/>
      <c r="I25" s="274"/>
      <c r="J25" s="274"/>
      <c r="K25" s="274"/>
      <c r="L25" s="274"/>
      <c r="M25" s="106"/>
      <c r="N25" s="543"/>
      <c r="O25" s="228"/>
      <c r="P25" s="228"/>
      <c r="Q25" s="197"/>
      <c r="R25" s="2578"/>
      <c r="S25" s="251"/>
      <c r="T25" s="332"/>
      <c r="U25" s="2573"/>
      <c r="V25" s="2573"/>
      <c r="W25" s="2573"/>
      <c r="X25" s="2573"/>
      <c r="Y25" s="2573"/>
      <c r="Z25" s="2573"/>
      <c r="AA25" s="2573"/>
      <c r="AB25" s="332"/>
      <c r="AC25" s="2562"/>
      <c r="AD25" s="106"/>
      <c r="AE25" s="274"/>
      <c r="AF25" s="274"/>
      <c r="AG25" s="274"/>
      <c r="AH25" s="274"/>
      <c r="AI25" s="274"/>
      <c r="AJ25" s="274"/>
      <c r="AK25" s="274"/>
      <c r="AL25" s="274"/>
      <c r="AM25" s="2562"/>
      <c r="AN25" s="2562"/>
      <c r="AO25" s="2562"/>
    </row>
    <row r="26" spans="1:41" ht="15.75" customHeight="1" thickTop="1" thickBot="1">
      <c r="A26" s="197"/>
      <c r="B26" s="355" t="s">
        <v>4268</v>
      </c>
      <c r="C26" s="356"/>
      <c r="D26" s="356"/>
      <c r="E26" s="274"/>
      <c r="F26" s="274"/>
      <c r="G26" s="274"/>
      <c r="H26" s="274"/>
      <c r="I26" s="274"/>
      <c r="J26" s="274"/>
      <c r="K26" s="274"/>
      <c r="L26" s="274"/>
      <c r="M26" s="106"/>
      <c r="N26" s="543"/>
      <c r="O26" s="228"/>
      <c r="P26" s="228"/>
      <c r="Q26" s="197"/>
      <c r="R26" s="2578"/>
      <c r="S26" s="251"/>
      <c r="T26" s="332"/>
      <c r="U26" s="2573"/>
      <c r="V26" s="2573"/>
      <c r="W26" s="2573"/>
      <c r="X26" s="2573"/>
      <c r="Y26" s="2573"/>
      <c r="Z26" s="2573"/>
      <c r="AA26" s="2573"/>
      <c r="AB26" s="332"/>
      <c r="AC26" s="2562"/>
      <c r="AD26" s="355" t="s">
        <v>4268</v>
      </c>
      <c r="AE26" s="274"/>
      <c r="AF26" s="274"/>
      <c r="AG26" s="274"/>
      <c r="AH26" s="274"/>
      <c r="AI26" s="274"/>
      <c r="AJ26" s="274"/>
      <c r="AK26" s="274"/>
      <c r="AL26" s="274"/>
      <c r="AM26" s="2562"/>
      <c r="AN26" s="2562"/>
      <c r="AO26" s="2562"/>
    </row>
    <row r="27" spans="1:41" ht="15.75" customHeight="1" thickTop="1">
      <c r="A27" s="197"/>
      <c r="B27" s="413" t="s">
        <v>3420</v>
      </c>
      <c r="C27" s="244" t="s">
        <v>137</v>
      </c>
      <c r="D27" s="244">
        <v>3</v>
      </c>
      <c r="E27" s="245">
        <v>-2.609</v>
      </c>
      <c r="F27" s="245">
        <v>0</v>
      </c>
      <c r="G27" s="245">
        <v>-0.29899999999999999</v>
      </c>
      <c r="H27" s="245">
        <v>-2.5880000000000001</v>
      </c>
      <c r="I27" s="245">
        <v>-27.744000000000003</v>
      </c>
      <c r="J27" s="245">
        <v>-1.9E-2</v>
      </c>
      <c r="K27" s="245">
        <v>0</v>
      </c>
      <c r="L27" s="247">
        <f>IFERROR(SUM(E27:K27),0)</f>
        <v>-33.259</v>
      </c>
      <c r="M27" s="106"/>
      <c r="N27" s="248" t="s">
        <v>4269</v>
      </c>
      <c r="O27" s="228"/>
      <c r="P27" s="250"/>
      <c r="Q27" s="197"/>
      <c r="R27" s="2578"/>
      <c r="S27" s="251">
        <f t="shared" ref="S27:S28" si="20">IF( SUM( U27:AA27 ) = 0, 0, $U$5 )</f>
        <v>0</v>
      </c>
      <c r="T27" s="2577"/>
      <c r="U27" s="252">
        <f t="shared" ref="U27:U28" si="21" xml:space="preserve"> IF( ISNUMBER( E27 ), 0, 1 )</f>
        <v>0</v>
      </c>
      <c r="V27" s="252">
        <f t="shared" ref="V27:V28" si="22" xml:space="preserve"> IF( ISNUMBER( F27 ), 0, 1 )</f>
        <v>0</v>
      </c>
      <c r="W27" s="252">
        <f t="shared" ref="W27:W28" si="23" xml:space="preserve"> IF( ISNUMBER( G27 ), 0, 1 )</f>
        <v>0</v>
      </c>
      <c r="X27" s="252">
        <f t="shared" ref="X27:X28" si="24" xml:space="preserve"> IF( ISNUMBER( H27 ), 0, 1 )</f>
        <v>0</v>
      </c>
      <c r="Y27" s="252">
        <f t="shared" ref="Y27:Y28" si="25" xml:space="preserve"> IF( ISNUMBER( I27 ), 0, 1 )</f>
        <v>0</v>
      </c>
      <c r="Z27" s="252">
        <f t="shared" ref="Z27:Z28" si="26" xml:space="preserve"> IF( ISNUMBER( J27 ), 0, 1 )</f>
        <v>0</v>
      </c>
      <c r="AA27" s="252">
        <f t="shared" ref="AA27:AA28" si="27" xml:space="preserve"> IF( ISNUMBER( K27 ), 0, 1 )</f>
        <v>0</v>
      </c>
      <c r="AB27" s="332"/>
      <c r="AC27" s="2562"/>
      <c r="AD27" s="413" t="s">
        <v>3420</v>
      </c>
      <c r="AE27" s="245" t="s">
        <v>4270</v>
      </c>
      <c r="AF27" s="245" t="s">
        <v>4271</v>
      </c>
      <c r="AG27" s="245" t="s">
        <v>4272</v>
      </c>
      <c r="AH27" s="245" t="s">
        <v>4273</v>
      </c>
      <c r="AI27" s="245" t="s">
        <v>4274</v>
      </c>
      <c r="AJ27" s="245" t="s">
        <v>4275</v>
      </c>
      <c r="AK27" s="245" t="s">
        <v>4276</v>
      </c>
      <c r="AL27" s="247" t="s">
        <v>4277</v>
      </c>
      <c r="AM27" s="2562"/>
      <c r="AN27" s="2562"/>
      <c r="AO27" s="2562"/>
    </row>
    <row r="28" spans="1:41" ht="15.75" customHeight="1">
      <c r="A28" s="197"/>
      <c r="B28" s="422" t="s">
        <v>3029</v>
      </c>
      <c r="C28" s="253" t="s">
        <v>137</v>
      </c>
      <c r="D28" s="253">
        <v>3</v>
      </c>
      <c r="E28" s="254">
        <v>0</v>
      </c>
      <c r="F28" s="254">
        <v>0</v>
      </c>
      <c r="G28" s="254">
        <v>0</v>
      </c>
      <c r="H28" s="254">
        <v>0</v>
      </c>
      <c r="I28" s="254">
        <v>0</v>
      </c>
      <c r="J28" s="254">
        <v>0</v>
      </c>
      <c r="K28" s="254">
        <v>0</v>
      </c>
      <c r="L28" s="256">
        <f>IFERROR(SUM(E28:K28),0)</f>
        <v>0</v>
      </c>
      <c r="M28" s="106"/>
      <c r="N28" s="257" t="s">
        <v>4278</v>
      </c>
      <c r="O28" s="228"/>
      <c r="P28" s="258"/>
      <c r="Q28" s="197"/>
      <c r="R28" s="2578"/>
      <c r="S28" s="251">
        <f t="shared" si="20"/>
        <v>0</v>
      </c>
      <c r="T28" s="2577"/>
      <c r="U28" s="252">
        <f t="shared" si="21"/>
        <v>0</v>
      </c>
      <c r="V28" s="252">
        <f t="shared" si="22"/>
        <v>0</v>
      </c>
      <c r="W28" s="252">
        <f t="shared" si="23"/>
        <v>0</v>
      </c>
      <c r="X28" s="252">
        <f t="shared" si="24"/>
        <v>0</v>
      </c>
      <c r="Y28" s="252">
        <f t="shared" si="25"/>
        <v>0</v>
      </c>
      <c r="Z28" s="252">
        <f t="shared" si="26"/>
        <v>0</v>
      </c>
      <c r="AA28" s="252">
        <f t="shared" si="27"/>
        <v>0</v>
      </c>
      <c r="AB28" s="332"/>
      <c r="AC28" s="2562"/>
      <c r="AD28" s="422" t="s">
        <v>3029</v>
      </c>
      <c r="AE28" s="254" t="s">
        <v>4279</v>
      </c>
      <c r="AF28" s="254" t="s">
        <v>4280</v>
      </c>
      <c r="AG28" s="254" t="s">
        <v>4281</v>
      </c>
      <c r="AH28" s="254" t="s">
        <v>4282</v>
      </c>
      <c r="AI28" s="254" t="s">
        <v>4283</v>
      </c>
      <c r="AJ28" s="254" t="s">
        <v>4284</v>
      </c>
      <c r="AK28" s="254" t="s">
        <v>4285</v>
      </c>
      <c r="AL28" s="256" t="s">
        <v>4286</v>
      </c>
      <c r="AM28" s="2562"/>
      <c r="AN28" s="2562"/>
      <c r="AO28" s="2562"/>
    </row>
    <row r="29" spans="1:41" ht="15.75" customHeight="1" thickBot="1">
      <c r="A29" s="197"/>
      <c r="B29" s="425" t="s">
        <v>2112</v>
      </c>
      <c r="C29" s="319" t="s">
        <v>137</v>
      </c>
      <c r="D29" s="319">
        <v>3</v>
      </c>
      <c r="E29" s="265">
        <f t="shared" ref="E29:K29" si="28">IFERROR(E27+E28,0)</f>
        <v>-2.609</v>
      </c>
      <c r="F29" s="265">
        <f t="shared" si="28"/>
        <v>0</v>
      </c>
      <c r="G29" s="265">
        <f t="shared" si="28"/>
        <v>-0.29899999999999999</v>
      </c>
      <c r="H29" s="265">
        <f t="shared" si="28"/>
        <v>-2.5880000000000001</v>
      </c>
      <c r="I29" s="265">
        <f t="shared" si="28"/>
        <v>-27.744000000000003</v>
      </c>
      <c r="J29" s="265">
        <f t="shared" si="28"/>
        <v>-1.9E-2</v>
      </c>
      <c r="K29" s="265">
        <f t="shared" si="28"/>
        <v>0</v>
      </c>
      <c r="L29" s="266">
        <f>IFERROR(SUM(E29:K29),0)</f>
        <v>-33.259</v>
      </c>
      <c r="M29" s="106"/>
      <c r="N29" s="320" t="s">
        <v>4287</v>
      </c>
      <c r="O29" s="228"/>
      <c r="P29" s="269"/>
      <c r="Q29" s="197"/>
      <c r="R29" s="2578"/>
      <c r="S29" s="251"/>
      <c r="T29" s="332"/>
      <c r="U29" s="2573"/>
      <c r="V29" s="2573"/>
      <c r="W29" s="2573"/>
      <c r="X29" s="2573"/>
      <c r="Y29" s="2573"/>
      <c r="Z29" s="2573"/>
      <c r="AA29" s="2573"/>
      <c r="AB29" s="332"/>
      <c r="AC29" s="2562"/>
      <c r="AD29" s="425" t="s">
        <v>2112</v>
      </c>
      <c r="AE29" s="265" t="s">
        <v>4288</v>
      </c>
      <c r="AF29" s="265" t="s">
        <v>4289</v>
      </c>
      <c r="AG29" s="265" t="s">
        <v>4290</v>
      </c>
      <c r="AH29" s="265" t="s">
        <v>4291</v>
      </c>
      <c r="AI29" s="265" t="s">
        <v>4292</v>
      </c>
      <c r="AJ29" s="265" t="s">
        <v>4293</v>
      </c>
      <c r="AK29" s="265" t="s">
        <v>4294</v>
      </c>
      <c r="AL29" s="266" t="s">
        <v>4295</v>
      </c>
      <c r="AM29" s="2562"/>
      <c r="AN29" s="2562"/>
      <c r="AO29" s="2562"/>
    </row>
    <row r="30" spans="1:41" ht="15.75" customHeight="1" thickTop="1">
      <c r="A30" s="197"/>
      <c r="B30" s="106"/>
      <c r="C30" s="106"/>
      <c r="D30" s="106"/>
      <c r="E30" s="106"/>
      <c r="F30" s="106"/>
      <c r="G30" s="106"/>
      <c r="H30" s="106"/>
      <c r="I30" s="106"/>
      <c r="J30" s="106"/>
      <c r="K30" s="106"/>
      <c r="L30" s="106"/>
      <c r="M30" s="544"/>
      <c r="N30" s="543"/>
      <c r="O30" s="197"/>
      <c r="P30" s="197"/>
      <c r="Q30" s="197"/>
      <c r="R30" s="2562"/>
      <c r="S30" s="251"/>
      <c r="T30" s="2572"/>
      <c r="U30" s="2573"/>
      <c r="V30" s="2573"/>
      <c r="W30" s="2573"/>
      <c r="X30" s="2573"/>
      <c r="Y30" s="2573"/>
      <c r="Z30" s="2573"/>
      <c r="AA30" s="2573"/>
      <c r="AB30" s="2572"/>
      <c r="AC30" s="2562"/>
      <c r="AD30" s="324"/>
      <c r="AE30" s="324"/>
      <c r="AF30" s="324"/>
      <c r="AG30" s="324"/>
      <c r="AH30" s="324"/>
      <c r="AI30" s="324"/>
      <c r="AJ30" s="324"/>
      <c r="AK30" s="324"/>
      <c r="AL30" s="324"/>
      <c r="AM30" s="2562"/>
      <c r="AN30" s="2562"/>
      <c r="AO30" s="2562"/>
    </row>
    <row r="31" spans="1:41" ht="15.75" customHeight="1">
      <c r="A31" s="197"/>
      <c r="B31" s="2755"/>
      <c r="C31" s="2755"/>
      <c r="D31" s="2755"/>
      <c r="E31" s="2755"/>
      <c r="F31" s="2755"/>
      <c r="G31" s="2755"/>
      <c r="H31" s="2755"/>
      <c r="I31" s="2755"/>
      <c r="J31" s="2755"/>
      <c r="K31" s="2755"/>
      <c r="L31" s="197"/>
      <c r="M31" s="228"/>
      <c r="N31" s="543"/>
      <c r="O31" s="197"/>
      <c r="P31" s="197"/>
      <c r="Q31" s="197"/>
      <c r="R31" s="2562"/>
      <c r="S31" s="251"/>
      <c r="T31" s="302"/>
      <c r="U31" s="2573"/>
      <c r="V31" s="2573"/>
      <c r="W31" s="2573"/>
      <c r="X31" s="2573"/>
      <c r="Y31" s="2573"/>
      <c r="Z31" s="2573"/>
      <c r="AA31" s="2573"/>
      <c r="AB31" s="302"/>
      <c r="AC31" s="2562"/>
      <c r="AD31" s="2755"/>
      <c r="AE31" s="2755"/>
      <c r="AF31" s="2755"/>
      <c r="AG31" s="2755"/>
      <c r="AH31" s="2755"/>
      <c r="AI31" s="2755"/>
      <c r="AJ31" s="2755"/>
      <c r="AK31" s="2755"/>
      <c r="AL31" s="2562"/>
      <c r="AM31" s="2562"/>
      <c r="AN31" s="2562"/>
      <c r="AO31" s="2562"/>
    </row>
    <row r="32" spans="1:41" ht="15.75" customHeight="1">
      <c r="A32" s="197"/>
      <c r="B32" s="197"/>
      <c r="C32" s="197"/>
      <c r="D32" s="197"/>
      <c r="E32" s="197"/>
      <c r="F32" s="197"/>
      <c r="G32" s="197"/>
      <c r="H32" s="197"/>
      <c r="I32" s="197"/>
      <c r="J32" s="197"/>
      <c r="K32" s="197">
        <v>175.648</v>
      </c>
      <c r="L32" s="197"/>
      <c r="M32" s="228"/>
      <c r="N32" s="543"/>
      <c r="O32" s="197"/>
      <c r="P32" s="197"/>
      <c r="Q32" s="197"/>
      <c r="R32" s="2562"/>
      <c r="S32" s="251"/>
      <c r="T32" s="2572"/>
      <c r="U32" s="237"/>
      <c r="V32" s="237"/>
      <c r="W32" s="237"/>
      <c r="X32" s="237"/>
      <c r="Y32" s="237"/>
      <c r="Z32" s="237"/>
      <c r="AA32" s="237"/>
      <c r="AB32" s="2572"/>
      <c r="AC32" s="2562"/>
      <c r="AD32" s="2562"/>
      <c r="AE32" s="2562"/>
      <c r="AF32" s="2562"/>
      <c r="AG32" s="2562"/>
      <c r="AH32" s="2562"/>
      <c r="AI32" s="2562"/>
      <c r="AJ32" s="2562"/>
      <c r="AK32" s="2562"/>
      <c r="AL32" s="2562"/>
      <c r="AM32" s="2562"/>
      <c r="AN32" s="2562"/>
      <c r="AO32" s="2562"/>
    </row>
    <row r="33" spans="1:41" ht="15.5">
      <c r="A33" s="197"/>
      <c r="B33" s="197"/>
      <c r="C33" s="197"/>
      <c r="D33" s="197"/>
      <c r="E33" s="197"/>
      <c r="F33" s="197"/>
      <c r="G33" s="197"/>
      <c r="H33" s="197"/>
      <c r="I33" s="197"/>
      <c r="J33" s="197"/>
      <c r="K33" s="197"/>
      <c r="L33" s="197"/>
      <c r="M33" s="228"/>
      <c r="N33" s="543"/>
      <c r="O33" s="197"/>
      <c r="P33" s="197"/>
      <c r="Q33" s="197"/>
      <c r="R33" s="2562"/>
      <c r="S33" s="251"/>
      <c r="T33" s="2572"/>
      <c r="U33" s="237"/>
      <c r="V33" s="237"/>
      <c r="W33" s="237"/>
      <c r="X33" s="237"/>
      <c r="Y33" s="237"/>
      <c r="Z33" s="237"/>
      <c r="AA33" s="237"/>
      <c r="AB33" s="2572"/>
      <c r="AC33" s="2562"/>
      <c r="AD33" s="2562"/>
      <c r="AE33" s="2562"/>
      <c r="AF33" s="2562"/>
      <c r="AG33" s="2562"/>
      <c r="AH33" s="2562"/>
      <c r="AI33" s="2562"/>
      <c r="AJ33" s="2562"/>
      <c r="AK33" s="2562"/>
      <c r="AL33" s="2562"/>
      <c r="AM33" s="2562"/>
      <c r="AN33" s="2562"/>
      <c r="AO33" s="2562"/>
    </row>
    <row r="34" spans="1:41" ht="15.5">
      <c r="A34" s="197"/>
      <c r="B34" s="197"/>
      <c r="C34" s="197"/>
      <c r="D34" s="197"/>
      <c r="E34" s="197"/>
      <c r="F34" s="197"/>
      <c r="G34" s="197"/>
      <c r="H34" s="197"/>
      <c r="I34" s="197"/>
      <c r="J34" s="197"/>
      <c r="K34" s="197"/>
      <c r="L34" s="197"/>
      <c r="M34" s="228"/>
      <c r="N34" s="543"/>
      <c r="O34" s="197"/>
      <c r="P34" s="197"/>
      <c r="Q34" s="197"/>
      <c r="R34" s="2562"/>
      <c r="S34" s="251"/>
      <c r="T34" s="2572"/>
      <c r="U34" s="237"/>
      <c r="V34" s="237"/>
      <c r="W34" s="237"/>
      <c r="X34" s="237"/>
      <c r="Y34" s="237"/>
      <c r="Z34" s="237"/>
      <c r="AA34" s="237"/>
      <c r="AB34" s="2572"/>
      <c r="AC34" s="2562"/>
      <c r="AD34" s="2562"/>
      <c r="AE34" s="2562"/>
      <c r="AF34" s="2562"/>
      <c r="AG34" s="2562"/>
      <c r="AH34" s="2562"/>
      <c r="AI34" s="2562"/>
      <c r="AJ34" s="2562"/>
      <c r="AK34" s="2562"/>
      <c r="AL34" s="2562"/>
      <c r="AM34" s="2562"/>
      <c r="AN34" s="2562"/>
      <c r="AO34" s="2562"/>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52" priority="1" operator="equal">
      <formula>0</formula>
    </cfRule>
  </conditionalFormatting>
  <dataValidations count="1">
    <dataValidation type="custom" allowBlank="1" showErrorMessage="1" errorTitle="Input Error" error="Please input a numeric value." sqref="AE8:AK12 AE16:AK19 AE27:AK28 E16:K19 E8:K12 E27:K28"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Normal="100" zoomScaleSheetLayoutView="100" workbookViewId="0">
      <selection activeCell="E27" sqref="E27"/>
    </sheetView>
  </sheetViews>
  <sheetFormatPr defaultColWidth="9" defaultRowHeight="14.5"/>
  <cols>
    <col min="1" max="1" width="1.58203125" style="17" customWidth="1"/>
    <col min="2" max="2" width="36.08203125" style="17" customWidth="1"/>
    <col min="3" max="3" width="12.5" style="17" customWidth="1"/>
    <col min="4" max="4" width="18" style="17" customWidth="1"/>
    <col min="5" max="5" width="12.5" style="17" customWidth="1"/>
    <col min="6" max="6" width="1.58203125" style="17" customWidth="1"/>
    <col min="7" max="7" width="12.5" style="20" customWidth="1"/>
    <col min="8" max="8" width="1.58203125" style="17" customWidth="1"/>
    <col min="9" max="9" width="33.58203125" style="17" customWidth="1"/>
    <col min="10" max="11" width="1.58203125" style="17" customWidth="1"/>
    <col min="12" max="12" width="20.58203125" style="17" customWidth="1"/>
    <col min="13" max="13" width="1.58203125" style="17" customWidth="1"/>
    <col min="14" max="14" width="6.08203125" style="17" hidden="1" customWidth="1"/>
    <col min="15" max="15" width="6.5" style="17" hidden="1" customWidth="1"/>
    <col min="16" max="16" width="7.58203125" style="17" hidden="1" customWidth="1"/>
    <col min="17" max="17" width="1.58203125" style="17" hidden="1" customWidth="1"/>
    <col min="18" max="18" width="1.58203125" style="17" customWidth="1"/>
    <col min="19" max="16384" width="9" style="17"/>
  </cols>
  <sheetData>
    <row r="1" spans="1:26" ht="29.25" customHeight="1">
      <c r="A1" s="2562"/>
      <c r="B1" s="2771" t="s">
        <v>4296</v>
      </c>
      <c r="C1" s="2771"/>
      <c r="D1" s="2771"/>
      <c r="E1" s="627"/>
      <c r="F1" s="2562"/>
      <c r="G1" s="2570"/>
      <c r="H1" s="2562"/>
      <c r="I1" s="2562"/>
      <c r="J1" s="2562"/>
      <c r="K1" s="2578"/>
      <c r="L1" s="2562"/>
      <c r="M1" s="2578"/>
      <c r="N1" s="2562"/>
      <c r="O1" s="2562"/>
      <c r="P1" s="2562"/>
      <c r="Q1" s="2578"/>
      <c r="R1" s="2562"/>
      <c r="S1" s="2562"/>
      <c r="T1" s="2562"/>
      <c r="U1" s="2562"/>
      <c r="V1" s="2562"/>
      <c r="W1" s="2562"/>
      <c r="X1" s="2562"/>
      <c r="Y1" s="2562"/>
      <c r="Z1" s="2562"/>
    </row>
    <row r="2" spans="1:26" ht="29.25" customHeight="1">
      <c r="A2" s="2562"/>
      <c r="B2" s="2771" t="str">
        <f>SelectCompany!B4</f>
        <v>Yorkshire Water</v>
      </c>
      <c r="C2" s="2771"/>
      <c r="D2" s="2771"/>
      <c r="E2" s="491"/>
      <c r="F2" s="2562"/>
      <c r="G2" s="2570"/>
      <c r="H2" s="2562"/>
      <c r="I2" s="2562"/>
      <c r="J2" s="2562"/>
      <c r="K2" s="2578"/>
      <c r="L2" s="2562"/>
      <c r="M2" s="2578"/>
      <c r="N2" s="2562"/>
      <c r="O2" s="2562"/>
      <c r="P2" s="2562"/>
      <c r="Q2" s="2578"/>
      <c r="R2" s="2562"/>
      <c r="S2" s="2562"/>
      <c r="T2" s="2562"/>
      <c r="U2" s="2562"/>
      <c r="V2" s="2562"/>
      <c r="W2" s="2562"/>
      <c r="X2" s="2562"/>
      <c r="Y2" s="2562"/>
      <c r="Z2" s="2562"/>
    </row>
    <row r="3" spans="1:26" ht="45" customHeight="1">
      <c r="A3" s="2562"/>
      <c r="B3" s="2781" t="s">
        <v>4297</v>
      </c>
      <c r="C3" s="2781"/>
      <c r="D3" s="2781"/>
      <c r="E3" s="2781"/>
      <c r="F3" s="2781"/>
      <c r="G3" s="2781"/>
      <c r="H3" s="2781"/>
      <c r="I3" s="2781"/>
      <c r="J3" s="2562"/>
      <c r="K3" s="2578"/>
      <c r="L3" s="387" t="s">
        <v>1889</v>
      </c>
      <c r="M3" s="2578"/>
      <c r="N3" s="2562"/>
      <c r="O3" s="2562"/>
      <c r="P3" s="2562"/>
      <c r="Q3" s="2578"/>
      <c r="R3" s="2562"/>
      <c r="S3" s="2562"/>
      <c r="T3" s="2562"/>
      <c r="U3" s="2562"/>
      <c r="V3" s="2562"/>
      <c r="W3" s="2562"/>
      <c r="X3" s="2562"/>
      <c r="Y3" s="2562"/>
      <c r="Z3" s="2562"/>
    </row>
    <row r="4" spans="1:26" ht="15" customHeight="1" thickBot="1">
      <c r="A4" s="2562"/>
      <c r="B4" s="442"/>
      <c r="C4" s="442"/>
      <c r="D4" s="442"/>
      <c r="E4" s="442"/>
      <c r="F4" s="2562"/>
      <c r="G4" s="661"/>
      <c r="H4" s="2562"/>
      <c r="I4" s="2562"/>
      <c r="J4" s="2562"/>
      <c r="K4" s="2578"/>
      <c r="L4" s="2562"/>
      <c r="M4" s="662"/>
      <c r="N4" s="2662" t="s">
        <v>1890</v>
      </c>
      <c r="O4" s="2662"/>
      <c r="P4" s="2662"/>
      <c r="Q4" s="2578"/>
      <c r="R4" s="2562"/>
      <c r="S4" s="2562"/>
      <c r="T4" s="2562"/>
      <c r="U4" s="2562"/>
      <c r="V4" s="2562"/>
      <c r="W4" s="2562"/>
      <c r="X4" s="2562"/>
      <c r="Y4" s="2562"/>
      <c r="Z4" s="2562"/>
    </row>
    <row r="5" spans="1:26" ht="15.75" customHeight="1" thickTop="1">
      <c r="A5" s="197"/>
      <c r="B5" s="556" t="s">
        <v>1891</v>
      </c>
      <c r="C5" s="574" t="s">
        <v>4298</v>
      </c>
      <c r="D5" s="574" t="s">
        <v>1909</v>
      </c>
      <c r="E5" s="575" t="s">
        <v>1902</v>
      </c>
      <c r="F5" s="197"/>
      <c r="G5" s="2763" t="s">
        <v>1896</v>
      </c>
      <c r="H5" s="197"/>
      <c r="I5" s="2763" t="s">
        <v>1897</v>
      </c>
      <c r="J5" s="197"/>
      <c r="K5" s="2578"/>
      <c r="L5" s="2562"/>
      <c r="M5" s="2577"/>
      <c r="N5" s="236" t="s">
        <v>1898</v>
      </c>
      <c r="O5" s="2572"/>
      <c r="P5" s="2572"/>
      <c r="Q5" s="2578"/>
      <c r="R5" s="2562"/>
      <c r="S5" s="2562"/>
      <c r="T5" s="2562"/>
      <c r="U5" s="2562"/>
      <c r="V5" s="2562"/>
      <c r="W5" s="2562"/>
      <c r="X5" s="2562"/>
      <c r="Y5" s="2562"/>
      <c r="Z5" s="2562"/>
    </row>
    <row r="6" spans="1:26" ht="15.75" customHeight="1">
      <c r="A6" s="197"/>
      <c r="B6" s="391" t="s">
        <v>1892</v>
      </c>
      <c r="C6" s="389" t="s">
        <v>4299</v>
      </c>
      <c r="D6" s="389" t="s">
        <v>137</v>
      </c>
      <c r="E6" s="390" t="s">
        <v>137</v>
      </c>
      <c r="F6" s="197"/>
      <c r="G6" s="2764"/>
      <c r="H6" s="197"/>
      <c r="I6" s="2764"/>
      <c r="J6" s="197"/>
      <c r="K6" s="2578"/>
      <c r="L6" s="2562"/>
      <c r="M6" s="2577"/>
      <c r="N6" s="236"/>
      <c r="O6" s="2572"/>
      <c r="P6" s="2572"/>
      <c r="Q6" s="2578"/>
      <c r="R6" s="2562"/>
      <c r="S6" s="2562"/>
      <c r="T6" s="2562"/>
      <c r="U6" s="2562"/>
      <c r="V6" s="2562"/>
      <c r="W6" s="2562"/>
      <c r="X6" s="2562"/>
      <c r="Y6" s="2562"/>
      <c r="Z6" s="2562"/>
    </row>
    <row r="7" spans="1:26" ht="15.75" customHeight="1" thickBot="1">
      <c r="A7" s="197"/>
      <c r="B7" s="392" t="s">
        <v>136</v>
      </c>
      <c r="C7" s="238">
        <v>3</v>
      </c>
      <c r="D7" s="238">
        <v>3</v>
      </c>
      <c r="E7" s="576">
        <v>3</v>
      </c>
      <c r="F7" s="197"/>
      <c r="G7" s="2765"/>
      <c r="H7" s="197"/>
      <c r="I7" s="2765"/>
      <c r="J7" s="197"/>
      <c r="K7" s="2578"/>
      <c r="L7" s="2562"/>
      <c r="M7" s="2577"/>
      <c r="N7" s="2572"/>
      <c r="O7" s="2572"/>
      <c r="P7" s="2572"/>
      <c r="Q7" s="2578"/>
      <c r="R7" s="2562"/>
      <c r="S7" s="2562"/>
      <c r="T7" s="2562"/>
      <c r="U7" s="2562"/>
      <c r="V7" s="2562"/>
      <c r="W7" s="2562"/>
      <c r="X7" s="2562"/>
      <c r="Y7" s="2562"/>
      <c r="Z7" s="2562"/>
    </row>
    <row r="8" spans="1:26" ht="15.75" customHeight="1" thickTop="1" thickBot="1">
      <c r="A8" s="197"/>
      <c r="B8" s="663"/>
      <c r="C8" s="83"/>
      <c r="D8" s="83"/>
      <c r="E8" s="83"/>
      <c r="F8" s="197"/>
      <c r="G8" s="444"/>
      <c r="H8" s="197"/>
      <c r="I8" s="197"/>
      <c r="J8" s="197"/>
      <c r="K8" s="2578"/>
      <c r="L8" s="2562"/>
      <c r="M8" s="2578"/>
      <c r="N8" s="2562"/>
      <c r="O8" s="2562"/>
      <c r="P8" s="2562"/>
      <c r="Q8" s="2578"/>
      <c r="R8" s="2562"/>
      <c r="S8" s="2562"/>
      <c r="T8" s="2562"/>
      <c r="U8" s="2562"/>
      <c r="V8" s="2562"/>
      <c r="W8" s="2562"/>
      <c r="X8" s="2562"/>
      <c r="Y8" s="2562"/>
      <c r="Z8" s="2562"/>
    </row>
    <row r="9" spans="1:26" ht="15.75" customHeight="1" thickTop="1" thickBot="1">
      <c r="A9" s="197"/>
      <c r="B9" s="355" t="s">
        <v>4300</v>
      </c>
      <c r="C9" s="444"/>
      <c r="D9" s="444"/>
      <c r="E9" s="664"/>
      <c r="F9" s="197"/>
      <c r="G9" s="651"/>
      <c r="H9" s="197"/>
      <c r="I9" s="197"/>
      <c r="J9" s="197"/>
      <c r="K9" s="2578"/>
      <c r="L9" s="2562"/>
      <c r="M9" s="665"/>
      <c r="N9" s="236"/>
      <c r="O9" s="237"/>
      <c r="P9" s="237"/>
      <c r="Q9" s="2578"/>
      <c r="R9" s="2562"/>
      <c r="S9" s="2562"/>
      <c r="T9" s="2562"/>
      <c r="U9" s="2562"/>
      <c r="V9" s="2562"/>
      <c r="W9" s="2562"/>
      <c r="X9" s="2562"/>
      <c r="Y9" s="2562"/>
      <c r="Z9" s="2562"/>
    </row>
    <row r="10" spans="1:26" ht="15.75" customHeight="1" thickTop="1">
      <c r="A10" s="197"/>
      <c r="B10" s="666" t="s">
        <v>4301</v>
      </c>
      <c r="C10" s="2446">
        <v>93.400844492460337</v>
      </c>
      <c r="D10" s="2446">
        <v>0</v>
      </c>
      <c r="E10" s="2447">
        <v>0.11783834</v>
      </c>
      <c r="F10" s="197"/>
      <c r="G10" s="248" t="s">
        <v>4302</v>
      </c>
      <c r="H10" s="197"/>
      <c r="I10" s="250" t="s">
        <v>4303</v>
      </c>
      <c r="J10" s="197"/>
      <c r="K10" s="2578"/>
      <c r="L10" s="251">
        <f>IF( SUM( N10:P10 ) = 0, 0, $N$5 )</f>
        <v>0</v>
      </c>
      <c r="M10" s="667"/>
      <c r="N10" s="252">
        <f t="shared" ref="N10" si="0" xml:space="preserve"> IF( ISNUMBER( C10 ), 0, 1 )</f>
        <v>0</v>
      </c>
      <c r="O10" s="252">
        <f t="shared" ref="O10:O34" si="1" xml:space="preserve"> IF( ISNUMBER( D10 ), 0, 1 )</f>
        <v>0</v>
      </c>
      <c r="P10" s="252">
        <f t="shared" ref="P10:P34" si="2" xml:space="preserve"> IF( ISNUMBER( E10 ), 0, 1 )</f>
        <v>0</v>
      </c>
      <c r="Q10" s="2578"/>
      <c r="R10" s="2562"/>
      <c r="S10" s="2562"/>
      <c r="T10" s="2562"/>
      <c r="U10" s="2562"/>
      <c r="V10" s="2562"/>
      <c r="W10" s="2562"/>
      <c r="X10" s="2562"/>
      <c r="Y10" s="2562"/>
      <c r="Z10" s="2562"/>
    </row>
    <row r="11" spans="1:26" ht="15.75" customHeight="1">
      <c r="A11" s="197"/>
      <c r="B11" s="668" t="s">
        <v>4304</v>
      </c>
      <c r="C11" s="2448">
        <v>0.31470056756827308</v>
      </c>
      <c r="D11" s="2448">
        <v>0</v>
      </c>
      <c r="E11" s="2449">
        <v>2.16E-3</v>
      </c>
      <c r="F11" s="197"/>
      <c r="G11" s="257" t="s">
        <v>4305</v>
      </c>
      <c r="H11" s="197"/>
      <c r="I11" s="2450" t="s">
        <v>4306</v>
      </c>
      <c r="J11" s="197"/>
      <c r="K11" s="2578"/>
      <c r="L11" s="251">
        <f t="shared" ref="L11:L34" si="3">IF( SUM( N11:P11 ) = 0, 0, $N$5 )</f>
        <v>0</v>
      </c>
      <c r="M11" s="2578"/>
      <c r="N11" s="252">
        <f t="shared" ref="N11:N34" si="4" xml:space="preserve"> IF( ISNUMBER( C11 ), 0, 1 )</f>
        <v>0</v>
      </c>
      <c r="O11" s="252">
        <f t="shared" si="1"/>
        <v>0</v>
      </c>
      <c r="P11" s="252">
        <f t="shared" si="2"/>
        <v>0</v>
      </c>
      <c r="Q11" s="2578"/>
      <c r="R11" s="2562"/>
      <c r="S11" s="2562"/>
      <c r="T11" s="2562"/>
      <c r="U11" s="2562"/>
      <c r="V11" s="2562"/>
      <c r="W11" s="2562"/>
      <c r="X11" s="2562"/>
      <c r="Y11" s="2562"/>
      <c r="Z11" s="2562"/>
    </row>
    <row r="12" spans="1:26" ht="15.75" customHeight="1">
      <c r="A12" s="197"/>
      <c r="B12" s="668" t="s">
        <v>4307</v>
      </c>
      <c r="C12" s="2448">
        <v>280.70299999999997</v>
      </c>
      <c r="D12" s="2448">
        <v>0</v>
      </c>
      <c r="E12" s="2449">
        <v>0.31714999999999999</v>
      </c>
      <c r="F12" s="197"/>
      <c r="G12" s="257" t="s">
        <v>4308</v>
      </c>
      <c r="H12" s="197"/>
      <c r="I12" s="258" t="s">
        <v>4309</v>
      </c>
      <c r="J12" s="197"/>
      <c r="K12" s="2578"/>
      <c r="L12" s="251">
        <f t="shared" si="3"/>
        <v>0</v>
      </c>
      <c r="M12" s="667"/>
      <c r="N12" s="252">
        <f t="shared" si="4"/>
        <v>0</v>
      </c>
      <c r="O12" s="252">
        <f t="shared" si="1"/>
        <v>0</v>
      </c>
      <c r="P12" s="252">
        <f t="shared" si="2"/>
        <v>0</v>
      </c>
      <c r="Q12" s="2578"/>
      <c r="R12" s="2562"/>
      <c r="S12" s="2562"/>
      <c r="T12" s="2562"/>
      <c r="U12" s="2562"/>
      <c r="V12" s="2562"/>
      <c r="W12" s="2562"/>
      <c r="X12" s="2562"/>
      <c r="Y12" s="2562"/>
      <c r="Z12" s="2562"/>
    </row>
    <row r="13" spans="1:26" ht="15.75" customHeight="1">
      <c r="A13" s="197"/>
      <c r="B13" s="668" t="s">
        <v>4310</v>
      </c>
      <c r="C13" s="2448">
        <v>1.5479999999999989</v>
      </c>
      <c r="D13" s="2448">
        <v>0</v>
      </c>
      <c r="E13" s="2449">
        <v>2.4141312000000004E-3</v>
      </c>
      <c r="F13" s="669"/>
      <c r="G13" s="257" t="s">
        <v>4311</v>
      </c>
      <c r="H13" s="197"/>
      <c r="I13" s="258" t="s">
        <v>4312</v>
      </c>
      <c r="J13" s="197"/>
      <c r="K13" s="2578"/>
      <c r="L13" s="251">
        <f t="shared" si="3"/>
        <v>0</v>
      </c>
      <c r="M13" s="2578"/>
      <c r="N13" s="252">
        <f t="shared" si="4"/>
        <v>0</v>
      </c>
      <c r="O13" s="252">
        <f t="shared" si="1"/>
        <v>0</v>
      </c>
      <c r="P13" s="252">
        <f t="shared" si="2"/>
        <v>0</v>
      </c>
      <c r="Q13" s="2578"/>
      <c r="R13" s="2562"/>
      <c r="S13" s="2562"/>
      <c r="T13" s="2562"/>
      <c r="U13" s="2562"/>
      <c r="V13" s="2562"/>
      <c r="W13" s="2562"/>
      <c r="X13" s="2562"/>
      <c r="Y13" s="2562"/>
      <c r="Z13" s="2562"/>
    </row>
    <row r="14" spans="1:26" ht="15.75" customHeight="1">
      <c r="A14" s="197"/>
      <c r="B14" s="668" t="s">
        <v>4313</v>
      </c>
      <c r="C14" s="2448">
        <v>6.0000000000000026E-2</v>
      </c>
      <c r="D14" s="2448">
        <v>0</v>
      </c>
      <c r="E14" s="2449">
        <v>9.7617600000000012E-5</v>
      </c>
      <c r="F14" s="669"/>
      <c r="G14" s="257" t="s">
        <v>4314</v>
      </c>
      <c r="H14" s="197"/>
      <c r="I14" s="258" t="s">
        <v>4315</v>
      </c>
      <c r="J14" s="197"/>
      <c r="K14" s="2578"/>
      <c r="L14" s="251">
        <f t="shared" si="3"/>
        <v>0</v>
      </c>
      <c r="M14" s="2578"/>
      <c r="N14" s="252">
        <f t="shared" si="4"/>
        <v>0</v>
      </c>
      <c r="O14" s="252">
        <f t="shared" si="1"/>
        <v>0</v>
      </c>
      <c r="P14" s="252">
        <f t="shared" si="2"/>
        <v>0</v>
      </c>
      <c r="Q14" s="2578"/>
      <c r="R14" s="2562"/>
      <c r="S14" s="2562"/>
      <c r="T14" s="2562"/>
      <c r="U14" s="2562"/>
      <c r="V14" s="2562"/>
      <c r="W14" s="2562"/>
      <c r="X14" s="2562"/>
      <c r="Y14" s="2562"/>
      <c r="Z14" s="2562"/>
    </row>
    <row r="15" spans="1:26" ht="15.75" customHeight="1">
      <c r="A15" s="197"/>
      <c r="B15" s="668" t="s">
        <v>4316</v>
      </c>
      <c r="C15" s="2448">
        <v>0</v>
      </c>
      <c r="D15" s="2448">
        <v>0</v>
      </c>
      <c r="E15" s="2449">
        <v>0</v>
      </c>
      <c r="F15" s="669"/>
      <c r="G15" s="257" t="s">
        <v>4317</v>
      </c>
      <c r="H15" s="197"/>
      <c r="I15" s="258"/>
      <c r="J15" s="197"/>
      <c r="K15" s="2578"/>
      <c r="L15" s="251">
        <f t="shared" si="3"/>
        <v>0</v>
      </c>
      <c r="M15" s="2578"/>
      <c r="N15" s="252">
        <f t="shared" si="4"/>
        <v>0</v>
      </c>
      <c r="O15" s="252">
        <f t="shared" si="1"/>
        <v>0</v>
      </c>
      <c r="P15" s="252">
        <f t="shared" si="2"/>
        <v>0</v>
      </c>
      <c r="Q15" s="2578"/>
      <c r="R15" s="2562"/>
      <c r="S15" s="2562"/>
      <c r="T15" s="2562"/>
      <c r="U15" s="2562"/>
      <c r="V15" s="2562"/>
      <c r="W15" s="2562"/>
      <c r="X15" s="2562"/>
      <c r="Y15" s="2562"/>
      <c r="Z15" s="2562"/>
    </row>
    <row r="16" spans="1:26" ht="15.75" customHeight="1">
      <c r="A16" s="197"/>
      <c r="B16" s="668" t="s">
        <v>4318</v>
      </c>
      <c r="C16" s="2448">
        <v>0</v>
      </c>
      <c r="D16" s="2448">
        <v>0</v>
      </c>
      <c r="E16" s="2449">
        <v>0</v>
      </c>
      <c r="F16" s="669"/>
      <c r="G16" s="257" t="s">
        <v>4319</v>
      </c>
      <c r="H16" s="197"/>
      <c r="I16" s="258"/>
      <c r="J16" s="197"/>
      <c r="K16" s="2578"/>
      <c r="L16" s="251">
        <f t="shared" si="3"/>
        <v>0</v>
      </c>
      <c r="M16" s="2578"/>
      <c r="N16" s="252">
        <f t="shared" si="4"/>
        <v>0</v>
      </c>
      <c r="O16" s="252">
        <f t="shared" si="1"/>
        <v>0</v>
      </c>
      <c r="P16" s="252">
        <f t="shared" si="2"/>
        <v>0</v>
      </c>
      <c r="Q16" s="2578"/>
      <c r="R16" s="2562"/>
      <c r="S16" s="2562"/>
      <c r="T16" s="2562"/>
      <c r="U16" s="2562"/>
      <c r="V16" s="2562"/>
      <c r="W16" s="2562"/>
      <c r="X16" s="2562"/>
      <c r="Y16" s="2562"/>
      <c r="Z16" s="2562"/>
    </row>
    <row r="17" spans="1:26" ht="15.75" customHeight="1">
      <c r="A17" s="197"/>
      <c r="B17" s="668" t="s">
        <v>4320</v>
      </c>
      <c r="C17" s="2448">
        <v>0</v>
      </c>
      <c r="D17" s="2448">
        <v>0</v>
      </c>
      <c r="E17" s="2449">
        <v>0</v>
      </c>
      <c r="F17" s="669"/>
      <c r="G17" s="257" t="s">
        <v>4321</v>
      </c>
      <c r="H17" s="197"/>
      <c r="I17" s="258"/>
      <c r="J17" s="197"/>
      <c r="K17" s="2578"/>
      <c r="L17" s="251">
        <f t="shared" si="3"/>
        <v>0</v>
      </c>
      <c r="M17" s="2578"/>
      <c r="N17" s="252">
        <f t="shared" si="4"/>
        <v>0</v>
      </c>
      <c r="O17" s="252">
        <f t="shared" si="1"/>
        <v>0</v>
      </c>
      <c r="P17" s="252">
        <f t="shared" si="2"/>
        <v>0</v>
      </c>
      <c r="Q17" s="2578"/>
      <c r="R17" s="2562"/>
      <c r="S17" s="2562"/>
      <c r="T17" s="2562"/>
      <c r="U17" s="2562"/>
      <c r="V17" s="2562"/>
      <c r="W17" s="2562"/>
      <c r="X17" s="2562"/>
      <c r="Y17" s="2562"/>
      <c r="Z17" s="2562"/>
    </row>
    <row r="18" spans="1:26" ht="15.75" customHeight="1">
      <c r="A18" s="197"/>
      <c r="B18" s="668" t="s">
        <v>4322</v>
      </c>
      <c r="C18" s="2448">
        <v>0</v>
      </c>
      <c r="D18" s="2448">
        <v>0</v>
      </c>
      <c r="E18" s="2449">
        <v>0</v>
      </c>
      <c r="F18" s="669"/>
      <c r="G18" s="257" t="s">
        <v>4323</v>
      </c>
      <c r="H18" s="197"/>
      <c r="I18" s="258"/>
      <c r="J18" s="197"/>
      <c r="K18" s="2578"/>
      <c r="L18" s="251">
        <f t="shared" si="3"/>
        <v>0</v>
      </c>
      <c r="M18" s="2578"/>
      <c r="N18" s="252">
        <f t="shared" si="4"/>
        <v>0</v>
      </c>
      <c r="O18" s="252">
        <f t="shared" si="1"/>
        <v>0</v>
      </c>
      <c r="P18" s="252">
        <f t="shared" si="2"/>
        <v>0</v>
      </c>
      <c r="Q18" s="2578"/>
      <c r="R18" s="2562"/>
      <c r="S18" s="2562"/>
      <c r="T18" s="2562"/>
      <c r="U18" s="2562"/>
      <c r="V18" s="2562"/>
      <c r="W18" s="2562"/>
      <c r="X18" s="2562"/>
      <c r="Y18" s="2562"/>
      <c r="Z18" s="2562"/>
    </row>
    <row r="19" spans="1:26" ht="15.75" customHeight="1">
      <c r="A19" s="197"/>
      <c r="B19" s="668" t="s">
        <v>4324</v>
      </c>
      <c r="C19" s="2448">
        <v>0</v>
      </c>
      <c r="D19" s="2448">
        <v>0</v>
      </c>
      <c r="E19" s="2449">
        <v>0</v>
      </c>
      <c r="F19" s="669"/>
      <c r="G19" s="257" t="s">
        <v>4325</v>
      </c>
      <c r="H19" s="197"/>
      <c r="I19" s="258"/>
      <c r="J19" s="197"/>
      <c r="K19" s="2578"/>
      <c r="L19" s="251">
        <f t="shared" si="3"/>
        <v>0</v>
      </c>
      <c r="M19" s="2578"/>
      <c r="N19" s="252">
        <f t="shared" si="4"/>
        <v>0</v>
      </c>
      <c r="O19" s="252">
        <f t="shared" si="1"/>
        <v>0</v>
      </c>
      <c r="P19" s="252">
        <f t="shared" si="2"/>
        <v>0</v>
      </c>
      <c r="Q19" s="2578"/>
      <c r="R19" s="2562"/>
      <c r="S19" s="2562"/>
      <c r="T19" s="2562"/>
      <c r="U19" s="2562"/>
      <c r="V19" s="2562"/>
      <c r="W19" s="2562"/>
      <c r="X19" s="2562"/>
      <c r="Y19" s="2562"/>
      <c r="Z19" s="2562"/>
    </row>
    <row r="20" spans="1:26" ht="15.75" customHeight="1">
      <c r="A20" s="197"/>
      <c r="B20" s="668" t="s">
        <v>4326</v>
      </c>
      <c r="C20" s="2448">
        <v>0</v>
      </c>
      <c r="D20" s="2448">
        <v>0</v>
      </c>
      <c r="E20" s="2449">
        <v>0</v>
      </c>
      <c r="F20" s="669"/>
      <c r="G20" s="257" t="s">
        <v>4327</v>
      </c>
      <c r="H20" s="197"/>
      <c r="I20" s="258"/>
      <c r="J20" s="197"/>
      <c r="K20" s="2578"/>
      <c r="L20" s="251">
        <f t="shared" si="3"/>
        <v>0</v>
      </c>
      <c r="M20" s="2578"/>
      <c r="N20" s="252">
        <f t="shared" si="4"/>
        <v>0</v>
      </c>
      <c r="O20" s="252">
        <f t="shared" si="1"/>
        <v>0</v>
      </c>
      <c r="P20" s="252">
        <f t="shared" si="2"/>
        <v>0</v>
      </c>
      <c r="Q20" s="2578"/>
      <c r="R20" s="2562"/>
      <c r="S20" s="2562"/>
      <c r="T20" s="2562"/>
      <c r="U20" s="2562"/>
      <c r="V20" s="2562"/>
      <c r="W20" s="2562"/>
      <c r="X20" s="2562"/>
      <c r="Y20" s="2562"/>
      <c r="Z20" s="2562"/>
    </row>
    <row r="21" spans="1:26" ht="15.75" customHeight="1">
      <c r="A21" s="197"/>
      <c r="B21" s="668" t="s">
        <v>4328</v>
      </c>
      <c r="C21" s="2448">
        <v>0</v>
      </c>
      <c r="D21" s="2448">
        <v>0</v>
      </c>
      <c r="E21" s="2449">
        <v>0</v>
      </c>
      <c r="F21" s="669"/>
      <c r="G21" s="257" t="s">
        <v>4329</v>
      </c>
      <c r="H21" s="197"/>
      <c r="I21" s="258"/>
      <c r="J21" s="197"/>
      <c r="K21" s="2578"/>
      <c r="L21" s="251">
        <f t="shared" si="3"/>
        <v>0</v>
      </c>
      <c r="M21" s="2578"/>
      <c r="N21" s="252">
        <f t="shared" si="4"/>
        <v>0</v>
      </c>
      <c r="O21" s="252">
        <f t="shared" si="1"/>
        <v>0</v>
      </c>
      <c r="P21" s="252">
        <f t="shared" si="2"/>
        <v>0</v>
      </c>
      <c r="Q21" s="2578"/>
      <c r="R21" s="2562"/>
      <c r="S21" s="2562"/>
      <c r="T21" s="2562"/>
      <c r="U21" s="2562"/>
      <c r="V21" s="2562"/>
      <c r="W21" s="2562"/>
      <c r="X21" s="2562"/>
      <c r="Y21" s="2562"/>
      <c r="Z21" s="2562"/>
    </row>
    <row r="22" spans="1:26" ht="15.75" customHeight="1">
      <c r="A22" s="197"/>
      <c r="B22" s="668" t="s">
        <v>4330</v>
      </c>
      <c r="C22" s="2448">
        <v>0</v>
      </c>
      <c r="D22" s="2448">
        <v>0</v>
      </c>
      <c r="E22" s="2449">
        <v>0</v>
      </c>
      <c r="F22" s="669"/>
      <c r="G22" s="257" t="s">
        <v>4331</v>
      </c>
      <c r="H22" s="197"/>
      <c r="I22" s="258"/>
      <c r="J22" s="197"/>
      <c r="K22" s="2578"/>
      <c r="L22" s="251">
        <f t="shared" si="3"/>
        <v>0</v>
      </c>
      <c r="M22" s="2578"/>
      <c r="N22" s="252">
        <f t="shared" si="4"/>
        <v>0</v>
      </c>
      <c r="O22" s="252">
        <f t="shared" si="1"/>
        <v>0</v>
      </c>
      <c r="P22" s="252">
        <f t="shared" si="2"/>
        <v>0</v>
      </c>
      <c r="Q22" s="2578"/>
      <c r="R22" s="2562"/>
      <c r="S22" s="2562"/>
      <c r="T22" s="2562"/>
      <c r="U22" s="2562"/>
      <c r="V22" s="2562"/>
      <c r="W22" s="2562"/>
      <c r="X22" s="2562"/>
      <c r="Y22" s="2562"/>
      <c r="Z22" s="2562"/>
    </row>
    <row r="23" spans="1:26" ht="15.75" customHeight="1">
      <c r="A23" s="197"/>
      <c r="B23" s="668" t="s">
        <v>4332</v>
      </c>
      <c r="C23" s="2448">
        <v>0</v>
      </c>
      <c r="D23" s="2448">
        <v>0</v>
      </c>
      <c r="E23" s="2449">
        <v>0</v>
      </c>
      <c r="F23" s="669"/>
      <c r="G23" s="257" t="s">
        <v>4333</v>
      </c>
      <c r="H23" s="197"/>
      <c r="I23" s="258"/>
      <c r="J23" s="197"/>
      <c r="K23" s="2578"/>
      <c r="L23" s="251">
        <f t="shared" si="3"/>
        <v>0</v>
      </c>
      <c r="M23" s="2578"/>
      <c r="N23" s="252">
        <f t="shared" si="4"/>
        <v>0</v>
      </c>
      <c r="O23" s="252">
        <f t="shared" si="1"/>
        <v>0</v>
      </c>
      <c r="P23" s="252">
        <f t="shared" si="2"/>
        <v>0</v>
      </c>
      <c r="Q23" s="2578"/>
      <c r="R23" s="2562"/>
      <c r="S23" s="2562"/>
      <c r="T23" s="2562"/>
      <c r="U23" s="2562"/>
      <c r="V23" s="2562"/>
      <c r="W23" s="2562"/>
      <c r="X23" s="2562"/>
      <c r="Y23" s="2562"/>
      <c r="Z23" s="2562"/>
    </row>
    <row r="24" spans="1:26" ht="15.75" customHeight="1">
      <c r="A24" s="197"/>
      <c r="B24" s="668" t="s">
        <v>4334</v>
      </c>
      <c r="C24" s="2448">
        <v>0</v>
      </c>
      <c r="D24" s="2448">
        <v>0</v>
      </c>
      <c r="E24" s="2449">
        <v>0</v>
      </c>
      <c r="F24" s="669"/>
      <c r="G24" s="257" t="s">
        <v>4335</v>
      </c>
      <c r="H24" s="197"/>
      <c r="I24" s="258"/>
      <c r="J24" s="197"/>
      <c r="K24" s="2578"/>
      <c r="L24" s="251">
        <f t="shared" si="3"/>
        <v>0</v>
      </c>
      <c r="M24" s="2578"/>
      <c r="N24" s="252">
        <f t="shared" si="4"/>
        <v>0</v>
      </c>
      <c r="O24" s="252">
        <f t="shared" si="1"/>
        <v>0</v>
      </c>
      <c r="P24" s="252">
        <f t="shared" si="2"/>
        <v>0</v>
      </c>
      <c r="Q24" s="2578"/>
      <c r="R24" s="2562"/>
      <c r="S24" s="2562"/>
      <c r="T24" s="2562"/>
      <c r="U24" s="2562"/>
      <c r="V24" s="2562"/>
      <c r="W24" s="2562"/>
      <c r="X24" s="2562"/>
      <c r="Y24" s="2562"/>
      <c r="Z24" s="2562"/>
    </row>
    <row r="25" spans="1:26" ht="15.75" customHeight="1">
      <c r="A25" s="197"/>
      <c r="B25" s="668" t="s">
        <v>4336</v>
      </c>
      <c r="C25" s="2448">
        <v>0</v>
      </c>
      <c r="D25" s="2448">
        <v>0</v>
      </c>
      <c r="E25" s="2449">
        <v>0</v>
      </c>
      <c r="F25" s="669"/>
      <c r="G25" s="257" t="s">
        <v>4337</v>
      </c>
      <c r="H25" s="197"/>
      <c r="I25" s="258"/>
      <c r="J25" s="197"/>
      <c r="K25" s="2578"/>
      <c r="L25" s="251">
        <f t="shared" si="3"/>
        <v>0</v>
      </c>
      <c r="M25" s="2578"/>
      <c r="N25" s="252">
        <f t="shared" si="4"/>
        <v>0</v>
      </c>
      <c r="O25" s="252">
        <f t="shared" si="1"/>
        <v>0</v>
      </c>
      <c r="P25" s="252">
        <f t="shared" si="2"/>
        <v>0</v>
      </c>
      <c r="Q25" s="2578"/>
      <c r="R25" s="2562"/>
      <c r="S25" s="2562"/>
      <c r="T25" s="2562"/>
      <c r="U25" s="2562"/>
      <c r="V25" s="2562"/>
      <c r="W25" s="2562"/>
      <c r="X25" s="2562"/>
      <c r="Y25" s="2562"/>
      <c r="Z25" s="2562"/>
    </row>
    <row r="26" spans="1:26" ht="15.75" customHeight="1">
      <c r="A26" s="197"/>
      <c r="B26" s="668" t="s">
        <v>4338</v>
      </c>
      <c r="C26" s="2448">
        <v>0</v>
      </c>
      <c r="D26" s="2448">
        <v>0</v>
      </c>
      <c r="E26" s="2449">
        <v>0</v>
      </c>
      <c r="F26" s="669"/>
      <c r="G26" s="257" t="s">
        <v>4339</v>
      </c>
      <c r="H26" s="197"/>
      <c r="I26" s="258"/>
      <c r="J26" s="197"/>
      <c r="K26" s="2578"/>
      <c r="L26" s="251">
        <f t="shared" si="3"/>
        <v>0</v>
      </c>
      <c r="M26" s="2578"/>
      <c r="N26" s="252">
        <f t="shared" si="4"/>
        <v>0</v>
      </c>
      <c r="O26" s="252">
        <f t="shared" si="1"/>
        <v>0</v>
      </c>
      <c r="P26" s="252">
        <f t="shared" si="2"/>
        <v>0</v>
      </c>
      <c r="Q26" s="2578"/>
      <c r="R26" s="2562"/>
      <c r="S26" s="2562"/>
      <c r="T26" s="2562"/>
      <c r="U26" s="2562"/>
      <c r="V26" s="2562"/>
      <c r="W26" s="2562"/>
      <c r="X26" s="2562"/>
      <c r="Y26" s="2562"/>
      <c r="Z26" s="2562"/>
    </row>
    <row r="27" spans="1:26" ht="15.75" customHeight="1">
      <c r="A27" s="197"/>
      <c r="B27" s="668" t="s">
        <v>4340</v>
      </c>
      <c r="C27" s="2448">
        <v>0</v>
      </c>
      <c r="D27" s="2448">
        <v>0</v>
      </c>
      <c r="E27" s="2449">
        <v>0</v>
      </c>
      <c r="F27" s="669"/>
      <c r="G27" s="257" t="s">
        <v>4341</v>
      </c>
      <c r="H27" s="197"/>
      <c r="I27" s="258"/>
      <c r="J27" s="197"/>
      <c r="K27" s="2578"/>
      <c r="L27" s="251">
        <f t="shared" si="3"/>
        <v>0</v>
      </c>
      <c r="M27" s="2578"/>
      <c r="N27" s="252">
        <f t="shared" si="4"/>
        <v>0</v>
      </c>
      <c r="O27" s="252">
        <f t="shared" si="1"/>
        <v>0</v>
      </c>
      <c r="P27" s="252">
        <f t="shared" si="2"/>
        <v>0</v>
      </c>
      <c r="Q27" s="2578"/>
      <c r="R27" s="2562"/>
      <c r="S27" s="2562"/>
      <c r="T27" s="2562"/>
      <c r="U27" s="2562"/>
      <c r="V27" s="2562"/>
      <c r="W27" s="2562"/>
      <c r="X27" s="2562"/>
      <c r="Y27" s="2562"/>
      <c r="Z27" s="2562"/>
    </row>
    <row r="28" spans="1:26" ht="15.75" customHeight="1">
      <c r="A28" s="197"/>
      <c r="B28" s="668" t="s">
        <v>4342</v>
      </c>
      <c r="C28" s="2448">
        <v>0</v>
      </c>
      <c r="D28" s="2448">
        <v>0</v>
      </c>
      <c r="E28" s="2449">
        <v>0</v>
      </c>
      <c r="F28" s="669"/>
      <c r="G28" s="257" t="s">
        <v>4343</v>
      </c>
      <c r="H28" s="197"/>
      <c r="I28" s="258"/>
      <c r="J28" s="197"/>
      <c r="K28" s="2578"/>
      <c r="L28" s="251">
        <f t="shared" si="3"/>
        <v>0</v>
      </c>
      <c r="M28" s="2578"/>
      <c r="N28" s="252">
        <f t="shared" si="4"/>
        <v>0</v>
      </c>
      <c r="O28" s="252">
        <f t="shared" si="1"/>
        <v>0</v>
      </c>
      <c r="P28" s="252">
        <f t="shared" si="2"/>
        <v>0</v>
      </c>
      <c r="Q28" s="2578"/>
      <c r="R28" s="2562"/>
      <c r="S28" s="2562"/>
      <c r="T28" s="2562"/>
      <c r="U28" s="2562"/>
      <c r="V28" s="2562"/>
      <c r="W28" s="2562"/>
      <c r="X28" s="2562"/>
      <c r="Y28" s="2562"/>
      <c r="Z28" s="2562"/>
    </row>
    <row r="29" spans="1:26" ht="15.75" customHeight="1">
      <c r="A29" s="197"/>
      <c r="B29" s="668" t="s">
        <v>4344</v>
      </c>
      <c r="C29" s="2448">
        <v>0</v>
      </c>
      <c r="D29" s="2448">
        <v>0</v>
      </c>
      <c r="E29" s="2449">
        <v>0</v>
      </c>
      <c r="F29" s="669"/>
      <c r="G29" s="257" t="s">
        <v>4345</v>
      </c>
      <c r="H29" s="197"/>
      <c r="I29" s="258"/>
      <c r="J29" s="197"/>
      <c r="K29" s="2578"/>
      <c r="L29" s="251">
        <f t="shared" si="3"/>
        <v>0</v>
      </c>
      <c r="M29" s="2578"/>
      <c r="N29" s="252">
        <f t="shared" si="4"/>
        <v>0</v>
      </c>
      <c r="O29" s="252">
        <f t="shared" si="1"/>
        <v>0</v>
      </c>
      <c r="P29" s="252">
        <f t="shared" si="2"/>
        <v>0</v>
      </c>
      <c r="Q29" s="2578"/>
      <c r="R29" s="2562"/>
      <c r="S29" s="2562"/>
      <c r="T29" s="2562"/>
      <c r="U29" s="2562"/>
      <c r="V29" s="2562"/>
      <c r="W29" s="2562"/>
      <c r="X29" s="2562"/>
      <c r="Y29" s="2562"/>
      <c r="Z29" s="2562"/>
    </row>
    <row r="30" spans="1:26" ht="15.75" customHeight="1">
      <c r="A30" s="197"/>
      <c r="B30" s="668" t="s">
        <v>4346</v>
      </c>
      <c r="C30" s="2448">
        <v>0</v>
      </c>
      <c r="D30" s="2448">
        <v>0</v>
      </c>
      <c r="E30" s="2449">
        <v>0</v>
      </c>
      <c r="F30" s="669"/>
      <c r="G30" s="257" t="s">
        <v>4347</v>
      </c>
      <c r="H30" s="197"/>
      <c r="I30" s="258"/>
      <c r="J30" s="197"/>
      <c r="K30" s="2578"/>
      <c r="L30" s="251">
        <f t="shared" si="3"/>
        <v>0</v>
      </c>
      <c r="M30" s="2578"/>
      <c r="N30" s="252">
        <f t="shared" si="4"/>
        <v>0</v>
      </c>
      <c r="O30" s="252">
        <f t="shared" si="1"/>
        <v>0</v>
      </c>
      <c r="P30" s="252">
        <f t="shared" si="2"/>
        <v>0</v>
      </c>
      <c r="Q30" s="2578"/>
      <c r="R30" s="2562"/>
      <c r="S30" s="2562"/>
      <c r="T30" s="2562"/>
      <c r="U30" s="2562"/>
      <c r="V30" s="2562"/>
      <c r="W30" s="2562"/>
      <c r="X30" s="2562"/>
      <c r="Y30" s="2562"/>
      <c r="Z30" s="2562"/>
    </row>
    <row r="31" spans="1:26" ht="15.75" customHeight="1">
      <c r="A31" s="197"/>
      <c r="B31" s="668" t="s">
        <v>4348</v>
      </c>
      <c r="C31" s="2448">
        <v>0</v>
      </c>
      <c r="D31" s="2448">
        <v>0</v>
      </c>
      <c r="E31" s="2449">
        <v>0</v>
      </c>
      <c r="F31" s="197"/>
      <c r="G31" s="257" t="s">
        <v>4349</v>
      </c>
      <c r="H31" s="197"/>
      <c r="I31" s="258"/>
      <c r="J31" s="197"/>
      <c r="K31" s="2578"/>
      <c r="L31" s="251">
        <f t="shared" si="3"/>
        <v>0</v>
      </c>
      <c r="M31" s="2578"/>
      <c r="N31" s="252">
        <f t="shared" si="4"/>
        <v>0</v>
      </c>
      <c r="O31" s="252">
        <f t="shared" si="1"/>
        <v>0</v>
      </c>
      <c r="P31" s="252">
        <f t="shared" si="2"/>
        <v>0</v>
      </c>
      <c r="Q31" s="2578"/>
      <c r="R31" s="2562"/>
      <c r="S31" s="2562"/>
      <c r="T31" s="2562"/>
      <c r="U31" s="2562"/>
      <c r="V31" s="2562"/>
      <c r="W31" s="2562"/>
      <c r="X31" s="2562"/>
      <c r="Y31" s="2562"/>
      <c r="Z31" s="2562"/>
    </row>
    <row r="32" spans="1:26" ht="15.75" customHeight="1">
      <c r="A32" s="197"/>
      <c r="B32" s="668" t="s">
        <v>4350</v>
      </c>
      <c r="C32" s="2448">
        <v>0</v>
      </c>
      <c r="D32" s="2448">
        <v>0</v>
      </c>
      <c r="E32" s="2449">
        <v>0</v>
      </c>
      <c r="F32" s="197"/>
      <c r="G32" s="257" t="s">
        <v>4351</v>
      </c>
      <c r="H32" s="197"/>
      <c r="I32" s="258"/>
      <c r="J32" s="197"/>
      <c r="K32" s="2578"/>
      <c r="L32" s="251">
        <f t="shared" si="3"/>
        <v>0</v>
      </c>
      <c r="M32" s="2578"/>
      <c r="N32" s="252">
        <f t="shared" si="4"/>
        <v>0</v>
      </c>
      <c r="O32" s="252">
        <f t="shared" si="1"/>
        <v>0</v>
      </c>
      <c r="P32" s="252">
        <f t="shared" si="2"/>
        <v>0</v>
      </c>
      <c r="Q32" s="2578"/>
      <c r="R32" s="2562"/>
      <c r="S32" s="2562"/>
      <c r="T32" s="2562"/>
      <c r="U32" s="2562"/>
      <c r="V32" s="2562"/>
      <c r="W32" s="2562"/>
      <c r="X32" s="2562"/>
      <c r="Y32" s="2562"/>
      <c r="Z32" s="2562"/>
    </row>
    <row r="33" spans="1:26" ht="15.75" customHeight="1">
      <c r="A33" s="197"/>
      <c r="B33" s="668" t="s">
        <v>4352</v>
      </c>
      <c r="C33" s="2448">
        <v>0</v>
      </c>
      <c r="D33" s="2448">
        <v>0</v>
      </c>
      <c r="E33" s="2449">
        <v>0</v>
      </c>
      <c r="F33" s="197"/>
      <c r="G33" s="257" t="s">
        <v>4353</v>
      </c>
      <c r="H33" s="197"/>
      <c r="I33" s="258"/>
      <c r="J33" s="197"/>
      <c r="K33" s="2578"/>
      <c r="L33" s="251">
        <f t="shared" si="3"/>
        <v>0</v>
      </c>
      <c r="M33" s="2578"/>
      <c r="N33" s="252">
        <f t="shared" si="4"/>
        <v>0</v>
      </c>
      <c r="O33" s="252">
        <f t="shared" si="1"/>
        <v>0</v>
      </c>
      <c r="P33" s="252">
        <f t="shared" si="2"/>
        <v>0</v>
      </c>
      <c r="Q33" s="2578"/>
      <c r="R33" s="2562"/>
      <c r="S33" s="2562"/>
      <c r="T33" s="2562"/>
      <c r="U33" s="2562"/>
      <c r="V33" s="2562"/>
      <c r="W33" s="2562"/>
      <c r="X33" s="2562"/>
      <c r="Y33" s="2562"/>
      <c r="Z33" s="2562"/>
    </row>
    <row r="34" spans="1:26" ht="15.75" customHeight="1">
      <c r="A34" s="197"/>
      <c r="B34" s="668" t="s">
        <v>4354</v>
      </c>
      <c r="C34" s="2448">
        <v>0</v>
      </c>
      <c r="D34" s="2448">
        <v>0</v>
      </c>
      <c r="E34" s="2449">
        <v>0</v>
      </c>
      <c r="F34" s="197"/>
      <c r="G34" s="257" t="s">
        <v>4355</v>
      </c>
      <c r="H34" s="197"/>
      <c r="I34" s="258"/>
      <c r="J34" s="197"/>
      <c r="K34" s="2578"/>
      <c r="L34" s="251">
        <f t="shared" si="3"/>
        <v>0</v>
      </c>
      <c r="M34" s="2578"/>
      <c r="N34" s="252">
        <f t="shared" si="4"/>
        <v>0</v>
      </c>
      <c r="O34" s="252">
        <f t="shared" si="1"/>
        <v>0</v>
      </c>
      <c r="P34" s="252">
        <f t="shared" si="2"/>
        <v>0</v>
      </c>
      <c r="Q34" s="2578"/>
      <c r="R34" s="2562"/>
      <c r="S34" s="2562"/>
      <c r="T34" s="2562"/>
      <c r="U34" s="2562"/>
      <c r="V34" s="2562"/>
      <c r="W34" s="2562"/>
      <c r="X34" s="2562"/>
      <c r="Y34" s="2562"/>
      <c r="Z34" s="2562"/>
    </row>
    <row r="35" spans="1:26" ht="15.75" customHeight="1" thickBot="1">
      <c r="A35" s="197"/>
      <c r="B35" s="425" t="s">
        <v>4356</v>
      </c>
      <c r="C35" s="265">
        <f>IFERROR(SUM(C10:C34),0)</f>
        <v>376.02654506002858</v>
      </c>
      <c r="D35" s="265">
        <f>IFERROR(SUM(D10:D34),0)</f>
        <v>0</v>
      </c>
      <c r="E35" s="266">
        <f>IFERROR(SUM(E10:E34),0)</f>
        <v>0.43966008879999996</v>
      </c>
      <c r="F35" s="197"/>
      <c r="G35" s="320" t="s">
        <v>4357</v>
      </c>
      <c r="H35" s="197"/>
      <c r="I35" s="269"/>
      <c r="J35" s="197"/>
      <c r="K35" s="2578"/>
      <c r="L35" s="2562"/>
      <c r="M35" s="2578"/>
      <c r="N35" s="2562"/>
      <c r="O35" s="2562"/>
      <c r="P35" s="2562"/>
      <c r="Q35" s="2578"/>
      <c r="R35" s="2562"/>
      <c r="S35" s="2562"/>
      <c r="T35" s="2562"/>
      <c r="U35" s="2562"/>
      <c r="V35" s="2562"/>
      <c r="W35" s="2562"/>
      <c r="X35" s="2562"/>
      <c r="Y35" s="2562"/>
      <c r="Z35" s="2562"/>
    </row>
    <row r="36" spans="1:26" ht="15.75" customHeight="1" thickTop="1" thickBot="1">
      <c r="A36" s="197"/>
      <c r="B36" s="670"/>
      <c r="C36" s="670"/>
      <c r="D36" s="670"/>
      <c r="E36" s="670"/>
      <c r="F36" s="670"/>
      <c r="G36" s="670"/>
      <c r="H36" s="670"/>
      <c r="I36" s="670"/>
      <c r="J36" s="197"/>
      <c r="K36" s="2578"/>
      <c r="L36" s="2562"/>
      <c r="M36" s="2578"/>
      <c r="N36" s="2562"/>
      <c r="O36" s="2562"/>
      <c r="P36" s="2562"/>
      <c r="Q36" s="2578"/>
      <c r="R36" s="2562"/>
      <c r="S36" s="2562"/>
      <c r="T36" s="2562"/>
      <c r="U36" s="2562"/>
      <c r="V36" s="2562"/>
      <c r="W36" s="2562"/>
      <c r="X36" s="2562"/>
      <c r="Y36" s="2562"/>
      <c r="Z36" s="2562"/>
    </row>
    <row r="37" spans="1:26" ht="15.75" customHeight="1" thickTop="1">
      <c r="A37" s="197"/>
      <c r="B37" s="556" t="s">
        <v>1891</v>
      </c>
      <c r="C37" s="574" t="s">
        <v>4298</v>
      </c>
      <c r="D37" s="575" t="s">
        <v>1909</v>
      </c>
      <c r="E37" s="670"/>
      <c r="F37" s="670"/>
      <c r="G37" s="670"/>
      <c r="H37" s="670"/>
      <c r="I37" s="670"/>
      <c r="J37" s="197"/>
      <c r="K37" s="2578"/>
      <c r="L37" s="2562"/>
      <c r="M37" s="2578"/>
      <c r="N37" s="2562"/>
      <c r="O37" s="2562"/>
      <c r="P37" s="2562"/>
      <c r="Q37" s="2578"/>
      <c r="R37" s="2562"/>
      <c r="S37" s="2562"/>
      <c r="T37" s="2562"/>
      <c r="U37" s="2562"/>
      <c r="V37" s="2562"/>
      <c r="W37" s="2562"/>
      <c r="X37" s="2562"/>
      <c r="Y37" s="2562"/>
      <c r="Z37" s="2562"/>
    </row>
    <row r="38" spans="1:26" ht="15.75" customHeight="1">
      <c r="A38" s="197"/>
      <c r="B38" s="391" t="s">
        <v>1892</v>
      </c>
      <c r="C38" s="389" t="s">
        <v>4299</v>
      </c>
      <c r="D38" s="390" t="s">
        <v>137</v>
      </c>
      <c r="E38" s="670"/>
      <c r="F38" s="670"/>
      <c r="G38" s="670"/>
      <c r="H38" s="670"/>
      <c r="I38" s="670"/>
      <c r="J38" s="197"/>
      <c r="K38" s="2578"/>
      <c r="L38" s="2562"/>
      <c r="M38" s="2578"/>
      <c r="N38" s="2562"/>
      <c r="O38" s="2562"/>
      <c r="P38" s="2562"/>
      <c r="Q38" s="2578"/>
      <c r="R38" s="2562"/>
      <c r="S38" s="2562"/>
      <c r="T38" s="2562"/>
      <c r="U38" s="2562"/>
      <c r="V38" s="2562"/>
      <c r="W38" s="2562"/>
      <c r="X38" s="2562"/>
      <c r="Y38" s="2562"/>
      <c r="Z38" s="2562"/>
    </row>
    <row r="39" spans="1:26" ht="15.75" customHeight="1" thickBot="1">
      <c r="A39" s="197"/>
      <c r="B39" s="392" t="s">
        <v>136</v>
      </c>
      <c r="C39" s="238">
        <v>3</v>
      </c>
      <c r="D39" s="576">
        <v>3</v>
      </c>
      <c r="E39" s="670"/>
      <c r="F39" s="670"/>
      <c r="G39" s="670"/>
      <c r="H39" s="670"/>
      <c r="I39" s="670"/>
      <c r="J39" s="197"/>
      <c r="K39" s="2578"/>
      <c r="L39" s="2562"/>
      <c r="M39" s="2578"/>
      <c r="N39" s="2562"/>
      <c r="O39" s="2562"/>
      <c r="P39" s="2562"/>
      <c r="Q39" s="2578"/>
      <c r="R39" s="2562"/>
      <c r="S39" s="2562"/>
      <c r="T39" s="2562"/>
      <c r="U39" s="2562"/>
      <c r="V39" s="2562"/>
      <c r="W39" s="2562"/>
      <c r="X39" s="2562"/>
      <c r="Y39" s="2562"/>
      <c r="Z39" s="2562"/>
    </row>
    <row r="40" spans="1:26" ht="15.75" customHeight="1" thickTop="1" thickBot="1">
      <c r="A40" s="197"/>
      <c r="B40" s="670"/>
      <c r="C40" s="670"/>
      <c r="D40" s="670"/>
      <c r="E40" s="670"/>
      <c r="F40" s="670"/>
      <c r="G40" s="670"/>
      <c r="H40" s="670"/>
      <c r="I40" s="670"/>
      <c r="J40" s="197"/>
      <c r="K40" s="2578"/>
      <c r="L40" s="2562"/>
      <c r="M40" s="2578"/>
      <c r="N40" s="2562"/>
      <c r="O40" s="2562"/>
      <c r="P40" s="2562"/>
      <c r="Q40" s="2578"/>
      <c r="R40" s="2562"/>
      <c r="S40" s="2562"/>
      <c r="T40" s="2562"/>
      <c r="U40" s="2562"/>
      <c r="V40" s="2562"/>
      <c r="W40" s="2562"/>
      <c r="X40" s="2562"/>
      <c r="Y40" s="2562"/>
      <c r="Z40" s="2562"/>
    </row>
    <row r="41" spans="1:26" ht="15.75" customHeight="1" thickTop="1" thickBot="1">
      <c r="A41" s="197"/>
      <c r="B41" s="355" t="s">
        <v>4358</v>
      </c>
      <c r="C41" s="671"/>
      <c r="D41" s="671"/>
      <c r="E41" s="404"/>
      <c r="F41" s="197"/>
      <c r="G41" s="672"/>
      <c r="H41" s="197"/>
      <c r="I41" s="197"/>
      <c r="J41" s="197"/>
      <c r="K41" s="2578"/>
      <c r="L41" s="2562"/>
      <c r="M41" s="2578"/>
      <c r="N41" s="2562"/>
      <c r="O41" s="2562"/>
      <c r="P41" s="2562"/>
      <c r="Q41" s="2578"/>
      <c r="R41" s="2562"/>
      <c r="S41" s="2562"/>
      <c r="T41" s="2562"/>
      <c r="U41" s="2562"/>
      <c r="V41" s="2562"/>
      <c r="W41" s="2562"/>
      <c r="X41" s="2562"/>
      <c r="Y41" s="2562"/>
      <c r="Z41" s="2562"/>
    </row>
    <row r="42" spans="1:26" ht="15.75" customHeight="1" thickTop="1">
      <c r="A42" s="197"/>
      <c r="B42" s="673" t="s">
        <v>4301</v>
      </c>
      <c r="C42" s="2446">
        <v>15720.290000000012</v>
      </c>
      <c r="D42" s="2446">
        <v>4.0816090000000003</v>
      </c>
      <c r="E42" s="674"/>
      <c r="F42" s="197"/>
      <c r="G42" s="248" t="s">
        <v>4359</v>
      </c>
      <c r="H42" s="197"/>
      <c r="I42" s="250" t="s">
        <v>4360</v>
      </c>
      <c r="J42" s="197"/>
      <c r="K42" s="2578"/>
      <c r="L42" s="251">
        <f t="shared" ref="L42:L66" si="5">IF( SUM( N42:P42 ) = 0, 0, $N$5 )</f>
        <v>0</v>
      </c>
      <c r="M42" s="2578"/>
      <c r="N42" s="252">
        <f t="shared" ref="N42:N66" si="6" xml:space="preserve"> IF( ISNUMBER( C42 ), 0, 1 )</f>
        <v>0</v>
      </c>
      <c r="O42" s="252">
        <f t="shared" ref="O42:O66" si="7" xml:space="preserve"> IF( ISNUMBER( D42 ), 0, 1 )</f>
        <v>0</v>
      </c>
      <c r="P42" s="2562"/>
      <c r="Q42" s="2578"/>
      <c r="R42" s="2562"/>
      <c r="S42" s="2562"/>
      <c r="T42" s="2562"/>
      <c r="U42" s="2562"/>
      <c r="V42" s="2562"/>
      <c r="W42" s="2562"/>
      <c r="X42" s="2562"/>
      <c r="Y42" s="2562"/>
      <c r="Z42" s="2562"/>
    </row>
    <row r="43" spans="1:26" ht="15.75" customHeight="1">
      <c r="A43" s="197"/>
      <c r="B43" s="675" t="s">
        <v>4304</v>
      </c>
      <c r="C43" s="2448">
        <v>0</v>
      </c>
      <c r="D43" s="2448">
        <v>0</v>
      </c>
      <c r="E43" s="676"/>
      <c r="F43" s="197"/>
      <c r="G43" s="257" t="s">
        <v>4361</v>
      </c>
      <c r="H43" s="197"/>
      <c r="I43" s="258"/>
      <c r="J43" s="197"/>
      <c r="K43" s="2578"/>
      <c r="L43" s="251">
        <f t="shared" si="5"/>
        <v>0</v>
      </c>
      <c r="M43" s="2578"/>
      <c r="N43" s="252">
        <f t="shared" si="6"/>
        <v>0</v>
      </c>
      <c r="O43" s="252">
        <f t="shared" si="7"/>
        <v>0</v>
      </c>
      <c r="P43" s="2562"/>
      <c r="Q43" s="2578"/>
      <c r="R43" s="2562"/>
      <c r="S43" s="2562"/>
      <c r="T43" s="2562"/>
      <c r="U43" s="2562"/>
      <c r="V43" s="2562"/>
      <c r="W43" s="2562"/>
      <c r="X43" s="2562"/>
      <c r="Y43" s="2562"/>
      <c r="Z43" s="2562"/>
    </row>
    <row r="44" spans="1:26" ht="15.75" customHeight="1">
      <c r="A44" s="197"/>
      <c r="B44" s="675" t="s">
        <v>4307</v>
      </c>
      <c r="C44" s="2448">
        <v>0</v>
      </c>
      <c r="D44" s="2448">
        <v>0</v>
      </c>
      <c r="E44" s="676"/>
      <c r="F44" s="197"/>
      <c r="G44" s="257" t="s">
        <v>4362</v>
      </c>
      <c r="H44" s="197"/>
      <c r="I44" s="258"/>
      <c r="J44" s="197"/>
      <c r="K44" s="2578"/>
      <c r="L44" s="251">
        <f t="shared" si="5"/>
        <v>0</v>
      </c>
      <c r="M44" s="2578"/>
      <c r="N44" s="252">
        <f t="shared" si="6"/>
        <v>0</v>
      </c>
      <c r="O44" s="252">
        <f t="shared" si="7"/>
        <v>0</v>
      </c>
      <c r="P44" s="2562"/>
      <c r="Q44" s="2578"/>
      <c r="R44" s="2562"/>
      <c r="S44" s="2562"/>
      <c r="T44" s="2562"/>
      <c r="U44" s="2562"/>
      <c r="V44" s="2562"/>
      <c r="W44" s="2562"/>
      <c r="X44" s="2562"/>
      <c r="Y44" s="2562"/>
      <c r="Z44" s="2562"/>
    </row>
    <row r="45" spans="1:26" ht="15.75" customHeight="1">
      <c r="A45" s="197"/>
      <c r="B45" s="675" t="s">
        <v>4310</v>
      </c>
      <c r="C45" s="2448">
        <v>0</v>
      </c>
      <c r="D45" s="2448">
        <v>0</v>
      </c>
      <c r="E45" s="676"/>
      <c r="F45" s="669"/>
      <c r="G45" s="257" t="s">
        <v>4363</v>
      </c>
      <c r="H45" s="197"/>
      <c r="I45" s="258"/>
      <c r="J45" s="197"/>
      <c r="K45" s="2578"/>
      <c r="L45" s="251">
        <f t="shared" si="5"/>
        <v>0</v>
      </c>
      <c r="M45" s="2578"/>
      <c r="N45" s="252">
        <f t="shared" si="6"/>
        <v>0</v>
      </c>
      <c r="O45" s="252">
        <f t="shared" si="7"/>
        <v>0</v>
      </c>
      <c r="P45" s="2562"/>
      <c r="Q45" s="2578"/>
      <c r="R45" s="2562"/>
      <c r="S45" s="2562"/>
      <c r="T45" s="2562"/>
      <c r="U45" s="2562"/>
      <c r="V45" s="2562"/>
      <c r="W45" s="2562"/>
      <c r="X45" s="2562"/>
      <c r="Y45" s="2562"/>
      <c r="Z45" s="2562"/>
    </row>
    <row r="46" spans="1:26" ht="15.75" customHeight="1">
      <c r="A46" s="197"/>
      <c r="B46" s="675" t="s">
        <v>4313</v>
      </c>
      <c r="C46" s="2448">
        <v>0</v>
      </c>
      <c r="D46" s="2448">
        <v>0</v>
      </c>
      <c r="E46" s="676"/>
      <c r="F46" s="669"/>
      <c r="G46" s="257" t="s">
        <v>4364</v>
      </c>
      <c r="H46" s="197"/>
      <c r="I46" s="258"/>
      <c r="J46" s="197"/>
      <c r="K46" s="2578"/>
      <c r="L46" s="251">
        <f t="shared" si="5"/>
        <v>0</v>
      </c>
      <c r="M46" s="2578"/>
      <c r="N46" s="252">
        <f t="shared" si="6"/>
        <v>0</v>
      </c>
      <c r="O46" s="252">
        <f t="shared" si="7"/>
        <v>0</v>
      </c>
      <c r="P46" s="2562"/>
      <c r="Q46" s="2578"/>
      <c r="R46" s="2562"/>
      <c r="S46" s="2562"/>
      <c r="T46" s="2562"/>
      <c r="U46" s="2562"/>
      <c r="V46" s="2562"/>
      <c r="W46" s="2562"/>
      <c r="X46" s="2562"/>
      <c r="Y46" s="2562"/>
      <c r="Z46" s="2562"/>
    </row>
    <row r="47" spans="1:26" ht="15.75" customHeight="1">
      <c r="A47" s="197"/>
      <c r="B47" s="675" t="s">
        <v>4316</v>
      </c>
      <c r="C47" s="2448">
        <v>0</v>
      </c>
      <c r="D47" s="2448">
        <v>0</v>
      </c>
      <c r="E47" s="676"/>
      <c r="F47" s="669"/>
      <c r="G47" s="257" t="s">
        <v>4365</v>
      </c>
      <c r="H47" s="197"/>
      <c r="I47" s="258"/>
      <c r="J47" s="197"/>
      <c r="K47" s="2578"/>
      <c r="L47" s="251">
        <f t="shared" si="5"/>
        <v>0</v>
      </c>
      <c r="M47" s="2578"/>
      <c r="N47" s="252">
        <f t="shared" si="6"/>
        <v>0</v>
      </c>
      <c r="O47" s="252">
        <f t="shared" si="7"/>
        <v>0</v>
      </c>
      <c r="P47" s="2562"/>
      <c r="Q47" s="2578"/>
      <c r="R47" s="2562"/>
      <c r="S47" s="2562"/>
      <c r="T47" s="2562"/>
      <c r="U47" s="2562"/>
      <c r="V47" s="2562"/>
      <c r="W47" s="2562"/>
      <c r="X47" s="2562"/>
      <c r="Y47" s="2562"/>
      <c r="Z47" s="2562"/>
    </row>
    <row r="48" spans="1:26" ht="15.75" customHeight="1">
      <c r="A48" s="197"/>
      <c r="B48" s="675" t="s">
        <v>4318</v>
      </c>
      <c r="C48" s="2448">
        <v>0</v>
      </c>
      <c r="D48" s="2448">
        <v>0</v>
      </c>
      <c r="E48" s="676"/>
      <c r="F48" s="669"/>
      <c r="G48" s="257" t="s">
        <v>4366</v>
      </c>
      <c r="H48" s="197"/>
      <c r="I48" s="258"/>
      <c r="J48" s="197"/>
      <c r="K48" s="2578"/>
      <c r="L48" s="251">
        <f t="shared" si="5"/>
        <v>0</v>
      </c>
      <c r="M48" s="2578"/>
      <c r="N48" s="252">
        <f t="shared" si="6"/>
        <v>0</v>
      </c>
      <c r="O48" s="252">
        <f t="shared" si="7"/>
        <v>0</v>
      </c>
      <c r="P48" s="2562"/>
      <c r="Q48" s="2578"/>
      <c r="R48" s="2562"/>
      <c r="S48" s="2562"/>
      <c r="T48" s="2562"/>
      <c r="U48" s="2562"/>
      <c r="V48" s="2562"/>
      <c r="W48" s="2562"/>
      <c r="X48" s="2562"/>
      <c r="Y48" s="2562"/>
      <c r="Z48" s="2562"/>
    </row>
    <row r="49" spans="1:26" ht="15.75" customHeight="1">
      <c r="A49" s="197"/>
      <c r="B49" s="675" t="s">
        <v>4320</v>
      </c>
      <c r="C49" s="2448">
        <v>0</v>
      </c>
      <c r="D49" s="2448">
        <v>0</v>
      </c>
      <c r="E49" s="676"/>
      <c r="F49" s="669"/>
      <c r="G49" s="257" t="s">
        <v>4367</v>
      </c>
      <c r="H49" s="197"/>
      <c r="I49" s="258"/>
      <c r="J49" s="197"/>
      <c r="K49" s="2578"/>
      <c r="L49" s="251">
        <f t="shared" si="5"/>
        <v>0</v>
      </c>
      <c r="M49" s="2578"/>
      <c r="N49" s="252">
        <f t="shared" si="6"/>
        <v>0</v>
      </c>
      <c r="O49" s="252">
        <f t="shared" si="7"/>
        <v>0</v>
      </c>
      <c r="P49" s="2562"/>
      <c r="Q49" s="2578"/>
      <c r="R49" s="2562"/>
      <c r="S49" s="2562"/>
      <c r="T49" s="2562"/>
      <c r="U49" s="2562"/>
      <c r="V49" s="2562"/>
      <c r="W49" s="2562"/>
      <c r="X49" s="2562"/>
      <c r="Y49" s="2562"/>
      <c r="Z49" s="2562"/>
    </row>
    <row r="50" spans="1:26" ht="15.75" customHeight="1">
      <c r="A50" s="197"/>
      <c r="B50" s="675" t="s">
        <v>4322</v>
      </c>
      <c r="C50" s="2448">
        <v>0</v>
      </c>
      <c r="D50" s="2448">
        <v>0</v>
      </c>
      <c r="E50" s="676"/>
      <c r="F50" s="669"/>
      <c r="G50" s="257" t="s">
        <v>4368</v>
      </c>
      <c r="H50" s="197"/>
      <c r="I50" s="258"/>
      <c r="J50" s="197"/>
      <c r="K50" s="2578"/>
      <c r="L50" s="251">
        <f t="shared" si="5"/>
        <v>0</v>
      </c>
      <c r="M50" s="2578"/>
      <c r="N50" s="252">
        <f t="shared" si="6"/>
        <v>0</v>
      </c>
      <c r="O50" s="252">
        <f t="shared" si="7"/>
        <v>0</v>
      </c>
      <c r="P50" s="2562"/>
      <c r="Q50" s="2578"/>
      <c r="R50" s="2562"/>
      <c r="S50" s="2562"/>
      <c r="T50" s="2562"/>
      <c r="U50" s="2562"/>
      <c r="V50" s="2562"/>
      <c r="W50" s="2562"/>
      <c r="X50" s="2562"/>
      <c r="Y50" s="2562"/>
      <c r="Z50" s="2562"/>
    </row>
    <row r="51" spans="1:26" ht="15.75" customHeight="1">
      <c r="A51" s="197"/>
      <c r="B51" s="675" t="s">
        <v>4324</v>
      </c>
      <c r="C51" s="2448">
        <v>0</v>
      </c>
      <c r="D51" s="2448">
        <v>0</v>
      </c>
      <c r="E51" s="676"/>
      <c r="F51" s="669"/>
      <c r="G51" s="257" t="s">
        <v>4369</v>
      </c>
      <c r="H51" s="197"/>
      <c r="I51" s="258"/>
      <c r="J51" s="197"/>
      <c r="K51" s="2578"/>
      <c r="L51" s="251">
        <f t="shared" si="5"/>
        <v>0</v>
      </c>
      <c r="M51" s="2578"/>
      <c r="N51" s="252">
        <f t="shared" si="6"/>
        <v>0</v>
      </c>
      <c r="O51" s="252">
        <f t="shared" si="7"/>
        <v>0</v>
      </c>
      <c r="P51" s="2562"/>
      <c r="Q51" s="2578"/>
      <c r="R51" s="2562"/>
      <c r="S51" s="2562"/>
      <c r="T51" s="2562"/>
      <c r="U51" s="2562"/>
      <c r="V51" s="2562"/>
      <c r="W51" s="2562"/>
      <c r="X51" s="2562"/>
      <c r="Y51" s="2562"/>
      <c r="Z51" s="2562"/>
    </row>
    <row r="52" spans="1:26" ht="15.75" customHeight="1">
      <c r="A52" s="197"/>
      <c r="B52" s="675" t="s">
        <v>4326</v>
      </c>
      <c r="C52" s="2448">
        <v>0</v>
      </c>
      <c r="D52" s="2448">
        <v>0</v>
      </c>
      <c r="E52" s="676"/>
      <c r="F52" s="669"/>
      <c r="G52" s="257" t="s">
        <v>4370</v>
      </c>
      <c r="H52" s="197"/>
      <c r="I52" s="258"/>
      <c r="J52" s="197"/>
      <c r="K52" s="2578"/>
      <c r="L52" s="251">
        <f t="shared" si="5"/>
        <v>0</v>
      </c>
      <c r="M52" s="2578"/>
      <c r="N52" s="252">
        <f t="shared" si="6"/>
        <v>0</v>
      </c>
      <c r="O52" s="252">
        <f t="shared" si="7"/>
        <v>0</v>
      </c>
      <c r="P52" s="2562"/>
      <c r="Q52" s="2578"/>
      <c r="R52" s="2562"/>
      <c r="S52" s="2562"/>
      <c r="T52" s="2562"/>
      <c r="U52" s="2562"/>
      <c r="V52" s="2562"/>
      <c r="W52" s="2562"/>
      <c r="X52" s="2562"/>
      <c r="Y52" s="2562"/>
      <c r="Z52" s="2562"/>
    </row>
    <row r="53" spans="1:26" ht="15.75" customHeight="1">
      <c r="A53" s="197"/>
      <c r="B53" s="675" t="s">
        <v>4328</v>
      </c>
      <c r="C53" s="2448">
        <v>0</v>
      </c>
      <c r="D53" s="2448">
        <v>0</v>
      </c>
      <c r="E53" s="676"/>
      <c r="F53" s="669"/>
      <c r="G53" s="257" t="s">
        <v>4371</v>
      </c>
      <c r="H53" s="197"/>
      <c r="I53" s="258"/>
      <c r="J53" s="197"/>
      <c r="K53" s="2578"/>
      <c r="L53" s="251">
        <f t="shared" si="5"/>
        <v>0</v>
      </c>
      <c r="M53" s="2578"/>
      <c r="N53" s="252">
        <f t="shared" si="6"/>
        <v>0</v>
      </c>
      <c r="O53" s="252">
        <f t="shared" si="7"/>
        <v>0</v>
      </c>
      <c r="P53" s="2562"/>
      <c r="Q53" s="2578"/>
      <c r="R53" s="2562"/>
      <c r="S53" s="2562"/>
      <c r="T53" s="2562"/>
      <c r="U53" s="2562"/>
      <c r="V53" s="2562"/>
      <c r="W53" s="2562"/>
      <c r="X53" s="2562"/>
      <c r="Y53" s="2562"/>
      <c r="Z53" s="2562"/>
    </row>
    <row r="54" spans="1:26" ht="15.75" customHeight="1">
      <c r="A54" s="197"/>
      <c r="B54" s="675" t="s">
        <v>4330</v>
      </c>
      <c r="C54" s="2448">
        <v>0</v>
      </c>
      <c r="D54" s="2448">
        <v>0</v>
      </c>
      <c r="E54" s="676"/>
      <c r="F54" s="669"/>
      <c r="G54" s="257" t="s">
        <v>4372</v>
      </c>
      <c r="H54" s="197"/>
      <c r="I54" s="258"/>
      <c r="J54" s="197"/>
      <c r="K54" s="2578"/>
      <c r="L54" s="251">
        <f t="shared" si="5"/>
        <v>0</v>
      </c>
      <c r="M54" s="2578"/>
      <c r="N54" s="252">
        <f t="shared" si="6"/>
        <v>0</v>
      </c>
      <c r="O54" s="252">
        <f t="shared" si="7"/>
        <v>0</v>
      </c>
      <c r="P54" s="2562"/>
      <c r="Q54" s="2578"/>
      <c r="R54" s="2562"/>
      <c r="S54" s="2562"/>
      <c r="T54" s="2562"/>
      <c r="U54" s="2562"/>
      <c r="V54" s="2562"/>
      <c r="W54" s="2562"/>
      <c r="X54" s="2562"/>
      <c r="Y54" s="2562"/>
      <c r="Z54" s="2562"/>
    </row>
    <row r="55" spans="1:26" ht="15.75" customHeight="1">
      <c r="A55" s="197"/>
      <c r="B55" s="675" t="s">
        <v>4332</v>
      </c>
      <c r="C55" s="2448">
        <v>0</v>
      </c>
      <c r="D55" s="2448">
        <v>0</v>
      </c>
      <c r="E55" s="676"/>
      <c r="F55" s="669"/>
      <c r="G55" s="257" t="s">
        <v>4373</v>
      </c>
      <c r="H55" s="197"/>
      <c r="I55" s="258"/>
      <c r="J55" s="197"/>
      <c r="K55" s="2578"/>
      <c r="L55" s="251">
        <f t="shared" si="5"/>
        <v>0</v>
      </c>
      <c r="M55" s="2578"/>
      <c r="N55" s="252">
        <f t="shared" si="6"/>
        <v>0</v>
      </c>
      <c r="O55" s="252">
        <f t="shared" si="7"/>
        <v>0</v>
      </c>
      <c r="P55" s="2562"/>
      <c r="Q55" s="2578"/>
      <c r="R55" s="2562"/>
      <c r="S55" s="2562"/>
      <c r="T55" s="2562"/>
      <c r="U55" s="2562"/>
      <c r="V55" s="2562"/>
      <c r="W55" s="2562"/>
      <c r="X55" s="2562"/>
      <c r="Y55" s="2562"/>
      <c r="Z55" s="2562"/>
    </row>
    <row r="56" spans="1:26" ht="15.75" customHeight="1">
      <c r="A56" s="197"/>
      <c r="B56" s="675" t="s">
        <v>4334</v>
      </c>
      <c r="C56" s="2448">
        <v>0</v>
      </c>
      <c r="D56" s="2448">
        <v>0</v>
      </c>
      <c r="E56" s="676"/>
      <c r="F56" s="669"/>
      <c r="G56" s="257" t="s">
        <v>4374</v>
      </c>
      <c r="H56" s="197"/>
      <c r="I56" s="258"/>
      <c r="J56" s="197"/>
      <c r="K56" s="2578"/>
      <c r="L56" s="251">
        <f t="shared" si="5"/>
        <v>0</v>
      </c>
      <c r="M56" s="2578"/>
      <c r="N56" s="252">
        <f t="shared" si="6"/>
        <v>0</v>
      </c>
      <c r="O56" s="252">
        <f t="shared" si="7"/>
        <v>0</v>
      </c>
      <c r="P56" s="2562"/>
      <c r="Q56" s="2578"/>
      <c r="R56" s="2562"/>
      <c r="S56" s="2562"/>
      <c r="T56" s="2562"/>
      <c r="U56" s="2562"/>
      <c r="V56" s="2562"/>
      <c r="W56" s="2562"/>
      <c r="X56" s="2562"/>
      <c r="Y56" s="2562"/>
      <c r="Z56" s="2562"/>
    </row>
    <row r="57" spans="1:26" ht="15.75" customHeight="1">
      <c r="A57" s="197"/>
      <c r="B57" s="675" t="s">
        <v>4336</v>
      </c>
      <c r="C57" s="2448">
        <v>0</v>
      </c>
      <c r="D57" s="2448">
        <v>0</v>
      </c>
      <c r="E57" s="676"/>
      <c r="F57" s="669"/>
      <c r="G57" s="257" t="s">
        <v>4375</v>
      </c>
      <c r="H57" s="197"/>
      <c r="I57" s="258"/>
      <c r="J57" s="197"/>
      <c r="K57" s="2578"/>
      <c r="L57" s="251">
        <f t="shared" si="5"/>
        <v>0</v>
      </c>
      <c r="M57" s="2578"/>
      <c r="N57" s="252">
        <f t="shared" si="6"/>
        <v>0</v>
      </c>
      <c r="O57" s="252">
        <f t="shared" si="7"/>
        <v>0</v>
      </c>
      <c r="P57" s="2562"/>
      <c r="Q57" s="2578"/>
      <c r="R57" s="2562"/>
      <c r="S57" s="2562"/>
      <c r="T57" s="2562"/>
      <c r="U57" s="2562"/>
      <c r="V57" s="2562"/>
      <c r="W57" s="2562"/>
      <c r="X57" s="2562"/>
      <c r="Y57" s="2562"/>
      <c r="Z57" s="2562"/>
    </row>
    <row r="58" spans="1:26" ht="15.75" customHeight="1">
      <c r="A58" s="197"/>
      <c r="B58" s="675" t="s">
        <v>4338</v>
      </c>
      <c r="C58" s="2448">
        <v>0</v>
      </c>
      <c r="D58" s="2448">
        <v>0</v>
      </c>
      <c r="E58" s="676"/>
      <c r="F58" s="669"/>
      <c r="G58" s="257" t="s">
        <v>4376</v>
      </c>
      <c r="H58" s="197"/>
      <c r="I58" s="258"/>
      <c r="J58" s="197"/>
      <c r="K58" s="2578"/>
      <c r="L58" s="251">
        <f t="shared" si="5"/>
        <v>0</v>
      </c>
      <c r="M58" s="2578"/>
      <c r="N58" s="252">
        <f t="shared" si="6"/>
        <v>0</v>
      </c>
      <c r="O58" s="252">
        <f t="shared" si="7"/>
        <v>0</v>
      </c>
      <c r="P58" s="2562"/>
      <c r="Q58" s="2578"/>
      <c r="R58" s="2562"/>
      <c r="S58" s="2562"/>
      <c r="T58" s="2562"/>
      <c r="U58" s="2562"/>
      <c r="V58" s="2562"/>
      <c r="W58" s="2562"/>
      <c r="X58" s="2562"/>
      <c r="Y58" s="2562"/>
      <c r="Z58" s="2562"/>
    </row>
    <row r="59" spans="1:26" ht="15.75" customHeight="1">
      <c r="A59" s="197"/>
      <c r="B59" s="675" t="s">
        <v>4340</v>
      </c>
      <c r="C59" s="2448">
        <v>0</v>
      </c>
      <c r="D59" s="2448">
        <v>0</v>
      </c>
      <c r="E59" s="676"/>
      <c r="F59" s="669"/>
      <c r="G59" s="257" t="s">
        <v>4377</v>
      </c>
      <c r="H59" s="197"/>
      <c r="I59" s="258"/>
      <c r="J59" s="197"/>
      <c r="K59" s="2578"/>
      <c r="L59" s="251">
        <f t="shared" si="5"/>
        <v>0</v>
      </c>
      <c r="M59" s="2578"/>
      <c r="N59" s="252">
        <f t="shared" si="6"/>
        <v>0</v>
      </c>
      <c r="O59" s="252">
        <f t="shared" si="7"/>
        <v>0</v>
      </c>
      <c r="P59" s="2562"/>
      <c r="Q59" s="2578"/>
      <c r="R59" s="2562"/>
      <c r="S59" s="2562"/>
      <c r="T59" s="2562"/>
      <c r="U59" s="2562"/>
      <c r="V59" s="2562"/>
      <c r="W59" s="2562"/>
      <c r="X59" s="2562"/>
      <c r="Y59" s="2562"/>
      <c r="Z59" s="2562"/>
    </row>
    <row r="60" spans="1:26" ht="15.75" customHeight="1">
      <c r="A60" s="197"/>
      <c r="B60" s="675" t="s">
        <v>4342</v>
      </c>
      <c r="C60" s="2448">
        <v>0</v>
      </c>
      <c r="D60" s="2448">
        <v>0</v>
      </c>
      <c r="E60" s="676"/>
      <c r="F60" s="669"/>
      <c r="G60" s="257" t="s">
        <v>4378</v>
      </c>
      <c r="H60" s="197"/>
      <c r="I60" s="258"/>
      <c r="J60" s="197"/>
      <c r="K60" s="2578"/>
      <c r="L60" s="251">
        <f t="shared" si="5"/>
        <v>0</v>
      </c>
      <c r="M60" s="2578"/>
      <c r="N60" s="252">
        <f t="shared" si="6"/>
        <v>0</v>
      </c>
      <c r="O60" s="252">
        <f t="shared" si="7"/>
        <v>0</v>
      </c>
      <c r="P60" s="2562"/>
      <c r="Q60" s="2578"/>
      <c r="R60" s="2562"/>
      <c r="S60" s="2562"/>
      <c r="T60" s="2562"/>
      <c r="U60" s="2562"/>
      <c r="V60" s="2562"/>
      <c r="W60" s="2562"/>
      <c r="X60" s="2562"/>
      <c r="Y60" s="2562"/>
      <c r="Z60" s="2562"/>
    </row>
    <row r="61" spans="1:26" ht="15.75" customHeight="1">
      <c r="A61" s="197"/>
      <c r="B61" s="675" t="s">
        <v>4344</v>
      </c>
      <c r="C61" s="2448">
        <v>0</v>
      </c>
      <c r="D61" s="2448">
        <v>0</v>
      </c>
      <c r="E61" s="676"/>
      <c r="F61" s="669"/>
      <c r="G61" s="257" t="s">
        <v>4379</v>
      </c>
      <c r="H61" s="197"/>
      <c r="I61" s="258"/>
      <c r="J61" s="197"/>
      <c r="K61" s="2578"/>
      <c r="L61" s="251">
        <f t="shared" si="5"/>
        <v>0</v>
      </c>
      <c r="M61" s="2578"/>
      <c r="N61" s="252">
        <f t="shared" si="6"/>
        <v>0</v>
      </c>
      <c r="O61" s="252">
        <f t="shared" si="7"/>
        <v>0</v>
      </c>
      <c r="P61" s="2562"/>
      <c r="Q61" s="2578"/>
      <c r="R61" s="2562"/>
      <c r="S61" s="2562"/>
      <c r="T61" s="2562"/>
      <c r="U61" s="2562"/>
      <c r="V61" s="2562"/>
      <c r="W61" s="2562"/>
      <c r="X61" s="2562"/>
      <c r="Y61" s="2562"/>
      <c r="Z61" s="2562"/>
    </row>
    <row r="62" spans="1:26" ht="15.75" customHeight="1">
      <c r="A62" s="197"/>
      <c r="B62" s="675" t="s">
        <v>4346</v>
      </c>
      <c r="C62" s="2448">
        <v>0</v>
      </c>
      <c r="D62" s="2448">
        <v>0</v>
      </c>
      <c r="E62" s="676"/>
      <c r="F62" s="669"/>
      <c r="G62" s="257" t="s">
        <v>4380</v>
      </c>
      <c r="H62" s="197"/>
      <c r="I62" s="258"/>
      <c r="J62" s="197"/>
      <c r="K62" s="2578"/>
      <c r="L62" s="251">
        <f t="shared" si="5"/>
        <v>0</v>
      </c>
      <c r="M62" s="2578"/>
      <c r="N62" s="252">
        <f t="shared" si="6"/>
        <v>0</v>
      </c>
      <c r="O62" s="252">
        <f t="shared" si="7"/>
        <v>0</v>
      </c>
      <c r="P62" s="2562"/>
      <c r="Q62" s="2578"/>
      <c r="R62" s="2562"/>
      <c r="S62" s="2562"/>
      <c r="T62" s="2562"/>
      <c r="U62" s="2562"/>
      <c r="V62" s="2562"/>
      <c r="W62" s="2562"/>
      <c r="X62" s="2562"/>
      <c r="Y62" s="2562"/>
      <c r="Z62" s="2562"/>
    </row>
    <row r="63" spans="1:26" ht="15.75" customHeight="1">
      <c r="A63" s="197"/>
      <c r="B63" s="675" t="s">
        <v>4348</v>
      </c>
      <c r="C63" s="2448">
        <v>0</v>
      </c>
      <c r="D63" s="2448">
        <v>0</v>
      </c>
      <c r="E63" s="676"/>
      <c r="F63" s="669"/>
      <c r="G63" s="257" t="s">
        <v>4381</v>
      </c>
      <c r="H63" s="197"/>
      <c r="I63" s="258"/>
      <c r="J63" s="197"/>
      <c r="K63" s="2578"/>
      <c r="L63" s="251">
        <f t="shared" si="5"/>
        <v>0</v>
      </c>
      <c r="M63" s="2578"/>
      <c r="N63" s="252">
        <f t="shared" si="6"/>
        <v>0</v>
      </c>
      <c r="O63" s="252">
        <f t="shared" si="7"/>
        <v>0</v>
      </c>
      <c r="P63" s="2562"/>
      <c r="Q63" s="2578"/>
      <c r="R63" s="2562"/>
      <c r="S63" s="2562"/>
      <c r="T63" s="2562"/>
      <c r="U63" s="2562"/>
      <c r="V63" s="2562"/>
      <c r="W63" s="2562"/>
      <c r="X63" s="2562"/>
      <c r="Y63" s="2562"/>
      <c r="Z63" s="2562"/>
    </row>
    <row r="64" spans="1:26" ht="15.75" customHeight="1">
      <c r="A64" s="197"/>
      <c r="B64" s="675" t="s">
        <v>4350</v>
      </c>
      <c r="C64" s="2448">
        <v>0</v>
      </c>
      <c r="D64" s="2448">
        <v>0</v>
      </c>
      <c r="E64" s="676"/>
      <c r="F64" s="669"/>
      <c r="G64" s="257" t="s">
        <v>4382</v>
      </c>
      <c r="H64" s="197"/>
      <c r="I64" s="258"/>
      <c r="J64" s="197"/>
      <c r="K64" s="2578"/>
      <c r="L64" s="251">
        <f t="shared" si="5"/>
        <v>0</v>
      </c>
      <c r="M64" s="2578"/>
      <c r="N64" s="252">
        <f t="shared" si="6"/>
        <v>0</v>
      </c>
      <c r="O64" s="252">
        <f t="shared" si="7"/>
        <v>0</v>
      </c>
      <c r="P64" s="2562"/>
      <c r="Q64" s="2578"/>
      <c r="R64" s="2562"/>
      <c r="S64" s="2562"/>
      <c r="T64" s="2562"/>
      <c r="U64" s="2562"/>
      <c r="V64" s="2562"/>
      <c r="W64" s="2562"/>
      <c r="X64" s="2562"/>
      <c r="Y64" s="2562"/>
      <c r="Z64" s="2562"/>
    </row>
    <row r="65" spans="1:26" ht="15.75" customHeight="1">
      <c r="A65" s="197"/>
      <c r="B65" s="675" t="s">
        <v>4352</v>
      </c>
      <c r="C65" s="2448">
        <v>0</v>
      </c>
      <c r="D65" s="2448">
        <v>0</v>
      </c>
      <c r="E65" s="676"/>
      <c r="F65" s="669"/>
      <c r="G65" s="257" t="s">
        <v>4383</v>
      </c>
      <c r="H65" s="197"/>
      <c r="I65" s="258"/>
      <c r="J65" s="197"/>
      <c r="K65" s="2578"/>
      <c r="L65" s="251">
        <f t="shared" si="5"/>
        <v>0</v>
      </c>
      <c r="M65" s="2578"/>
      <c r="N65" s="252">
        <f t="shared" si="6"/>
        <v>0</v>
      </c>
      <c r="O65" s="252">
        <f t="shared" si="7"/>
        <v>0</v>
      </c>
      <c r="P65" s="2562"/>
      <c r="Q65" s="2578"/>
      <c r="R65" s="2562"/>
      <c r="S65" s="2562"/>
      <c r="T65" s="2562"/>
      <c r="U65" s="2562"/>
      <c r="V65" s="2562"/>
      <c r="W65" s="2562"/>
      <c r="X65" s="2562"/>
      <c r="Y65" s="2562"/>
      <c r="Z65" s="2562"/>
    </row>
    <row r="66" spans="1:26" ht="15.75" customHeight="1">
      <c r="A66" s="197"/>
      <c r="B66" s="675" t="s">
        <v>4354</v>
      </c>
      <c r="C66" s="2448">
        <v>0</v>
      </c>
      <c r="D66" s="2448">
        <v>0</v>
      </c>
      <c r="E66" s="676"/>
      <c r="F66" s="669"/>
      <c r="G66" s="257" t="s">
        <v>4384</v>
      </c>
      <c r="H66" s="197"/>
      <c r="I66" s="258"/>
      <c r="J66" s="197"/>
      <c r="K66" s="2578"/>
      <c r="L66" s="251">
        <f t="shared" si="5"/>
        <v>0</v>
      </c>
      <c r="M66" s="2578"/>
      <c r="N66" s="252">
        <f t="shared" si="6"/>
        <v>0</v>
      </c>
      <c r="O66" s="252">
        <f t="shared" si="7"/>
        <v>0</v>
      </c>
      <c r="P66" s="2562"/>
      <c r="Q66" s="2578"/>
      <c r="R66" s="2562"/>
      <c r="S66" s="2562"/>
      <c r="T66" s="2562"/>
      <c r="U66" s="2562"/>
      <c r="V66" s="2562"/>
      <c r="W66" s="2562"/>
      <c r="X66" s="2562"/>
      <c r="Y66" s="2562"/>
      <c r="Z66" s="2562"/>
    </row>
    <row r="67" spans="1:26" ht="15.75" customHeight="1" thickBot="1">
      <c r="A67" s="197"/>
      <c r="B67" s="425" t="s">
        <v>4385</v>
      </c>
      <c r="C67" s="265">
        <f>IFERROR(SUM(C42:C66),0)</f>
        <v>15720.290000000012</v>
      </c>
      <c r="D67" s="265">
        <f>IFERROR(SUM(D42:D66),0)</f>
        <v>4.0816090000000003</v>
      </c>
      <c r="E67" s="677"/>
      <c r="F67" s="197"/>
      <c r="G67" s="320" t="s">
        <v>4386</v>
      </c>
      <c r="H67" s="197"/>
      <c r="I67" s="269"/>
      <c r="J67" s="197"/>
      <c r="K67" s="2578"/>
      <c r="L67" s="2562"/>
      <c r="M67" s="2578"/>
      <c r="N67" s="2562"/>
      <c r="O67" s="2562"/>
      <c r="P67" s="2562"/>
      <c r="Q67" s="2578"/>
      <c r="R67" s="2562"/>
      <c r="S67" s="2562"/>
      <c r="T67" s="2562"/>
      <c r="U67" s="2562"/>
      <c r="V67" s="2562"/>
      <c r="W67" s="2562"/>
      <c r="X67" s="2562"/>
      <c r="Y67" s="2562"/>
      <c r="Z67" s="2562"/>
    </row>
    <row r="68" spans="1:26" ht="16" thickTop="1">
      <c r="A68" s="197"/>
      <c r="B68" s="197"/>
      <c r="C68" s="197"/>
      <c r="D68" s="197"/>
      <c r="E68" s="197"/>
      <c r="F68" s="197"/>
      <c r="G68" s="178"/>
      <c r="H68" s="197"/>
      <c r="I68" s="197"/>
      <c r="J68" s="197"/>
      <c r="K68" s="2562"/>
      <c r="L68" s="2562"/>
      <c r="M68" s="2562"/>
      <c r="N68" s="2562"/>
      <c r="O68" s="2562"/>
      <c r="P68" s="2562"/>
      <c r="Q68" s="2562"/>
      <c r="R68" s="2562"/>
      <c r="S68" s="2562"/>
      <c r="T68" s="2562"/>
      <c r="U68" s="2562"/>
      <c r="V68" s="2562"/>
      <c r="W68" s="2562"/>
      <c r="X68" s="2562"/>
      <c r="Y68" s="2562"/>
      <c r="Z68" s="2562"/>
    </row>
    <row r="69" spans="1:26" ht="15.5">
      <c r="A69" s="197"/>
      <c r="B69" s="197"/>
      <c r="C69" s="197"/>
      <c r="D69" s="197"/>
      <c r="E69" s="197"/>
      <c r="F69" s="197"/>
      <c r="G69" s="178"/>
      <c r="H69" s="197"/>
      <c r="I69" s="197"/>
      <c r="J69" s="197"/>
      <c r="K69" s="2562"/>
      <c r="L69" s="2562"/>
      <c r="M69" s="2562"/>
      <c r="N69" s="2562"/>
      <c r="O69" s="2562"/>
      <c r="P69" s="2562"/>
      <c r="Q69" s="2562"/>
      <c r="R69" s="2562"/>
      <c r="S69" s="2562"/>
      <c r="T69" s="2562"/>
      <c r="U69" s="2562"/>
      <c r="V69" s="2562"/>
      <c r="W69" s="2562"/>
      <c r="X69" s="2562"/>
      <c r="Y69" s="2562"/>
      <c r="Z69" s="2562"/>
    </row>
    <row r="70" spans="1:26" ht="15.5">
      <c r="A70" s="197"/>
      <c r="B70" s="197"/>
      <c r="C70" s="197"/>
      <c r="D70" s="197"/>
      <c r="E70" s="197"/>
      <c r="F70" s="197"/>
      <c r="G70" s="178"/>
      <c r="H70" s="197"/>
      <c r="I70" s="197"/>
      <c r="J70" s="197"/>
      <c r="K70" s="2562"/>
      <c r="L70" s="2562"/>
      <c r="M70" s="2562"/>
      <c r="N70" s="2562"/>
      <c r="O70" s="2562"/>
      <c r="P70" s="2562"/>
      <c r="Q70" s="2562"/>
      <c r="R70" s="2562"/>
      <c r="S70" s="2562"/>
      <c r="T70" s="2562"/>
      <c r="U70" s="2562"/>
      <c r="V70" s="2562"/>
      <c r="W70" s="2562"/>
      <c r="X70" s="2562"/>
      <c r="Y70" s="2562"/>
      <c r="Z70" s="2562"/>
    </row>
    <row r="71" spans="1:26" ht="15.5">
      <c r="A71" s="197"/>
      <c r="B71" s="197"/>
      <c r="C71" s="197"/>
      <c r="D71" s="197"/>
      <c r="E71" s="197"/>
      <c r="F71" s="197"/>
      <c r="G71" s="178"/>
      <c r="H71" s="197"/>
      <c r="I71" s="197"/>
      <c r="J71" s="197"/>
      <c r="K71" s="2562"/>
      <c r="L71" s="2562"/>
      <c r="M71" s="2562"/>
      <c r="N71" s="2562"/>
      <c r="O71" s="2562"/>
      <c r="P71" s="2562"/>
      <c r="Q71" s="2562"/>
      <c r="R71" s="2562"/>
      <c r="S71" s="2562"/>
      <c r="T71" s="2562"/>
      <c r="U71" s="2562"/>
      <c r="V71" s="2562"/>
      <c r="W71" s="2562"/>
      <c r="X71" s="2562"/>
      <c r="Y71" s="2562"/>
      <c r="Z71" s="2562"/>
    </row>
    <row r="72" spans="1:26" ht="15.5">
      <c r="A72" s="197"/>
      <c r="B72" s="197"/>
      <c r="C72" s="197"/>
      <c r="D72" s="197"/>
      <c r="E72" s="197"/>
      <c r="F72" s="197"/>
      <c r="G72" s="178"/>
      <c r="H72" s="197"/>
      <c r="I72" s="197"/>
      <c r="J72" s="197"/>
      <c r="K72" s="2562"/>
      <c r="L72" s="2562"/>
      <c r="M72" s="2562"/>
      <c r="N72" s="2562"/>
      <c r="O72" s="2562"/>
      <c r="P72" s="2562"/>
      <c r="Q72" s="2562"/>
      <c r="R72" s="2562"/>
      <c r="S72" s="2562"/>
      <c r="T72" s="2562"/>
      <c r="U72" s="2562"/>
      <c r="V72" s="2562"/>
      <c r="W72" s="2562"/>
      <c r="X72" s="2562"/>
      <c r="Y72" s="2562"/>
      <c r="Z72" s="2562"/>
    </row>
    <row r="73" spans="1:26" ht="15.5">
      <c r="A73" s="197"/>
      <c r="B73" s="197"/>
      <c r="C73" s="197"/>
      <c r="D73" s="197"/>
      <c r="E73" s="197"/>
      <c r="F73" s="197"/>
      <c r="G73" s="178"/>
      <c r="H73" s="197"/>
      <c r="I73" s="197"/>
      <c r="J73" s="197"/>
      <c r="K73" s="2562"/>
      <c r="L73" s="2562"/>
      <c r="M73" s="2562"/>
      <c r="N73" s="2562"/>
      <c r="O73" s="2562"/>
      <c r="P73" s="2562"/>
      <c r="Q73" s="2562"/>
      <c r="R73" s="2562"/>
      <c r="S73" s="2562"/>
      <c r="T73" s="2562"/>
      <c r="U73" s="2562"/>
      <c r="V73" s="2562"/>
      <c r="W73" s="2562"/>
      <c r="X73" s="2562"/>
      <c r="Y73" s="2562"/>
      <c r="Z73" s="2562"/>
    </row>
    <row r="74" spans="1:26" ht="15.5">
      <c r="A74" s="197"/>
      <c r="B74" s="197"/>
      <c r="C74" s="197"/>
      <c r="D74" s="197"/>
      <c r="E74" s="197"/>
      <c r="F74" s="197"/>
      <c r="G74" s="178"/>
      <c r="H74" s="197"/>
      <c r="I74" s="197"/>
      <c r="J74" s="197"/>
      <c r="K74" s="2562"/>
      <c r="L74" s="2562"/>
      <c r="M74" s="2562"/>
      <c r="N74" s="2562"/>
      <c r="O74" s="2562"/>
      <c r="P74" s="2562"/>
      <c r="Q74" s="2562"/>
      <c r="R74" s="2562"/>
      <c r="S74" s="2562"/>
      <c r="T74" s="2562"/>
      <c r="U74" s="2562"/>
      <c r="V74" s="2562"/>
      <c r="W74" s="2562"/>
      <c r="X74" s="2562"/>
      <c r="Y74" s="2562"/>
      <c r="Z74" s="2562"/>
    </row>
  </sheetData>
  <sheetProtection formatColumns="0" formatRows="0"/>
  <mergeCells count="6">
    <mergeCell ref="B1:D1"/>
    <mergeCell ref="B2:D2"/>
    <mergeCell ref="B3:I3"/>
    <mergeCell ref="N4:P4"/>
    <mergeCell ref="G5:G7"/>
    <mergeCell ref="I5:I7"/>
  </mergeCells>
  <phoneticPr fontId="38" type="noConversion"/>
  <conditionalFormatting sqref="L10:L34">
    <cfRule type="cellIs" dxfId="151" priority="3" operator="equal">
      <formula>0</formula>
    </cfRule>
  </conditionalFormatting>
  <conditionalFormatting sqref="L42:L66">
    <cfRule type="cellIs" dxfId="150"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topLeftCell="AE1" zoomScale="70" zoomScaleNormal="70" zoomScaleSheetLayoutView="70" workbookViewId="0">
      <pane ySplit="6" topLeftCell="A618" activePane="bottomLeft" state="frozen"/>
      <selection pane="bottomLeft" activeCell="AF11" sqref="AF11"/>
    </sheetView>
  </sheetViews>
  <sheetFormatPr defaultColWidth="10.08203125" defaultRowHeight="14.5" zeroHeight="1" outlineLevelRow="1"/>
  <cols>
    <col min="1" max="1" width="10.08203125" style="24"/>
    <col min="2" max="2" width="66.58203125" style="24" customWidth="1"/>
    <col min="3" max="3" width="89.33203125" style="24" bestFit="1" customWidth="1"/>
    <col min="4" max="4" width="18.83203125" style="24" bestFit="1" customWidth="1"/>
    <col min="5" max="5" width="10.08203125" style="24" bestFit="1" customWidth="1"/>
    <col min="6" max="6" width="14.58203125" style="24" bestFit="1" customWidth="1"/>
    <col min="7" max="7" width="18.75" style="24" bestFit="1" customWidth="1"/>
    <col min="8" max="8" width="16.33203125" style="24" bestFit="1" customWidth="1"/>
    <col min="9" max="9" width="9.25" style="24" bestFit="1" customWidth="1"/>
    <col min="10" max="10" width="10.83203125" style="24" bestFit="1" customWidth="1"/>
    <col min="11" max="11" width="8.08203125" style="24" bestFit="1" customWidth="1"/>
    <col min="12" max="12" width="10.83203125" style="24" bestFit="1" customWidth="1"/>
    <col min="13" max="13" width="8.5" style="24" bestFit="1" customWidth="1"/>
    <col min="14" max="14" width="12.25" style="24" bestFit="1" customWidth="1"/>
    <col min="15" max="15" width="16.25" style="24" bestFit="1" customWidth="1"/>
    <col min="16" max="16" width="22.75" style="24" bestFit="1" customWidth="1"/>
    <col min="17" max="17" width="14.83203125" style="24" customWidth="1"/>
    <col min="18" max="19" width="7.58203125" style="24" bestFit="1" customWidth="1"/>
    <col min="20" max="20" width="13" style="24" customWidth="1"/>
    <col min="21" max="22" width="13.08203125" style="24" customWidth="1"/>
    <col min="23" max="23" width="7.58203125" style="24" bestFit="1" customWidth="1"/>
    <col min="24" max="24" width="14" style="24" customWidth="1"/>
    <col min="25" max="25" width="14.08203125" style="24" customWidth="1"/>
    <col min="26" max="26" width="9.58203125" style="24" bestFit="1" customWidth="1"/>
    <col min="27" max="27" width="12.08203125" style="24" bestFit="1" customWidth="1"/>
    <col min="28" max="28" width="9.5" style="24" bestFit="1" customWidth="1"/>
    <col min="29" max="30" width="12.58203125" style="24" bestFit="1" customWidth="1"/>
    <col min="31" max="31" width="12.58203125" style="2226" customWidth="1"/>
    <col min="32" max="32" width="208.58203125" style="24" customWidth="1"/>
    <col min="33" max="33" width="2.5" style="24" customWidth="1"/>
    <col min="34" max="34" width="10.5" style="24" customWidth="1"/>
    <col min="35" max="36" width="1.58203125" style="17" customWidth="1"/>
    <col min="37" max="37" width="18.58203125" style="17" bestFit="1" customWidth="1"/>
    <col min="38" max="38" width="1.58203125" style="17" customWidth="1"/>
    <col min="39" max="39" width="18.58203125" style="17" hidden="1" customWidth="1"/>
    <col min="40" max="52" width="1.58203125" style="17" hidden="1" customWidth="1"/>
    <col min="53" max="53" width="7.58203125" style="17" hidden="1" customWidth="1"/>
    <col min="54" max="55" width="1.58203125" style="17" hidden="1" customWidth="1"/>
    <col min="56" max="56" width="7.58203125" style="17" hidden="1" customWidth="1"/>
    <col min="57" max="59" width="1.58203125" style="17" hidden="1" customWidth="1"/>
    <col min="60" max="61" width="7.58203125" style="17" hidden="1" customWidth="1"/>
    <col min="62" max="69" width="1.58203125" style="17" hidden="1" customWidth="1"/>
    <col min="70" max="70" width="0" style="17" hidden="1" customWidth="1"/>
    <col min="71" max="71" width="2.08203125" style="24" customWidth="1"/>
    <col min="72" max="16384" width="10.08203125" style="24"/>
  </cols>
  <sheetData>
    <row r="1" spans="1:73" ht="35.25" customHeight="1">
      <c r="A1" s="2585"/>
      <c r="B1" s="627" t="s">
        <v>4387</v>
      </c>
      <c r="C1" s="441"/>
      <c r="D1" s="441"/>
      <c r="E1" s="441"/>
      <c r="F1" s="441"/>
      <c r="G1" s="441"/>
      <c r="H1" s="2585"/>
      <c r="I1" s="2585"/>
      <c r="J1" s="2585"/>
      <c r="K1" s="2585"/>
      <c r="L1" s="2585"/>
      <c r="M1" s="2585"/>
      <c r="N1" s="2585"/>
      <c r="O1" s="2585"/>
      <c r="P1" s="2585"/>
      <c r="Q1" s="2585"/>
      <c r="R1" s="2585"/>
      <c r="S1" s="2585"/>
      <c r="T1" s="2585"/>
      <c r="U1" s="2585"/>
      <c r="V1" s="2585"/>
      <c r="W1" s="2585"/>
      <c r="X1" s="2585"/>
      <c r="Y1" s="2585"/>
      <c r="Z1" s="2585"/>
      <c r="AA1" s="2585"/>
      <c r="AB1" s="2585"/>
      <c r="AC1" s="2585"/>
      <c r="AD1" s="2585"/>
      <c r="AE1" s="2585"/>
      <c r="AF1" s="2585"/>
      <c r="AG1" s="2585"/>
      <c r="AH1" s="2585"/>
      <c r="AI1" s="2562"/>
      <c r="AJ1" s="2578"/>
      <c r="AK1" s="2562"/>
      <c r="AL1" s="2578"/>
      <c r="AM1" s="2562"/>
      <c r="AN1" s="2562"/>
      <c r="AO1" s="2562"/>
      <c r="AP1" s="2562"/>
      <c r="AQ1" s="2562"/>
      <c r="AR1" s="2562"/>
      <c r="AS1" s="2562"/>
      <c r="AT1" s="2562"/>
      <c r="AU1" s="2562"/>
      <c r="AV1" s="2562"/>
      <c r="AW1" s="2562"/>
      <c r="AX1" s="2562"/>
      <c r="AY1" s="2562"/>
      <c r="AZ1" s="2562"/>
      <c r="BA1" s="2562"/>
      <c r="BB1" s="2562"/>
      <c r="BC1" s="2562"/>
      <c r="BD1" s="2562"/>
      <c r="BE1" s="2562"/>
      <c r="BF1" s="2562"/>
      <c r="BG1" s="2562"/>
      <c r="BH1" s="2562"/>
      <c r="BI1" s="2562"/>
      <c r="BJ1" s="2562"/>
      <c r="BK1" s="2562"/>
      <c r="BL1" s="2562"/>
      <c r="BM1" s="2562"/>
      <c r="BN1" s="2562"/>
      <c r="BO1" s="2562"/>
      <c r="BP1" s="2578"/>
      <c r="BQ1" s="2562"/>
      <c r="BR1" s="2562"/>
      <c r="BS1" s="2585"/>
      <c r="BT1" s="2585"/>
      <c r="BU1" s="2585"/>
    </row>
    <row r="2" spans="1:73" ht="42.75" customHeight="1">
      <c r="A2" s="2585"/>
      <c r="B2" s="627" t="str">
        <f>SelectCompany!B4</f>
        <v>Yorkshire Water</v>
      </c>
      <c r="C2" s="2585"/>
      <c r="D2" s="2585"/>
      <c r="E2" s="2585"/>
      <c r="F2" s="2585"/>
      <c r="G2" s="2585"/>
      <c r="H2" s="2585"/>
      <c r="I2" s="2585"/>
      <c r="J2" s="2585"/>
      <c r="K2" s="2585"/>
      <c r="L2" s="2585"/>
      <c r="M2" s="2585"/>
      <c r="N2" s="2585"/>
      <c r="O2" s="2586"/>
      <c r="P2" s="2585"/>
      <c r="Q2" s="2585"/>
      <c r="R2" s="2585"/>
      <c r="S2" s="2585"/>
      <c r="T2" s="2585"/>
      <c r="U2" s="2585"/>
      <c r="V2" s="2585"/>
      <c r="W2" s="2585"/>
      <c r="X2" s="2585"/>
      <c r="Y2" s="2585"/>
      <c r="Z2" s="2585"/>
      <c r="AA2" s="2585"/>
      <c r="AB2" s="2585"/>
      <c r="AC2" s="2585"/>
      <c r="AD2" s="2585"/>
      <c r="AE2" s="2585"/>
      <c r="AF2" s="2585"/>
      <c r="AG2" s="2585"/>
      <c r="AH2" s="2585"/>
      <c r="AI2" s="2562"/>
      <c r="AJ2" s="2578"/>
      <c r="AK2" s="2562"/>
      <c r="AL2" s="2578"/>
      <c r="AM2" s="2562"/>
      <c r="AN2" s="2562"/>
      <c r="AO2" s="2562"/>
      <c r="AP2" s="2562"/>
      <c r="AQ2" s="2562"/>
      <c r="AR2" s="2562"/>
      <c r="AS2" s="2562"/>
      <c r="AT2" s="2562"/>
      <c r="AU2" s="2562"/>
      <c r="AV2" s="2562"/>
      <c r="AW2" s="2562"/>
      <c r="AX2" s="2562"/>
      <c r="AY2" s="2562"/>
      <c r="AZ2" s="2562"/>
      <c r="BA2" s="2562"/>
      <c r="BB2" s="2562"/>
      <c r="BC2" s="2562"/>
      <c r="BD2" s="2562"/>
      <c r="BE2" s="2562"/>
      <c r="BF2" s="2562"/>
      <c r="BG2" s="2562"/>
      <c r="BH2" s="2562"/>
      <c r="BI2" s="2562"/>
      <c r="BJ2" s="2562"/>
      <c r="BK2" s="2562"/>
      <c r="BL2" s="2562"/>
      <c r="BM2" s="2562"/>
      <c r="BN2" s="2562"/>
      <c r="BO2" s="2562"/>
      <c r="BP2" s="2578"/>
      <c r="BQ2" s="2562"/>
      <c r="BR2" s="2562"/>
      <c r="BS2" s="2585"/>
      <c r="BT2" s="2585"/>
      <c r="BU2" s="2585"/>
    </row>
    <row r="3" spans="1:73" s="22" customFormat="1" ht="27" customHeight="1">
      <c r="A3" s="2585"/>
      <c r="B3" s="2784" t="s">
        <v>4388</v>
      </c>
      <c r="C3" s="2784"/>
      <c r="D3" s="2784"/>
      <c r="E3" s="2784"/>
      <c r="F3" s="2784"/>
      <c r="G3" s="2784"/>
      <c r="H3" s="2784"/>
      <c r="I3" s="2784"/>
      <c r="J3" s="2784"/>
      <c r="K3" s="2784"/>
      <c r="L3" s="2784"/>
      <c r="M3" s="2784"/>
      <c r="N3" s="2784"/>
      <c r="O3" s="2784"/>
      <c r="P3" s="2784"/>
      <c r="Q3" s="2784"/>
      <c r="R3" s="2784"/>
      <c r="S3" s="2784"/>
      <c r="T3" s="2784"/>
      <c r="U3" s="2784"/>
      <c r="V3" s="2784"/>
      <c r="W3" s="2784"/>
      <c r="X3" s="2784"/>
      <c r="Y3" s="2784"/>
      <c r="Z3" s="2784"/>
      <c r="AA3" s="2784"/>
      <c r="AB3" s="2784"/>
      <c r="AC3" s="2784"/>
      <c r="AD3" s="2784"/>
      <c r="AE3" s="2784"/>
      <c r="AF3" s="2784"/>
      <c r="AG3" s="2585"/>
      <c r="AH3" s="2585"/>
      <c r="AI3" s="2562"/>
      <c r="AJ3" s="2578"/>
      <c r="AK3" s="387" t="s">
        <v>1889</v>
      </c>
      <c r="AL3" s="2578"/>
      <c r="AM3" s="2562"/>
      <c r="AN3" s="2562"/>
      <c r="AO3" s="2562"/>
      <c r="AP3" s="2562"/>
      <c r="AQ3" s="2562"/>
      <c r="AR3" s="2562"/>
      <c r="AS3" s="2562"/>
      <c r="AT3" s="2562"/>
      <c r="AU3" s="2562"/>
      <c r="AV3" s="2562"/>
      <c r="AW3" s="2562"/>
      <c r="AX3" s="2562"/>
      <c r="AY3" s="2562"/>
      <c r="AZ3" s="2562"/>
      <c r="BA3" s="2562"/>
      <c r="BB3" s="2562"/>
      <c r="BC3" s="2562"/>
      <c r="BD3" s="2562"/>
      <c r="BE3" s="2562"/>
      <c r="BF3" s="2562"/>
      <c r="BG3" s="2562"/>
      <c r="BH3" s="2562"/>
      <c r="BI3" s="2562"/>
      <c r="BJ3" s="2562"/>
      <c r="BK3" s="2562"/>
      <c r="BL3" s="2562"/>
      <c r="BM3" s="2562"/>
      <c r="BN3" s="2562"/>
      <c r="BO3" s="2562"/>
      <c r="BP3" s="2578"/>
      <c r="BQ3" s="2562"/>
      <c r="BR3" s="2562"/>
      <c r="BS3" s="2585"/>
      <c r="BT3" s="2585"/>
      <c r="BU3" s="2585"/>
    </row>
    <row r="4" spans="1:73" s="22" customFormat="1" ht="15" thickBot="1">
      <c r="A4" s="2585"/>
      <c r="B4" s="2587">
        <v>1</v>
      </c>
      <c r="C4" s="2587">
        <v>2</v>
      </c>
      <c r="D4" s="2587">
        <v>3</v>
      </c>
      <c r="E4" s="2587">
        <v>4</v>
      </c>
      <c r="F4" s="2587">
        <v>5</v>
      </c>
      <c r="G4" s="2587">
        <v>6</v>
      </c>
      <c r="H4" s="2587">
        <v>7</v>
      </c>
      <c r="I4" s="2587">
        <v>8</v>
      </c>
      <c r="J4" s="2587">
        <v>9</v>
      </c>
      <c r="K4" s="2587">
        <v>10</v>
      </c>
      <c r="L4" s="2587">
        <v>11</v>
      </c>
      <c r="M4" s="2587">
        <v>12</v>
      </c>
      <c r="N4" s="2587">
        <v>13</v>
      </c>
      <c r="O4" s="2587">
        <v>14</v>
      </c>
      <c r="P4" s="2587">
        <v>15</v>
      </c>
      <c r="Q4" s="2587">
        <v>16</v>
      </c>
      <c r="R4" s="2587">
        <v>17</v>
      </c>
      <c r="S4" s="2587">
        <v>18</v>
      </c>
      <c r="T4" s="2587">
        <v>19</v>
      </c>
      <c r="U4" s="2587">
        <v>20</v>
      </c>
      <c r="V4" s="2587">
        <v>21</v>
      </c>
      <c r="W4" s="2587">
        <v>22</v>
      </c>
      <c r="X4" s="2587">
        <v>23</v>
      </c>
      <c r="Y4" s="2587">
        <v>24</v>
      </c>
      <c r="Z4" s="2587">
        <v>25</v>
      </c>
      <c r="AA4" s="2587">
        <v>26</v>
      </c>
      <c r="AB4" s="2587">
        <v>27</v>
      </c>
      <c r="AC4" s="2587">
        <v>28</v>
      </c>
      <c r="AD4" s="2587">
        <v>29</v>
      </c>
      <c r="AE4" s="2588">
        <v>30</v>
      </c>
      <c r="AF4" s="2587">
        <v>31</v>
      </c>
      <c r="AG4" s="2585"/>
      <c r="AH4" s="2585"/>
      <c r="AI4" s="2562"/>
      <c r="AJ4" s="2578"/>
      <c r="AK4" s="2562"/>
      <c r="AL4" s="662"/>
      <c r="AM4" s="2662" t="s">
        <v>1890</v>
      </c>
      <c r="AN4" s="2662"/>
      <c r="AO4" s="2662"/>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2578"/>
      <c r="BQ4" s="2562"/>
      <c r="BR4" s="2562"/>
      <c r="BS4" s="2585"/>
      <c r="BT4" s="2585"/>
      <c r="BU4" s="2585"/>
    </row>
    <row r="5" spans="1:73" s="22" customFormat="1" ht="117.75" customHeight="1" thickTop="1">
      <c r="A5" s="2585"/>
      <c r="B5" s="25" t="s">
        <v>4389</v>
      </c>
      <c r="C5" s="26" t="s">
        <v>4390</v>
      </c>
      <c r="D5" s="26" t="s">
        <v>4391</v>
      </c>
      <c r="E5" s="26" t="s">
        <v>4392</v>
      </c>
      <c r="F5" s="26" t="s">
        <v>4393</v>
      </c>
      <c r="G5" s="26" t="s">
        <v>4394</v>
      </c>
      <c r="H5" s="26" t="s">
        <v>4395</v>
      </c>
      <c r="I5" s="26" t="s">
        <v>4396</v>
      </c>
      <c r="J5" s="26" t="s">
        <v>4397</v>
      </c>
      <c r="K5" s="26" t="s">
        <v>4398</v>
      </c>
      <c r="L5" s="26" t="s">
        <v>4399</v>
      </c>
      <c r="M5" s="26" t="s">
        <v>4400</v>
      </c>
      <c r="N5" s="26" t="s">
        <v>4401</v>
      </c>
      <c r="O5" s="26" t="s">
        <v>4402</v>
      </c>
      <c r="P5" s="26" t="s">
        <v>4403</v>
      </c>
      <c r="Q5" s="26" t="s">
        <v>4404</v>
      </c>
      <c r="R5" s="26" t="s">
        <v>4405</v>
      </c>
      <c r="S5" s="26" t="s">
        <v>4406</v>
      </c>
      <c r="T5" s="26" t="s">
        <v>4407</v>
      </c>
      <c r="U5" s="26" t="s">
        <v>4408</v>
      </c>
      <c r="V5" s="26" t="s">
        <v>4409</v>
      </c>
      <c r="W5" s="26" t="s">
        <v>4410</v>
      </c>
      <c r="X5" s="26" t="s">
        <v>4411</v>
      </c>
      <c r="Y5" s="26" t="s">
        <v>4412</v>
      </c>
      <c r="Z5" s="26" t="s">
        <v>4413</v>
      </c>
      <c r="AA5" s="26" t="s">
        <v>4414</v>
      </c>
      <c r="AB5" s="26" t="s">
        <v>4415</v>
      </c>
      <c r="AC5" s="26" t="s">
        <v>4416</v>
      </c>
      <c r="AD5" s="26" t="s">
        <v>4417</v>
      </c>
      <c r="AE5" s="26" t="s">
        <v>4418</v>
      </c>
      <c r="AF5" s="27" t="s">
        <v>4419</v>
      </c>
      <c r="AG5" s="28"/>
      <c r="AH5" s="2782" t="s">
        <v>1896</v>
      </c>
      <c r="AI5" s="197"/>
      <c r="AJ5" s="2578"/>
      <c r="AK5" s="2562"/>
      <c r="AL5" s="2577"/>
      <c r="AM5" s="236" t="s">
        <v>1898</v>
      </c>
      <c r="AN5" s="2572"/>
      <c r="AO5" s="2572"/>
      <c r="AP5" s="2572"/>
      <c r="AQ5" s="2572"/>
      <c r="AR5" s="2572"/>
      <c r="AS5" s="2572"/>
      <c r="AT5" s="2572"/>
      <c r="AU5" s="2572"/>
      <c r="AV5" s="2572"/>
      <c r="AW5" s="2572"/>
      <c r="AX5" s="2572"/>
      <c r="AY5" s="2572"/>
      <c r="AZ5" s="2572"/>
      <c r="BA5" s="2572"/>
      <c r="BB5" s="2572"/>
      <c r="BC5" s="2572"/>
      <c r="BD5" s="2572"/>
      <c r="BE5" s="2572"/>
      <c r="BF5" s="2572"/>
      <c r="BG5" s="2572"/>
      <c r="BH5" s="2572"/>
      <c r="BI5" s="2572"/>
      <c r="BJ5" s="2572"/>
      <c r="BK5" s="2572"/>
      <c r="BL5" s="2572"/>
      <c r="BM5" s="2572"/>
      <c r="BN5" s="2572"/>
      <c r="BO5" s="2572"/>
      <c r="BP5" s="2578"/>
      <c r="BQ5" s="2562"/>
      <c r="BR5" s="2562"/>
      <c r="BS5" s="2585"/>
      <c r="BT5" s="2585"/>
      <c r="BU5" s="2585"/>
    </row>
    <row r="6" spans="1:73" s="22" customFormat="1" ht="31.5" thickBot="1">
      <c r="A6" s="2585"/>
      <c r="B6" s="29" t="s">
        <v>4420</v>
      </c>
      <c r="C6" s="30" t="s">
        <v>4420</v>
      </c>
      <c r="D6" s="30" t="s">
        <v>4420</v>
      </c>
      <c r="E6" s="30" t="s">
        <v>4420</v>
      </c>
      <c r="F6" s="30" t="s">
        <v>4420</v>
      </c>
      <c r="G6" s="30" t="s">
        <v>4420</v>
      </c>
      <c r="H6" s="30" t="s">
        <v>4420</v>
      </c>
      <c r="I6" s="30" t="s">
        <v>4420</v>
      </c>
      <c r="J6" s="30" t="s">
        <v>4421</v>
      </c>
      <c r="K6" s="30" t="s">
        <v>4422</v>
      </c>
      <c r="L6" s="30" t="s">
        <v>4421</v>
      </c>
      <c r="M6" s="30" t="s">
        <v>4423</v>
      </c>
      <c r="N6" s="30" t="s">
        <v>4424</v>
      </c>
      <c r="O6" s="30" t="s">
        <v>4424</v>
      </c>
      <c r="P6" s="30" t="s">
        <v>4424</v>
      </c>
      <c r="Q6" s="30" t="s">
        <v>4424</v>
      </c>
      <c r="R6" s="30" t="s">
        <v>1344</v>
      </c>
      <c r="S6" s="30" t="s">
        <v>1344</v>
      </c>
      <c r="T6" s="30" t="s">
        <v>4420</v>
      </c>
      <c r="U6" s="30" t="s">
        <v>1344</v>
      </c>
      <c r="V6" s="30" t="s">
        <v>1344</v>
      </c>
      <c r="W6" s="30" t="s">
        <v>1344</v>
      </c>
      <c r="X6" s="30" t="s">
        <v>4424</v>
      </c>
      <c r="Y6" s="30" t="s">
        <v>4424</v>
      </c>
      <c r="Z6" s="30" t="s">
        <v>1344</v>
      </c>
      <c r="AA6" s="30" t="s">
        <v>1344</v>
      </c>
      <c r="AB6" s="30" t="s">
        <v>4424</v>
      </c>
      <c r="AC6" s="30" t="s">
        <v>4424</v>
      </c>
      <c r="AD6" s="30" t="s">
        <v>4424</v>
      </c>
      <c r="AE6" s="30" t="s">
        <v>4420</v>
      </c>
      <c r="AF6" s="31" t="s">
        <v>4420</v>
      </c>
      <c r="AG6" s="28"/>
      <c r="AH6" s="2783"/>
      <c r="AI6" s="197"/>
      <c r="AJ6" s="2578"/>
      <c r="AK6" s="2562"/>
      <c r="AL6" s="2577"/>
      <c r="AM6" s="236"/>
      <c r="AN6" s="2572"/>
      <c r="AO6" s="2572"/>
      <c r="AP6" s="2572"/>
      <c r="AQ6" s="2572"/>
      <c r="AR6" s="2572"/>
      <c r="AS6" s="2572"/>
      <c r="AT6" s="2572"/>
      <c r="AU6" s="2572"/>
      <c r="AV6" s="2572"/>
      <c r="AW6" s="2572"/>
      <c r="AX6" s="2572"/>
      <c r="AY6" s="2572"/>
      <c r="AZ6" s="2572"/>
      <c r="BA6" s="2572"/>
      <c r="BB6" s="2572"/>
      <c r="BC6" s="2572"/>
      <c r="BD6" s="2572"/>
      <c r="BE6" s="2572"/>
      <c r="BF6" s="2572"/>
      <c r="BG6" s="2572"/>
      <c r="BH6" s="2572"/>
      <c r="BI6" s="2572"/>
      <c r="BJ6" s="2572"/>
      <c r="BK6" s="2572"/>
      <c r="BL6" s="2572"/>
      <c r="BM6" s="2572"/>
      <c r="BN6" s="2572"/>
      <c r="BO6" s="2572"/>
      <c r="BP6" s="2578"/>
      <c r="BQ6" s="2562"/>
      <c r="BR6" s="2562"/>
      <c r="BS6" s="2585"/>
      <c r="BT6" s="2585"/>
      <c r="BU6" s="2585"/>
    </row>
    <row r="7" spans="1:73" s="22" customFormat="1" ht="16.5" thickTop="1" thickBot="1">
      <c r="A7" s="2585"/>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2578"/>
      <c r="AK7" s="2562"/>
      <c r="AL7" s="2577"/>
      <c r="AM7" s="2572"/>
      <c r="AN7" s="2572"/>
      <c r="AO7" s="2572"/>
      <c r="AP7" s="2572"/>
      <c r="AQ7" s="2572"/>
      <c r="AR7" s="2572"/>
      <c r="AS7" s="2572"/>
      <c r="AT7" s="2572"/>
      <c r="AU7" s="2572"/>
      <c r="AV7" s="2572"/>
      <c r="AW7" s="2572"/>
      <c r="AX7" s="2572"/>
      <c r="AY7" s="2572"/>
      <c r="AZ7" s="2572"/>
      <c r="BA7" s="2572"/>
      <c r="BB7" s="2572"/>
      <c r="BC7" s="2572"/>
      <c r="BD7" s="2572"/>
      <c r="BE7" s="2572"/>
      <c r="BF7" s="2572"/>
      <c r="BG7" s="2572"/>
      <c r="BH7" s="2572"/>
      <c r="BI7" s="2572"/>
      <c r="BJ7" s="2572"/>
      <c r="BK7" s="2572"/>
      <c r="BL7" s="2572"/>
      <c r="BM7" s="2572"/>
      <c r="BN7" s="2572"/>
      <c r="BO7" s="2572"/>
      <c r="BP7" s="2578"/>
      <c r="BQ7" s="2562"/>
      <c r="BR7" s="2562"/>
      <c r="BS7" s="2585"/>
      <c r="BT7" s="2585"/>
      <c r="BU7" s="2585"/>
    </row>
    <row r="8" spans="1:73" s="22" customFormat="1" ht="15.75" customHeight="1" thickTop="1" thickBot="1">
      <c r="A8" s="2585"/>
      <c r="B8" s="33" t="s">
        <v>4425</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2578"/>
      <c r="AK8" s="2562"/>
      <c r="AL8" s="2578"/>
      <c r="AM8" s="2562"/>
      <c r="AN8" s="2562"/>
      <c r="AO8" s="2562"/>
      <c r="AP8" s="2562"/>
      <c r="AQ8" s="2562"/>
      <c r="AR8" s="2562"/>
      <c r="AS8" s="2562"/>
      <c r="AT8" s="2562"/>
      <c r="AU8" s="2562"/>
      <c r="AV8" s="2562"/>
      <c r="AW8" s="2562"/>
      <c r="AX8" s="2562"/>
      <c r="AY8" s="2562"/>
      <c r="AZ8" s="2562"/>
      <c r="BA8" s="2562"/>
      <c r="BB8" s="2562"/>
      <c r="BC8" s="2562"/>
      <c r="BD8" s="2562"/>
      <c r="BE8" s="2562"/>
      <c r="BF8" s="2562"/>
      <c r="BG8" s="2562"/>
      <c r="BH8" s="2562"/>
      <c r="BI8" s="2562"/>
      <c r="BJ8" s="2562"/>
      <c r="BK8" s="2562"/>
      <c r="BL8" s="2562"/>
      <c r="BM8" s="2562"/>
      <c r="BN8" s="2562"/>
      <c r="BO8" s="2562"/>
      <c r="BP8" s="2578"/>
      <c r="BQ8" s="2562"/>
      <c r="BR8" s="2562"/>
      <c r="BS8" s="2585"/>
      <c r="BT8" s="2585"/>
      <c r="BU8" s="2585"/>
    </row>
    <row r="9" spans="1:73" s="22" customFormat="1" ht="15.75" customHeight="1" thickTop="1">
      <c r="A9" s="2585"/>
      <c r="B9" s="35" t="s">
        <v>4426</v>
      </c>
      <c r="C9" s="36" t="s">
        <v>4427</v>
      </c>
      <c r="D9" s="37" t="s">
        <v>4428</v>
      </c>
      <c r="E9" s="37" t="s">
        <v>4429</v>
      </c>
      <c r="F9" s="36" t="s">
        <v>4430</v>
      </c>
      <c r="G9" s="36" t="s">
        <v>4431</v>
      </c>
      <c r="H9" s="36" t="s">
        <v>4432</v>
      </c>
      <c r="I9" s="36" t="s">
        <v>4433</v>
      </c>
      <c r="J9" s="38">
        <v>39231</v>
      </c>
      <c r="K9" s="39" t="s">
        <v>4434</v>
      </c>
      <c r="L9" s="38">
        <v>46535</v>
      </c>
      <c r="M9" s="1911">
        <v>4.1611111111111114</v>
      </c>
      <c r="N9" s="39">
        <v>150</v>
      </c>
      <c r="O9" s="39">
        <v>7.4</v>
      </c>
      <c r="P9" s="39">
        <v>7.4</v>
      </c>
      <c r="Q9" s="1882">
        <f>IFERROR(M9*O9,"")</f>
        <v>30.792222222222225</v>
      </c>
      <c r="R9" s="1883">
        <f t="shared" ref="R9:R72" si="0">IF(W9=0,0,((1+W9)/(1+$C$626))-1)</f>
        <v>-7.0554193899782236E-2</v>
      </c>
      <c r="S9" s="1883">
        <f t="shared" ref="S9:S72" si="1">IF(W9=0,0,((1+W9)/(1+$C$627))-1)</f>
        <v>-4.1578743211792113E-2</v>
      </c>
      <c r="T9" s="1912"/>
      <c r="U9" s="1912"/>
      <c r="V9" s="1912"/>
      <c r="W9" s="40">
        <v>5.5E-2</v>
      </c>
      <c r="X9" s="1890">
        <f t="shared" ref="X9:X72" si="2">W9*P9</f>
        <v>0.40700000000000003</v>
      </c>
      <c r="Y9" s="1890">
        <f>X9</f>
        <v>0.40700000000000003</v>
      </c>
      <c r="Z9" s="40">
        <v>0</v>
      </c>
      <c r="AA9" s="40">
        <v>0</v>
      </c>
      <c r="AB9" s="39">
        <v>-0.86723302000000002</v>
      </c>
      <c r="AC9" s="39">
        <v>6.975791701124721</v>
      </c>
      <c r="AD9" s="39">
        <v>7.6520000000000001</v>
      </c>
      <c r="AE9" s="36" t="s">
        <v>4435</v>
      </c>
      <c r="AF9" s="41" t="s">
        <v>4435</v>
      </c>
      <c r="AG9" s="42"/>
      <c r="AH9" s="43" t="s">
        <v>4436</v>
      </c>
      <c r="AI9" s="197"/>
      <c r="AJ9" s="2578"/>
      <c r="AK9" s="251"/>
      <c r="AL9" s="665"/>
      <c r="AM9" s="2562"/>
      <c r="AN9" s="2562"/>
      <c r="AO9" s="2562"/>
      <c r="AP9" s="2562"/>
      <c r="AQ9" s="2562"/>
      <c r="AR9" s="2562"/>
      <c r="AS9" s="2562"/>
      <c r="AT9" s="252">
        <f t="shared" ref="AT9:AZ9" si="3" xml:space="preserve"> IF( ISNUMBER(J9 ), 0, 1 )</f>
        <v>0</v>
      </c>
      <c r="AU9" s="252">
        <f t="shared" si="3"/>
        <v>1</v>
      </c>
      <c r="AV9" s="252">
        <f t="shared" si="3"/>
        <v>0</v>
      </c>
      <c r="AW9" s="252">
        <f t="shared" si="3"/>
        <v>0</v>
      </c>
      <c r="AX9" s="252">
        <f t="shared" si="3"/>
        <v>0</v>
      </c>
      <c r="AY9" s="252">
        <f t="shared" si="3"/>
        <v>0</v>
      </c>
      <c r="AZ9" s="252">
        <f t="shared" si="3"/>
        <v>0</v>
      </c>
      <c r="BA9" s="237"/>
      <c r="BB9" s="237"/>
      <c r="BC9" s="237"/>
      <c r="BD9" s="237"/>
      <c r="BE9" s="237"/>
      <c r="BF9" s="237"/>
      <c r="BG9" s="252">
        <f xml:space="preserve"> IF( ISNUMBER(W9 ), 0, 1 )</f>
        <v>0</v>
      </c>
      <c r="BH9" s="237"/>
      <c r="BI9" s="237"/>
      <c r="BJ9" s="252">
        <f xml:space="preserve"> IF( ISNUMBER(Z9 ), 0, 1 )</f>
        <v>0</v>
      </c>
      <c r="BK9" s="252">
        <f xml:space="preserve"> IF( ISNUMBER(AA9 ), 0, 1 )</f>
        <v>0</v>
      </c>
      <c r="BL9" s="252">
        <f xml:space="preserve"> IF( ISNUMBER(AB9 ), 0, 1 )</f>
        <v>0</v>
      </c>
      <c r="BM9" s="252">
        <f xml:space="preserve"> IF( ISNUMBER(AC9 ), 0, 1 )</f>
        <v>0</v>
      </c>
      <c r="BN9" s="252">
        <f xml:space="preserve"> IF( ISNUMBER(AD9 ), 0, 1 )</f>
        <v>0</v>
      </c>
      <c r="BO9" s="252">
        <f t="shared" ref="BO9" si="4" xml:space="preserve"> IF( ISNUMBER(AF9 ), 0, 1 )</f>
        <v>1</v>
      </c>
      <c r="BP9" s="2578"/>
      <c r="BQ9" s="2562"/>
      <c r="BR9" s="2562"/>
      <c r="BS9" s="2585"/>
      <c r="BT9" s="2585"/>
      <c r="BU9" s="2585"/>
    </row>
    <row r="10" spans="1:73" s="22" customFormat="1" ht="15.75" customHeight="1" outlineLevel="1">
      <c r="A10" s="2585"/>
      <c r="B10" s="44" t="s">
        <v>4437</v>
      </c>
      <c r="C10" s="45" t="s">
        <v>4438</v>
      </c>
      <c r="D10" s="46" t="s">
        <v>4428</v>
      </c>
      <c r="E10" s="46" t="s">
        <v>4429</v>
      </c>
      <c r="F10" s="45" t="s">
        <v>4439</v>
      </c>
      <c r="G10" s="46" t="s">
        <v>4431</v>
      </c>
      <c r="H10" s="45" t="s">
        <v>4440</v>
      </c>
      <c r="I10" s="45" t="s">
        <v>4433</v>
      </c>
      <c r="J10" s="47">
        <v>40018</v>
      </c>
      <c r="K10" s="48">
        <v>100</v>
      </c>
      <c r="L10" s="47">
        <v>46535</v>
      </c>
      <c r="M10" s="1913">
        <v>4.1611111111111114</v>
      </c>
      <c r="N10" s="48">
        <v>135.476</v>
      </c>
      <c r="O10" s="49">
        <v>135.476</v>
      </c>
      <c r="P10" s="49">
        <v>135.476</v>
      </c>
      <c r="Q10" s="1884">
        <f>IFERROR(M10*O10,"")</f>
        <v>563.73068888888895</v>
      </c>
      <c r="R10" s="1885">
        <f t="shared" si="0"/>
        <v>-6.2149537037036962E-2</v>
      </c>
      <c r="S10" s="1885">
        <f t="shared" si="1"/>
        <v>-3.2912071373157437E-2</v>
      </c>
      <c r="T10" s="1914"/>
      <c r="U10" s="1914"/>
      <c r="V10" s="1914"/>
      <c r="W10" s="50">
        <v>6.454E-2</v>
      </c>
      <c r="X10" s="1891">
        <f t="shared" si="2"/>
        <v>8.7436210400000007</v>
      </c>
      <c r="Y10" s="1891">
        <f t="shared" ref="Y10:Y73" si="5">X10</f>
        <v>8.7436210400000007</v>
      </c>
      <c r="Z10" s="50">
        <v>0</v>
      </c>
      <c r="AA10" s="50">
        <v>0</v>
      </c>
      <c r="AB10" s="48">
        <v>0</v>
      </c>
      <c r="AC10" s="48">
        <v>140.58657591685275</v>
      </c>
      <c r="AD10" s="48">
        <v>141.81</v>
      </c>
      <c r="AE10" s="45" t="s">
        <v>4435</v>
      </c>
      <c r="AF10" s="51" t="s">
        <v>4435</v>
      </c>
      <c r="AG10" s="42"/>
      <c r="AH10" s="52" t="s">
        <v>4441</v>
      </c>
      <c r="AI10" s="197"/>
      <c r="AJ10" s="2578"/>
      <c r="AK10" s="251"/>
      <c r="AL10" s="667"/>
      <c r="AM10" s="2562"/>
      <c r="AN10" s="2562"/>
      <c r="AO10" s="2562"/>
      <c r="AP10" s="2562"/>
      <c r="AQ10" s="2562"/>
      <c r="AR10" s="2562"/>
      <c r="AS10" s="2562"/>
      <c r="AT10" s="252">
        <f t="shared" ref="AT10:AT73" si="6" xml:space="preserve"> IF( ISNUMBER(J10 ), 0, 1 )</f>
        <v>0</v>
      </c>
      <c r="AU10" s="252">
        <f t="shared" ref="AU10:AU73" si="7" xml:space="preserve"> IF( ISNUMBER(K10 ), 0, 1 )</f>
        <v>0</v>
      </c>
      <c r="AV10" s="252">
        <f t="shared" ref="AV10:AV73" si="8" xml:space="preserve"> IF( ISNUMBER(L10 ), 0, 1 )</f>
        <v>0</v>
      </c>
      <c r="AW10" s="252">
        <f t="shared" ref="AW10:AW73" si="9" xml:space="preserve"> IF( ISNUMBER(M10 ), 0, 1 )</f>
        <v>0</v>
      </c>
      <c r="AX10" s="252">
        <f t="shared" ref="AX10:AX73" si="10" xml:space="preserve"> IF( ISNUMBER(N10 ), 0, 1 )</f>
        <v>0</v>
      </c>
      <c r="AY10" s="252">
        <f t="shared" ref="AY10:AY73" si="11" xml:space="preserve"> IF( ISNUMBER(O10 ), 0, 1 )</f>
        <v>0</v>
      </c>
      <c r="AZ10" s="252">
        <f t="shared" ref="AZ10:AZ73" si="12" xml:space="preserve"> IF( ISNUMBER(P10 ), 0, 1 )</f>
        <v>0</v>
      </c>
      <c r="BA10" s="237"/>
      <c r="BB10" s="237"/>
      <c r="BC10" s="237"/>
      <c r="BD10" s="237"/>
      <c r="BE10" s="237"/>
      <c r="BF10" s="237"/>
      <c r="BG10" s="252">
        <f t="shared" ref="BG10:BG73" si="13" xml:space="preserve"> IF( ISNUMBER(W10 ), 0, 1 )</f>
        <v>0</v>
      </c>
      <c r="BH10" s="237"/>
      <c r="BI10" s="237"/>
      <c r="BJ10" s="252">
        <f t="shared" ref="BJ10:BJ73" si="14" xml:space="preserve"> IF( ISNUMBER(Z10 ), 0, 1 )</f>
        <v>0</v>
      </c>
      <c r="BK10" s="252">
        <f t="shared" ref="BK10:BK73" si="15" xml:space="preserve"> IF( ISNUMBER(AA10 ), 0, 1 )</f>
        <v>0</v>
      </c>
      <c r="BL10" s="252">
        <f t="shared" ref="BL10:BL73" si="16" xml:space="preserve"> IF( ISNUMBER(AB10 ), 0, 1 )</f>
        <v>0</v>
      </c>
      <c r="BM10" s="252">
        <f t="shared" ref="BM10:BM73" si="17" xml:space="preserve"> IF( ISNUMBER(AC10 ), 0, 1 )</f>
        <v>0</v>
      </c>
      <c r="BN10" s="252">
        <f t="shared" ref="BN10:BN73" si="18" xml:space="preserve"> IF( ISNUMBER(AD10 ), 0, 1 )</f>
        <v>0</v>
      </c>
      <c r="BO10" s="252">
        <f t="shared" ref="BO10:BO73" si="19" xml:space="preserve"> IF( ISNUMBER(AF10 ), 0, 1 )</f>
        <v>1</v>
      </c>
      <c r="BP10" s="2578"/>
      <c r="BQ10" s="2562"/>
      <c r="BR10" s="2562"/>
      <c r="BS10" s="2585"/>
      <c r="BT10" s="2585"/>
      <c r="BU10" s="2585"/>
    </row>
    <row r="11" spans="1:73" s="22" customFormat="1" ht="15.75" customHeight="1" outlineLevel="1">
      <c r="A11" s="2585"/>
      <c r="B11" s="44" t="s">
        <v>4442</v>
      </c>
      <c r="C11" s="45" t="s">
        <v>4438</v>
      </c>
      <c r="D11" s="46" t="s">
        <v>4428</v>
      </c>
      <c r="E11" s="46" t="s">
        <v>4429</v>
      </c>
      <c r="F11" s="45" t="s">
        <v>4443</v>
      </c>
      <c r="G11" s="46" t="s">
        <v>4431</v>
      </c>
      <c r="H11" s="45" t="s">
        <v>4440</v>
      </c>
      <c r="I11" s="45" t="s">
        <v>4433</v>
      </c>
      <c r="J11" s="47">
        <v>40018</v>
      </c>
      <c r="K11" s="48">
        <v>100</v>
      </c>
      <c r="L11" s="47">
        <v>47955</v>
      </c>
      <c r="M11" s="1913">
        <v>8.0472222222222225</v>
      </c>
      <c r="N11" s="48">
        <v>254.97399999999999</v>
      </c>
      <c r="O11" s="49">
        <v>254.97399999999999</v>
      </c>
      <c r="P11" s="49">
        <v>254.97399999999999</v>
      </c>
      <c r="Q11" s="1884">
        <f t="shared" ref="Q11:Q74" si="20">IFERROR(M11*O11,"")</f>
        <v>2051.8324388888891</v>
      </c>
      <c r="R11" s="1885">
        <f t="shared" si="0"/>
        <v>-6.0853598856209112E-2</v>
      </c>
      <c r="S11" s="1885">
        <f t="shared" si="1"/>
        <v>-3.1575732350659358E-2</v>
      </c>
      <c r="T11" s="1914"/>
      <c r="U11" s="1914"/>
      <c r="V11" s="1914"/>
      <c r="W11" s="50">
        <v>6.6011E-2</v>
      </c>
      <c r="X11" s="1891">
        <f t="shared" si="2"/>
        <v>16.831088714</v>
      </c>
      <c r="Y11" s="1891">
        <f t="shared" si="5"/>
        <v>16.831088714</v>
      </c>
      <c r="Z11" s="50">
        <v>0</v>
      </c>
      <c r="AA11" s="50">
        <v>0</v>
      </c>
      <c r="AB11" s="48">
        <v>0</v>
      </c>
      <c r="AC11" s="48">
        <v>255.35365033034077</v>
      </c>
      <c r="AD11" s="48">
        <v>278.69400000000002</v>
      </c>
      <c r="AE11" s="45" t="s">
        <v>4435</v>
      </c>
      <c r="AF11" s="51" t="s">
        <v>4435</v>
      </c>
      <c r="AG11" s="42"/>
      <c r="AH11" s="52" t="s">
        <v>4444</v>
      </c>
      <c r="AI11" s="197"/>
      <c r="AJ11" s="2578"/>
      <c r="AK11" s="251"/>
      <c r="AL11" s="2578"/>
      <c r="AM11" s="2562"/>
      <c r="AN11" s="2562"/>
      <c r="AO11" s="2562"/>
      <c r="AP11" s="2562"/>
      <c r="AQ11" s="2562"/>
      <c r="AR11" s="2562"/>
      <c r="AS11" s="2562"/>
      <c r="AT11" s="252">
        <f t="shared" si="6"/>
        <v>0</v>
      </c>
      <c r="AU11" s="252">
        <f t="shared" si="7"/>
        <v>0</v>
      </c>
      <c r="AV11" s="252">
        <f t="shared" si="8"/>
        <v>0</v>
      </c>
      <c r="AW11" s="252">
        <f t="shared" si="9"/>
        <v>0</v>
      </c>
      <c r="AX11" s="252">
        <f t="shared" si="10"/>
        <v>0</v>
      </c>
      <c r="AY11" s="252">
        <f t="shared" si="11"/>
        <v>0</v>
      </c>
      <c r="AZ11" s="252">
        <f t="shared" si="12"/>
        <v>0</v>
      </c>
      <c r="BA11" s="237"/>
      <c r="BB11" s="237"/>
      <c r="BC11" s="237"/>
      <c r="BD11" s="237"/>
      <c r="BE11" s="237"/>
      <c r="BF11" s="237"/>
      <c r="BG11" s="252">
        <f t="shared" si="13"/>
        <v>0</v>
      </c>
      <c r="BH11" s="237"/>
      <c r="BI11" s="237"/>
      <c r="BJ11" s="252">
        <f t="shared" si="14"/>
        <v>0</v>
      </c>
      <c r="BK11" s="252">
        <f t="shared" si="15"/>
        <v>0</v>
      </c>
      <c r="BL11" s="252">
        <f t="shared" si="16"/>
        <v>0</v>
      </c>
      <c r="BM11" s="252">
        <f t="shared" si="17"/>
        <v>0</v>
      </c>
      <c r="BN11" s="252">
        <f t="shared" si="18"/>
        <v>0</v>
      </c>
      <c r="BO11" s="252">
        <f t="shared" si="19"/>
        <v>1</v>
      </c>
      <c r="BP11" s="2578"/>
      <c r="BQ11" s="2562"/>
      <c r="BR11" s="2562"/>
      <c r="BS11" s="2585"/>
      <c r="BT11" s="2585"/>
      <c r="BU11" s="2585"/>
    </row>
    <row r="12" spans="1:73" s="22" customFormat="1" ht="15.75" customHeight="1" outlineLevel="1">
      <c r="A12" s="2585"/>
      <c r="B12" s="44" t="s">
        <v>4445</v>
      </c>
      <c r="C12" s="45" t="s">
        <v>4427</v>
      </c>
      <c r="D12" s="46" t="s">
        <v>4428</v>
      </c>
      <c r="E12" s="46" t="s">
        <v>4429</v>
      </c>
      <c r="F12" s="45" t="s">
        <v>4446</v>
      </c>
      <c r="G12" s="46" t="s">
        <v>4431</v>
      </c>
      <c r="H12" s="45" t="s">
        <v>4447</v>
      </c>
      <c r="I12" s="45" t="s">
        <v>4433</v>
      </c>
      <c r="J12" s="47">
        <v>39231</v>
      </c>
      <c r="K12" s="48">
        <v>100</v>
      </c>
      <c r="L12" s="47">
        <v>50188</v>
      </c>
      <c r="M12" s="1913">
        <v>14.161111111111111</v>
      </c>
      <c r="N12" s="48">
        <v>200</v>
      </c>
      <c r="O12" s="49">
        <v>200</v>
      </c>
      <c r="P12" s="49">
        <v>200</v>
      </c>
      <c r="Q12" s="1884">
        <f t="shared" si="20"/>
        <v>2832.2222222222222</v>
      </c>
      <c r="R12" s="1885">
        <f t="shared" si="0"/>
        <v>-7.0554193899782236E-2</v>
      </c>
      <c r="S12" s="1885">
        <f t="shared" si="1"/>
        <v>-4.1578743211792113E-2</v>
      </c>
      <c r="T12" s="1914"/>
      <c r="U12" s="1914"/>
      <c r="V12" s="1914"/>
      <c r="W12" s="50">
        <v>5.5E-2</v>
      </c>
      <c r="X12" s="1891">
        <f t="shared" si="2"/>
        <v>11</v>
      </c>
      <c r="Y12" s="1891">
        <f t="shared" si="5"/>
        <v>11</v>
      </c>
      <c r="Z12" s="50">
        <v>0</v>
      </c>
      <c r="AA12" s="50">
        <v>0</v>
      </c>
      <c r="AB12" s="48">
        <v>-5.54933868</v>
      </c>
      <c r="AC12" s="48">
        <v>196.16690218970021</v>
      </c>
      <c r="AD12" s="48">
        <v>207.94200000000001</v>
      </c>
      <c r="AE12" s="45" t="s">
        <v>4435</v>
      </c>
      <c r="AF12" s="51" t="s">
        <v>4435</v>
      </c>
      <c r="AG12" s="42"/>
      <c r="AH12" s="52" t="s">
        <v>4448</v>
      </c>
      <c r="AI12" s="197"/>
      <c r="AJ12" s="2578"/>
      <c r="AK12" s="251"/>
      <c r="AL12" s="667"/>
      <c r="AM12" s="2562"/>
      <c r="AN12" s="2562"/>
      <c r="AO12" s="2562"/>
      <c r="AP12" s="2562"/>
      <c r="AQ12" s="2562"/>
      <c r="AR12" s="2562"/>
      <c r="AS12" s="2562"/>
      <c r="AT12" s="252">
        <f t="shared" si="6"/>
        <v>0</v>
      </c>
      <c r="AU12" s="252">
        <f t="shared" si="7"/>
        <v>0</v>
      </c>
      <c r="AV12" s="252">
        <f t="shared" si="8"/>
        <v>0</v>
      </c>
      <c r="AW12" s="252">
        <f t="shared" si="9"/>
        <v>0</v>
      </c>
      <c r="AX12" s="252">
        <f t="shared" si="10"/>
        <v>0</v>
      </c>
      <c r="AY12" s="252">
        <f t="shared" si="11"/>
        <v>0</v>
      </c>
      <c r="AZ12" s="252">
        <f t="shared" si="12"/>
        <v>0</v>
      </c>
      <c r="BA12" s="237"/>
      <c r="BB12" s="237"/>
      <c r="BC12" s="237"/>
      <c r="BD12" s="237"/>
      <c r="BE12" s="237"/>
      <c r="BF12" s="237"/>
      <c r="BG12" s="252">
        <f t="shared" si="13"/>
        <v>0</v>
      </c>
      <c r="BH12" s="237"/>
      <c r="BI12" s="237"/>
      <c r="BJ12" s="252">
        <f t="shared" si="14"/>
        <v>0</v>
      </c>
      <c r="BK12" s="252">
        <f t="shared" si="15"/>
        <v>0</v>
      </c>
      <c r="BL12" s="252">
        <f t="shared" si="16"/>
        <v>0</v>
      </c>
      <c r="BM12" s="252">
        <f t="shared" si="17"/>
        <v>0</v>
      </c>
      <c r="BN12" s="252">
        <f t="shared" si="18"/>
        <v>0</v>
      </c>
      <c r="BO12" s="252">
        <f t="shared" si="19"/>
        <v>1</v>
      </c>
      <c r="BP12" s="2578"/>
      <c r="BQ12" s="2562"/>
      <c r="BR12" s="2562"/>
      <c r="BS12" s="2585"/>
      <c r="BT12" s="2585"/>
      <c r="BU12" s="2585"/>
    </row>
    <row r="13" spans="1:73" s="22" customFormat="1" ht="15.75" customHeight="1" outlineLevel="1">
      <c r="A13" s="2585"/>
      <c r="B13" s="44" t="s">
        <v>4449</v>
      </c>
      <c r="C13" s="45" t="s">
        <v>4438</v>
      </c>
      <c r="D13" s="46" t="s">
        <v>4428</v>
      </c>
      <c r="E13" s="46" t="s">
        <v>4429</v>
      </c>
      <c r="F13" s="45" t="s">
        <v>4450</v>
      </c>
      <c r="G13" s="46" t="s">
        <v>4431</v>
      </c>
      <c r="H13" s="45" t="s">
        <v>4440</v>
      </c>
      <c r="I13" s="45" t="s">
        <v>4433</v>
      </c>
      <c r="J13" s="47">
        <v>40018</v>
      </c>
      <c r="K13" s="48" t="s">
        <v>4451</v>
      </c>
      <c r="L13" s="47">
        <v>51001</v>
      </c>
      <c r="M13" s="1913">
        <v>16.386111111111113</v>
      </c>
      <c r="N13" s="48">
        <v>200</v>
      </c>
      <c r="O13" s="49">
        <v>200</v>
      </c>
      <c r="P13" s="49">
        <v>200</v>
      </c>
      <c r="Q13" s="1884">
        <f t="shared" si="20"/>
        <v>3277.2222222222226</v>
      </c>
      <c r="R13" s="1885">
        <f t="shared" si="0"/>
        <v>-6.2845520152505441E-2</v>
      </c>
      <c r="S13" s="1885">
        <f t="shared" si="1"/>
        <v>-3.3629751745539171E-2</v>
      </c>
      <c r="T13" s="1914"/>
      <c r="U13" s="1914"/>
      <c r="V13" s="1914"/>
      <c r="W13" s="50">
        <v>6.3750000000000001E-2</v>
      </c>
      <c r="X13" s="1891">
        <f t="shared" si="2"/>
        <v>12.75</v>
      </c>
      <c r="Y13" s="1891">
        <f t="shared" si="5"/>
        <v>12.75</v>
      </c>
      <c r="Z13" s="50">
        <v>0</v>
      </c>
      <c r="AA13" s="50">
        <v>0</v>
      </c>
      <c r="AB13" s="48">
        <v>0</v>
      </c>
      <c r="AC13" s="48">
        <v>199.04933940294222</v>
      </c>
      <c r="AD13" s="48">
        <v>223.49</v>
      </c>
      <c r="AE13" s="45" t="s">
        <v>4435</v>
      </c>
      <c r="AF13" s="51" t="s">
        <v>4435</v>
      </c>
      <c r="AG13" s="42"/>
      <c r="AH13" s="52" t="s">
        <v>4452</v>
      </c>
      <c r="AI13" s="197"/>
      <c r="AJ13" s="2578"/>
      <c r="AK13" s="251"/>
      <c r="AL13" s="2578"/>
      <c r="AM13" s="2562"/>
      <c r="AN13" s="2562"/>
      <c r="AO13" s="2562"/>
      <c r="AP13" s="2562"/>
      <c r="AQ13" s="2562"/>
      <c r="AR13" s="2562"/>
      <c r="AS13" s="2562"/>
      <c r="AT13" s="252">
        <f t="shared" si="6"/>
        <v>0</v>
      </c>
      <c r="AU13" s="252">
        <f t="shared" si="7"/>
        <v>1</v>
      </c>
      <c r="AV13" s="252">
        <f t="shared" si="8"/>
        <v>0</v>
      </c>
      <c r="AW13" s="252">
        <f t="shared" si="9"/>
        <v>0</v>
      </c>
      <c r="AX13" s="252">
        <f t="shared" si="10"/>
        <v>0</v>
      </c>
      <c r="AY13" s="252">
        <f t="shared" si="11"/>
        <v>0</v>
      </c>
      <c r="AZ13" s="252">
        <f t="shared" si="12"/>
        <v>0</v>
      </c>
      <c r="BA13" s="237"/>
      <c r="BB13" s="237"/>
      <c r="BC13" s="237"/>
      <c r="BD13" s="237"/>
      <c r="BE13" s="237"/>
      <c r="BF13" s="237"/>
      <c r="BG13" s="252">
        <f t="shared" si="13"/>
        <v>0</v>
      </c>
      <c r="BH13" s="237"/>
      <c r="BI13" s="237"/>
      <c r="BJ13" s="252">
        <f t="shared" si="14"/>
        <v>0</v>
      </c>
      <c r="BK13" s="252">
        <f t="shared" si="15"/>
        <v>0</v>
      </c>
      <c r="BL13" s="252">
        <f t="shared" si="16"/>
        <v>0</v>
      </c>
      <c r="BM13" s="252">
        <f t="shared" si="17"/>
        <v>0</v>
      </c>
      <c r="BN13" s="252">
        <f t="shared" si="18"/>
        <v>0</v>
      </c>
      <c r="BO13" s="252">
        <f t="shared" si="19"/>
        <v>1</v>
      </c>
      <c r="BP13" s="2578"/>
      <c r="BQ13" s="2562"/>
      <c r="BR13" s="2562"/>
      <c r="BS13" s="2585"/>
      <c r="BT13" s="2585"/>
      <c r="BU13" s="2585"/>
    </row>
    <row r="14" spans="1:73" s="22" customFormat="1" ht="15.75" customHeight="1" outlineLevel="1">
      <c r="A14" s="2585"/>
      <c r="B14" s="44" t="s">
        <v>4453</v>
      </c>
      <c r="C14" s="45" t="s">
        <v>4438</v>
      </c>
      <c r="D14" s="46" t="s">
        <v>4428</v>
      </c>
      <c r="E14" s="46" t="s">
        <v>4429</v>
      </c>
      <c r="F14" s="45" t="s">
        <v>4450</v>
      </c>
      <c r="G14" s="46" t="s">
        <v>4431</v>
      </c>
      <c r="H14" s="45" t="s">
        <v>4440</v>
      </c>
      <c r="I14" s="45" t="s">
        <v>4433</v>
      </c>
      <c r="J14" s="47">
        <v>40018</v>
      </c>
      <c r="K14" s="48" t="s">
        <v>4454</v>
      </c>
      <c r="L14" s="47">
        <v>51001</v>
      </c>
      <c r="M14" s="1913">
        <v>16.386111111111113</v>
      </c>
      <c r="N14" s="48">
        <v>100</v>
      </c>
      <c r="O14" s="49">
        <v>100</v>
      </c>
      <c r="P14" s="49">
        <v>100</v>
      </c>
      <c r="Q14" s="1884">
        <f t="shared" si="20"/>
        <v>1638.6111111111113</v>
      </c>
      <c r="R14" s="1885">
        <f t="shared" si="0"/>
        <v>-6.2845520152505441E-2</v>
      </c>
      <c r="S14" s="1885">
        <f t="shared" si="1"/>
        <v>-3.3629751745539171E-2</v>
      </c>
      <c r="T14" s="1914"/>
      <c r="U14" s="1914"/>
      <c r="V14" s="1914"/>
      <c r="W14" s="50">
        <v>6.3750000000000001E-2</v>
      </c>
      <c r="X14" s="1891">
        <f t="shared" si="2"/>
        <v>6.375</v>
      </c>
      <c r="Y14" s="1891">
        <f t="shared" si="5"/>
        <v>6.375</v>
      </c>
      <c r="Z14" s="50">
        <v>0</v>
      </c>
      <c r="AA14" s="50">
        <v>0</v>
      </c>
      <c r="AB14" s="48">
        <v>-0.68590099999999943</v>
      </c>
      <c r="AC14" s="48">
        <v>103.02020881479251</v>
      </c>
      <c r="AD14" s="48">
        <v>111.745</v>
      </c>
      <c r="AE14" s="45" t="s">
        <v>4435</v>
      </c>
      <c r="AF14" s="51" t="s">
        <v>4435</v>
      </c>
      <c r="AG14" s="42"/>
      <c r="AH14" s="52" t="s">
        <v>4455</v>
      </c>
      <c r="AI14" s="197"/>
      <c r="AJ14" s="2578"/>
      <c r="AK14" s="251"/>
      <c r="AL14" s="2578"/>
      <c r="AM14" s="2562"/>
      <c r="AN14" s="2562"/>
      <c r="AO14" s="2562"/>
      <c r="AP14" s="2562"/>
      <c r="AQ14" s="2562"/>
      <c r="AR14" s="2562"/>
      <c r="AS14" s="2562"/>
      <c r="AT14" s="252">
        <f t="shared" si="6"/>
        <v>0</v>
      </c>
      <c r="AU14" s="252">
        <f t="shared" si="7"/>
        <v>1</v>
      </c>
      <c r="AV14" s="252">
        <f t="shared" si="8"/>
        <v>0</v>
      </c>
      <c r="AW14" s="252">
        <f t="shared" si="9"/>
        <v>0</v>
      </c>
      <c r="AX14" s="252">
        <f t="shared" si="10"/>
        <v>0</v>
      </c>
      <c r="AY14" s="252">
        <f t="shared" si="11"/>
        <v>0</v>
      </c>
      <c r="AZ14" s="252">
        <f t="shared" si="12"/>
        <v>0</v>
      </c>
      <c r="BA14" s="237"/>
      <c r="BB14" s="237"/>
      <c r="BC14" s="237"/>
      <c r="BD14" s="237"/>
      <c r="BE14" s="237"/>
      <c r="BF14" s="237"/>
      <c r="BG14" s="252">
        <f t="shared" si="13"/>
        <v>0</v>
      </c>
      <c r="BH14" s="237"/>
      <c r="BI14" s="237"/>
      <c r="BJ14" s="252">
        <f t="shared" si="14"/>
        <v>0</v>
      </c>
      <c r="BK14" s="252">
        <f t="shared" si="15"/>
        <v>0</v>
      </c>
      <c r="BL14" s="252">
        <f t="shared" si="16"/>
        <v>0</v>
      </c>
      <c r="BM14" s="252">
        <f t="shared" si="17"/>
        <v>0</v>
      </c>
      <c r="BN14" s="252">
        <f t="shared" si="18"/>
        <v>0</v>
      </c>
      <c r="BO14" s="252">
        <f t="shared" si="19"/>
        <v>1</v>
      </c>
      <c r="BP14" s="2578"/>
      <c r="BQ14" s="2562"/>
      <c r="BR14" s="2562"/>
      <c r="BS14" s="2585"/>
      <c r="BT14" s="2585"/>
      <c r="BU14" s="2585"/>
    </row>
    <row r="15" spans="1:73" s="22" customFormat="1" ht="15.75" customHeight="1" outlineLevel="1">
      <c r="A15" s="2585"/>
      <c r="B15" s="44" t="s">
        <v>4456</v>
      </c>
      <c r="C15" s="45" t="s">
        <v>4438</v>
      </c>
      <c r="D15" s="46" t="s">
        <v>4457</v>
      </c>
      <c r="E15" s="46" t="s">
        <v>4429</v>
      </c>
      <c r="F15" s="45" t="s">
        <v>4458</v>
      </c>
      <c r="G15" s="46" t="s">
        <v>4431</v>
      </c>
      <c r="H15" s="45" t="s">
        <v>4459</v>
      </c>
      <c r="I15" s="45" t="s">
        <v>4433</v>
      </c>
      <c r="J15" s="47">
        <v>42635</v>
      </c>
      <c r="K15" s="48">
        <v>100</v>
      </c>
      <c r="L15" s="47">
        <v>47018</v>
      </c>
      <c r="M15" s="1913">
        <v>5.4777777777777779</v>
      </c>
      <c r="N15" s="48">
        <v>60</v>
      </c>
      <c r="O15" s="49">
        <v>60</v>
      </c>
      <c r="P15" s="49">
        <v>60</v>
      </c>
      <c r="Q15" s="1884">
        <f t="shared" si="20"/>
        <v>328.66666666666669</v>
      </c>
      <c r="R15" s="1885">
        <f t="shared" si="0"/>
        <v>-0.10112459150326802</v>
      </c>
      <c r="S15" s="1885">
        <f t="shared" si="1"/>
        <v>-7.3102172226532258E-2</v>
      </c>
      <c r="T15" s="1914"/>
      <c r="U15" s="1914"/>
      <c r="V15" s="1914"/>
      <c r="W15" s="50">
        <v>2.0299999999999999E-2</v>
      </c>
      <c r="X15" s="1891">
        <f t="shared" si="2"/>
        <v>1.218</v>
      </c>
      <c r="Y15" s="1891">
        <f t="shared" si="5"/>
        <v>1.218</v>
      </c>
      <c r="Z15" s="50">
        <v>0</v>
      </c>
      <c r="AA15" s="50">
        <v>0</v>
      </c>
      <c r="AB15" s="48">
        <v>-0.27434605000000001</v>
      </c>
      <c r="AC15" s="48">
        <v>59.856551121941507</v>
      </c>
      <c r="AD15" s="48">
        <v>51.848999999999997</v>
      </c>
      <c r="AE15" s="45" t="s">
        <v>4435</v>
      </c>
      <c r="AF15" s="51" t="s">
        <v>4435</v>
      </c>
      <c r="AG15" s="42"/>
      <c r="AH15" s="52" t="s">
        <v>4460</v>
      </c>
      <c r="AI15" s="197"/>
      <c r="AJ15" s="2578"/>
      <c r="AK15" s="251"/>
      <c r="AL15" s="2578"/>
      <c r="AM15" s="2562"/>
      <c r="AN15" s="2562"/>
      <c r="AO15" s="2562"/>
      <c r="AP15" s="2562"/>
      <c r="AQ15" s="2562"/>
      <c r="AR15" s="2562"/>
      <c r="AS15" s="2562"/>
      <c r="AT15" s="252">
        <f t="shared" si="6"/>
        <v>0</v>
      </c>
      <c r="AU15" s="252">
        <f t="shared" si="7"/>
        <v>0</v>
      </c>
      <c r="AV15" s="252">
        <f t="shared" si="8"/>
        <v>0</v>
      </c>
      <c r="AW15" s="252">
        <f t="shared" si="9"/>
        <v>0</v>
      </c>
      <c r="AX15" s="252">
        <f t="shared" si="10"/>
        <v>0</v>
      </c>
      <c r="AY15" s="252">
        <f t="shared" si="11"/>
        <v>0</v>
      </c>
      <c r="AZ15" s="252">
        <f t="shared" si="12"/>
        <v>0</v>
      </c>
      <c r="BA15" s="237"/>
      <c r="BB15" s="237"/>
      <c r="BC15" s="237"/>
      <c r="BD15" s="237"/>
      <c r="BE15" s="237"/>
      <c r="BF15" s="237"/>
      <c r="BG15" s="252">
        <f t="shared" si="13"/>
        <v>0</v>
      </c>
      <c r="BH15" s="237"/>
      <c r="BI15" s="237"/>
      <c r="BJ15" s="252">
        <f t="shared" si="14"/>
        <v>0</v>
      </c>
      <c r="BK15" s="252">
        <f t="shared" si="15"/>
        <v>0</v>
      </c>
      <c r="BL15" s="252">
        <f t="shared" si="16"/>
        <v>0</v>
      </c>
      <c r="BM15" s="252">
        <f t="shared" si="17"/>
        <v>0</v>
      </c>
      <c r="BN15" s="252">
        <f t="shared" si="18"/>
        <v>0</v>
      </c>
      <c r="BO15" s="252">
        <f t="shared" si="19"/>
        <v>1</v>
      </c>
      <c r="BP15" s="2578"/>
      <c r="BQ15" s="2562"/>
      <c r="BR15" s="2562"/>
      <c r="BS15" s="2585"/>
      <c r="BT15" s="2585"/>
      <c r="BU15" s="2585"/>
    </row>
    <row r="16" spans="1:73" s="22" customFormat="1" ht="15.75" customHeight="1" outlineLevel="1">
      <c r="A16" s="2585"/>
      <c r="B16" s="44" t="s">
        <v>4461</v>
      </c>
      <c r="C16" s="45" t="s">
        <v>4438</v>
      </c>
      <c r="D16" s="46" t="s">
        <v>4457</v>
      </c>
      <c r="E16" s="46" t="s">
        <v>4429</v>
      </c>
      <c r="F16" s="45" t="s">
        <v>4462</v>
      </c>
      <c r="G16" s="46" t="s">
        <v>4431</v>
      </c>
      <c r="H16" s="45" t="s">
        <v>4459</v>
      </c>
      <c r="I16" s="45" t="s">
        <v>4433</v>
      </c>
      <c r="J16" s="47">
        <v>42635</v>
      </c>
      <c r="K16" s="48">
        <v>100</v>
      </c>
      <c r="L16" s="47">
        <v>48113</v>
      </c>
      <c r="M16" s="1913">
        <v>8.4777777777777779</v>
      </c>
      <c r="N16" s="48">
        <v>50</v>
      </c>
      <c r="O16" s="49">
        <v>50</v>
      </c>
      <c r="P16" s="49">
        <v>50</v>
      </c>
      <c r="Q16" s="1884">
        <f t="shared" si="20"/>
        <v>423.88888888888891</v>
      </c>
      <c r="R16" s="1885">
        <f t="shared" si="0"/>
        <v>-0.10015550108932458</v>
      </c>
      <c r="S16" s="1885">
        <f t="shared" si="1"/>
        <v>-7.2102870442203204E-2</v>
      </c>
      <c r="T16" s="1914"/>
      <c r="U16" s="1914"/>
      <c r="V16" s="1914"/>
      <c r="W16" s="50">
        <v>2.1399999999999999E-2</v>
      </c>
      <c r="X16" s="1891">
        <f t="shared" si="2"/>
        <v>1.0699999999999998</v>
      </c>
      <c r="Y16" s="1891">
        <f t="shared" si="5"/>
        <v>1.0699999999999998</v>
      </c>
      <c r="Z16" s="50">
        <v>0</v>
      </c>
      <c r="AA16" s="50">
        <v>0</v>
      </c>
      <c r="AB16" s="48">
        <v>-0.22862171000000001</v>
      </c>
      <c r="AC16" s="48">
        <v>49.848330405666985</v>
      </c>
      <c r="AD16" s="48">
        <v>40.567999999999998</v>
      </c>
      <c r="AE16" s="45" t="s">
        <v>4435</v>
      </c>
      <c r="AF16" s="51" t="s">
        <v>4435</v>
      </c>
      <c r="AG16" s="42"/>
      <c r="AH16" s="52" t="s">
        <v>4463</v>
      </c>
      <c r="AI16" s="197"/>
      <c r="AJ16" s="2578"/>
      <c r="AK16" s="251"/>
      <c r="AL16" s="2578"/>
      <c r="AM16" s="2562"/>
      <c r="AN16" s="2562"/>
      <c r="AO16" s="2562"/>
      <c r="AP16" s="2562"/>
      <c r="AQ16" s="2562"/>
      <c r="AR16" s="2562"/>
      <c r="AS16" s="2562"/>
      <c r="AT16" s="252">
        <f t="shared" si="6"/>
        <v>0</v>
      </c>
      <c r="AU16" s="252">
        <f t="shared" si="7"/>
        <v>0</v>
      </c>
      <c r="AV16" s="252">
        <f t="shared" si="8"/>
        <v>0</v>
      </c>
      <c r="AW16" s="252">
        <f t="shared" si="9"/>
        <v>0</v>
      </c>
      <c r="AX16" s="252">
        <f t="shared" si="10"/>
        <v>0</v>
      </c>
      <c r="AY16" s="252">
        <f t="shared" si="11"/>
        <v>0</v>
      </c>
      <c r="AZ16" s="252">
        <f t="shared" si="12"/>
        <v>0</v>
      </c>
      <c r="BA16" s="237"/>
      <c r="BB16" s="237"/>
      <c r="BC16" s="237"/>
      <c r="BD16" s="237"/>
      <c r="BE16" s="237"/>
      <c r="BF16" s="237"/>
      <c r="BG16" s="252">
        <f t="shared" si="13"/>
        <v>0</v>
      </c>
      <c r="BH16" s="237"/>
      <c r="BI16" s="237"/>
      <c r="BJ16" s="252">
        <f t="shared" si="14"/>
        <v>0</v>
      </c>
      <c r="BK16" s="252">
        <f t="shared" si="15"/>
        <v>0</v>
      </c>
      <c r="BL16" s="252">
        <f t="shared" si="16"/>
        <v>0</v>
      </c>
      <c r="BM16" s="252">
        <f t="shared" si="17"/>
        <v>0</v>
      </c>
      <c r="BN16" s="252">
        <f t="shared" si="18"/>
        <v>0</v>
      </c>
      <c r="BO16" s="252">
        <f t="shared" si="19"/>
        <v>1</v>
      </c>
      <c r="BP16" s="2578"/>
      <c r="BQ16" s="2562"/>
      <c r="BR16" s="2562"/>
      <c r="BS16" s="2585"/>
      <c r="BT16" s="2585"/>
      <c r="BU16" s="2585"/>
    </row>
    <row r="17" spans="1:73" s="22" customFormat="1" ht="15.75" customHeight="1" outlineLevel="1">
      <c r="A17" s="2585"/>
      <c r="B17" s="44" t="s">
        <v>4464</v>
      </c>
      <c r="C17" s="45" t="s">
        <v>4438</v>
      </c>
      <c r="D17" s="46" t="s">
        <v>4457</v>
      </c>
      <c r="E17" s="46" t="s">
        <v>4429</v>
      </c>
      <c r="F17" s="45" t="s">
        <v>4465</v>
      </c>
      <c r="G17" s="46" t="s">
        <v>4431</v>
      </c>
      <c r="H17" s="45" t="s">
        <v>4459</v>
      </c>
      <c r="I17" s="45" t="s">
        <v>4433</v>
      </c>
      <c r="J17" s="47">
        <v>42635</v>
      </c>
      <c r="K17" s="48">
        <v>100</v>
      </c>
      <c r="L17" s="47">
        <v>48844</v>
      </c>
      <c r="M17" s="1913">
        <v>10.477777777777778</v>
      </c>
      <c r="N17" s="48">
        <v>50</v>
      </c>
      <c r="O17" s="49">
        <v>50</v>
      </c>
      <c r="P17" s="49">
        <v>50</v>
      </c>
      <c r="Q17" s="1884">
        <f t="shared" si="20"/>
        <v>523.88888888888891</v>
      </c>
      <c r="R17" s="1885">
        <f t="shared" si="0"/>
        <v>-9.9538807189542444E-2</v>
      </c>
      <c r="S17" s="1885">
        <f t="shared" si="1"/>
        <v>-7.1466951124902978E-2</v>
      </c>
      <c r="T17" s="1914"/>
      <c r="U17" s="1914"/>
      <c r="V17" s="1914"/>
      <c r="W17" s="50">
        <v>2.2100000000000002E-2</v>
      </c>
      <c r="X17" s="1891">
        <f t="shared" si="2"/>
        <v>1.105</v>
      </c>
      <c r="Y17" s="1891">
        <f t="shared" si="5"/>
        <v>1.105</v>
      </c>
      <c r="Z17" s="50">
        <v>0</v>
      </c>
      <c r="AA17" s="50">
        <v>0</v>
      </c>
      <c r="AB17" s="48">
        <v>-0.22862171000000001</v>
      </c>
      <c r="AC17" s="48">
        <v>49.832926786381627</v>
      </c>
      <c r="AD17" s="48">
        <v>39.148000000000003</v>
      </c>
      <c r="AE17" s="45" t="s">
        <v>4435</v>
      </c>
      <c r="AF17" s="51" t="s">
        <v>4435</v>
      </c>
      <c r="AG17" s="42"/>
      <c r="AH17" s="52" t="s">
        <v>4466</v>
      </c>
      <c r="AI17" s="197"/>
      <c r="AJ17" s="2578"/>
      <c r="AK17" s="251"/>
      <c r="AL17" s="2578"/>
      <c r="AM17" s="2562"/>
      <c r="AN17" s="2562"/>
      <c r="AO17" s="2562"/>
      <c r="AP17" s="2562"/>
      <c r="AQ17" s="2562"/>
      <c r="AR17" s="2562"/>
      <c r="AS17" s="2562"/>
      <c r="AT17" s="252">
        <f t="shared" si="6"/>
        <v>0</v>
      </c>
      <c r="AU17" s="252">
        <f t="shared" si="7"/>
        <v>0</v>
      </c>
      <c r="AV17" s="252">
        <f t="shared" si="8"/>
        <v>0</v>
      </c>
      <c r="AW17" s="252">
        <f t="shared" si="9"/>
        <v>0</v>
      </c>
      <c r="AX17" s="252">
        <f t="shared" si="10"/>
        <v>0</v>
      </c>
      <c r="AY17" s="252">
        <f t="shared" si="11"/>
        <v>0</v>
      </c>
      <c r="AZ17" s="252">
        <f t="shared" si="12"/>
        <v>0</v>
      </c>
      <c r="BA17" s="237"/>
      <c r="BB17" s="237"/>
      <c r="BC17" s="237"/>
      <c r="BD17" s="237"/>
      <c r="BE17" s="237"/>
      <c r="BF17" s="237"/>
      <c r="BG17" s="252">
        <f t="shared" si="13"/>
        <v>0</v>
      </c>
      <c r="BH17" s="237"/>
      <c r="BI17" s="237"/>
      <c r="BJ17" s="252">
        <f t="shared" si="14"/>
        <v>0</v>
      </c>
      <c r="BK17" s="252">
        <f t="shared" si="15"/>
        <v>0</v>
      </c>
      <c r="BL17" s="252">
        <f t="shared" si="16"/>
        <v>0</v>
      </c>
      <c r="BM17" s="252">
        <f t="shared" si="17"/>
        <v>0</v>
      </c>
      <c r="BN17" s="252">
        <f t="shared" si="18"/>
        <v>0</v>
      </c>
      <c r="BO17" s="252">
        <f t="shared" si="19"/>
        <v>1</v>
      </c>
      <c r="BP17" s="2578"/>
      <c r="BQ17" s="2562"/>
      <c r="BR17" s="2562"/>
      <c r="BS17" s="2585"/>
      <c r="BT17" s="2585"/>
      <c r="BU17" s="2585"/>
    </row>
    <row r="18" spans="1:73" s="22" customFormat="1" ht="15.75" customHeight="1" outlineLevel="1">
      <c r="A18" s="2585"/>
      <c r="B18" s="44" t="s">
        <v>4467</v>
      </c>
      <c r="C18" s="45" t="s">
        <v>4438</v>
      </c>
      <c r="D18" s="46" t="s">
        <v>4457</v>
      </c>
      <c r="E18" s="46" t="s">
        <v>4429</v>
      </c>
      <c r="F18" s="45" t="s">
        <v>4468</v>
      </c>
      <c r="G18" s="46" t="s">
        <v>4431</v>
      </c>
      <c r="H18" s="45" t="s">
        <v>4459</v>
      </c>
      <c r="I18" s="45" t="s">
        <v>4433</v>
      </c>
      <c r="J18" s="47">
        <v>42635</v>
      </c>
      <c r="K18" s="48">
        <v>100</v>
      </c>
      <c r="L18" s="47">
        <v>49940</v>
      </c>
      <c r="M18" s="1913">
        <v>13.477777777777778</v>
      </c>
      <c r="N18" s="48">
        <v>40</v>
      </c>
      <c r="O18" s="49">
        <v>40</v>
      </c>
      <c r="P18" s="49">
        <v>40</v>
      </c>
      <c r="Q18" s="1884">
        <f t="shared" si="20"/>
        <v>539.11111111111109</v>
      </c>
      <c r="R18" s="1885">
        <f t="shared" si="0"/>
        <v>-9.8745915032679821E-2</v>
      </c>
      <c r="S18" s="1885">
        <f t="shared" si="1"/>
        <v>-7.0649340574088559E-2</v>
      </c>
      <c r="T18" s="1914"/>
      <c r="U18" s="1914"/>
      <c r="V18" s="1914"/>
      <c r="W18" s="50">
        <v>2.3E-2</v>
      </c>
      <c r="X18" s="1891">
        <f t="shared" si="2"/>
        <v>0.91999999999999993</v>
      </c>
      <c r="Y18" s="1891">
        <f t="shared" si="5"/>
        <v>0.91999999999999993</v>
      </c>
      <c r="Z18" s="50">
        <v>0</v>
      </c>
      <c r="AA18" s="50">
        <v>0</v>
      </c>
      <c r="AB18" s="48">
        <v>-0.18289737</v>
      </c>
      <c r="AC18" s="48">
        <v>39.853578443103679</v>
      </c>
      <c r="AD18" s="48">
        <v>29.09</v>
      </c>
      <c r="AE18" s="45" t="s">
        <v>4435</v>
      </c>
      <c r="AF18" s="51" t="s">
        <v>4435</v>
      </c>
      <c r="AG18" s="42"/>
      <c r="AH18" s="52" t="s">
        <v>4469</v>
      </c>
      <c r="AI18" s="197"/>
      <c r="AJ18" s="2578"/>
      <c r="AK18" s="251"/>
      <c r="AL18" s="2578"/>
      <c r="AM18" s="2562"/>
      <c r="AN18" s="2562"/>
      <c r="AO18" s="2562"/>
      <c r="AP18" s="2562"/>
      <c r="AQ18" s="2562"/>
      <c r="AR18" s="2562"/>
      <c r="AS18" s="2562"/>
      <c r="AT18" s="252">
        <f t="shared" si="6"/>
        <v>0</v>
      </c>
      <c r="AU18" s="252">
        <f t="shared" si="7"/>
        <v>0</v>
      </c>
      <c r="AV18" s="252">
        <f t="shared" si="8"/>
        <v>0</v>
      </c>
      <c r="AW18" s="252">
        <f t="shared" si="9"/>
        <v>0</v>
      </c>
      <c r="AX18" s="252">
        <f t="shared" si="10"/>
        <v>0</v>
      </c>
      <c r="AY18" s="252">
        <f t="shared" si="11"/>
        <v>0</v>
      </c>
      <c r="AZ18" s="252">
        <f t="shared" si="12"/>
        <v>0</v>
      </c>
      <c r="BA18" s="237"/>
      <c r="BB18" s="237"/>
      <c r="BC18" s="237"/>
      <c r="BD18" s="237"/>
      <c r="BE18" s="237"/>
      <c r="BF18" s="237"/>
      <c r="BG18" s="252">
        <f t="shared" si="13"/>
        <v>0</v>
      </c>
      <c r="BH18" s="237"/>
      <c r="BI18" s="237"/>
      <c r="BJ18" s="252">
        <f t="shared" si="14"/>
        <v>0</v>
      </c>
      <c r="BK18" s="252">
        <f t="shared" si="15"/>
        <v>0</v>
      </c>
      <c r="BL18" s="252">
        <f t="shared" si="16"/>
        <v>0</v>
      </c>
      <c r="BM18" s="252">
        <f t="shared" si="17"/>
        <v>0</v>
      </c>
      <c r="BN18" s="252">
        <f t="shared" si="18"/>
        <v>0</v>
      </c>
      <c r="BO18" s="252">
        <f t="shared" si="19"/>
        <v>1</v>
      </c>
      <c r="BP18" s="2578"/>
      <c r="BQ18" s="2562"/>
      <c r="BR18" s="2562"/>
      <c r="BS18" s="2585"/>
      <c r="BT18" s="2585"/>
      <c r="BU18" s="2585"/>
    </row>
    <row r="19" spans="1:73" s="22" customFormat="1" ht="15.75" customHeight="1" outlineLevel="1">
      <c r="A19" s="2585"/>
      <c r="B19" s="44" t="s">
        <v>4470</v>
      </c>
      <c r="C19" s="45" t="s">
        <v>4438</v>
      </c>
      <c r="D19" s="46" t="s">
        <v>4457</v>
      </c>
      <c r="E19" s="46" t="s">
        <v>4429</v>
      </c>
      <c r="F19" s="45" t="s">
        <v>4471</v>
      </c>
      <c r="G19" s="46" t="s">
        <v>4431</v>
      </c>
      <c r="H19" s="45" t="s">
        <v>4459</v>
      </c>
      <c r="I19" s="45" t="s">
        <v>4433</v>
      </c>
      <c r="J19" s="47">
        <v>42681</v>
      </c>
      <c r="K19" s="48">
        <v>100</v>
      </c>
      <c r="L19" s="47">
        <v>49940</v>
      </c>
      <c r="M19" s="1913">
        <v>13.477777777777778</v>
      </c>
      <c r="N19" s="48">
        <v>50</v>
      </c>
      <c r="O19" s="49">
        <v>50</v>
      </c>
      <c r="P19" s="49">
        <v>50</v>
      </c>
      <c r="Q19" s="1884">
        <f t="shared" si="20"/>
        <v>673.88888888888891</v>
      </c>
      <c r="R19" s="1885">
        <f t="shared" si="0"/>
        <v>-9.8745915032679821E-2</v>
      </c>
      <c r="S19" s="1885">
        <f t="shared" si="1"/>
        <v>-7.0649340574088559E-2</v>
      </c>
      <c r="T19" s="1914"/>
      <c r="U19" s="1914"/>
      <c r="V19" s="1914"/>
      <c r="W19" s="50">
        <v>2.3E-2</v>
      </c>
      <c r="X19" s="1891">
        <f t="shared" si="2"/>
        <v>1.1499999999999999</v>
      </c>
      <c r="Y19" s="1891">
        <f t="shared" si="5"/>
        <v>1.1499999999999999</v>
      </c>
      <c r="Z19" s="50">
        <v>0</v>
      </c>
      <c r="AA19" s="50">
        <v>0</v>
      </c>
      <c r="AB19" s="48">
        <v>-0.22862171000000001</v>
      </c>
      <c r="AC19" s="48">
        <v>49.816886916696475</v>
      </c>
      <c r="AD19" s="48">
        <v>36.363</v>
      </c>
      <c r="AE19" s="45" t="s">
        <v>4435</v>
      </c>
      <c r="AF19" s="51" t="s">
        <v>4435</v>
      </c>
      <c r="AG19" s="42"/>
      <c r="AH19" s="52" t="s">
        <v>4472</v>
      </c>
      <c r="AI19" s="197"/>
      <c r="AJ19" s="2578"/>
      <c r="AK19" s="251"/>
      <c r="AL19" s="2578"/>
      <c r="AM19" s="2562"/>
      <c r="AN19" s="2562"/>
      <c r="AO19" s="2562"/>
      <c r="AP19" s="2562"/>
      <c r="AQ19" s="2562"/>
      <c r="AR19" s="2562"/>
      <c r="AS19" s="2562"/>
      <c r="AT19" s="252">
        <f t="shared" si="6"/>
        <v>0</v>
      </c>
      <c r="AU19" s="252">
        <f t="shared" si="7"/>
        <v>0</v>
      </c>
      <c r="AV19" s="252">
        <f t="shared" si="8"/>
        <v>0</v>
      </c>
      <c r="AW19" s="252">
        <f t="shared" si="9"/>
        <v>0</v>
      </c>
      <c r="AX19" s="252">
        <f t="shared" si="10"/>
        <v>0</v>
      </c>
      <c r="AY19" s="252">
        <f t="shared" si="11"/>
        <v>0</v>
      </c>
      <c r="AZ19" s="252">
        <f t="shared" si="12"/>
        <v>0</v>
      </c>
      <c r="BA19" s="237"/>
      <c r="BB19" s="237"/>
      <c r="BC19" s="237"/>
      <c r="BD19" s="237"/>
      <c r="BE19" s="237"/>
      <c r="BF19" s="237"/>
      <c r="BG19" s="252">
        <f t="shared" si="13"/>
        <v>0</v>
      </c>
      <c r="BH19" s="237"/>
      <c r="BI19" s="237"/>
      <c r="BJ19" s="252">
        <f t="shared" si="14"/>
        <v>0</v>
      </c>
      <c r="BK19" s="252">
        <f t="shared" si="15"/>
        <v>0</v>
      </c>
      <c r="BL19" s="252">
        <f t="shared" si="16"/>
        <v>0</v>
      </c>
      <c r="BM19" s="252">
        <f t="shared" si="17"/>
        <v>0</v>
      </c>
      <c r="BN19" s="252">
        <f t="shared" si="18"/>
        <v>0</v>
      </c>
      <c r="BO19" s="252">
        <f t="shared" si="19"/>
        <v>1</v>
      </c>
      <c r="BP19" s="2578"/>
      <c r="BQ19" s="2562"/>
      <c r="BR19" s="2562"/>
      <c r="BS19" s="2585"/>
      <c r="BT19" s="2585"/>
      <c r="BU19" s="2585"/>
    </row>
    <row r="20" spans="1:73" s="22" customFormat="1" ht="15.75" customHeight="1" outlineLevel="1">
      <c r="A20" s="2585"/>
      <c r="B20" s="44" t="s">
        <v>4473</v>
      </c>
      <c r="C20" s="45" t="s">
        <v>50</v>
      </c>
      <c r="D20" s="46" t="s">
        <v>4474</v>
      </c>
      <c r="E20" s="46" t="s">
        <v>4429</v>
      </c>
      <c r="F20" s="45" t="s">
        <v>4459</v>
      </c>
      <c r="G20" s="46" t="s">
        <v>4431</v>
      </c>
      <c r="H20" s="45" t="s">
        <v>4475</v>
      </c>
      <c r="I20" s="45" t="s">
        <v>4433</v>
      </c>
      <c r="J20" s="47">
        <v>43292</v>
      </c>
      <c r="K20" s="48">
        <v>100</v>
      </c>
      <c r="L20" s="47">
        <v>48040</v>
      </c>
      <c r="M20" s="1913">
        <v>8.280555555555555</v>
      </c>
      <c r="N20" s="48">
        <v>50</v>
      </c>
      <c r="O20" s="49">
        <v>50</v>
      </c>
      <c r="P20" s="49">
        <v>50</v>
      </c>
      <c r="Q20" s="1884">
        <f t="shared" si="20"/>
        <v>414.02777777777777</v>
      </c>
      <c r="R20" s="1885">
        <f t="shared" si="0"/>
        <v>-9.3627355664487988E-2</v>
      </c>
      <c r="S20" s="1885">
        <f t="shared" si="1"/>
        <v>-6.5371210240496525E-2</v>
      </c>
      <c r="T20" s="1914"/>
      <c r="U20" s="1914"/>
      <c r="V20" s="1914"/>
      <c r="W20" s="50">
        <v>2.8809999999999999E-2</v>
      </c>
      <c r="X20" s="1891">
        <f t="shared" si="2"/>
        <v>1.4404999999999999</v>
      </c>
      <c r="Y20" s="1891">
        <f t="shared" si="5"/>
        <v>1.4404999999999999</v>
      </c>
      <c r="Z20" s="50">
        <v>0</v>
      </c>
      <c r="AA20" s="50">
        <v>0</v>
      </c>
      <c r="AB20" s="48">
        <v>-0.10536323</v>
      </c>
      <c r="AC20" s="48">
        <v>49.816179472651235</v>
      </c>
      <c r="AD20" s="48">
        <v>52.257152662696242</v>
      </c>
      <c r="AE20" s="45" t="s">
        <v>4435</v>
      </c>
      <c r="AF20" s="51" t="s">
        <v>4435</v>
      </c>
      <c r="AG20" s="42"/>
      <c r="AH20" s="52" t="s">
        <v>4476</v>
      </c>
      <c r="AI20" s="197"/>
      <c r="AJ20" s="2578"/>
      <c r="AK20" s="251"/>
      <c r="AL20" s="2578"/>
      <c r="AM20" s="2562"/>
      <c r="AN20" s="2562"/>
      <c r="AO20" s="2562"/>
      <c r="AP20" s="2562"/>
      <c r="AQ20" s="2562"/>
      <c r="AR20" s="2562"/>
      <c r="AS20" s="2562"/>
      <c r="AT20" s="252">
        <f t="shared" si="6"/>
        <v>0</v>
      </c>
      <c r="AU20" s="252">
        <f t="shared" si="7"/>
        <v>0</v>
      </c>
      <c r="AV20" s="252">
        <f t="shared" si="8"/>
        <v>0</v>
      </c>
      <c r="AW20" s="252">
        <f t="shared" si="9"/>
        <v>0</v>
      </c>
      <c r="AX20" s="252">
        <f t="shared" si="10"/>
        <v>0</v>
      </c>
      <c r="AY20" s="252">
        <f t="shared" si="11"/>
        <v>0</v>
      </c>
      <c r="AZ20" s="252">
        <f t="shared" si="12"/>
        <v>0</v>
      </c>
      <c r="BA20" s="237"/>
      <c r="BB20" s="237"/>
      <c r="BC20" s="237"/>
      <c r="BD20" s="237"/>
      <c r="BE20" s="237"/>
      <c r="BF20" s="237"/>
      <c r="BG20" s="252">
        <f t="shared" si="13"/>
        <v>0</v>
      </c>
      <c r="BH20" s="237"/>
      <c r="BI20" s="237"/>
      <c r="BJ20" s="252">
        <f t="shared" si="14"/>
        <v>0</v>
      </c>
      <c r="BK20" s="252">
        <f t="shared" si="15"/>
        <v>0</v>
      </c>
      <c r="BL20" s="252">
        <f t="shared" si="16"/>
        <v>0</v>
      </c>
      <c r="BM20" s="252">
        <f t="shared" si="17"/>
        <v>0</v>
      </c>
      <c r="BN20" s="252">
        <f t="shared" si="18"/>
        <v>0</v>
      </c>
      <c r="BO20" s="252">
        <f t="shared" si="19"/>
        <v>1</v>
      </c>
      <c r="BP20" s="2578"/>
      <c r="BQ20" s="2562"/>
      <c r="BR20" s="2562"/>
      <c r="BS20" s="2585"/>
      <c r="BT20" s="2585"/>
      <c r="BU20" s="2585"/>
    </row>
    <row r="21" spans="1:73" s="22" customFormat="1" ht="15.75" customHeight="1" outlineLevel="1">
      <c r="A21" s="2585"/>
      <c r="B21" s="44" t="s">
        <v>4477</v>
      </c>
      <c r="C21" s="45" t="s">
        <v>50</v>
      </c>
      <c r="D21" s="46" t="s">
        <v>4457</v>
      </c>
      <c r="E21" s="46" t="s">
        <v>4429</v>
      </c>
      <c r="F21" s="45" t="s">
        <v>4478</v>
      </c>
      <c r="G21" s="46" t="s">
        <v>4431</v>
      </c>
      <c r="H21" s="45" t="s">
        <v>4459</v>
      </c>
      <c r="I21" s="45" t="s">
        <v>4433</v>
      </c>
      <c r="J21" s="47">
        <v>43371</v>
      </c>
      <c r="K21" s="48">
        <v>100</v>
      </c>
      <c r="L21" s="47">
        <v>49215</v>
      </c>
      <c r="M21" s="1913">
        <v>11.494444444444444</v>
      </c>
      <c r="N21" s="48">
        <v>50</v>
      </c>
      <c r="O21" s="49">
        <v>50</v>
      </c>
      <c r="P21" s="49">
        <v>50</v>
      </c>
      <c r="Q21" s="1884">
        <f t="shared" si="20"/>
        <v>574.72222222222217</v>
      </c>
      <c r="R21" s="1885">
        <f t="shared" si="0"/>
        <v>-9.1874183006536048E-2</v>
      </c>
      <c r="S21" s="1885">
        <f t="shared" si="1"/>
        <v>-6.3563382467028751E-2</v>
      </c>
      <c r="T21" s="1914"/>
      <c r="U21" s="1914"/>
      <c r="V21" s="1914"/>
      <c r="W21" s="50">
        <v>3.0800000000000001E-2</v>
      </c>
      <c r="X21" s="1891">
        <f t="shared" si="2"/>
        <v>1.54</v>
      </c>
      <c r="Y21" s="1891">
        <f t="shared" si="5"/>
        <v>1.54</v>
      </c>
      <c r="Z21" s="50">
        <v>0</v>
      </c>
      <c r="AA21" s="50">
        <v>0</v>
      </c>
      <c r="AB21" s="48">
        <v>-0.25587045000000003</v>
      </c>
      <c r="AC21" s="48">
        <v>49.816093114062504</v>
      </c>
      <c r="AD21" s="48">
        <v>41.162004292428819</v>
      </c>
      <c r="AE21" s="45" t="s">
        <v>4435</v>
      </c>
      <c r="AF21" s="51" t="s">
        <v>4435</v>
      </c>
      <c r="AG21" s="42"/>
      <c r="AH21" s="52" t="s">
        <v>4479</v>
      </c>
      <c r="AI21" s="197"/>
      <c r="AJ21" s="2578"/>
      <c r="AK21" s="251"/>
      <c r="AL21" s="2578"/>
      <c r="AM21" s="2562"/>
      <c r="AN21" s="2562"/>
      <c r="AO21" s="2562"/>
      <c r="AP21" s="2562"/>
      <c r="AQ21" s="2562"/>
      <c r="AR21" s="2562"/>
      <c r="AS21" s="2562"/>
      <c r="AT21" s="252">
        <f t="shared" si="6"/>
        <v>0</v>
      </c>
      <c r="AU21" s="252">
        <f t="shared" si="7"/>
        <v>0</v>
      </c>
      <c r="AV21" s="252">
        <f t="shared" si="8"/>
        <v>0</v>
      </c>
      <c r="AW21" s="252">
        <f t="shared" si="9"/>
        <v>0</v>
      </c>
      <c r="AX21" s="252">
        <f t="shared" si="10"/>
        <v>0</v>
      </c>
      <c r="AY21" s="252">
        <f t="shared" si="11"/>
        <v>0</v>
      </c>
      <c r="AZ21" s="252">
        <f t="shared" si="12"/>
        <v>0</v>
      </c>
      <c r="BA21" s="237"/>
      <c r="BB21" s="237"/>
      <c r="BC21" s="237"/>
      <c r="BD21" s="237"/>
      <c r="BE21" s="237"/>
      <c r="BF21" s="237"/>
      <c r="BG21" s="252">
        <f t="shared" si="13"/>
        <v>0</v>
      </c>
      <c r="BH21" s="237"/>
      <c r="BI21" s="237"/>
      <c r="BJ21" s="252">
        <f t="shared" si="14"/>
        <v>0</v>
      </c>
      <c r="BK21" s="252">
        <f t="shared" si="15"/>
        <v>0</v>
      </c>
      <c r="BL21" s="252">
        <f t="shared" si="16"/>
        <v>0</v>
      </c>
      <c r="BM21" s="252">
        <f t="shared" si="17"/>
        <v>0</v>
      </c>
      <c r="BN21" s="252">
        <f t="shared" si="18"/>
        <v>0</v>
      </c>
      <c r="BO21" s="252">
        <f t="shared" si="19"/>
        <v>1</v>
      </c>
      <c r="BP21" s="2578"/>
      <c r="BQ21" s="2562"/>
      <c r="BR21" s="2562"/>
      <c r="BS21" s="2585"/>
      <c r="BT21" s="2585"/>
      <c r="BU21" s="2585"/>
    </row>
    <row r="22" spans="1:73" s="22" customFormat="1" ht="15.75" customHeight="1" outlineLevel="1">
      <c r="A22" s="2585"/>
      <c r="B22" s="44" t="s">
        <v>4480</v>
      </c>
      <c r="C22" s="45" t="s">
        <v>50</v>
      </c>
      <c r="D22" s="46" t="s">
        <v>4457</v>
      </c>
      <c r="E22" s="46" t="s">
        <v>4429</v>
      </c>
      <c r="F22" s="45" t="s">
        <v>4481</v>
      </c>
      <c r="G22" s="46" t="s">
        <v>4431</v>
      </c>
      <c r="H22" s="45" t="s">
        <v>4459</v>
      </c>
      <c r="I22" s="45" t="s">
        <v>4433</v>
      </c>
      <c r="J22" s="47">
        <v>43371</v>
      </c>
      <c r="K22" s="48">
        <v>100</v>
      </c>
      <c r="L22" s="47">
        <v>50676</v>
      </c>
      <c r="M22" s="1913">
        <v>15.494444444444444</v>
      </c>
      <c r="N22" s="48">
        <v>50</v>
      </c>
      <c r="O22" s="49">
        <v>50</v>
      </c>
      <c r="P22" s="49">
        <v>50</v>
      </c>
      <c r="Q22" s="1884">
        <f t="shared" si="20"/>
        <v>774.72222222222217</v>
      </c>
      <c r="R22" s="1885">
        <f t="shared" si="0"/>
        <v>-9.1081290849673202E-2</v>
      </c>
      <c r="S22" s="1885">
        <f t="shared" si="1"/>
        <v>-6.274577191621411E-2</v>
      </c>
      <c r="T22" s="1914"/>
      <c r="U22" s="1914"/>
      <c r="V22" s="1914"/>
      <c r="W22" s="50">
        <v>3.1699999999999999E-2</v>
      </c>
      <c r="X22" s="1891">
        <f t="shared" si="2"/>
        <v>1.585</v>
      </c>
      <c r="Y22" s="1891">
        <f t="shared" si="5"/>
        <v>1.585</v>
      </c>
      <c r="Z22" s="50">
        <v>0</v>
      </c>
      <c r="AA22" s="50">
        <v>0</v>
      </c>
      <c r="AB22" s="48">
        <v>-0.25587045000000003</v>
      </c>
      <c r="AC22" s="48">
        <v>49.801700401249995</v>
      </c>
      <c r="AD22" s="48">
        <v>38.752852973752695</v>
      </c>
      <c r="AE22" s="45" t="s">
        <v>4435</v>
      </c>
      <c r="AF22" s="51" t="s">
        <v>4435</v>
      </c>
      <c r="AG22" s="42"/>
      <c r="AH22" s="52" t="s">
        <v>4482</v>
      </c>
      <c r="AI22" s="197"/>
      <c r="AJ22" s="2578"/>
      <c r="AK22" s="251"/>
      <c r="AL22" s="2578"/>
      <c r="AM22" s="2562"/>
      <c r="AN22" s="2562"/>
      <c r="AO22" s="2562"/>
      <c r="AP22" s="2562"/>
      <c r="AQ22" s="2562"/>
      <c r="AR22" s="2562"/>
      <c r="AS22" s="2562"/>
      <c r="AT22" s="252">
        <f t="shared" si="6"/>
        <v>0</v>
      </c>
      <c r="AU22" s="252">
        <f t="shared" si="7"/>
        <v>0</v>
      </c>
      <c r="AV22" s="252">
        <f t="shared" si="8"/>
        <v>0</v>
      </c>
      <c r="AW22" s="252">
        <f t="shared" si="9"/>
        <v>0</v>
      </c>
      <c r="AX22" s="252">
        <f t="shared" si="10"/>
        <v>0</v>
      </c>
      <c r="AY22" s="252">
        <f t="shared" si="11"/>
        <v>0</v>
      </c>
      <c r="AZ22" s="252">
        <f t="shared" si="12"/>
        <v>0</v>
      </c>
      <c r="BA22" s="237"/>
      <c r="BB22" s="237"/>
      <c r="BC22" s="237"/>
      <c r="BD22" s="237"/>
      <c r="BE22" s="237"/>
      <c r="BF22" s="237"/>
      <c r="BG22" s="252">
        <f t="shared" si="13"/>
        <v>0</v>
      </c>
      <c r="BH22" s="237"/>
      <c r="BI22" s="237"/>
      <c r="BJ22" s="252">
        <f t="shared" si="14"/>
        <v>0</v>
      </c>
      <c r="BK22" s="252">
        <f t="shared" si="15"/>
        <v>0</v>
      </c>
      <c r="BL22" s="252">
        <f t="shared" si="16"/>
        <v>0</v>
      </c>
      <c r="BM22" s="252">
        <f t="shared" si="17"/>
        <v>0</v>
      </c>
      <c r="BN22" s="252">
        <f t="shared" si="18"/>
        <v>0</v>
      </c>
      <c r="BO22" s="252">
        <f t="shared" si="19"/>
        <v>1</v>
      </c>
      <c r="BP22" s="2578"/>
      <c r="BQ22" s="2562"/>
      <c r="BR22" s="2562"/>
      <c r="BS22" s="2585"/>
      <c r="BT22" s="2585"/>
      <c r="BU22" s="2585"/>
    </row>
    <row r="23" spans="1:73" s="22" customFormat="1" ht="15.75" customHeight="1" outlineLevel="1">
      <c r="A23" s="2585"/>
      <c r="B23" s="44" t="s">
        <v>4483</v>
      </c>
      <c r="C23" s="45" t="s">
        <v>4438</v>
      </c>
      <c r="D23" s="46" t="s">
        <v>4428</v>
      </c>
      <c r="E23" s="46" t="s">
        <v>4429</v>
      </c>
      <c r="F23" s="45" t="s">
        <v>4484</v>
      </c>
      <c r="G23" s="46" t="s">
        <v>4431</v>
      </c>
      <c r="H23" s="45" t="s">
        <v>4440</v>
      </c>
      <c r="I23" s="45" t="s">
        <v>4433</v>
      </c>
      <c r="J23" s="47">
        <v>43573</v>
      </c>
      <c r="K23" s="48" t="s">
        <v>4485</v>
      </c>
      <c r="L23" s="47">
        <v>51609</v>
      </c>
      <c r="M23" s="1913">
        <v>18.05</v>
      </c>
      <c r="N23" s="48">
        <v>350</v>
      </c>
      <c r="O23" s="49">
        <v>350</v>
      </c>
      <c r="P23" s="49">
        <v>350</v>
      </c>
      <c r="Q23" s="1884">
        <f t="shared" si="20"/>
        <v>6317.5</v>
      </c>
      <c r="R23" s="1885">
        <f t="shared" si="0"/>
        <v>-9.4781454248365926E-2</v>
      </c>
      <c r="S23" s="1885">
        <f t="shared" si="1"/>
        <v>-6.6561287820015469E-2</v>
      </c>
      <c r="T23" s="1914"/>
      <c r="U23" s="1914"/>
      <c r="V23" s="1914"/>
      <c r="W23" s="50">
        <v>2.75E-2</v>
      </c>
      <c r="X23" s="1891">
        <f t="shared" si="2"/>
        <v>9.625</v>
      </c>
      <c r="Y23" s="1891">
        <f t="shared" si="5"/>
        <v>9.625</v>
      </c>
      <c r="Z23" s="50">
        <v>0</v>
      </c>
      <c r="AA23" s="50">
        <v>0</v>
      </c>
      <c r="AB23" s="48">
        <v>-1.9324035300000002</v>
      </c>
      <c r="AC23" s="48">
        <v>341.69270631826765</v>
      </c>
      <c r="AD23" s="48">
        <v>252.21388888888887</v>
      </c>
      <c r="AE23" s="45" t="s">
        <v>4435</v>
      </c>
      <c r="AF23" s="51" t="s">
        <v>4435</v>
      </c>
      <c r="AG23" s="42"/>
      <c r="AH23" s="52" t="s">
        <v>4486</v>
      </c>
      <c r="AI23" s="197"/>
      <c r="AJ23" s="2578"/>
      <c r="AK23" s="251"/>
      <c r="AL23" s="2578"/>
      <c r="AM23" s="2562"/>
      <c r="AN23" s="2562"/>
      <c r="AO23" s="2562"/>
      <c r="AP23" s="2562"/>
      <c r="AQ23" s="2562"/>
      <c r="AR23" s="2562"/>
      <c r="AS23" s="2562"/>
      <c r="AT23" s="252">
        <f t="shared" si="6"/>
        <v>0</v>
      </c>
      <c r="AU23" s="252">
        <f t="shared" si="7"/>
        <v>1</v>
      </c>
      <c r="AV23" s="252">
        <f t="shared" si="8"/>
        <v>0</v>
      </c>
      <c r="AW23" s="252">
        <f t="shared" si="9"/>
        <v>0</v>
      </c>
      <c r="AX23" s="252">
        <f t="shared" si="10"/>
        <v>0</v>
      </c>
      <c r="AY23" s="252">
        <f t="shared" si="11"/>
        <v>0</v>
      </c>
      <c r="AZ23" s="252">
        <f t="shared" si="12"/>
        <v>0</v>
      </c>
      <c r="BA23" s="237"/>
      <c r="BB23" s="237"/>
      <c r="BC23" s="237"/>
      <c r="BD23" s="237"/>
      <c r="BE23" s="237"/>
      <c r="BF23" s="237"/>
      <c r="BG23" s="252">
        <f t="shared" si="13"/>
        <v>0</v>
      </c>
      <c r="BH23" s="237"/>
      <c r="BI23" s="237"/>
      <c r="BJ23" s="252">
        <f t="shared" si="14"/>
        <v>0</v>
      </c>
      <c r="BK23" s="252">
        <f t="shared" si="15"/>
        <v>0</v>
      </c>
      <c r="BL23" s="252">
        <f t="shared" si="16"/>
        <v>0</v>
      </c>
      <c r="BM23" s="252">
        <f t="shared" si="17"/>
        <v>0</v>
      </c>
      <c r="BN23" s="252">
        <f t="shared" si="18"/>
        <v>0</v>
      </c>
      <c r="BO23" s="252">
        <f t="shared" si="19"/>
        <v>1</v>
      </c>
      <c r="BP23" s="2578"/>
      <c r="BQ23" s="2562"/>
      <c r="BR23" s="2562"/>
      <c r="BS23" s="2585"/>
      <c r="BT23" s="2585"/>
      <c r="BU23" s="2585"/>
    </row>
    <row r="24" spans="1:73" s="22" customFormat="1" ht="15.75" customHeight="1" outlineLevel="1">
      <c r="A24" s="2585"/>
      <c r="B24" s="44" t="s">
        <v>4487</v>
      </c>
      <c r="C24" s="45" t="s">
        <v>4438</v>
      </c>
      <c r="D24" s="46" t="s">
        <v>4428</v>
      </c>
      <c r="E24" s="46" t="s">
        <v>4429</v>
      </c>
      <c r="F24" s="45" t="s">
        <v>4484</v>
      </c>
      <c r="G24" s="46" t="s">
        <v>4431</v>
      </c>
      <c r="H24" s="45" t="s">
        <v>4440</v>
      </c>
      <c r="I24" s="45" t="s">
        <v>4433</v>
      </c>
      <c r="J24" s="47">
        <v>43573</v>
      </c>
      <c r="K24" s="48" t="s">
        <v>4488</v>
      </c>
      <c r="L24" s="47">
        <v>51609</v>
      </c>
      <c r="M24" s="1913">
        <v>18.05</v>
      </c>
      <c r="N24" s="48">
        <v>100</v>
      </c>
      <c r="O24" s="49">
        <v>100</v>
      </c>
      <c r="P24" s="49">
        <v>100</v>
      </c>
      <c r="Q24" s="1884">
        <f t="shared" si="20"/>
        <v>1805</v>
      </c>
      <c r="R24" s="1885">
        <f t="shared" si="0"/>
        <v>-9.4781454248365926E-2</v>
      </c>
      <c r="S24" s="1885">
        <f t="shared" si="1"/>
        <v>-6.6561287820015469E-2</v>
      </c>
      <c r="T24" s="1914"/>
      <c r="U24" s="1914"/>
      <c r="V24" s="1914"/>
      <c r="W24" s="50">
        <v>2.75E-2</v>
      </c>
      <c r="X24" s="1891">
        <f t="shared" si="2"/>
        <v>2.75</v>
      </c>
      <c r="Y24" s="1891">
        <f t="shared" si="5"/>
        <v>2.75</v>
      </c>
      <c r="Z24" s="50">
        <v>0</v>
      </c>
      <c r="AA24" s="50">
        <v>0</v>
      </c>
      <c r="AB24" s="48">
        <v>-0.51611600000000024</v>
      </c>
      <c r="AC24" s="48">
        <v>103.53683693318584</v>
      </c>
      <c r="AD24" s="48">
        <v>72.061111111111103</v>
      </c>
      <c r="AE24" s="45" t="s">
        <v>4435</v>
      </c>
      <c r="AF24" s="51" t="s">
        <v>4435</v>
      </c>
      <c r="AG24" s="42"/>
      <c r="AH24" s="52" t="s">
        <v>4489</v>
      </c>
      <c r="AI24" s="197"/>
      <c r="AJ24" s="2578"/>
      <c r="AK24" s="251"/>
      <c r="AL24" s="2578"/>
      <c r="AM24" s="2562"/>
      <c r="AN24" s="2562"/>
      <c r="AO24" s="2562"/>
      <c r="AP24" s="2562"/>
      <c r="AQ24" s="2562"/>
      <c r="AR24" s="2562"/>
      <c r="AS24" s="2562"/>
      <c r="AT24" s="252">
        <f t="shared" si="6"/>
        <v>0</v>
      </c>
      <c r="AU24" s="252">
        <f t="shared" si="7"/>
        <v>1</v>
      </c>
      <c r="AV24" s="252">
        <f t="shared" si="8"/>
        <v>0</v>
      </c>
      <c r="AW24" s="252">
        <f t="shared" si="9"/>
        <v>0</v>
      </c>
      <c r="AX24" s="252">
        <f t="shared" si="10"/>
        <v>0</v>
      </c>
      <c r="AY24" s="252">
        <f t="shared" si="11"/>
        <v>0</v>
      </c>
      <c r="AZ24" s="252">
        <f t="shared" si="12"/>
        <v>0</v>
      </c>
      <c r="BA24" s="237"/>
      <c r="BB24" s="237"/>
      <c r="BC24" s="237"/>
      <c r="BD24" s="237"/>
      <c r="BE24" s="237"/>
      <c r="BF24" s="237"/>
      <c r="BG24" s="252">
        <f t="shared" si="13"/>
        <v>0</v>
      </c>
      <c r="BH24" s="237"/>
      <c r="BI24" s="237"/>
      <c r="BJ24" s="252">
        <f t="shared" si="14"/>
        <v>0</v>
      </c>
      <c r="BK24" s="252">
        <f t="shared" si="15"/>
        <v>0</v>
      </c>
      <c r="BL24" s="252">
        <f t="shared" si="16"/>
        <v>0</v>
      </c>
      <c r="BM24" s="252">
        <f t="shared" si="17"/>
        <v>0</v>
      </c>
      <c r="BN24" s="252">
        <f t="shared" si="18"/>
        <v>0</v>
      </c>
      <c r="BO24" s="252">
        <f t="shared" si="19"/>
        <v>1</v>
      </c>
      <c r="BP24" s="2578"/>
      <c r="BQ24" s="2562"/>
      <c r="BR24" s="2562"/>
      <c r="BS24" s="2585"/>
      <c r="BT24" s="2585"/>
      <c r="BU24" s="2585"/>
    </row>
    <row r="25" spans="1:73" s="22" customFormat="1" ht="15.75" customHeight="1" outlineLevel="1">
      <c r="A25" s="2585"/>
      <c r="B25" s="44" t="s">
        <v>4490</v>
      </c>
      <c r="C25" s="45" t="s">
        <v>4438</v>
      </c>
      <c r="D25" s="46" t="s">
        <v>4428</v>
      </c>
      <c r="E25" s="46" t="s">
        <v>4429</v>
      </c>
      <c r="F25" s="45" t="s">
        <v>4491</v>
      </c>
      <c r="G25" s="46" t="s">
        <v>4431</v>
      </c>
      <c r="H25" s="45" t="s">
        <v>4440</v>
      </c>
      <c r="I25" s="45" t="s">
        <v>4433</v>
      </c>
      <c r="J25" s="47">
        <v>43795</v>
      </c>
      <c r="K25" s="48" t="s">
        <v>4492</v>
      </c>
      <c r="L25" s="47">
        <v>46352</v>
      </c>
      <c r="M25" s="1913">
        <v>3.6555555555555554</v>
      </c>
      <c r="N25" s="48">
        <v>300</v>
      </c>
      <c r="O25" s="49">
        <v>300</v>
      </c>
      <c r="P25" s="49">
        <v>300</v>
      </c>
      <c r="Q25" s="1884">
        <f t="shared" si="20"/>
        <v>1096.6666666666667</v>
      </c>
      <c r="R25" s="1885">
        <f t="shared" si="0"/>
        <v>-0.10359136710239647</v>
      </c>
      <c r="S25" s="1885">
        <f t="shared" si="1"/>
        <v>-7.5645849495733053E-2</v>
      </c>
      <c r="T25" s="1914"/>
      <c r="U25" s="1914"/>
      <c r="V25" s="1914"/>
      <c r="W25" s="50">
        <v>1.7500000000000002E-2</v>
      </c>
      <c r="X25" s="1891">
        <f t="shared" si="2"/>
        <v>5.2500000000000009</v>
      </c>
      <c r="Y25" s="1891">
        <f t="shared" si="5"/>
        <v>5.2500000000000009</v>
      </c>
      <c r="Z25" s="50">
        <v>0</v>
      </c>
      <c r="AA25" s="50">
        <v>0</v>
      </c>
      <c r="AB25" s="48">
        <v>-1.4307160000000003</v>
      </c>
      <c r="AC25" s="48">
        <v>299.05769663350549</v>
      </c>
      <c r="AD25" s="48">
        <v>267.06</v>
      </c>
      <c r="AE25" s="45" t="s">
        <v>4435</v>
      </c>
      <c r="AF25" s="51" t="s">
        <v>4435</v>
      </c>
      <c r="AG25" s="42"/>
      <c r="AH25" s="52" t="s">
        <v>4493</v>
      </c>
      <c r="AI25" s="197"/>
      <c r="AJ25" s="2578"/>
      <c r="AK25" s="251"/>
      <c r="AL25" s="2578"/>
      <c r="AM25" s="2562"/>
      <c r="AN25" s="2562"/>
      <c r="AO25" s="2562"/>
      <c r="AP25" s="2562"/>
      <c r="AQ25" s="2562"/>
      <c r="AR25" s="2562"/>
      <c r="AS25" s="2562"/>
      <c r="AT25" s="252">
        <f t="shared" si="6"/>
        <v>0</v>
      </c>
      <c r="AU25" s="252">
        <f t="shared" si="7"/>
        <v>1</v>
      </c>
      <c r="AV25" s="252">
        <f t="shared" si="8"/>
        <v>0</v>
      </c>
      <c r="AW25" s="252">
        <f t="shared" si="9"/>
        <v>0</v>
      </c>
      <c r="AX25" s="252">
        <f t="shared" si="10"/>
        <v>0</v>
      </c>
      <c r="AY25" s="252">
        <f t="shared" si="11"/>
        <v>0</v>
      </c>
      <c r="AZ25" s="252">
        <f t="shared" si="12"/>
        <v>0</v>
      </c>
      <c r="BA25" s="237"/>
      <c r="BB25" s="237"/>
      <c r="BC25" s="237"/>
      <c r="BD25" s="237"/>
      <c r="BE25" s="237"/>
      <c r="BF25" s="237"/>
      <c r="BG25" s="252">
        <f t="shared" si="13"/>
        <v>0</v>
      </c>
      <c r="BH25" s="237"/>
      <c r="BI25" s="237"/>
      <c r="BJ25" s="252">
        <f t="shared" si="14"/>
        <v>0</v>
      </c>
      <c r="BK25" s="252">
        <f t="shared" si="15"/>
        <v>0</v>
      </c>
      <c r="BL25" s="252">
        <f t="shared" si="16"/>
        <v>0</v>
      </c>
      <c r="BM25" s="252">
        <f t="shared" si="17"/>
        <v>0</v>
      </c>
      <c r="BN25" s="252">
        <f t="shared" si="18"/>
        <v>0</v>
      </c>
      <c r="BO25" s="252">
        <f t="shared" si="19"/>
        <v>1</v>
      </c>
      <c r="BP25" s="2578"/>
      <c r="BQ25" s="2562"/>
      <c r="BR25" s="2562"/>
      <c r="BS25" s="2585"/>
      <c r="BT25" s="2585"/>
      <c r="BU25" s="2585"/>
    </row>
    <row r="26" spans="1:73" s="22" customFormat="1" ht="15.75" customHeight="1" outlineLevel="1">
      <c r="A26" s="2585"/>
      <c r="B26" s="44" t="s">
        <v>4494</v>
      </c>
      <c r="C26" s="45" t="s">
        <v>4438</v>
      </c>
      <c r="D26" s="46" t="s">
        <v>4428</v>
      </c>
      <c r="E26" s="46" t="s">
        <v>4429</v>
      </c>
      <c r="F26" s="45" t="s">
        <v>4495</v>
      </c>
      <c r="G26" s="46" t="s">
        <v>4431</v>
      </c>
      <c r="H26" s="45" t="s">
        <v>4440</v>
      </c>
      <c r="I26" s="45" t="s">
        <v>4433</v>
      </c>
      <c r="J26" s="47">
        <v>44313</v>
      </c>
      <c r="K26" s="48" t="s">
        <v>4496</v>
      </c>
      <c r="L26" s="47">
        <v>48514</v>
      </c>
      <c r="M26" s="1913">
        <v>9.5749999999999993</v>
      </c>
      <c r="N26" s="48">
        <v>350</v>
      </c>
      <c r="O26" s="49">
        <v>350</v>
      </c>
      <c r="P26" s="49">
        <v>350</v>
      </c>
      <c r="Q26" s="1884">
        <f t="shared" si="20"/>
        <v>3351.2499999999995</v>
      </c>
      <c r="R26" s="1885">
        <f t="shared" si="0"/>
        <v>-0.10359136710239647</v>
      </c>
      <c r="S26" s="1885">
        <f t="shared" si="1"/>
        <v>-7.5645849495733053E-2</v>
      </c>
      <c r="T26" s="1914"/>
      <c r="U26" s="1914"/>
      <c r="V26" s="1914"/>
      <c r="W26" s="50">
        <v>1.7500000000000002E-2</v>
      </c>
      <c r="X26" s="1891">
        <f t="shared" si="2"/>
        <v>6.1250000000000009</v>
      </c>
      <c r="Y26" s="1891">
        <f t="shared" si="5"/>
        <v>6.1250000000000009</v>
      </c>
      <c r="Z26" s="50">
        <v>0</v>
      </c>
      <c r="AA26" s="50">
        <v>0</v>
      </c>
      <c r="AB26" s="48">
        <v>-1.8040315099999997</v>
      </c>
      <c r="AC26" s="48">
        <v>345.1022773133148</v>
      </c>
      <c r="AD26" s="48">
        <v>263.113</v>
      </c>
      <c r="AE26" s="45" t="s">
        <v>4435</v>
      </c>
      <c r="AF26" s="51" t="s">
        <v>4435</v>
      </c>
      <c r="AG26" s="42"/>
      <c r="AH26" s="52" t="s">
        <v>4497</v>
      </c>
      <c r="AI26" s="197"/>
      <c r="AJ26" s="2578"/>
      <c r="AK26" s="251"/>
      <c r="AL26" s="2578"/>
      <c r="AM26" s="2562"/>
      <c r="AN26" s="2562"/>
      <c r="AO26" s="2562"/>
      <c r="AP26" s="2562"/>
      <c r="AQ26" s="2562"/>
      <c r="AR26" s="2562"/>
      <c r="AS26" s="2562"/>
      <c r="AT26" s="252">
        <f t="shared" si="6"/>
        <v>0</v>
      </c>
      <c r="AU26" s="252">
        <f t="shared" si="7"/>
        <v>1</v>
      </c>
      <c r="AV26" s="252">
        <f t="shared" si="8"/>
        <v>0</v>
      </c>
      <c r="AW26" s="252">
        <f t="shared" si="9"/>
        <v>0</v>
      </c>
      <c r="AX26" s="252">
        <f t="shared" si="10"/>
        <v>0</v>
      </c>
      <c r="AY26" s="252">
        <f t="shared" si="11"/>
        <v>0</v>
      </c>
      <c r="AZ26" s="252">
        <f t="shared" si="12"/>
        <v>0</v>
      </c>
      <c r="BA26" s="237"/>
      <c r="BB26" s="237"/>
      <c r="BC26" s="237"/>
      <c r="BD26" s="237"/>
      <c r="BE26" s="237"/>
      <c r="BF26" s="237"/>
      <c r="BG26" s="252">
        <f t="shared" si="13"/>
        <v>0</v>
      </c>
      <c r="BH26" s="237"/>
      <c r="BI26" s="237"/>
      <c r="BJ26" s="252">
        <f t="shared" si="14"/>
        <v>0</v>
      </c>
      <c r="BK26" s="252">
        <f t="shared" si="15"/>
        <v>0</v>
      </c>
      <c r="BL26" s="252">
        <f t="shared" si="16"/>
        <v>0</v>
      </c>
      <c r="BM26" s="252">
        <f t="shared" si="17"/>
        <v>0</v>
      </c>
      <c r="BN26" s="252">
        <f t="shared" si="18"/>
        <v>0</v>
      </c>
      <c r="BO26" s="252">
        <f t="shared" si="19"/>
        <v>1</v>
      </c>
      <c r="BP26" s="2578"/>
      <c r="BQ26" s="2562"/>
      <c r="BR26" s="2562"/>
      <c r="BS26" s="2585"/>
      <c r="BT26" s="2585"/>
      <c r="BU26" s="2585"/>
    </row>
    <row r="27" spans="1:73" s="22" customFormat="1" ht="15.75" customHeight="1" outlineLevel="1">
      <c r="A27" s="2585"/>
      <c r="B27" s="44" t="s">
        <v>4498</v>
      </c>
      <c r="C27" s="45" t="s">
        <v>4438</v>
      </c>
      <c r="D27" s="46" t="s">
        <v>4428</v>
      </c>
      <c r="E27" s="46" t="s">
        <v>4429</v>
      </c>
      <c r="F27" s="45" t="s">
        <v>4499</v>
      </c>
      <c r="G27" s="46" t="s">
        <v>4431</v>
      </c>
      <c r="H27" s="45" t="s">
        <v>4440</v>
      </c>
      <c r="I27" s="45" t="s">
        <v>4433</v>
      </c>
      <c r="J27" s="47">
        <v>44985</v>
      </c>
      <c r="K27" s="48">
        <v>99.358999999999995</v>
      </c>
      <c r="L27" s="47">
        <v>47601</v>
      </c>
      <c r="M27" s="1913">
        <v>7.0777777777777775</v>
      </c>
      <c r="N27" s="48">
        <v>250</v>
      </c>
      <c r="O27" s="49">
        <v>250</v>
      </c>
      <c r="P27" s="49">
        <v>250</v>
      </c>
      <c r="Q27" s="1884">
        <f t="shared" si="20"/>
        <v>1769.4444444444443</v>
      </c>
      <c r="R27" s="1885">
        <f t="shared" si="0"/>
        <v>-7.2756672113289733E-2</v>
      </c>
      <c r="S27" s="1885">
        <f t="shared" si="1"/>
        <v>-4.3849883630721509E-2</v>
      </c>
      <c r="T27" s="1914"/>
      <c r="U27" s="1914"/>
      <c r="V27" s="1914"/>
      <c r="W27" s="50">
        <v>5.2499999999999998E-2</v>
      </c>
      <c r="X27" s="1891">
        <f t="shared" si="2"/>
        <v>13.125</v>
      </c>
      <c r="Y27" s="1891">
        <f t="shared" si="5"/>
        <v>13.125</v>
      </c>
      <c r="Z27" s="50">
        <v>0</v>
      </c>
      <c r="AA27" s="50">
        <v>0</v>
      </c>
      <c r="AB27" s="48">
        <v>-1.345619299999993</v>
      </c>
      <c r="AC27" s="48">
        <v>247.08134840478172</v>
      </c>
      <c r="AD27" s="48">
        <v>250.66300000000001</v>
      </c>
      <c r="AE27" s="45" t="s">
        <v>4435</v>
      </c>
      <c r="AF27" s="51" t="s">
        <v>4435</v>
      </c>
      <c r="AG27" s="42"/>
      <c r="AH27" s="52" t="s">
        <v>4500</v>
      </c>
      <c r="AI27" s="197"/>
      <c r="AJ27" s="2578"/>
      <c r="AK27" s="251"/>
      <c r="AL27" s="2578"/>
      <c r="AM27" s="2562"/>
      <c r="AN27" s="2562"/>
      <c r="AO27" s="2562"/>
      <c r="AP27" s="2562"/>
      <c r="AQ27" s="2562"/>
      <c r="AR27" s="2562"/>
      <c r="AS27" s="2562"/>
      <c r="AT27" s="252">
        <f t="shared" si="6"/>
        <v>0</v>
      </c>
      <c r="AU27" s="252">
        <f t="shared" si="7"/>
        <v>0</v>
      </c>
      <c r="AV27" s="252">
        <f t="shared" si="8"/>
        <v>0</v>
      </c>
      <c r="AW27" s="252">
        <f t="shared" si="9"/>
        <v>0</v>
      </c>
      <c r="AX27" s="252">
        <f t="shared" si="10"/>
        <v>0</v>
      </c>
      <c r="AY27" s="252">
        <f t="shared" si="11"/>
        <v>0</v>
      </c>
      <c r="AZ27" s="252">
        <f t="shared" si="12"/>
        <v>0</v>
      </c>
      <c r="BA27" s="237"/>
      <c r="BB27" s="237"/>
      <c r="BC27" s="237"/>
      <c r="BD27" s="237"/>
      <c r="BE27" s="237"/>
      <c r="BF27" s="237"/>
      <c r="BG27" s="252">
        <f t="shared" si="13"/>
        <v>0</v>
      </c>
      <c r="BH27" s="237"/>
      <c r="BI27" s="237"/>
      <c r="BJ27" s="252">
        <f t="shared" si="14"/>
        <v>0</v>
      </c>
      <c r="BK27" s="252">
        <f t="shared" si="15"/>
        <v>0</v>
      </c>
      <c r="BL27" s="252">
        <f t="shared" si="16"/>
        <v>0</v>
      </c>
      <c r="BM27" s="252">
        <f t="shared" si="17"/>
        <v>0</v>
      </c>
      <c r="BN27" s="252">
        <f t="shared" si="18"/>
        <v>0</v>
      </c>
      <c r="BO27" s="252">
        <f t="shared" si="19"/>
        <v>1</v>
      </c>
      <c r="BP27" s="2578"/>
      <c r="BQ27" s="2562"/>
      <c r="BR27" s="2562"/>
      <c r="BS27" s="2585"/>
      <c r="BT27" s="2585"/>
      <c r="BU27" s="2585"/>
    </row>
    <row r="28" spans="1:73" s="22" customFormat="1" ht="15.75" customHeight="1" outlineLevel="1">
      <c r="A28" s="2585"/>
      <c r="B28" s="44" t="s">
        <v>4501</v>
      </c>
      <c r="C28" s="45" t="s">
        <v>4438</v>
      </c>
      <c r="D28" s="46" t="s">
        <v>4428</v>
      </c>
      <c r="E28" s="46" t="s">
        <v>4429</v>
      </c>
      <c r="F28" s="45" t="s">
        <v>4502</v>
      </c>
      <c r="G28" s="46" t="s">
        <v>4431</v>
      </c>
      <c r="H28" s="45" t="s">
        <v>4440</v>
      </c>
      <c r="I28" s="45" t="s">
        <v>4433</v>
      </c>
      <c r="J28" s="47">
        <v>44985</v>
      </c>
      <c r="K28" s="48">
        <v>99.477999999999994</v>
      </c>
      <c r="L28" s="47">
        <v>49427</v>
      </c>
      <c r="M28" s="1913">
        <v>12.077777777777778</v>
      </c>
      <c r="N28" s="48">
        <v>250</v>
      </c>
      <c r="O28" s="49">
        <v>250</v>
      </c>
      <c r="P28" s="49">
        <v>250</v>
      </c>
      <c r="Q28" s="1884">
        <f t="shared" si="20"/>
        <v>3019.4444444444443</v>
      </c>
      <c r="R28" s="1885">
        <f t="shared" si="0"/>
        <v>-7.0554193899782236E-2</v>
      </c>
      <c r="S28" s="1885">
        <f t="shared" si="1"/>
        <v>-4.1578743211792113E-2</v>
      </c>
      <c r="T28" s="1914"/>
      <c r="U28" s="1914"/>
      <c r="V28" s="1914"/>
      <c r="W28" s="50">
        <v>5.5E-2</v>
      </c>
      <c r="X28" s="1891">
        <f t="shared" si="2"/>
        <v>13.75</v>
      </c>
      <c r="Y28" s="1891">
        <f t="shared" si="5"/>
        <v>13.75</v>
      </c>
      <c r="Z28" s="50">
        <v>0</v>
      </c>
      <c r="AA28" s="50">
        <v>0</v>
      </c>
      <c r="AB28" s="48">
        <v>-1.3463365499999993</v>
      </c>
      <c r="AC28" s="48">
        <v>247.3620370642129</v>
      </c>
      <c r="AD28" s="48">
        <v>254.21</v>
      </c>
      <c r="AE28" s="45" t="s">
        <v>4435</v>
      </c>
      <c r="AF28" s="51" t="s">
        <v>4435</v>
      </c>
      <c r="AG28" s="42"/>
      <c r="AH28" s="52" t="s">
        <v>4503</v>
      </c>
      <c r="AI28" s="197"/>
      <c r="AJ28" s="2578"/>
      <c r="AK28" s="251"/>
      <c r="AL28" s="2578"/>
      <c r="AM28" s="2562"/>
      <c r="AN28" s="2562"/>
      <c r="AO28" s="2562"/>
      <c r="AP28" s="2562"/>
      <c r="AQ28" s="2562"/>
      <c r="AR28" s="2562"/>
      <c r="AS28" s="2562"/>
      <c r="AT28" s="252">
        <f t="shared" si="6"/>
        <v>0</v>
      </c>
      <c r="AU28" s="252">
        <f t="shared" si="7"/>
        <v>0</v>
      </c>
      <c r="AV28" s="252">
        <f t="shared" si="8"/>
        <v>0</v>
      </c>
      <c r="AW28" s="252">
        <f t="shared" si="9"/>
        <v>0</v>
      </c>
      <c r="AX28" s="252">
        <f t="shared" si="10"/>
        <v>0</v>
      </c>
      <c r="AY28" s="252">
        <f t="shared" si="11"/>
        <v>0</v>
      </c>
      <c r="AZ28" s="252">
        <f t="shared" si="12"/>
        <v>0</v>
      </c>
      <c r="BA28" s="237"/>
      <c r="BB28" s="237"/>
      <c r="BC28" s="237"/>
      <c r="BD28" s="237"/>
      <c r="BE28" s="237"/>
      <c r="BF28" s="237"/>
      <c r="BG28" s="252">
        <f t="shared" si="13"/>
        <v>0</v>
      </c>
      <c r="BH28" s="237"/>
      <c r="BI28" s="237"/>
      <c r="BJ28" s="252">
        <f t="shared" si="14"/>
        <v>0</v>
      </c>
      <c r="BK28" s="252">
        <f t="shared" si="15"/>
        <v>0</v>
      </c>
      <c r="BL28" s="252">
        <f t="shared" si="16"/>
        <v>0</v>
      </c>
      <c r="BM28" s="252">
        <f t="shared" si="17"/>
        <v>0</v>
      </c>
      <c r="BN28" s="252">
        <f t="shared" si="18"/>
        <v>0</v>
      </c>
      <c r="BO28" s="252">
        <f t="shared" si="19"/>
        <v>1</v>
      </c>
      <c r="BP28" s="2578"/>
      <c r="BQ28" s="2562"/>
      <c r="BR28" s="2562"/>
      <c r="BS28" s="2585"/>
      <c r="BT28" s="2585"/>
      <c r="BU28" s="2585"/>
    </row>
    <row r="29" spans="1:73" s="22" customFormat="1" ht="15.75" customHeight="1" outlineLevel="1" collapsed="1">
      <c r="A29" s="2585"/>
      <c r="B29" s="44" t="s">
        <v>4504</v>
      </c>
      <c r="C29" s="45" t="s">
        <v>50</v>
      </c>
      <c r="D29" s="46" t="s">
        <v>4505</v>
      </c>
      <c r="E29" s="46" t="s">
        <v>4429</v>
      </c>
      <c r="F29" s="45" t="s">
        <v>4459</v>
      </c>
      <c r="G29" s="46" t="s">
        <v>4431</v>
      </c>
      <c r="H29" s="45" t="s">
        <v>4459</v>
      </c>
      <c r="I29" s="45" t="s">
        <v>4433</v>
      </c>
      <c r="J29" s="47" t="s">
        <v>4506</v>
      </c>
      <c r="K29" s="48">
        <v>100</v>
      </c>
      <c r="L29" s="47">
        <v>47569</v>
      </c>
      <c r="M29" s="1913">
        <v>6.9916666666666663</v>
      </c>
      <c r="N29" s="48">
        <v>20</v>
      </c>
      <c r="O29" s="49">
        <v>20</v>
      </c>
      <c r="P29" s="49">
        <v>20</v>
      </c>
      <c r="Q29" s="1884">
        <f t="shared" si="20"/>
        <v>139.83333333333331</v>
      </c>
      <c r="R29" s="1885">
        <f t="shared" si="0"/>
        <v>-6.3065767973856324E-2</v>
      </c>
      <c r="S29" s="1885">
        <f t="shared" si="1"/>
        <v>-3.3856865787432189E-2</v>
      </c>
      <c r="T29" s="1914"/>
      <c r="U29" s="1914"/>
      <c r="V29" s="1914"/>
      <c r="W29" s="50">
        <v>6.3500000000000001E-2</v>
      </c>
      <c r="X29" s="1891">
        <f t="shared" si="2"/>
        <v>1.27</v>
      </c>
      <c r="Y29" s="1891">
        <f t="shared" si="5"/>
        <v>1.27</v>
      </c>
      <c r="Z29" s="50">
        <v>0</v>
      </c>
      <c r="AA29" s="50">
        <v>0</v>
      </c>
      <c r="AB29" s="48">
        <v>0</v>
      </c>
      <c r="AC29" s="48">
        <v>2.6418936421034824</v>
      </c>
      <c r="AD29" s="48">
        <v>2.6418936421034824</v>
      </c>
      <c r="AE29" s="45" t="s">
        <v>4507</v>
      </c>
      <c r="AF29" s="51" t="s">
        <v>4508</v>
      </c>
      <c r="AG29" s="42"/>
      <c r="AH29" s="52" t="s">
        <v>4509</v>
      </c>
      <c r="AI29" s="197"/>
      <c r="AJ29" s="2578"/>
      <c r="AK29" s="251"/>
      <c r="AL29" s="2578"/>
      <c r="AM29" s="2562"/>
      <c r="AN29" s="2562"/>
      <c r="AO29" s="2562"/>
      <c r="AP29" s="2562"/>
      <c r="AQ29" s="2562"/>
      <c r="AR29" s="2562"/>
      <c r="AS29" s="2562"/>
      <c r="AT29" s="252">
        <f t="shared" si="6"/>
        <v>1</v>
      </c>
      <c r="AU29" s="252">
        <f t="shared" si="7"/>
        <v>0</v>
      </c>
      <c r="AV29" s="252">
        <f t="shared" si="8"/>
        <v>0</v>
      </c>
      <c r="AW29" s="252">
        <f t="shared" si="9"/>
        <v>0</v>
      </c>
      <c r="AX29" s="252">
        <f t="shared" si="10"/>
        <v>0</v>
      </c>
      <c r="AY29" s="252">
        <f t="shared" si="11"/>
        <v>0</v>
      </c>
      <c r="AZ29" s="252">
        <f t="shared" si="12"/>
        <v>0</v>
      </c>
      <c r="BA29" s="237"/>
      <c r="BB29" s="237"/>
      <c r="BC29" s="237"/>
      <c r="BD29" s="237"/>
      <c r="BE29" s="237"/>
      <c r="BF29" s="237"/>
      <c r="BG29" s="252">
        <f t="shared" si="13"/>
        <v>0</v>
      </c>
      <c r="BH29" s="237"/>
      <c r="BI29" s="237"/>
      <c r="BJ29" s="252">
        <f t="shared" si="14"/>
        <v>0</v>
      </c>
      <c r="BK29" s="252">
        <f t="shared" si="15"/>
        <v>0</v>
      </c>
      <c r="BL29" s="252">
        <f t="shared" si="16"/>
        <v>0</v>
      </c>
      <c r="BM29" s="252">
        <f t="shared" si="17"/>
        <v>0</v>
      </c>
      <c r="BN29" s="252">
        <f t="shared" si="18"/>
        <v>0</v>
      </c>
      <c r="BO29" s="252">
        <f t="shared" si="19"/>
        <v>1</v>
      </c>
      <c r="BP29" s="2578"/>
      <c r="BQ29" s="2562"/>
      <c r="BR29" s="2562"/>
      <c r="BS29" s="2585"/>
      <c r="BT29" s="2585"/>
      <c r="BU29" s="2585"/>
    </row>
    <row r="30" spans="1:73" s="22" customFormat="1" ht="15.75" customHeight="1" outlineLevel="1">
      <c r="A30" s="2585"/>
      <c r="B30" s="44" t="s">
        <v>4510</v>
      </c>
      <c r="C30" s="45" t="s">
        <v>50</v>
      </c>
      <c r="D30" s="46" t="s">
        <v>4505</v>
      </c>
      <c r="E30" s="46" t="s">
        <v>4429</v>
      </c>
      <c r="F30" s="45" t="s">
        <v>4459</v>
      </c>
      <c r="G30" s="46" t="s">
        <v>4431</v>
      </c>
      <c r="H30" s="45" t="s">
        <v>4459</v>
      </c>
      <c r="I30" s="45" t="s">
        <v>4433</v>
      </c>
      <c r="J30" s="47" t="s">
        <v>4511</v>
      </c>
      <c r="K30" s="48">
        <v>100</v>
      </c>
      <c r="L30" s="47">
        <v>48305</v>
      </c>
      <c r="M30" s="1913">
        <v>9.0027777777777782</v>
      </c>
      <c r="N30" s="48">
        <v>25</v>
      </c>
      <c r="O30" s="49">
        <v>25</v>
      </c>
      <c r="P30" s="49">
        <v>25</v>
      </c>
      <c r="Q30" s="1884">
        <f t="shared" si="20"/>
        <v>225.06944444444446</v>
      </c>
      <c r="R30" s="1885">
        <f t="shared" si="0"/>
        <v>-6.8087418300653568E-2</v>
      </c>
      <c r="S30" s="1885">
        <f t="shared" si="1"/>
        <v>-3.9035065942591096E-2</v>
      </c>
      <c r="T30" s="1914"/>
      <c r="U30" s="1914"/>
      <c r="V30" s="1914"/>
      <c r="W30" s="50">
        <v>5.7799999999999997E-2</v>
      </c>
      <c r="X30" s="1891">
        <f t="shared" si="2"/>
        <v>1.4449999999999998</v>
      </c>
      <c r="Y30" s="1891">
        <f t="shared" si="5"/>
        <v>1.4449999999999998</v>
      </c>
      <c r="Z30" s="50">
        <v>0</v>
      </c>
      <c r="AA30" s="50">
        <v>0</v>
      </c>
      <c r="AB30" s="48">
        <v>0</v>
      </c>
      <c r="AC30" s="48">
        <v>3.9682279221087708</v>
      </c>
      <c r="AD30" s="48">
        <v>3.9682279221087708</v>
      </c>
      <c r="AE30" s="45" t="s">
        <v>4507</v>
      </c>
      <c r="AF30" s="51" t="s">
        <v>4508</v>
      </c>
      <c r="AG30" s="42"/>
      <c r="AH30" s="52" t="s">
        <v>4512</v>
      </c>
      <c r="AI30" s="197"/>
      <c r="AJ30" s="2578"/>
      <c r="AK30" s="251"/>
      <c r="AL30" s="2578"/>
      <c r="AM30" s="2562"/>
      <c r="AN30" s="2562"/>
      <c r="AO30" s="2562"/>
      <c r="AP30" s="2562"/>
      <c r="AQ30" s="2562"/>
      <c r="AR30" s="2562"/>
      <c r="AS30" s="2562"/>
      <c r="AT30" s="252">
        <f t="shared" si="6"/>
        <v>1</v>
      </c>
      <c r="AU30" s="252">
        <f t="shared" si="7"/>
        <v>0</v>
      </c>
      <c r="AV30" s="252">
        <f t="shared" si="8"/>
        <v>0</v>
      </c>
      <c r="AW30" s="252">
        <f t="shared" si="9"/>
        <v>0</v>
      </c>
      <c r="AX30" s="252">
        <f t="shared" si="10"/>
        <v>0</v>
      </c>
      <c r="AY30" s="252">
        <f t="shared" si="11"/>
        <v>0</v>
      </c>
      <c r="AZ30" s="252">
        <f t="shared" si="12"/>
        <v>0</v>
      </c>
      <c r="BA30" s="237"/>
      <c r="BB30" s="237"/>
      <c r="BC30" s="237"/>
      <c r="BD30" s="237"/>
      <c r="BE30" s="237"/>
      <c r="BF30" s="237"/>
      <c r="BG30" s="252">
        <f t="shared" si="13"/>
        <v>0</v>
      </c>
      <c r="BH30" s="237"/>
      <c r="BI30" s="237"/>
      <c r="BJ30" s="252">
        <f t="shared" si="14"/>
        <v>0</v>
      </c>
      <c r="BK30" s="252">
        <f t="shared" si="15"/>
        <v>0</v>
      </c>
      <c r="BL30" s="252">
        <f t="shared" si="16"/>
        <v>0</v>
      </c>
      <c r="BM30" s="252">
        <f t="shared" si="17"/>
        <v>0</v>
      </c>
      <c r="BN30" s="252">
        <f t="shared" si="18"/>
        <v>0</v>
      </c>
      <c r="BO30" s="252">
        <f t="shared" si="19"/>
        <v>1</v>
      </c>
      <c r="BP30" s="2578"/>
      <c r="BQ30" s="2562"/>
      <c r="BR30" s="2562"/>
      <c r="BS30" s="2585"/>
      <c r="BT30" s="2585"/>
      <c r="BU30" s="2585"/>
    </row>
    <row r="31" spans="1:73" s="22" customFormat="1" ht="15.75" customHeight="1" outlineLevel="1">
      <c r="A31" s="2585"/>
      <c r="B31" s="44" t="s">
        <v>4513</v>
      </c>
      <c r="C31" s="45" t="s">
        <v>50</v>
      </c>
      <c r="D31" s="46" t="s">
        <v>4514</v>
      </c>
      <c r="E31" s="46" t="s">
        <v>4429</v>
      </c>
      <c r="F31" s="45" t="s">
        <v>4459</v>
      </c>
      <c r="G31" s="46" t="s">
        <v>4515</v>
      </c>
      <c r="H31" s="45" t="s">
        <v>4459</v>
      </c>
      <c r="I31" s="45" t="s">
        <v>4433</v>
      </c>
      <c r="J31" s="47" t="s">
        <v>4516</v>
      </c>
      <c r="K31" s="48">
        <v>100</v>
      </c>
      <c r="L31" s="47">
        <v>48265</v>
      </c>
      <c r="M31" s="1913">
        <v>8.8916666666666675</v>
      </c>
      <c r="N31" s="48">
        <v>0</v>
      </c>
      <c r="O31" s="49">
        <v>0</v>
      </c>
      <c r="P31" s="49">
        <v>-73.444999999999993</v>
      </c>
      <c r="Q31" s="1884">
        <f t="shared" si="20"/>
        <v>0</v>
      </c>
      <c r="R31" s="1885">
        <f t="shared" si="0"/>
        <v>0.11302765114379065</v>
      </c>
      <c r="S31" s="1885">
        <f t="shared" si="1"/>
        <v>0.14772626144297885</v>
      </c>
      <c r="T31" s="1914"/>
      <c r="U31" s="1914"/>
      <c r="V31" s="1914"/>
      <c r="W31" s="50">
        <v>0.26338099999999998</v>
      </c>
      <c r="X31" s="1891">
        <f t="shared" si="2"/>
        <v>-19.344017544999996</v>
      </c>
      <c r="Y31" s="1891">
        <f t="shared" si="5"/>
        <v>-19.344017544999996</v>
      </c>
      <c r="Z31" s="50">
        <v>0</v>
      </c>
      <c r="AA31" s="50">
        <v>0</v>
      </c>
      <c r="AB31" s="48">
        <v>0</v>
      </c>
      <c r="AC31" s="48">
        <v>0</v>
      </c>
      <c r="AD31" s="48">
        <v>0</v>
      </c>
      <c r="AE31" s="45" t="s">
        <v>4517</v>
      </c>
      <c r="AF31" s="51" t="s">
        <v>4518</v>
      </c>
      <c r="AG31" s="42"/>
      <c r="AH31" s="52" t="s">
        <v>4519</v>
      </c>
      <c r="AI31" s="197"/>
      <c r="AJ31" s="2578"/>
      <c r="AK31" s="251"/>
      <c r="AL31" s="2578"/>
      <c r="AM31" s="2562"/>
      <c r="AN31" s="2562"/>
      <c r="AO31" s="2562"/>
      <c r="AP31" s="2562"/>
      <c r="AQ31" s="2562"/>
      <c r="AR31" s="2562"/>
      <c r="AS31" s="2562"/>
      <c r="AT31" s="252">
        <f t="shared" si="6"/>
        <v>1</v>
      </c>
      <c r="AU31" s="252">
        <f t="shared" si="7"/>
        <v>0</v>
      </c>
      <c r="AV31" s="252">
        <f t="shared" si="8"/>
        <v>0</v>
      </c>
      <c r="AW31" s="252">
        <f t="shared" si="9"/>
        <v>0</v>
      </c>
      <c r="AX31" s="252">
        <f t="shared" si="10"/>
        <v>0</v>
      </c>
      <c r="AY31" s="252">
        <f t="shared" si="11"/>
        <v>0</v>
      </c>
      <c r="AZ31" s="252">
        <f t="shared" si="12"/>
        <v>0</v>
      </c>
      <c r="BA31" s="237"/>
      <c r="BB31" s="237"/>
      <c r="BC31" s="237"/>
      <c r="BD31" s="237"/>
      <c r="BE31" s="237"/>
      <c r="BF31" s="237"/>
      <c r="BG31" s="252">
        <f t="shared" si="13"/>
        <v>0</v>
      </c>
      <c r="BH31" s="237"/>
      <c r="BI31" s="237"/>
      <c r="BJ31" s="252">
        <f t="shared" si="14"/>
        <v>0</v>
      </c>
      <c r="BK31" s="252">
        <f t="shared" si="15"/>
        <v>0</v>
      </c>
      <c r="BL31" s="252">
        <f t="shared" si="16"/>
        <v>0</v>
      </c>
      <c r="BM31" s="252">
        <f t="shared" si="17"/>
        <v>0</v>
      </c>
      <c r="BN31" s="252">
        <f t="shared" si="18"/>
        <v>0</v>
      </c>
      <c r="BO31" s="252">
        <f t="shared" si="19"/>
        <v>1</v>
      </c>
      <c r="BP31" s="2578"/>
      <c r="BQ31" s="2562"/>
      <c r="BR31" s="2562"/>
      <c r="BS31" s="2585"/>
      <c r="BT31" s="2585"/>
      <c r="BU31" s="2585"/>
    </row>
    <row r="32" spans="1:73" s="22" customFormat="1" ht="15.75" customHeight="1" outlineLevel="1">
      <c r="A32" s="2585"/>
      <c r="B32" s="44" t="s">
        <v>4520</v>
      </c>
      <c r="C32" s="45" t="s">
        <v>50</v>
      </c>
      <c r="D32" s="46" t="s">
        <v>4514</v>
      </c>
      <c r="E32" s="46" t="s">
        <v>4429</v>
      </c>
      <c r="F32" s="45" t="s">
        <v>4459</v>
      </c>
      <c r="G32" s="46" t="s">
        <v>4515</v>
      </c>
      <c r="H32" s="45" t="s">
        <v>4459</v>
      </c>
      <c r="I32" s="45" t="s">
        <v>4433</v>
      </c>
      <c r="J32" s="47" t="s">
        <v>4521</v>
      </c>
      <c r="K32" s="48">
        <v>100</v>
      </c>
      <c r="L32" s="47">
        <v>46804</v>
      </c>
      <c r="M32" s="1913">
        <v>4.8916666666666666</v>
      </c>
      <c r="N32" s="48">
        <v>0</v>
      </c>
      <c r="O32" s="49">
        <v>0</v>
      </c>
      <c r="P32" s="49">
        <v>-38.929000000000002</v>
      </c>
      <c r="Q32" s="1884">
        <f t="shared" si="20"/>
        <v>0</v>
      </c>
      <c r="R32" s="1885">
        <f t="shared" si="0"/>
        <v>-0.1042485866013072</v>
      </c>
      <c r="S32" s="1885">
        <f t="shared" si="1"/>
        <v>-7.6323557796741714E-2</v>
      </c>
      <c r="T32" s="1914"/>
      <c r="U32" s="1914"/>
      <c r="V32" s="1914"/>
      <c r="W32" s="50">
        <v>1.6754000000000002E-2</v>
      </c>
      <c r="X32" s="1891">
        <f t="shared" si="2"/>
        <v>-0.65221646600000005</v>
      </c>
      <c r="Y32" s="1891">
        <f t="shared" si="5"/>
        <v>-0.65221646600000005</v>
      </c>
      <c r="Z32" s="50">
        <v>0</v>
      </c>
      <c r="AA32" s="50">
        <v>0</v>
      </c>
      <c r="AB32" s="48">
        <v>0</v>
      </c>
      <c r="AC32" s="48">
        <v>0</v>
      </c>
      <c r="AD32" s="48">
        <v>0</v>
      </c>
      <c r="AE32" s="45" t="s">
        <v>4517</v>
      </c>
      <c r="AF32" s="51" t="s">
        <v>4518</v>
      </c>
      <c r="AG32" s="42"/>
      <c r="AH32" s="52" t="s">
        <v>4522</v>
      </c>
      <c r="AI32" s="197"/>
      <c r="AJ32" s="2578"/>
      <c r="AK32" s="251"/>
      <c r="AL32" s="2578"/>
      <c r="AM32" s="2562"/>
      <c r="AN32" s="2562"/>
      <c r="AO32" s="2562"/>
      <c r="AP32" s="2562"/>
      <c r="AQ32" s="2562"/>
      <c r="AR32" s="2562"/>
      <c r="AS32" s="2562"/>
      <c r="AT32" s="252">
        <f t="shared" si="6"/>
        <v>1</v>
      </c>
      <c r="AU32" s="252">
        <f t="shared" si="7"/>
        <v>0</v>
      </c>
      <c r="AV32" s="252">
        <f t="shared" si="8"/>
        <v>0</v>
      </c>
      <c r="AW32" s="252">
        <f t="shared" si="9"/>
        <v>0</v>
      </c>
      <c r="AX32" s="252">
        <f t="shared" si="10"/>
        <v>0</v>
      </c>
      <c r="AY32" s="252">
        <f t="shared" si="11"/>
        <v>0</v>
      </c>
      <c r="AZ32" s="252">
        <f t="shared" si="12"/>
        <v>0</v>
      </c>
      <c r="BA32" s="237"/>
      <c r="BB32" s="237"/>
      <c r="BC32" s="237"/>
      <c r="BD32" s="237"/>
      <c r="BE32" s="237"/>
      <c r="BF32" s="237"/>
      <c r="BG32" s="252">
        <f t="shared" si="13"/>
        <v>0</v>
      </c>
      <c r="BH32" s="237"/>
      <c r="BI32" s="237"/>
      <c r="BJ32" s="252">
        <f t="shared" si="14"/>
        <v>0</v>
      </c>
      <c r="BK32" s="252">
        <f t="shared" si="15"/>
        <v>0</v>
      </c>
      <c r="BL32" s="252">
        <f t="shared" si="16"/>
        <v>0</v>
      </c>
      <c r="BM32" s="252">
        <f t="shared" si="17"/>
        <v>0</v>
      </c>
      <c r="BN32" s="252">
        <f t="shared" si="18"/>
        <v>0</v>
      </c>
      <c r="BO32" s="252">
        <f t="shared" si="19"/>
        <v>1</v>
      </c>
      <c r="BP32" s="2578"/>
      <c r="BQ32" s="2562"/>
      <c r="BR32" s="2562"/>
      <c r="BS32" s="2585"/>
      <c r="BT32" s="2585"/>
      <c r="BU32" s="2585"/>
    </row>
    <row r="33" spans="1:73" s="22" customFormat="1" ht="15.75" customHeight="1" outlineLevel="1">
      <c r="A33" s="2585"/>
      <c r="B33" s="44" t="s">
        <v>4523</v>
      </c>
      <c r="C33" s="45" t="s">
        <v>50</v>
      </c>
      <c r="D33" s="46" t="s">
        <v>4514</v>
      </c>
      <c r="E33" s="46" t="s">
        <v>4429</v>
      </c>
      <c r="F33" s="45" t="s">
        <v>4459</v>
      </c>
      <c r="G33" s="46" t="s">
        <v>4515</v>
      </c>
      <c r="H33" s="45" t="s">
        <v>4459</v>
      </c>
      <c r="I33" s="45" t="s">
        <v>4433</v>
      </c>
      <c r="J33" s="47" t="s">
        <v>4524</v>
      </c>
      <c r="K33" s="48">
        <v>100</v>
      </c>
      <c r="L33" s="47">
        <v>46620</v>
      </c>
      <c r="M33" s="1913">
        <v>4.3916666666666666</v>
      </c>
      <c r="N33" s="48">
        <v>0</v>
      </c>
      <c r="O33" s="49">
        <v>0</v>
      </c>
      <c r="P33" s="49">
        <v>-225.51900000000001</v>
      </c>
      <c r="Q33" s="1884">
        <f t="shared" si="20"/>
        <v>0</v>
      </c>
      <c r="R33" s="1885">
        <f t="shared" si="0"/>
        <v>-7.8424089052287482E-2</v>
      </c>
      <c r="S33" s="1885">
        <f t="shared" si="1"/>
        <v>-4.9693982156710614E-2</v>
      </c>
      <c r="T33" s="1914"/>
      <c r="U33" s="1914"/>
      <c r="V33" s="1914"/>
      <c r="W33" s="50">
        <v>4.6066999999999997E-2</v>
      </c>
      <c r="X33" s="1891">
        <f t="shared" si="2"/>
        <v>-10.388983773</v>
      </c>
      <c r="Y33" s="1891">
        <f t="shared" si="5"/>
        <v>-10.388983773</v>
      </c>
      <c r="Z33" s="50">
        <v>0</v>
      </c>
      <c r="AA33" s="50">
        <v>0</v>
      </c>
      <c r="AB33" s="48">
        <v>0</v>
      </c>
      <c r="AC33" s="48">
        <v>0</v>
      </c>
      <c r="AD33" s="48">
        <v>0</v>
      </c>
      <c r="AE33" s="45" t="s">
        <v>4517</v>
      </c>
      <c r="AF33" s="51" t="s">
        <v>4518</v>
      </c>
      <c r="AG33" s="42"/>
      <c r="AH33" s="52" t="s">
        <v>4525</v>
      </c>
      <c r="AI33" s="197"/>
      <c r="AJ33" s="2578"/>
      <c r="AK33" s="251"/>
      <c r="AL33" s="2578"/>
      <c r="AM33" s="2562"/>
      <c r="AN33" s="2562"/>
      <c r="AO33" s="2562"/>
      <c r="AP33" s="2562"/>
      <c r="AQ33" s="2562"/>
      <c r="AR33" s="2562"/>
      <c r="AS33" s="2562"/>
      <c r="AT33" s="252">
        <f t="shared" si="6"/>
        <v>1</v>
      </c>
      <c r="AU33" s="252">
        <f t="shared" si="7"/>
        <v>0</v>
      </c>
      <c r="AV33" s="252">
        <f t="shared" si="8"/>
        <v>0</v>
      </c>
      <c r="AW33" s="252">
        <f t="shared" si="9"/>
        <v>0</v>
      </c>
      <c r="AX33" s="252">
        <f t="shared" si="10"/>
        <v>0</v>
      </c>
      <c r="AY33" s="252">
        <f t="shared" si="11"/>
        <v>0</v>
      </c>
      <c r="AZ33" s="252">
        <f t="shared" si="12"/>
        <v>0</v>
      </c>
      <c r="BA33" s="237"/>
      <c r="BB33" s="237"/>
      <c r="BC33" s="237"/>
      <c r="BD33" s="237"/>
      <c r="BE33" s="237"/>
      <c r="BF33" s="237"/>
      <c r="BG33" s="252">
        <f t="shared" si="13"/>
        <v>0</v>
      </c>
      <c r="BH33" s="237"/>
      <c r="BI33" s="237"/>
      <c r="BJ33" s="252">
        <f t="shared" si="14"/>
        <v>0</v>
      </c>
      <c r="BK33" s="252">
        <f t="shared" si="15"/>
        <v>0</v>
      </c>
      <c r="BL33" s="252">
        <f t="shared" si="16"/>
        <v>0</v>
      </c>
      <c r="BM33" s="252">
        <f t="shared" si="17"/>
        <v>0</v>
      </c>
      <c r="BN33" s="252">
        <f t="shared" si="18"/>
        <v>0</v>
      </c>
      <c r="BO33" s="252">
        <f t="shared" si="19"/>
        <v>1</v>
      </c>
      <c r="BP33" s="2578"/>
      <c r="BQ33" s="2562"/>
      <c r="BR33" s="2562"/>
      <c r="BS33" s="2585"/>
      <c r="BT33" s="2585"/>
      <c r="BU33" s="2585"/>
    </row>
    <row r="34" spans="1:73" s="22" customFormat="1" ht="15.75" customHeight="1" outlineLevel="1">
      <c r="A34" s="2585"/>
      <c r="B34" s="44" t="s">
        <v>4526</v>
      </c>
      <c r="C34" s="45" t="s">
        <v>50</v>
      </c>
      <c r="D34" s="46" t="s">
        <v>4514</v>
      </c>
      <c r="E34" s="46" t="s">
        <v>4429</v>
      </c>
      <c r="F34" s="45" t="s">
        <v>4459</v>
      </c>
      <c r="G34" s="46" t="s">
        <v>4515</v>
      </c>
      <c r="H34" s="45" t="s">
        <v>4459</v>
      </c>
      <c r="I34" s="45" t="s">
        <v>4433</v>
      </c>
      <c r="J34" s="47" t="s">
        <v>4527</v>
      </c>
      <c r="K34" s="48">
        <v>100</v>
      </c>
      <c r="L34" s="47">
        <v>46622</v>
      </c>
      <c r="M34" s="1913">
        <v>4.3972222222222221</v>
      </c>
      <c r="N34" s="48">
        <v>0</v>
      </c>
      <c r="O34" s="49">
        <v>0</v>
      </c>
      <c r="P34" s="49">
        <v>-225.51900000000001</v>
      </c>
      <c r="Q34" s="1884">
        <f t="shared" si="20"/>
        <v>0</v>
      </c>
      <c r="R34" s="1885">
        <f t="shared" si="0"/>
        <v>-0.12682046432461869</v>
      </c>
      <c r="S34" s="1885">
        <f t="shared" si="1"/>
        <v>-9.9599113266097716E-2</v>
      </c>
      <c r="T34" s="1914"/>
      <c r="U34" s="1914"/>
      <c r="V34" s="1914"/>
      <c r="W34" s="50">
        <v>-8.8669999999999999E-3</v>
      </c>
      <c r="X34" s="1891">
        <f t="shared" si="2"/>
        <v>1.9996769729999999</v>
      </c>
      <c r="Y34" s="1891">
        <f t="shared" si="5"/>
        <v>1.9996769729999999</v>
      </c>
      <c r="Z34" s="50">
        <v>0</v>
      </c>
      <c r="AA34" s="50">
        <v>0</v>
      </c>
      <c r="AB34" s="48">
        <v>0</v>
      </c>
      <c r="AC34" s="48">
        <v>0</v>
      </c>
      <c r="AD34" s="48">
        <v>0</v>
      </c>
      <c r="AE34" s="45" t="s">
        <v>4517</v>
      </c>
      <c r="AF34" s="51" t="s">
        <v>4518</v>
      </c>
      <c r="AG34" s="42"/>
      <c r="AH34" s="52" t="s">
        <v>4528</v>
      </c>
      <c r="AI34" s="197"/>
      <c r="AJ34" s="2578"/>
      <c r="AK34" s="251"/>
      <c r="AL34" s="2578"/>
      <c r="AM34" s="2562"/>
      <c r="AN34" s="2562"/>
      <c r="AO34" s="2562"/>
      <c r="AP34" s="2562"/>
      <c r="AQ34" s="2562"/>
      <c r="AR34" s="2562"/>
      <c r="AS34" s="2562"/>
      <c r="AT34" s="252">
        <f t="shared" si="6"/>
        <v>1</v>
      </c>
      <c r="AU34" s="252">
        <f t="shared" si="7"/>
        <v>0</v>
      </c>
      <c r="AV34" s="252">
        <f t="shared" si="8"/>
        <v>0</v>
      </c>
      <c r="AW34" s="252">
        <f t="shared" si="9"/>
        <v>0</v>
      </c>
      <c r="AX34" s="252">
        <f t="shared" si="10"/>
        <v>0</v>
      </c>
      <c r="AY34" s="252">
        <f t="shared" si="11"/>
        <v>0</v>
      </c>
      <c r="AZ34" s="252">
        <f t="shared" si="12"/>
        <v>0</v>
      </c>
      <c r="BA34" s="237"/>
      <c r="BB34" s="237"/>
      <c r="BC34" s="237"/>
      <c r="BD34" s="237"/>
      <c r="BE34" s="237"/>
      <c r="BF34" s="237"/>
      <c r="BG34" s="252">
        <f t="shared" si="13"/>
        <v>0</v>
      </c>
      <c r="BH34" s="237"/>
      <c r="BI34" s="237"/>
      <c r="BJ34" s="252">
        <f t="shared" si="14"/>
        <v>0</v>
      </c>
      <c r="BK34" s="252">
        <f t="shared" si="15"/>
        <v>0</v>
      </c>
      <c r="BL34" s="252">
        <f t="shared" si="16"/>
        <v>0</v>
      </c>
      <c r="BM34" s="252">
        <f t="shared" si="17"/>
        <v>0</v>
      </c>
      <c r="BN34" s="252">
        <f t="shared" si="18"/>
        <v>0</v>
      </c>
      <c r="BO34" s="252">
        <f t="shared" si="19"/>
        <v>1</v>
      </c>
      <c r="BP34" s="2578"/>
      <c r="BQ34" s="2562"/>
      <c r="BR34" s="2562"/>
      <c r="BS34" s="2585"/>
      <c r="BT34" s="2585"/>
      <c r="BU34" s="2585"/>
    </row>
    <row r="35" spans="1:73" s="22" customFormat="1" ht="15.75" customHeight="1" outlineLevel="1">
      <c r="A35" s="2585"/>
      <c r="B35" s="44" t="s">
        <v>4529</v>
      </c>
      <c r="C35" s="45" t="s">
        <v>50</v>
      </c>
      <c r="D35" s="46" t="s">
        <v>4514</v>
      </c>
      <c r="E35" s="46" t="s">
        <v>4429</v>
      </c>
      <c r="F35" s="45" t="s">
        <v>4459</v>
      </c>
      <c r="G35" s="46" t="s">
        <v>4515</v>
      </c>
      <c r="H35" s="45" t="s">
        <v>4459</v>
      </c>
      <c r="I35" s="45" t="s">
        <v>4433</v>
      </c>
      <c r="J35" s="47" t="s">
        <v>4530</v>
      </c>
      <c r="K35" s="48">
        <v>100</v>
      </c>
      <c r="L35" s="47">
        <v>47535</v>
      </c>
      <c r="M35" s="1913">
        <v>6.8916666666666666</v>
      </c>
      <c r="N35" s="48">
        <v>0</v>
      </c>
      <c r="O35" s="49">
        <v>0</v>
      </c>
      <c r="P35" s="49">
        <v>-374.1</v>
      </c>
      <c r="Q35" s="1884">
        <f t="shared" si="20"/>
        <v>0</v>
      </c>
      <c r="R35" s="1885">
        <f t="shared" si="0"/>
        <v>-5.9841339869281196E-2</v>
      </c>
      <c r="S35" s="1885">
        <f t="shared" si="1"/>
        <v>-3.0531916214119548E-2</v>
      </c>
      <c r="T35" s="1914"/>
      <c r="U35" s="1914"/>
      <c r="V35" s="1914"/>
      <c r="W35" s="50">
        <v>6.7159999999999997E-2</v>
      </c>
      <c r="X35" s="1891">
        <f t="shared" si="2"/>
        <v>-25.124556000000002</v>
      </c>
      <c r="Y35" s="1891">
        <f t="shared" si="5"/>
        <v>-25.124556000000002</v>
      </c>
      <c r="Z35" s="50">
        <v>0</v>
      </c>
      <c r="AA35" s="50">
        <v>0</v>
      </c>
      <c r="AB35" s="48">
        <v>0</v>
      </c>
      <c r="AC35" s="48">
        <v>0</v>
      </c>
      <c r="AD35" s="48">
        <v>0</v>
      </c>
      <c r="AE35" s="45" t="s">
        <v>4517</v>
      </c>
      <c r="AF35" s="51" t="s">
        <v>4531</v>
      </c>
      <c r="AG35" s="42"/>
      <c r="AH35" s="52" t="s">
        <v>4532</v>
      </c>
      <c r="AI35" s="197"/>
      <c r="AJ35" s="2578"/>
      <c r="AK35" s="251"/>
      <c r="AL35" s="2578"/>
      <c r="AM35" s="2562"/>
      <c r="AN35" s="2562"/>
      <c r="AO35" s="2562"/>
      <c r="AP35" s="2562"/>
      <c r="AQ35" s="2562"/>
      <c r="AR35" s="2562"/>
      <c r="AS35" s="2562"/>
      <c r="AT35" s="252">
        <f t="shared" si="6"/>
        <v>1</v>
      </c>
      <c r="AU35" s="252">
        <f t="shared" si="7"/>
        <v>0</v>
      </c>
      <c r="AV35" s="252">
        <f t="shared" si="8"/>
        <v>0</v>
      </c>
      <c r="AW35" s="252">
        <f t="shared" si="9"/>
        <v>0</v>
      </c>
      <c r="AX35" s="252">
        <f t="shared" si="10"/>
        <v>0</v>
      </c>
      <c r="AY35" s="252">
        <f t="shared" si="11"/>
        <v>0</v>
      </c>
      <c r="AZ35" s="252">
        <f t="shared" si="12"/>
        <v>0</v>
      </c>
      <c r="BA35" s="237"/>
      <c r="BB35" s="237"/>
      <c r="BC35" s="237"/>
      <c r="BD35" s="237"/>
      <c r="BE35" s="237"/>
      <c r="BF35" s="237"/>
      <c r="BG35" s="252">
        <f t="shared" si="13"/>
        <v>0</v>
      </c>
      <c r="BH35" s="237"/>
      <c r="BI35" s="237"/>
      <c r="BJ35" s="252">
        <f t="shared" si="14"/>
        <v>0</v>
      </c>
      <c r="BK35" s="252">
        <f t="shared" si="15"/>
        <v>0</v>
      </c>
      <c r="BL35" s="252">
        <f t="shared" si="16"/>
        <v>0</v>
      </c>
      <c r="BM35" s="252">
        <f t="shared" si="17"/>
        <v>0</v>
      </c>
      <c r="BN35" s="252">
        <f t="shared" si="18"/>
        <v>0</v>
      </c>
      <c r="BO35" s="252">
        <f t="shared" si="19"/>
        <v>1</v>
      </c>
      <c r="BP35" s="2578"/>
      <c r="BQ35" s="2562"/>
      <c r="BR35" s="2562"/>
      <c r="BS35" s="2585"/>
      <c r="BT35" s="2585"/>
      <c r="BU35" s="2585"/>
    </row>
    <row r="36" spans="1:73" s="22" customFormat="1" ht="15.75" customHeight="1" outlineLevel="1">
      <c r="A36" s="2585"/>
      <c r="B36" s="44" t="s">
        <v>4533</v>
      </c>
      <c r="C36" s="45" t="s">
        <v>50</v>
      </c>
      <c r="D36" s="46" t="s">
        <v>4514</v>
      </c>
      <c r="E36" s="46" t="s">
        <v>4429</v>
      </c>
      <c r="F36" s="45" t="s">
        <v>4459</v>
      </c>
      <c r="G36" s="46" t="s">
        <v>4515</v>
      </c>
      <c r="H36" s="45" t="s">
        <v>4459</v>
      </c>
      <c r="I36" s="45" t="s">
        <v>4433</v>
      </c>
      <c r="J36" s="47" t="s">
        <v>4534</v>
      </c>
      <c r="K36" s="48">
        <v>100</v>
      </c>
      <c r="L36" s="47">
        <v>46255</v>
      </c>
      <c r="M36" s="1913">
        <v>3.3916666666666666</v>
      </c>
      <c r="N36" s="48">
        <v>0</v>
      </c>
      <c r="O36" s="49">
        <v>0</v>
      </c>
      <c r="P36" s="49">
        <v>-99.808999999999997</v>
      </c>
      <c r="Q36" s="1884">
        <f t="shared" si="20"/>
        <v>0</v>
      </c>
      <c r="R36" s="1885">
        <f t="shared" si="0"/>
        <v>-0.10670038534858395</v>
      </c>
      <c r="S36" s="1885">
        <f t="shared" si="1"/>
        <v>-7.8851791311093877E-2</v>
      </c>
      <c r="T36" s="1914"/>
      <c r="U36" s="1914"/>
      <c r="V36" s="1914"/>
      <c r="W36" s="50">
        <v>1.3971000000000001E-2</v>
      </c>
      <c r="X36" s="1891">
        <f t="shared" si="2"/>
        <v>-1.3944315389999999</v>
      </c>
      <c r="Y36" s="1891">
        <f t="shared" si="5"/>
        <v>-1.3944315389999999</v>
      </c>
      <c r="Z36" s="50">
        <v>0</v>
      </c>
      <c r="AA36" s="50">
        <v>0</v>
      </c>
      <c r="AB36" s="48">
        <v>0</v>
      </c>
      <c r="AC36" s="48">
        <v>0</v>
      </c>
      <c r="AD36" s="48">
        <v>0</v>
      </c>
      <c r="AE36" s="45" t="s">
        <v>4517</v>
      </c>
      <c r="AF36" s="51" t="s">
        <v>4518</v>
      </c>
      <c r="AG36" s="42"/>
      <c r="AH36" s="52" t="s">
        <v>4535</v>
      </c>
      <c r="AI36" s="197"/>
      <c r="AJ36" s="2578"/>
      <c r="AK36" s="251"/>
      <c r="AL36" s="2578"/>
      <c r="AM36" s="2562"/>
      <c r="AN36" s="2562"/>
      <c r="AO36" s="2562"/>
      <c r="AP36" s="2562"/>
      <c r="AQ36" s="2562"/>
      <c r="AR36" s="2562"/>
      <c r="AS36" s="2562"/>
      <c r="AT36" s="252">
        <f t="shared" si="6"/>
        <v>1</v>
      </c>
      <c r="AU36" s="252">
        <f t="shared" si="7"/>
        <v>0</v>
      </c>
      <c r="AV36" s="252">
        <f t="shared" si="8"/>
        <v>0</v>
      </c>
      <c r="AW36" s="252">
        <f t="shared" si="9"/>
        <v>0</v>
      </c>
      <c r="AX36" s="252">
        <f t="shared" si="10"/>
        <v>0</v>
      </c>
      <c r="AY36" s="252">
        <f t="shared" si="11"/>
        <v>0</v>
      </c>
      <c r="AZ36" s="252">
        <f t="shared" si="12"/>
        <v>0</v>
      </c>
      <c r="BA36" s="237"/>
      <c r="BB36" s="237"/>
      <c r="BC36" s="237"/>
      <c r="BD36" s="237"/>
      <c r="BE36" s="237"/>
      <c r="BF36" s="237"/>
      <c r="BG36" s="252">
        <f t="shared" si="13"/>
        <v>0</v>
      </c>
      <c r="BH36" s="237"/>
      <c r="BI36" s="237"/>
      <c r="BJ36" s="252">
        <f t="shared" si="14"/>
        <v>0</v>
      </c>
      <c r="BK36" s="252">
        <f t="shared" si="15"/>
        <v>0</v>
      </c>
      <c r="BL36" s="252">
        <f t="shared" si="16"/>
        <v>0</v>
      </c>
      <c r="BM36" s="252">
        <f t="shared" si="17"/>
        <v>0</v>
      </c>
      <c r="BN36" s="252">
        <f t="shared" si="18"/>
        <v>0</v>
      </c>
      <c r="BO36" s="252">
        <f t="shared" si="19"/>
        <v>1</v>
      </c>
      <c r="BP36" s="2578"/>
      <c r="BQ36" s="2562"/>
      <c r="BR36" s="2562"/>
      <c r="BS36" s="2585"/>
      <c r="BT36" s="2585"/>
      <c r="BU36" s="2585"/>
    </row>
    <row r="37" spans="1:73" s="22" customFormat="1" ht="15.75" customHeight="1" outlineLevel="1">
      <c r="A37" s="2585"/>
      <c r="B37" s="44" t="s">
        <v>4536</v>
      </c>
      <c r="C37" s="45" t="s">
        <v>50</v>
      </c>
      <c r="D37" s="46" t="s">
        <v>4514</v>
      </c>
      <c r="E37" s="46" t="s">
        <v>4429</v>
      </c>
      <c r="F37" s="45" t="s">
        <v>4459</v>
      </c>
      <c r="G37" s="46" t="s">
        <v>4515</v>
      </c>
      <c r="H37" s="45" t="s">
        <v>4459</v>
      </c>
      <c r="I37" s="45" t="s">
        <v>4433</v>
      </c>
      <c r="J37" s="47" t="s">
        <v>4534</v>
      </c>
      <c r="K37" s="48">
        <v>100</v>
      </c>
      <c r="L37" s="47">
        <v>47170</v>
      </c>
      <c r="M37" s="1913">
        <v>5.8916666666666666</v>
      </c>
      <c r="N37" s="48">
        <v>0</v>
      </c>
      <c r="O37" s="49">
        <v>0</v>
      </c>
      <c r="P37" s="49">
        <v>-19.268000000000001</v>
      </c>
      <c r="Q37" s="1884">
        <f t="shared" si="20"/>
        <v>0</v>
      </c>
      <c r="R37" s="1885">
        <f t="shared" si="0"/>
        <v>-8.7997821350762617E-2</v>
      </c>
      <c r="S37" s="1885">
        <f t="shared" si="1"/>
        <v>-5.9566175329713089E-2</v>
      </c>
      <c r="T37" s="1914"/>
      <c r="U37" s="1914"/>
      <c r="V37" s="1914"/>
      <c r="W37" s="50">
        <v>3.5200000000000002E-2</v>
      </c>
      <c r="X37" s="1891">
        <f t="shared" si="2"/>
        <v>-0.6782336000000001</v>
      </c>
      <c r="Y37" s="1891">
        <f t="shared" si="5"/>
        <v>-0.6782336000000001</v>
      </c>
      <c r="Z37" s="50">
        <v>0</v>
      </c>
      <c r="AA37" s="50">
        <v>0</v>
      </c>
      <c r="AB37" s="48">
        <v>0</v>
      </c>
      <c r="AC37" s="48">
        <v>0</v>
      </c>
      <c r="AD37" s="48">
        <v>0</v>
      </c>
      <c r="AE37" s="45" t="s">
        <v>4517</v>
      </c>
      <c r="AF37" s="51" t="s">
        <v>4518</v>
      </c>
      <c r="AG37" s="42"/>
      <c r="AH37" s="52" t="s">
        <v>4537</v>
      </c>
      <c r="AI37" s="197"/>
      <c r="AJ37" s="2578"/>
      <c r="AK37" s="251"/>
      <c r="AL37" s="2578"/>
      <c r="AM37" s="2562"/>
      <c r="AN37" s="2562"/>
      <c r="AO37" s="2562"/>
      <c r="AP37" s="2562"/>
      <c r="AQ37" s="2562"/>
      <c r="AR37" s="2562"/>
      <c r="AS37" s="2562"/>
      <c r="AT37" s="252">
        <f t="shared" si="6"/>
        <v>1</v>
      </c>
      <c r="AU37" s="252">
        <f t="shared" si="7"/>
        <v>0</v>
      </c>
      <c r="AV37" s="252">
        <f t="shared" si="8"/>
        <v>0</v>
      </c>
      <c r="AW37" s="252">
        <f t="shared" si="9"/>
        <v>0</v>
      </c>
      <c r="AX37" s="252">
        <f t="shared" si="10"/>
        <v>0</v>
      </c>
      <c r="AY37" s="252">
        <f t="shared" si="11"/>
        <v>0</v>
      </c>
      <c r="AZ37" s="252">
        <f t="shared" si="12"/>
        <v>0</v>
      </c>
      <c r="BA37" s="237"/>
      <c r="BB37" s="237"/>
      <c r="BC37" s="237"/>
      <c r="BD37" s="237"/>
      <c r="BE37" s="237"/>
      <c r="BF37" s="237"/>
      <c r="BG37" s="252">
        <f t="shared" si="13"/>
        <v>0</v>
      </c>
      <c r="BH37" s="237"/>
      <c r="BI37" s="237"/>
      <c r="BJ37" s="252">
        <f t="shared" si="14"/>
        <v>0</v>
      </c>
      <c r="BK37" s="252">
        <f t="shared" si="15"/>
        <v>0</v>
      </c>
      <c r="BL37" s="252">
        <f t="shared" si="16"/>
        <v>0</v>
      </c>
      <c r="BM37" s="252">
        <f t="shared" si="17"/>
        <v>0</v>
      </c>
      <c r="BN37" s="252">
        <f t="shared" si="18"/>
        <v>0</v>
      </c>
      <c r="BO37" s="252">
        <f t="shared" si="19"/>
        <v>1</v>
      </c>
      <c r="BP37" s="2578"/>
      <c r="BQ37" s="2562"/>
      <c r="BR37" s="2562"/>
      <c r="BS37" s="2585"/>
      <c r="BT37" s="2585"/>
      <c r="BU37" s="2585"/>
    </row>
    <row r="38" spans="1:73" s="22" customFormat="1" ht="15.75" customHeight="1" outlineLevel="1">
      <c r="A38" s="2585"/>
      <c r="B38" s="44" t="s">
        <v>4538</v>
      </c>
      <c r="C38" s="45" t="s">
        <v>4438</v>
      </c>
      <c r="D38" s="46" t="s">
        <v>4428</v>
      </c>
      <c r="E38" s="46" t="s">
        <v>4429</v>
      </c>
      <c r="F38" s="45" t="s">
        <v>4539</v>
      </c>
      <c r="G38" s="46" t="s">
        <v>4431</v>
      </c>
      <c r="H38" s="45" t="s">
        <v>4440</v>
      </c>
      <c r="I38" s="45" t="s">
        <v>4433</v>
      </c>
      <c r="J38" s="47" t="s">
        <v>4540</v>
      </c>
      <c r="K38" s="48" t="s">
        <v>4541</v>
      </c>
      <c r="L38" s="47">
        <v>47331</v>
      </c>
      <c r="M38" s="1913">
        <v>6.3361111111111112</v>
      </c>
      <c r="N38" s="48">
        <v>250</v>
      </c>
      <c r="O38" s="49">
        <v>250</v>
      </c>
      <c r="P38" s="49">
        <v>250</v>
      </c>
      <c r="Q38" s="1884">
        <f t="shared" si="20"/>
        <v>1584.0277777777778</v>
      </c>
      <c r="R38" s="1885">
        <f t="shared" si="0"/>
        <v>-8.7072780501089464E-2</v>
      </c>
      <c r="S38" s="1885">
        <f t="shared" si="1"/>
        <v>-5.8612296353762749E-2</v>
      </c>
      <c r="T38" s="1914"/>
      <c r="U38" s="1914"/>
      <c r="V38" s="1914"/>
      <c r="W38" s="50">
        <v>3.6249999999999998E-2</v>
      </c>
      <c r="X38" s="1891">
        <f t="shared" si="2"/>
        <v>9.0625</v>
      </c>
      <c r="Y38" s="1891">
        <f t="shared" si="5"/>
        <v>9.0625</v>
      </c>
      <c r="Z38" s="50">
        <v>0</v>
      </c>
      <c r="AA38" s="50">
        <v>0</v>
      </c>
      <c r="AB38" s="48">
        <v>-1.7292463521963275</v>
      </c>
      <c r="AC38" s="48">
        <v>221.02579898264264</v>
      </c>
      <c r="AD38" s="48">
        <v>221.02579898264264</v>
      </c>
      <c r="AE38" s="45" t="s">
        <v>4435</v>
      </c>
      <c r="AF38" s="51" t="s">
        <v>4542</v>
      </c>
      <c r="AG38" s="42"/>
      <c r="AH38" s="52" t="s">
        <v>4543</v>
      </c>
      <c r="AI38" s="197"/>
      <c r="AJ38" s="2578"/>
      <c r="AK38" s="251"/>
      <c r="AL38" s="2578"/>
      <c r="AM38" s="2562"/>
      <c r="AN38" s="2562"/>
      <c r="AO38" s="2562"/>
      <c r="AP38" s="2562"/>
      <c r="AQ38" s="2562"/>
      <c r="AR38" s="2562"/>
      <c r="AS38" s="2562"/>
      <c r="AT38" s="252">
        <f t="shared" si="6"/>
        <v>1</v>
      </c>
      <c r="AU38" s="252">
        <f t="shared" si="7"/>
        <v>1</v>
      </c>
      <c r="AV38" s="252">
        <f t="shared" si="8"/>
        <v>0</v>
      </c>
      <c r="AW38" s="252">
        <f t="shared" si="9"/>
        <v>0</v>
      </c>
      <c r="AX38" s="252">
        <f t="shared" si="10"/>
        <v>0</v>
      </c>
      <c r="AY38" s="252">
        <f t="shared" si="11"/>
        <v>0</v>
      </c>
      <c r="AZ38" s="252">
        <f t="shared" si="12"/>
        <v>0</v>
      </c>
      <c r="BA38" s="237"/>
      <c r="BB38" s="237"/>
      <c r="BC38" s="237"/>
      <c r="BD38" s="237"/>
      <c r="BE38" s="237"/>
      <c r="BF38" s="237"/>
      <c r="BG38" s="252">
        <f t="shared" si="13"/>
        <v>0</v>
      </c>
      <c r="BH38" s="237"/>
      <c r="BI38" s="237"/>
      <c r="BJ38" s="252">
        <f t="shared" si="14"/>
        <v>0</v>
      </c>
      <c r="BK38" s="252">
        <f t="shared" si="15"/>
        <v>0</v>
      </c>
      <c r="BL38" s="252">
        <f t="shared" si="16"/>
        <v>0</v>
      </c>
      <c r="BM38" s="252">
        <f t="shared" si="17"/>
        <v>0</v>
      </c>
      <c r="BN38" s="252">
        <f t="shared" si="18"/>
        <v>0</v>
      </c>
      <c r="BO38" s="252">
        <f t="shared" si="19"/>
        <v>1</v>
      </c>
      <c r="BP38" s="2578"/>
      <c r="BQ38" s="2562"/>
      <c r="BR38" s="2562"/>
      <c r="BS38" s="2585"/>
      <c r="BT38" s="2585"/>
      <c r="BU38" s="2585"/>
    </row>
    <row r="39" spans="1:73" s="22" customFormat="1" ht="15.75" customHeight="1" outlineLevel="1">
      <c r="A39" s="2585"/>
      <c r="B39" s="44" t="s">
        <v>4544</v>
      </c>
      <c r="C39" s="45" t="s">
        <v>4438</v>
      </c>
      <c r="D39" s="46" t="s">
        <v>4457</v>
      </c>
      <c r="E39" s="46" t="s">
        <v>4429</v>
      </c>
      <c r="F39" s="45" t="s">
        <v>4545</v>
      </c>
      <c r="G39" s="46" t="s">
        <v>4431</v>
      </c>
      <c r="H39" s="45" t="s">
        <v>4459</v>
      </c>
      <c r="I39" s="45" t="s">
        <v>4433</v>
      </c>
      <c r="J39" s="47" t="s">
        <v>4546</v>
      </c>
      <c r="K39" s="48">
        <v>100</v>
      </c>
      <c r="L39" s="47">
        <v>47421</v>
      </c>
      <c r="M39" s="1913">
        <v>6.583333333333333</v>
      </c>
      <c r="N39" s="48">
        <v>90</v>
      </c>
      <c r="O39" s="49">
        <v>90</v>
      </c>
      <c r="P39" s="49">
        <v>90</v>
      </c>
      <c r="Q39" s="1884">
        <f t="shared" si="20"/>
        <v>592.5</v>
      </c>
      <c r="R39" s="1885">
        <f t="shared" si="0"/>
        <v>-8.78216230936818E-2</v>
      </c>
      <c r="S39" s="1885">
        <f t="shared" si="1"/>
        <v>-5.9384484096198564E-2</v>
      </c>
      <c r="T39" s="1914"/>
      <c r="U39" s="1914"/>
      <c r="V39" s="1914"/>
      <c r="W39" s="50">
        <v>3.5400000000000001E-2</v>
      </c>
      <c r="X39" s="1891">
        <f t="shared" si="2"/>
        <v>3.1859999999999999</v>
      </c>
      <c r="Y39" s="1891">
        <f t="shared" si="5"/>
        <v>3.1859999999999999</v>
      </c>
      <c r="Z39" s="50">
        <v>0</v>
      </c>
      <c r="AA39" s="50">
        <v>0</v>
      </c>
      <c r="AB39" s="48">
        <v>-0.22192311039788282</v>
      </c>
      <c r="AC39" s="48">
        <v>83.869976277689418</v>
      </c>
      <c r="AD39" s="48">
        <v>83.869976277689418</v>
      </c>
      <c r="AE39" s="45" t="s">
        <v>4435</v>
      </c>
      <c r="AF39" s="51" t="s">
        <v>4547</v>
      </c>
      <c r="AG39" s="42"/>
      <c r="AH39" s="52" t="s">
        <v>4548</v>
      </c>
      <c r="AI39" s="197"/>
      <c r="AJ39" s="2578"/>
      <c r="AK39" s="251"/>
      <c r="AL39" s="2578"/>
      <c r="AM39" s="2562"/>
      <c r="AN39" s="2562"/>
      <c r="AO39" s="2562"/>
      <c r="AP39" s="2562"/>
      <c r="AQ39" s="2562"/>
      <c r="AR39" s="2562"/>
      <c r="AS39" s="2562"/>
      <c r="AT39" s="252">
        <f t="shared" si="6"/>
        <v>1</v>
      </c>
      <c r="AU39" s="252">
        <f t="shared" si="7"/>
        <v>0</v>
      </c>
      <c r="AV39" s="252">
        <f t="shared" si="8"/>
        <v>0</v>
      </c>
      <c r="AW39" s="252">
        <f t="shared" si="9"/>
        <v>0</v>
      </c>
      <c r="AX39" s="252">
        <f t="shared" si="10"/>
        <v>0</v>
      </c>
      <c r="AY39" s="252">
        <f t="shared" si="11"/>
        <v>0</v>
      </c>
      <c r="AZ39" s="252">
        <f t="shared" si="12"/>
        <v>0</v>
      </c>
      <c r="BA39" s="237"/>
      <c r="BB39" s="237"/>
      <c r="BC39" s="237"/>
      <c r="BD39" s="237"/>
      <c r="BE39" s="237"/>
      <c r="BF39" s="237"/>
      <c r="BG39" s="252">
        <f t="shared" si="13"/>
        <v>0</v>
      </c>
      <c r="BH39" s="237"/>
      <c r="BI39" s="237"/>
      <c r="BJ39" s="252">
        <f t="shared" si="14"/>
        <v>0</v>
      </c>
      <c r="BK39" s="252">
        <f t="shared" si="15"/>
        <v>0</v>
      </c>
      <c r="BL39" s="252">
        <f t="shared" si="16"/>
        <v>0</v>
      </c>
      <c r="BM39" s="252">
        <f t="shared" si="17"/>
        <v>0</v>
      </c>
      <c r="BN39" s="252">
        <f t="shared" si="18"/>
        <v>0</v>
      </c>
      <c r="BO39" s="252">
        <f t="shared" si="19"/>
        <v>1</v>
      </c>
      <c r="BP39" s="2578"/>
      <c r="BQ39" s="2562"/>
      <c r="BR39" s="2562"/>
      <c r="BS39" s="2585"/>
      <c r="BT39" s="2585"/>
      <c r="BU39" s="2585"/>
    </row>
    <row r="40" spans="1:73" s="22" customFormat="1" ht="15.75" customHeight="1" outlineLevel="1">
      <c r="A40" s="2585"/>
      <c r="B40" s="44" t="s">
        <v>4549</v>
      </c>
      <c r="C40" s="45" t="s">
        <v>4438</v>
      </c>
      <c r="D40" s="46" t="s">
        <v>4428</v>
      </c>
      <c r="E40" s="46" t="s">
        <v>4429</v>
      </c>
      <c r="F40" s="45" t="s">
        <v>4550</v>
      </c>
      <c r="G40" s="46" t="s">
        <v>4551</v>
      </c>
      <c r="H40" s="45" t="s">
        <v>4552</v>
      </c>
      <c r="I40" s="45" t="s">
        <v>4433</v>
      </c>
      <c r="J40" s="47" t="s">
        <v>4553</v>
      </c>
      <c r="K40" s="48">
        <v>100</v>
      </c>
      <c r="L40" s="47">
        <v>48743</v>
      </c>
      <c r="M40" s="1913">
        <v>10.202777777777778</v>
      </c>
      <c r="N40" s="48">
        <v>90</v>
      </c>
      <c r="O40" s="49">
        <v>90</v>
      </c>
      <c r="P40" s="49">
        <v>90</v>
      </c>
      <c r="Q40" s="1884">
        <f t="shared" si="20"/>
        <v>918.25</v>
      </c>
      <c r="R40" s="1885">
        <f t="shared" si="0"/>
        <v>-7.5267497276688466E-2</v>
      </c>
      <c r="S40" s="1885">
        <f t="shared" si="1"/>
        <v>-4.6438983708301018E-2</v>
      </c>
      <c r="T40" s="1914"/>
      <c r="U40" s="1914"/>
      <c r="V40" s="1914"/>
      <c r="W40" s="50">
        <v>4.965E-2</v>
      </c>
      <c r="X40" s="1891">
        <f t="shared" si="2"/>
        <v>4.4684999999999997</v>
      </c>
      <c r="Y40" s="1891">
        <f t="shared" si="5"/>
        <v>4.4684999999999997</v>
      </c>
      <c r="Z40" s="50">
        <v>0</v>
      </c>
      <c r="AA40" s="50">
        <v>0</v>
      </c>
      <c r="AB40" s="48">
        <v>-0.47307638912052691</v>
      </c>
      <c r="AC40" s="48">
        <v>83.344910434044067</v>
      </c>
      <c r="AD40" s="48">
        <v>83.344910434044067</v>
      </c>
      <c r="AE40" s="45" t="s">
        <v>4435</v>
      </c>
      <c r="AF40" s="51" t="s">
        <v>4542</v>
      </c>
      <c r="AG40" s="42"/>
      <c r="AH40" s="52" t="s">
        <v>4554</v>
      </c>
      <c r="AI40" s="197"/>
      <c r="AJ40" s="2578"/>
      <c r="AK40" s="251"/>
      <c r="AL40" s="2578"/>
      <c r="AM40" s="2562"/>
      <c r="AN40" s="2562"/>
      <c r="AO40" s="2562"/>
      <c r="AP40" s="2562"/>
      <c r="AQ40" s="2562"/>
      <c r="AR40" s="2562"/>
      <c r="AS40" s="2562"/>
      <c r="AT40" s="252">
        <f t="shared" si="6"/>
        <v>1</v>
      </c>
      <c r="AU40" s="252">
        <f t="shared" si="7"/>
        <v>0</v>
      </c>
      <c r="AV40" s="252">
        <f t="shared" si="8"/>
        <v>0</v>
      </c>
      <c r="AW40" s="252">
        <f t="shared" si="9"/>
        <v>0</v>
      </c>
      <c r="AX40" s="252">
        <f t="shared" si="10"/>
        <v>0</v>
      </c>
      <c r="AY40" s="252">
        <f t="shared" si="11"/>
        <v>0</v>
      </c>
      <c r="AZ40" s="252">
        <f t="shared" si="12"/>
        <v>0</v>
      </c>
      <c r="BA40" s="237"/>
      <c r="BB40" s="237"/>
      <c r="BC40" s="237"/>
      <c r="BD40" s="237"/>
      <c r="BE40" s="237"/>
      <c r="BF40" s="237"/>
      <c r="BG40" s="252">
        <f t="shared" si="13"/>
        <v>0</v>
      </c>
      <c r="BH40" s="237"/>
      <c r="BI40" s="237"/>
      <c r="BJ40" s="252">
        <f t="shared" si="14"/>
        <v>0</v>
      </c>
      <c r="BK40" s="252">
        <f t="shared" si="15"/>
        <v>0</v>
      </c>
      <c r="BL40" s="252">
        <f t="shared" si="16"/>
        <v>0</v>
      </c>
      <c r="BM40" s="252">
        <f t="shared" si="17"/>
        <v>0</v>
      </c>
      <c r="BN40" s="252">
        <f t="shared" si="18"/>
        <v>0</v>
      </c>
      <c r="BO40" s="252">
        <f t="shared" si="19"/>
        <v>1</v>
      </c>
      <c r="BP40" s="2578"/>
      <c r="BQ40" s="2562"/>
      <c r="BR40" s="2562"/>
      <c r="BS40" s="2585"/>
      <c r="BT40" s="2585"/>
      <c r="BU40" s="2585"/>
    </row>
    <row r="41" spans="1:73" s="22" customFormat="1" ht="15.75" customHeight="1" outlineLevel="1">
      <c r="A41" s="2585"/>
      <c r="B41" s="44" t="s">
        <v>4555</v>
      </c>
      <c r="C41" s="45" t="s">
        <v>50</v>
      </c>
      <c r="D41" s="46" t="s">
        <v>4514</v>
      </c>
      <c r="E41" s="46" t="s">
        <v>4429</v>
      </c>
      <c r="F41" s="45" t="s">
        <v>4459</v>
      </c>
      <c r="G41" s="46" t="s">
        <v>4431</v>
      </c>
      <c r="H41" s="45" t="s">
        <v>4459</v>
      </c>
      <c r="I41" s="45" t="s">
        <v>4433</v>
      </c>
      <c r="J41" s="47" t="s">
        <v>4540</v>
      </c>
      <c r="K41" s="48">
        <v>100</v>
      </c>
      <c r="L41" s="47">
        <v>47331</v>
      </c>
      <c r="M41" s="1913">
        <v>6.3361111111111112</v>
      </c>
      <c r="N41" s="48">
        <v>-250</v>
      </c>
      <c r="O41" s="49">
        <v>-250</v>
      </c>
      <c r="P41" s="49">
        <v>-250</v>
      </c>
      <c r="Q41" s="1884">
        <f t="shared" si="20"/>
        <v>-1584.0277777777778</v>
      </c>
      <c r="R41" s="1885">
        <f t="shared" si="0"/>
        <v>-8.7072780501089464E-2</v>
      </c>
      <c r="S41" s="1885">
        <f t="shared" si="1"/>
        <v>-5.8612296353762749E-2</v>
      </c>
      <c r="T41" s="1914"/>
      <c r="U41" s="1914"/>
      <c r="V41" s="1914"/>
      <c r="W41" s="50">
        <v>3.6249999999999998E-2</v>
      </c>
      <c r="X41" s="1891">
        <f t="shared" si="2"/>
        <v>-9.0625</v>
      </c>
      <c r="Y41" s="1891">
        <f t="shared" si="5"/>
        <v>-9.0625</v>
      </c>
      <c r="Z41" s="50">
        <v>0</v>
      </c>
      <c r="AA41" s="50">
        <v>0</v>
      </c>
      <c r="AB41" s="48">
        <v>0</v>
      </c>
      <c r="AC41" s="48">
        <v>0</v>
      </c>
      <c r="AD41" s="48">
        <v>0</v>
      </c>
      <c r="AE41" s="45" t="s">
        <v>4507</v>
      </c>
      <c r="AF41" s="51" t="s">
        <v>4556</v>
      </c>
      <c r="AG41" s="42"/>
      <c r="AH41" s="52" t="s">
        <v>4557</v>
      </c>
      <c r="AI41" s="197"/>
      <c r="AJ41" s="2578"/>
      <c r="AK41" s="251"/>
      <c r="AL41" s="2578"/>
      <c r="AM41" s="2562"/>
      <c r="AN41" s="2562"/>
      <c r="AO41" s="2562"/>
      <c r="AP41" s="2562"/>
      <c r="AQ41" s="2562"/>
      <c r="AR41" s="2562"/>
      <c r="AS41" s="2562"/>
      <c r="AT41" s="252">
        <f t="shared" si="6"/>
        <v>1</v>
      </c>
      <c r="AU41" s="252">
        <f t="shared" si="7"/>
        <v>0</v>
      </c>
      <c r="AV41" s="252">
        <f t="shared" si="8"/>
        <v>0</v>
      </c>
      <c r="AW41" s="252">
        <f t="shared" si="9"/>
        <v>0</v>
      </c>
      <c r="AX41" s="252">
        <f t="shared" si="10"/>
        <v>0</v>
      </c>
      <c r="AY41" s="252">
        <f t="shared" si="11"/>
        <v>0</v>
      </c>
      <c r="AZ41" s="252">
        <f t="shared" si="12"/>
        <v>0</v>
      </c>
      <c r="BA41" s="237"/>
      <c r="BB41" s="237"/>
      <c r="BC41" s="237"/>
      <c r="BD41" s="237"/>
      <c r="BE41" s="237"/>
      <c r="BF41" s="237"/>
      <c r="BG41" s="252">
        <f t="shared" si="13"/>
        <v>0</v>
      </c>
      <c r="BH41" s="237"/>
      <c r="BI41" s="237"/>
      <c r="BJ41" s="252">
        <f t="shared" si="14"/>
        <v>0</v>
      </c>
      <c r="BK41" s="252">
        <f t="shared" si="15"/>
        <v>0</v>
      </c>
      <c r="BL41" s="252">
        <f t="shared" si="16"/>
        <v>0</v>
      </c>
      <c r="BM41" s="252">
        <f t="shared" si="17"/>
        <v>0</v>
      </c>
      <c r="BN41" s="252">
        <f t="shared" si="18"/>
        <v>0</v>
      </c>
      <c r="BO41" s="252">
        <f t="shared" si="19"/>
        <v>1</v>
      </c>
      <c r="BP41" s="2578"/>
      <c r="BQ41" s="2562"/>
      <c r="BR41" s="2562"/>
      <c r="BS41" s="2585"/>
      <c r="BT41" s="2585"/>
      <c r="BU41" s="2585"/>
    </row>
    <row r="42" spans="1:73" s="22" customFormat="1" ht="15.75" customHeight="1" outlineLevel="1">
      <c r="A42" s="2585"/>
      <c r="B42" s="44" t="s">
        <v>4558</v>
      </c>
      <c r="C42" s="45" t="s">
        <v>50</v>
      </c>
      <c r="D42" s="46" t="s">
        <v>4514</v>
      </c>
      <c r="E42" s="46" t="s">
        <v>4429</v>
      </c>
      <c r="F42" s="45" t="s">
        <v>4459</v>
      </c>
      <c r="G42" s="46" t="s">
        <v>4431</v>
      </c>
      <c r="H42" s="45" t="s">
        <v>4459</v>
      </c>
      <c r="I42" s="45" t="s">
        <v>4433</v>
      </c>
      <c r="J42" s="47" t="s">
        <v>4546</v>
      </c>
      <c r="K42" s="48">
        <v>100</v>
      </c>
      <c r="L42" s="47">
        <v>47421</v>
      </c>
      <c r="M42" s="1913">
        <v>6.583333333333333</v>
      </c>
      <c r="N42" s="48">
        <v>-90</v>
      </c>
      <c r="O42" s="49">
        <v>-90</v>
      </c>
      <c r="P42" s="49">
        <v>-90</v>
      </c>
      <c r="Q42" s="1884">
        <f t="shared" si="20"/>
        <v>-592.5</v>
      </c>
      <c r="R42" s="1885">
        <f t="shared" si="0"/>
        <v>-8.78216230936818E-2</v>
      </c>
      <c r="S42" s="1885">
        <f t="shared" si="1"/>
        <v>-5.9384484096198564E-2</v>
      </c>
      <c r="T42" s="1914"/>
      <c r="U42" s="1914"/>
      <c r="V42" s="1914"/>
      <c r="W42" s="50">
        <v>3.5400000000000001E-2</v>
      </c>
      <c r="X42" s="1891">
        <f t="shared" si="2"/>
        <v>-3.1859999999999999</v>
      </c>
      <c r="Y42" s="1891">
        <f t="shared" si="5"/>
        <v>-3.1859999999999999</v>
      </c>
      <c r="Z42" s="50">
        <v>0</v>
      </c>
      <c r="AA42" s="50">
        <v>0</v>
      </c>
      <c r="AB42" s="48">
        <v>0</v>
      </c>
      <c r="AC42" s="48">
        <v>0</v>
      </c>
      <c r="AD42" s="48">
        <v>0</v>
      </c>
      <c r="AE42" s="45" t="s">
        <v>4507</v>
      </c>
      <c r="AF42" s="51" t="s">
        <v>4556</v>
      </c>
      <c r="AG42" s="42"/>
      <c r="AH42" s="52" t="s">
        <v>4559</v>
      </c>
      <c r="AI42" s="197"/>
      <c r="AJ42" s="2578"/>
      <c r="AK42" s="251"/>
      <c r="AL42" s="2578"/>
      <c r="AM42" s="2562"/>
      <c r="AN42" s="2562"/>
      <c r="AO42" s="2562"/>
      <c r="AP42" s="2562"/>
      <c r="AQ42" s="2562"/>
      <c r="AR42" s="2562"/>
      <c r="AS42" s="2562"/>
      <c r="AT42" s="252">
        <f t="shared" si="6"/>
        <v>1</v>
      </c>
      <c r="AU42" s="252">
        <f t="shared" si="7"/>
        <v>0</v>
      </c>
      <c r="AV42" s="252">
        <f t="shared" si="8"/>
        <v>0</v>
      </c>
      <c r="AW42" s="252">
        <f t="shared" si="9"/>
        <v>0</v>
      </c>
      <c r="AX42" s="252">
        <f t="shared" si="10"/>
        <v>0</v>
      </c>
      <c r="AY42" s="252">
        <f t="shared" si="11"/>
        <v>0</v>
      </c>
      <c r="AZ42" s="252">
        <f t="shared" si="12"/>
        <v>0</v>
      </c>
      <c r="BA42" s="237"/>
      <c r="BB42" s="237"/>
      <c r="BC42" s="237"/>
      <c r="BD42" s="237"/>
      <c r="BE42" s="237"/>
      <c r="BF42" s="237"/>
      <c r="BG42" s="252">
        <f t="shared" si="13"/>
        <v>0</v>
      </c>
      <c r="BH42" s="237"/>
      <c r="BI42" s="237"/>
      <c r="BJ42" s="252">
        <f t="shared" si="14"/>
        <v>0</v>
      </c>
      <c r="BK42" s="252">
        <f t="shared" si="15"/>
        <v>0</v>
      </c>
      <c r="BL42" s="252">
        <f t="shared" si="16"/>
        <v>0</v>
      </c>
      <c r="BM42" s="252">
        <f t="shared" si="17"/>
        <v>0</v>
      </c>
      <c r="BN42" s="252">
        <f t="shared" si="18"/>
        <v>0</v>
      </c>
      <c r="BO42" s="252">
        <f t="shared" si="19"/>
        <v>1</v>
      </c>
      <c r="BP42" s="2578"/>
      <c r="BQ42" s="2562"/>
      <c r="BR42" s="2562"/>
      <c r="BS42" s="2585"/>
      <c r="BT42" s="2585"/>
      <c r="BU42" s="2585"/>
    </row>
    <row r="43" spans="1:73" s="22" customFormat="1" ht="15.75" customHeight="1" outlineLevel="1">
      <c r="A43" s="2585"/>
      <c r="B43" s="44" t="s">
        <v>4560</v>
      </c>
      <c r="C43" s="45" t="s">
        <v>50</v>
      </c>
      <c r="D43" s="46" t="s">
        <v>4514</v>
      </c>
      <c r="E43" s="46" t="s">
        <v>4429</v>
      </c>
      <c r="F43" s="45" t="s">
        <v>4459</v>
      </c>
      <c r="G43" s="46" t="s">
        <v>4431</v>
      </c>
      <c r="H43" s="45" t="s">
        <v>4459</v>
      </c>
      <c r="I43" s="45" t="s">
        <v>4433</v>
      </c>
      <c r="J43" s="47" t="s">
        <v>4553</v>
      </c>
      <c r="K43" s="48">
        <v>100</v>
      </c>
      <c r="L43" s="47">
        <v>48743</v>
      </c>
      <c r="M43" s="1913">
        <v>10.202777777777778</v>
      </c>
      <c r="N43" s="48">
        <v>-90</v>
      </c>
      <c r="O43" s="49">
        <v>-90</v>
      </c>
      <c r="P43" s="49">
        <v>-90</v>
      </c>
      <c r="Q43" s="1884">
        <f t="shared" si="20"/>
        <v>-918.25</v>
      </c>
      <c r="R43" s="1885">
        <f t="shared" si="0"/>
        <v>-7.5267497276688466E-2</v>
      </c>
      <c r="S43" s="1885">
        <f t="shared" si="1"/>
        <v>-4.6438983708301018E-2</v>
      </c>
      <c r="T43" s="1914"/>
      <c r="U43" s="1914"/>
      <c r="V43" s="1914"/>
      <c r="W43" s="50">
        <v>4.965E-2</v>
      </c>
      <c r="X43" s="1891">
        <f t="shared" si="2"/>
        <v>-4.4684999999999997</v>
      </c>
      <c r="Y43" s="1891">
        <f t="shared" si="5"/>
        <v>-4.4684999999999997</v>
      </c>
      <c r="Z43" s="50">
        <v>0</v>
      </c>
      <c r="AA43" s="50">
        <v>0</v>
      </c>
      <c r="AB43" s="48">
        <v>0</v>
      </c>
      <c r="AC43" s="48">
        <v>0</v>
      </c>
      <c r="AD43" s="48">
        <v>0</v>
      </c>
      <c r="AE43" s="45" t="s">
        <v>4507</v>
      </c>
      <c r="AF43" s="51" t="s">
        <v>4556</v>
      </c>
      <c r="AG43" s="42"/>
      <c r="AH43" s="52" t="s">
        <v>4561</v>
      </c>
      <c r="AI43" s="197"/>
      <c r="AJ43" s="2578"/>
      <c r="AK43" s="251"/>
      <c r="AL43" s="2578"/>
      <c r="AM43" s="2562"/>
      <c r="AN43" s="2562"/>
      <c r="AO43" s="2562"/>
      <c r="AP43" s="2562"/>
      <c r="AQ43" s="2562"/>
      <c r="AR43" s="2562"/>
      <c r="AS43" s="2562"/>
      <c r="AT43" s="252">
        <f t="shared" si="6"/>
        <v>1</v>
      </c>
      <c r="AU43" s="252">
        <f t="shared" si="7"/>
        <v>0</v>
      </c>
      <c r="AV43" s="252">
        <f t="shared" si="8"/>
        <v>0</v>
      </c>
      <c r="AW43" s="252">
        <f t="shared" si="9"/>
        <v>0</v>
      </c>
      <c r="AX43" s="252">
        <f t="shared" si="10"/>
        <v>0</v>
      </c>
      <c r="AY43" s="252">
        <f t="shared" si="11"/>
        <v>0</v>
      </c>
      <c r="AZ43" s="252">
        <f t="shared" si="12"/>
        <v>0</v>
      </c>
      <c r="BA43" s="237"/>
      <c r="BB43" s="237"/>
      <c r="BC43" s="237"/>
      <c r="BD43" s="237"/>
      <c r="BE43" s="237"/>
      <c r="BF43" s="237"/>
      <c r="BG43" s="252">
        <f t="shared" si="13"/>
        <v>0</v>
      </c>
      <c r="BH43" s="237"/>
      <c r="BI43" s="237"/>
      <c r="BJ43" s="252">
        <f t="shared" si="14"/>
        <v>0</v>
      </c>
      <c r="BK43" s="252">
        <f t="shared" si="15"/>
        <v>0</v>
      </c>
      <c r="BL43" s="252">
        <f t="shared" si="16"/>
        <v>0</v>
      </c>
      <c r="BM43" s="252">
        <f t="shared" si="17"/>
        <v>0</v>
      </c>
      <c r="BN43" s="252">
        <f t="shared" si="18"/>
        <v>0</v>
      </c>
      <c r="BO43" s="252">
        <f t="shared" si="19"/>
        <v>1</v>
      </c>
      <c r="BP43" s="2578"/>
      <c r="BQ43" s="2562"/>
      <c r="BR43" s="2562"/>
      <c r="BS43" s="2585"/>
      <c r="BT43" s="2585"/>
      <c r="BU43" s="2585"/>
    </row>
    <row r="44" spans="1:73" s="22" customFormat="1" ht="15.75" customHeight="1" outlineLevel="1">
      <c r="A44" s="2585"/>
      <c r="B44" s="44" t="s">
        <v>4562</v>
      </c>
      <c r="C44" s="45" t="s">
        <v>50</v>
      </c>
      <c r="D44" s="46" t="s">
        <v>2410</v>
      </c>
      <c r="E44" s="46" t="s">
        <v>4435</v>
      </c>
      <c r="F44" s="45" t="s">
        <v>4459</v>
      </c>
      <c r="G44" s="46" t="s">
        <v>2410</v>
      </c>
      <c r="H44" s="45" t="s">
        <v>4459</v>
      </c>
      <c r="I44" s="45" t="s">
        <v>4433</v>
      </c>
      <c r="J44" s="47" t="s">
        <v>4435</v>
      </c>
      <c r="K44" s="48">
        <v>0</v>
      </c>
      <c r="L44" s="47" t="s">
        <v>4435</v>
      </c>
      <c r="M44" s="1913">
        <v>43.887416366271403</v>
      </c>
      <c r="N44" s="48">
        <v>0</v>
      </c>
      <c r="O44" s="49">
        <v>14.685</v>
      </c>
      <c r="P44" s="49">
        <v>14.685</v>
      </c>
      <c r="Q44" s="1884">
        <f t="shared" si="20"/>
        <v>644.48670933869562</v>
      </c>
      <c r="R44" s="1885">
        <f t="shared" si="0"/>
        <v>-8.9543080065359382E-2</v>
      </c>
      <c r="S44" s="1885">
        <f t="shared" si="1"/>
        <v>-6.1159607447633713E-2</v>
      </c>
      <c r="T44" s="1914"/>
      <c r="U44" s="1914"/>
      <c r="V44" s="1914"/>
      <c r="W44" s="50">
        <v>3.3445999999999997E-2</v>
      </c>
      <c r="X44" s="1891">
        <f t="shared" si="2"/>
        <v>0.49115450999999999</v>
      </c>
      <c r="Y44" s="1891">
        <f t="shared" si="5"/>
        <v>0.49115450999999999</v>
      </c>
      <c r="Z44" s="50">
        <v>0</v>
      </c>
      <c r="AA44" s="50">
        <v>0</v>
      </c>
      <c r="AB44" s="48">
        <v>0</v>
      </c>
      <c r="AC44" s="48">
        <v>14.685</v>
      </c>
      <c r="AD44" s="48">
        <v>14.685</v>
      </c>
      <c r="AE44" s="45" t="s">
        <v>4435</v>
      </c>
      <c r="AF44" s="51" t="s">
        <v>4563</v>
      </c>
      <c r="AG44" s="42"/>
      <c r="AH44" s="52" t="s">
        <v>4564</v>
      </c>
      <c r="AI44" s="197"/>
      <c r="AJ44" s="2578"/>
      <c r="AK44" s="251"/>
      <c r="AL44" s="2578"/>
      <c r="AM44" s="2562"/>
      <c r="AN44" s="2562"/>
      <c r="AO44" s="2562"/>
      <c r="AP44" s="2562"/>
      <c r="AQ44" s="2562"/>
      <c r="AR44" s="2562"/>
      <c r="AS44" s="2562"/>
      <c r="AT44" s="252">
        <f t="shared" si="6"/>
        <v>1</v>
      </c>
      <c r="AU44" s="252">
        <f t="shared" si="7"/>
        <v>0</v>
      </c>
      <c r="AV44" s="252">
        <f t="shared" si="8"/>
        <v>1</v>
      </c>
      <c r="AW44" s="252">
        <f t="shared" si="9"/>
        <v>0</v>
      </c>
      <c r="AX44" s="252">
        <f t="shared" si="10"/>
        <v>0</v>
      </c>
      <c r="AY44" s="252">
        <f t="shared" si="11"/>
        <v>0</v>
      </c>
      <c r="AZ44" s="252">
        <f t="shared" si="12"/>
        <v>0</v>
      </c>
      <c r="BA44" s="237"/>
      <c r="BB44" s="237"/>
      <c r="BC44" s="237"/>
      <c r="BD44" s="237"/>
      <c r="BE44" s="237"/>
      <c r="BF44" s="237"/>
      <c r="BG44" s="252">
        <f t="shared" si="13"/>
        <v>0</v>
      </c>
      <c r="BH44" s="237"/>
      <c r="BI44" s="237"/>
      <c r="BJ44" s="252">
        <f t="shared" si="14"/>
        <v>0</v>
      </c>
      <c r="BK44" s="252">
        <f t="shared" si="15"/>
        <v>0</v>
      </c>
      <c r="BL44" s="252">
        <f t="shared" si="16"/>
        <v>0</v>
      </c>
      <c r="BM44" s="252">
        <f t="shared" si="17"/>
        <v>0</v>
      </c>
      <c r="BN44" s="252">
        <f t="shared" si="18"/>
        <v>0</v>
      </c>
      <c r="BO44" s="252">
        <f t="shared" si="19"/>
        <v>1</v>
      </c>
      <c r="BP44" s="2578"/>
      <c r="BQ44" s="2562"/>
      <c r="BR44" s="2562"/>
      <c r="BS44" s="2585"/>
      <c r="BT44" s="2585"/>
      <c r="BU44" s="2585"/>
    </row>
    <row r="45" spans="1:73" s="22" customFormat="1" ht="15.75" customHeight="1" outlineLevel="1">
      <c r="A45" s="2585"/>
      <c r="B45" s="44"/>
      <c r="C45" s="45"/>
      <c r="D45" s="46"/>
      <c r="E45" s="46"/>
      <c r="F45" s="45"/>
      <c r="G45" s="46"/>
      <c r="H45" s="45"/>
      <c r="I45" s="45"/>
      <c r="J45" s="47"/>
      <c r="K45" s="48"/>
      <c r="L45" s="47"/>
      <c r="M45" s="1913"/>
      <c r="N45" s="48"/>
      <c r="O45" s="49"/>
      <c r="P45" s="49"/>
      <c r="Q45" s="1884">
        <f t="shared" si="20"/>
        <v>0</v>
      </c>
      <c r="R45" s="1885">
        <f t="shared" si="0"/>
        <v>0</v>
      </c>
      <c r="S45" s="1885">
        <f t="shared" si="1"/>
        <v>0</v>
      </c>
      <c r="T45" s="1914"/>
      <c r="U45" s="1914"/>
      <c r="V45" s="1914"/>
      <c r="W45" s="50"/>
      <c r="X45" s="1891">
        <f t="shared" si="2"/>
        <v>0</v>
      </c>
      <c r="Y45" s="1891">
        <f t="shared" si="5"/>
        <v>0</v>
      </c>
      <c r="Z45" s="50"/>
      <c r="AA45" s="50"/>
      <c r="AB45" s="48"/>
      <c r="AC45" s="48"/>
      <c r="AD45" s="48"/>
      <c r="AE45" s="45"/>
      <c r="AF45" s="51"/>
      <c r="AG45" s="42"/>
      <c r="AH45" s="52" t="s">
        <v>4565</v>
      </c>
      <c r="AI45" s="197"/>
      <c r="AJ45" s="2578"/>
      <c r="AK45" s="251"/>
      <c r="AL45" s="2578"/>
      <c r="AM45" s="2562"/>
      <c r="AN45" s="2562"/>
      <c r="AO45" s="2562"/>
      <c r="AP45" s="2562"/>
      <c r="AQ45" s="2562"/>
      <c r="AR45" s="2562"/>
      <c r="AS45" s="2562"/>
      <c r="AT45" s="252">
        <f t="shared" si="6"/>
        <v>1</v>
      </c>
      <c r="AU45" s="252">
        <f t="shared" si="7"/>
        <v>1</v>
      </c>
      <c r="AV45" s="252">
        <f t="shared" si="8"/>
        <v>1</v>
      </c>
      <c r="AW45" s="252">
        <f t="shared" si="9"/>
        <v>1</v>
      </c>
      <c r="AX45" s="252">
        <f t="shared" si="10"/>
        <v>1</v>
      </c>
      <c r="AY45" s="252">
        <f t="shared" si="11"/>
        <v>1</v>
      </c>
      <c r="AZ45" s="252">
        <f t="shared" si="12"/>
        <v>1</v>
      </c>
      <c r="BA45" s="237"/>
      <c r="BB45" s="237"/>
      <c r="BC45" s="237"/>
      <c r="BD45" s="237"/>
      <c r="BE45" s="237"/>
      <c r="BF45" s="237"/>
      <c r="BG45" s="252">
        <f t="shared" si="13"/>
        <v>1</v>
      </c>
      <c r="BH45" s="237"/>
      <c r="BI45" s="237"/>
      <c r="BJ45" s="252">
        <f t="shared" si="14"/>
        <v>1</v>
      </c>
      <c r="BK45" s="252">
        <f t="shared" si="15"/>
        <v>1</v>
      </c>
      <c r="BL45" s="252">
        <f t="shared" si="16"/>
        <v>1</v>
      </c>
      <c r="BM45" s="252">
        <f t="shared" si="17"/>
        <v>1</v>
      </c>
      <c r="BN45" s="252">
        <f t="shared" si="18"/>
        <v>1</v>
      </c>
      <c r="BO45" s="252">
        <f t="shared" si="19"/>
        <v>1</v>
      </c>
      <c r="BP45" s="2578"/>
      <c r="BQ45" s="2562"/>
      <c r="BR45" s="2562"/>
      <c r="BS45" s="2585"/>
      <c r="BT45" s="2585"/>
      <c r="BU45" s="2585"/>
    </row>
    <row r="46" spans="1:73" s="22" customFormat="1" ht="15.75" customHeight="1">
      <c r="A46" s="2585"/>
      <c r="B46" s="44"/>
      <c r="C46" s="45"/>
      <c r="D46" s="46"/>
      <c r="E46" s="46"/>
      <c r="F46" s="45"/>
      <c r="G46" s="46"/>
      <c r="H46" s="45"/>
      <c r="I46" s="45"/>
      <c r="J46" s="47"/>
      <c r="K46" s="48"/>
      <c r="L46" s="47"/>
      <c r="M46" s="1913"/>
      <c r="N46" s="48"/>
      <c r="O46" s="49"/>
      <c r="P46" s="49"/>
      <c r="Q46" s="1884">
        <f t="shared" si="20"/>
        <v>0</v>
      </c>
      <c r="R46" s="1885">
        <f t="shared" si="0"/>
        <v>0</v>
      </c>
      <c r="S46" s="1885">
        <f t="shared" si="1"/>
        <v>0</v>
      </c>
      <c r="T46" s="1914"/>
      <c r="U46" s="1914"/>
      <c r="V46" s="1914"/>
      <c r="W46" s="50"/>
      <c r="X46" s="1891">
        <f t="shared" si="2"/>
        <v>0</v>
      </c>
      <c r="Y46" s="1891">
        <f t="shared" si="5"/>
        <v>0</v>
      </c>
      <c r="Z46" s="50"/>
      <c r="AA46" s="50"/>
      <c r="AB46" s="48"/>
      <c r="AC46" s="48"/>
      <c r="AD46" s="48"/>
      <c r="AE46" s="45"/>
      <c r="AF46" s="51"/>
      <c r="AG46" s="42"/>
      <c r="AH46" s="52" t="s">
        <v>4566</v>
      </c>
      <c r="AI46" s="197"/>
      <c r="AJ46" s="2578"/>
      <c r="AK46" s="251"/>
      <c r="AL46" s="2578"/>
      <c r="AM46" s="2562"/>
      <c r="AN46" s="2562"/>
      <c r="AO46" s="2562"/>
      <c r="AP46" s="2562"/>
      <c r="AQ46" s="2562"/>
      <c r="AR46" s="2562"/>
      <c r="AS46" s="2562"/>
      <c r="AT46" s="252">
        <f t="shared" si="6"/>
        <v>1</v>
      </c>
      <c r="AU46" s="252">
        <f t="shared" si="7"/>
        <v>1</v>
      </c>
      <c r="AV46" s="252">
        <f t="shared" si="8"/>
        <v>1</v>
      </c>
      <c r="AW46" s="252">
        <f t="shared" si="9"/>
        <v>1</v>
      </c>
      <c r="AX46" s="252">
        <f t="shared" si="10"/>
        <v>1</v>
      </c>
      <c r="AY46" s="252">
        <f t="shared" si="11"/>
        <v>1</v>
      </c>
      <c r="AZ46" s="252">
        <f t="shared" si="12"/>
        <v>1</v>
      </c>
      <c r="BA46" s="237"/>
      <c r="BB46" s="237"/>
      <c r="BC46" s="237"/>
      <c r="BD46" s="237"/>
      <c r="BE46" s="237"/>
      <c r="BF46" s="237"/>
      <c r="BG46" s="252">
        <f t="shared" si="13"/>
        <v>1</v>
      </c>
      <c r="BH46" s="237"/>
      <c r="BI46" s="237"/>
      <c r="BJ46" s="252">
        <f t="shared" si="14"/>
        <v>1</v>
      </c>
      <c r="BK46" s="252">
        <f t="shared" si="15"/>
        <v>1</v>
      </c>
      <c r="BL46" s="252">
        <f t="shared" si="16"/>
        <v>1</v>
      </c>
      <c r="BM46" s="252">
        <f t="shared" si="17"/>
        <v>1</v>
      </c>
      <c r="BN46" s="252">
        <f t="shared" si="18"/>
        <v>1</v>
      </c>
      <c r="BO46" s="252">
        <f t="shared" si="19"/>
        <v>1</v>
      </c>
      <c r="BP46" s="2578"/>
      <c r="BQ46" s="2562"/>
      <c r="BR46" s="2562"/>
      <c r="BS46" s="2585"/>
      <c r="BT46" s="2585"/>
      <c r="BU46" s="2585"/>
    </row>
    <row r="47" spans="1:73" s="22" customFormat="1" ht="15.75" hidden="1" customHeight="1" outlineLevel="1">
      <c r="A47" s="2585"/>
      <c r="B47" s="44"/>
      <c r="C47" s="45"/>
      <c r="D47" s="46"/>
      <c r="E47" s="46"/>
      <c r="F47" s="45"/>
      <c r="G47" s="46"/>
      <c r="H47" s="45"/>
      <c r="I47" s="45"/>
      <c r="J47" s="47"/>
      <c r="K47" s="48"/>
      <c r="L47" s="47"/>
      <c r="M47" s="1913"/>
      <c r="N47" s="48"/>
      <c r="O47" s="49"/>
      <c r="P47" s="49"/>
      <c r="Q47" s="1884">
        <f t="shared" si="20"/>
        <v>0</v>
      </c>
      <c r="R47" s="1885">
        <f t="shared" si="0"/>
        <v>0</v>
      </c>
      <c r="S47" s="1885">
        <f t="shared" si="1"/>
        <v>0</v>
      </c>
      <c r="T47" s="1914"/>
      <c r="U47" s="1914"/>
      <c r="V47" s="1914"/>
      <c r="W47" s="50"/>
      <c r="X47" s="1891">
        <f t="shared" si="2"/>
        <v>0</v>
      </c>
      <c r="Y47" s="1891">
        <f t="shared" si="5"/>
        <v>0</v>
      </c>
      <c r="Z47" s="50"/>
      <c r="AA47" s="50"/>
      <c r="AB47" s="48"/>
      <c r="AC47" s="48"/>
      <c r="AD47" s="48"/>
      <c r="AE47" s="45"/>
      <c r="AF47" s="51"/>
      <c r="AG47" s="42"/>
      <c r="AH47" s="52" t="s">
        <v>4567</v>
      </c>
      <c r="AI47" s="197"/>
      <c r="AJ47" s="2578"/>
      <c r="AK47" s="251"/>
      <c r="AL47" s="2578"/>
      <c r="AM47" s="2562"/>
      <c r="AN47" s="2562"/>
      <c r="AO47" s="2562"/>
      <c r="AP47" s="2562"/>
      <c r="AQ47" s="2562"/>
      <c r="AR47" s="2562"/>
      <c r="AS47" s="2562"/>
      <c r="AT47" s="252">
        <f t="shared" si="6"/>
        <v>1</v>
      </c>
      <c r="AU47" s="252">
        <f t="shared" si="7"/>
        <v>1</v>
      </c>
      <c r="AV47" s="252">
        <f t="shared" si="8"/>
        <v>1</v>
      </c>
      <c r="AW47" s="252">
        <f t="shared" si="9"/>
        <v>1</v>
      </c>
      <c r="AX47" s="252">
        <f t="shared" si="10"/>
        <v>1</v>
      </c>
      <c r="AY47" s="252">
        <f t="shared" si="11"/>
        <v>1</v>
      </c>
      <c r="AZ47" s="252">
        <f t="shared" si="12"/>
        <v>1</v>
      </c>
      <c r="BA47" s="237"/>
      <c r="BB47" s="237"/>
      <c r="BC47" s="237"/>
      <c r="BD47" s="237"/>
      <c r="BE47" s="237"/>
      <c r="BF47" s="237"/>
      <c r="BG47" s="252">
        <f t="shared" si="13"/>
        <v>1</v>
      </c>
      <c r="BH47" s="237"/>
      <c r="BI47" s="237"/>
      <c r="BJ47" s="252">
        <f t="shared" si="14"/>
        <v>1</v>
      </c>
      <c r="BK47" s="252">
        <f t="shared" si="15"/>
        <v>1</v>
      </c>
      <c r="BL47" s="252">
        <f t="shared" si="16"/>
        <v>1</v>
      </c>
      <c r="BM47" s="252">
        <f t="shared" si="17"/>
        <v>1</v>
      </c>
      <c r="BN47" s="252">
        <f t="shared" si="18"/>
        <v>1</v>
      </c>
      <c r="BO47" s="252">
        <f t="shared" si="19"/>
        <v>1</v>
      </c>
      <c r="BP47" s="2578"/>
      <c r="BQ47" s="2562"/>
      <c r="BR47" s="2562"/>
      <c r="BS47" s="2585"/>
      <c r="BT47" s="2585"/>
      <c r="BU47" s="2585"/>
    </row>
    <row r="48" spans="1:73" s="22" customFormat="1" ht="15.75" hidden="1" customHeight="1" outlineLevel="1">
      <c r="A48" s="2585"/>
      <c r="B48" s="44"/>
      <c r="C48" s="45"/>
      <c r="D48" s="46"/>
      <c r="E48" s="46"/>
      <c r="F48" s="45"/>
      <c r="G48" s="46"/>
      <c r="H48" s="45"/>
      <c r="I48" s="45"/>
      <c r="J48" s="47"/>
      <c r="K48" s="48"/>
      <c r="L48" s="47"/>
      <c r="M48" s="1913"/>
      <c r="N48" s="48"/>
      <c r="O48" s="49"/>
      <c r="P48" s="49"/>
      <c r="Q48" s="1884">
        <f t="shared" si="20"/>
        <v>0</v>
      </c>
      <c r="R48" s="1885">
        <f t="shared" si="0"/>
        <v>0</v>
      </c>
      <c r="S48" s="1885">
        <f t="shared" si="1"/>
        <v>0</v>
      </c>
      <c r="T48" s="1914"/>
      <c r="U48" s="1914"/>
      <c r="V48" s="1914"/>
      <c r="W48" s="50"/>
      <c r="X48" s="1891">
        <f t="shared" si="2"/>
        <v>0</v>
      </c>
      <c r="Y48" s="1891">
        <f t="shared" si="5"/>
        <v>0</v>
      </c>
      <c r="Z48" s="50"/>
      <c r="AA48" s="50"/>
      <c r="AB48" s="48"/>
      <c r="AC48" s="48"/>
      <c r="AD48" s="48"/>
      <c r="AE48" s="45"/>
      <c r="AF48" s="51"/>
      <c r="AG48" s="42"/>
      <c r="AH48" s="52" t="s">
        <v>4568</v>
      </c>
      <c r="AI48" s="197"/>
      <c r="AJ48" s="2578"/>
      <c r="AK48" s="251"/>
      <c r="AL48" s="2578"/>
      <c r="AM48" s="2562"/>
      <c r="AN48" s="2562"/>
      <c r="AO48" s="2562"/>
      <c r="AP48" s="2562"/>
      <c r="AQ48" s="2562"/>
      <c r="AR48" s="2562"/>
      <c r="AS48" s="2562"/>
      <c r="AT48" s="252">
        <f t="shared" si="6"/>
        <v>1</v>
      </c>
      <c r="AU48" s="252">
        <f t="shared" si="7"/>
        <v>1</v>
      </c>
      <c r="AV48" s="252">
        <f t="shared" si="8"/>
        <v>1</v>
      </c>
      <c r="AW48" s="252">
        <f t="shared" si="9"/>
        <v>1</v>
      </c>
      <c r="AX48" s="252">
        <f t="shared" si="10"/>
        <v>1</v>
      </c>
      <c r="AY48" s="252">
        <f t="shared" si="11"/>
        <v>1</v>
      </c>
      <c r="AZ48" s="252">
        <f t="shared" si="12"/>
        <v>1</v>
      </c>
      <c r="BA48" s="237"/>
      <c r="BB48" s="237"/>
      <c r="BC48" s="237"/>
      <c r="BD48" s="237"/>
      <c r="BE48" s="237"/>
      <c r="BF48" s="237"/>
      <c r="BG48" s="252">
        <f t="shared" si="13"/>
        <v>1</v>
      </c>
      <c r="BH48" s="237"/>
      <c r="BI48" s="237"/>
      <c r="BJ48" s="252">
        <f t="shared" si="14"/>
        <v>1</v>
      </c>
      <c r="BK48" s="252">
        <f t="shared" si="15"/>
        <v>1</v>
      </c>
      <c r="BL48" s="252">
        <f t="shared" si="16"/>
        <v>1</v>
      </c>
      <c r="BM48" s="252">
        <f t="shared" si="17"/>
        <v>1</v>
      </c>
      <c r="BN48" s="252">
        <f t="shared" si="18"/>
        <v>1</v>
      </c>
      <c r="BO48" s="252">
        <f t="shared" si="19"/>
        <v>1</v>
      </c>
      <c r="BP48" s="2578"/>
      <c r="BQ48" s="2562"/>
      <c r="BR48" s="2562"/>
      <c r="BS48" s="2585"/>
      <c r="BT48" s="2585"/>
      <c r="BU48" s="2585"/>
    </row>
    <row r="49" spans="1:73" s="22" customFormat="1" ht="15.75" hidden="1" customHeight="1" outlineLevel="1">
      <c r="A49" s="2585"/>
      <c r="B49" s="44"/>
      <c r="C49" s="45"/>
      <c r="D49" s="46"/>
      <c r="E49" s="46"/>
      <c r="F49" s="45"/>
      <c r="G49" s="46"/>
      <c r="H49" s="45"/>
      <c r="I49" s="45"/>
      <c r="J49" s="47"/>
      <c r="K49" s="48"/>
      <c r="L49" s="47"/>
      <c r="M49" s="1913"/>
      <c r="N49" s="48"/>
      <c r="O49" s="49"/>
      <c r="P49" s="49"/>
      <c r="Q49" s="1884">
        <f t="shared" si="20"/>
        <v>0</v>
      </c>
      <c r="R49" s="1885">
        <f t="shared" si="0"/>
        <v>0</v>
      </c>
      <c r="S49" s="1885">
        <f t="shared" si="1"/>
        <v>0</v>
      </c>
      <c r="T49" s="1914"/>
      <c r="U49" s="1914"/>
      <c r="V49" s="1914"/>
      <c r="W49" s="50"/>
      <c r="X49" s="1891">
        <f t="shared" si="2"/>
        <v>0</v>
      </c>
      <c r="Y49" s="1891">
        <f t="shared" si="5"/>
        <v>0</v>
      </c>
      <c r="Z49" s="50"/>
      <c r="AA49" s="50"/>
      <c r="AB49" s="48"/>
      <c r="AC49" s="48"/>
      <c r="AD49" s="48"/>
      <c r="AE49" s="45"/>
      <c r="AF49" s="51"/>
      <c r="AG49" s="42"/>
      <c r="AH49" s="52" t="s">
        <v>4569</v>
      </c>
      <c r="AI49" s="197"/>
      <c r="AJ49" s="2578"/>
      <c r="AK49" s="251"/>
      <c r="AL49" s="2578"/>
      <c r="AM49" s="2562"/>
      <c r="AN49" s="2562"/>
      <c r="AO49" s="2562"/>
      <c r="AP49" s="2562"/>
      <c r="AQ49" s="2562"/>
      <c r="AR49" s="2562"/>
      <c r="AS49" s="2562"/>
      <c r="AT49" s="252">
        <f t="shared" si="6"/>
        <v>1</v>
      </c>
      <c r="AU49" s="252">
        <f t="shared" si="7"/>
        <v>1</v>
      </c>
      <c r="AV49" s="252">
        <f t="shared" si="8"/>
        <v>1</v>
      </c>
      <c r="AW49" s="252">
        <f t="shared" si="9"/>
        <v>1</v>
      </c>
      <c r="AX49" s="252">
        <f t="shared" si="10"/>
        <v>1</v>
      </c>
      <c r="AY49" s="252">
        <f t="shared" si="11"/>
        <v>1</v>
      </c>
      <c r="AZ49" s="252">
        <f t="shared" si="12"/>
        <v>1</v>
      </c>
      <c r="BA49" s="237"/>
      <c r="BB49" s="237"/>
      <c r="BC49" s="237"/>
      <c r="BD49" s="237"/>
      <c r="BE49" s="237"/>
      <c r="BF49" s="237"/>
      <c r="BG49" s="252">
        <f t="shared" si="13"/>
        <v>1</v>
      </c>
      <c r="BH49" s="237"/>
      <c r="BI49" s="237"/>
      <c r="BJ49" s="252">
        <f t="shared" si="14"/>
        <v>1</v>
      </c>
      <c r="BK49" s="252">
        <f t="shared" si="15"/>
        <v>1</v>
      </c>
      <c r="BL49" s="252">
        <f t="shared" si="16"/>
        <v>1</v>
      </c>
      <c r="BM49" s="252">
        <f t="shared" si="17"/>
        <v>1</v>
      </c>
      <c r="BN49" s="252">
        <f t="shared" si="18"/>
        <v>1</v>
      </c>
      <c r="BO49" s="252">
        <f t="shared" si="19"/>
        <v>1</v>
      </c>
      <c r="BP49" s="2578"/>
      <c r="BQ49" s="2562"/>
      <c r="BR49" s="2562"/>
      <c r="BS49" s="2585"/>
      <c r="BT49" s="2585"/>
      <c r="BU49" s="2585"/>
    </row>
    <row r="50" spans="1:73" s="22" customFormat="1" ht="15.75" hidden="1" customHeight="1" outlineLevel="1">
      <c r="A50" s="2585"/>
      <c r="B50" s="44"/>
      <c r="C50" s="45"/>
      <c r="D50" s="46"/>
      <c r="E50" s="46"/>
      <c r="F50" s="45"/>
      <c r="G50" s="46"/>
      <c r="H50" s="45"/>
      <c r="I50" s="45"/>
      <c r="J50" s="47"/>
      <c r="K50" s="48"/>
      <c r="L50" s="47"/>
      <c r="M50" s="1913"/>
      <c r="N50" s="48"/>
      <c r="O50" s="49"/>
      <c r="P50" s="49"/>
      <c r="Q50" s="1884">
        <f t="shared" si="20"/>
        <v>0</v>
      </c>
      <c r="R50" s="1885">
        <f t="shared" si="0"/>
        <v>0</v>
      </c>
      <c r="S50" s="1885">
        <f t="shared" si="1"/>
        <v>0</v>
      </c>
      <c r="T50" s="1914"/>
      <c r="U50" s="1914"/>
      <c r="V50" s="1914"/>
      <c r="W50" s="50"/>
      <c r="X50" s="1891">
        <f t="shared" si="2"/>
        <v>0</v>
      </c>
      <c r="Y50" s="1891">
        <f t="shared" si="5"/>
        <v>0</v>
      </c>
      <c r="Z50" s="50"/>
      <c r="AA50" s="50"/>
      <c r="AB50" s="48"/>
      <c r="AC50" s="48"/>
      <c r="AD50" s="48"/>
      <c r="AE50" s="45"/>
      <c r="AF50" s="51"/>
      <c r="AG50" s="42"/>
      <c r="AH50" s="52" t="s">
        <v>4570</v>
      </c>
      <c r="AI50" s="197"/>
      <c r="AJ50" s="2578"/>
      <c r="AK50" s="251"/>
      <c r="AL50" s="2578"/>
      <c r="AM50" s="2562"/>
      <c r="AN50" s="2562"/>
      <c r="AO50" s="2562"/>
      <c r="AP50" s="2562"/>
      <c r="AQ50" s="2562"/>
      <c r="AR50" s="2562"/>
      <c r="AS50" s="2562"/>
      <c r="AT50" s="252">
        <f t="shared" si="6"/>
        <v>1</v>
      </c>
      <c r="AU50" s="252">
        <f t="shared" si="7"/>
        <v>1</v>
      </c>
      <c r="AV50" s="252">
        <f t="shared" si="8"/>
        <v>1</v>
      </c>
      <c r="AW50" s="252">
        <f t="shared" si="9"/>
        <v>1</v>
      </c>
      <c r="AX50" s="252">
        <f t="shared" si="10"/>
        <v>1</v>
      </c>
      <c r="AY50" s="252">
        <f t="shared" si="11"/>
        <v>1</v>
      </c>
      <c r="AZ50" s="252">
        <f t="shared" si="12"/>
        <v>1</v>
      </c>
      <c r="BA50" s="237"/>
      <c r="BB50" s="237"/>
      <c r="BC50" s="237"/>
      <c r="BD50" s="237"/>
      <c r="BE50" s="237"/>
      <c r="BF50" s="237"/>
      <c r="BG50" s="252">
        <f t="shared" si="13"/>
        <v>1</v>
      </c>
      <c r="BH50" s="237"/>
      <c r="BI50" s="237"/>
      <c r="BJ50" s="252">
        <f t="shared" si="14"/>
        <v>1</v>
      </c>
      <c r="BK50" s="252">
        <f t="shared" si="15"/>
        <v>1</v>
      </c>
      <c r="BL50" s="252">
        <f t="shared" si="16"/>
        <v>1</v>
      </c>
      <c r="BM50" s="252">
        <f t="shared" si="17"/>
        <v>1</v>
      </c>
      <c r="BN50" s="252">
        <f t="shared" si="18"/>
        <v>1</v>
      </c>
      <c r="BO50" s="252">
        <f t="shared" si="19"/>
        <v>1</v>
      </c>
      <c r="BP50" s="2578"/>
      <c r="BQ50" s="2562"/>
      <c r="BR50" s="2562"/>
      <c r="BS50" s="2585"/>
      <c r="BT50" s="2585"/>
      <c r="BU50" s="2585"/>
    </row>
    <row r="51" spans="1:73" s="22" customFormat="1" ht="15.75" hidden="1" customHeight="1" outlineLevel="1">
      <c r="A51" s="2585"/>
      <c r="B51" s="44"/>
      <c r="C51" s="45"/>
      <c r="D51" s="46"/>
      <c r="E51" s="46"/>
      <c r="F51" s="45"/>
      <c r="G51" s="46"/>
      <c r="H51" s="45"/>
      <c r="I51" s="45"/>
      <c r="J51" s="47"/>
      <c r="K51" s="48"/>
      <c r="L51" s="47"/>
      <c r="M51" s="1913"/>
      <c r="N51" s="48"/>
      <c r="O51" s="49"/>
      <c r="P51" s="49"/>
      <c r="Q51" s="1884">
        <f t="shared" si="20"/>
        <v>0</v>
      </c>
      <c r="R51" s="1885">
        <f t="shared" si="0"/>
        <v>0</v>
      </c>
      <c r="S51" s="1885">
        <f t="shared" si="1"/>
        <v>0</v>
      </c>
      <c r="T51" s="1914"/>
      <c r="U51" s="1914"/>
      <c r="V51" s="1914"/>
      <c r="W51" s="50"/>
      <c r="X51" s="1891">
        <f t="shared" si="2"/>
        <v>0</v>
      </c>
      <c r="Y51" s="1891">
        <f t="shared" si="5"/>
        <v>0</v>
      </c>
      <c r="Z51" s="50"/>
      <c r="AA51" s="50"/>
      <c r="AB51" s="48"/>
      <c r="AC51" s="48"/>
      <c r="AD51" s="48"/>
      <c r="AE51" s="45"/>
      <c r="AF51" s="51"/>
      <c r="AG51" s="42"/>
      <c r="AH51" s="52" t="s">
        <v>4571</v>
      </c>
      <c r="AI51" s="197"/>
      <c r="AJ51" s="2578"/>
      <c r="AK51" s="251"/>
      <c r="AL51" s="2578"/>
      <c r="AM51" s="2562"/>
      <c r="AN51" s="2562"/>
      <c r="AO51" s="2562"/>
      <c r="AP51" s="2562"/>
      <c r="AQ51" s="2562"/>
      <c r="AR51" s="2562"/>
      <c r="AS51" s="2562"/>
      <c r="AT51" s="252">
        <f t="shared" si="6"/>
        <v>1</v>
      </c>
      <c r="AU51" s="252">
        <f t="shared" si="7"/>
        <v>1</v>
      </c>
      <c r="AV51" s="252">
        <f t="shared" si="8"/>
        <v>1</v>
      </c>
      <c r="AW51" s="252">
        <f t="shared" si="9"/>
        <v>1</v>
      </c>
      <c r="AX51" s="252">
        <f t="shared" si="10"/>
        <v>1</v>
      </c>
      <c r="AY51" s="252">
        <f t="shared" si="11"/>
        <v>1</v>
      </c>
      <c r="AZ51" s="252">
        <f t="shared" si="12"/>
        <v>1</v>
      </c>
      <c r="BA51" s="237"/>
      <c r="BB51" s="237"/>
      <c r="BC51" s="237"/>
      <c r="BD51" s="237"/>
      <c r="BE51" s="237"/>
      <c r="BF51" s="237"/>
      <c r="BG51" s="252">
        <f t="shared" si="13"/>
        <v>1</v>
      </c>
      <c r="BH51" s="237"/>
      <c r="BI51" s="237"/>
      <c r="BJ51" s="252">
        <f t="shared" si="14"/>
        <v>1</v>
      </c>
      <c r="BK51" s="252">
        <f t="shared" si="15"/>
        <v>1</v>
      </c>
      <c r="BL51" s="252">
        <f t="shared" si="16"/>
        <v>1</v>
      </c>
      <c r="BM51" s="252">
        <f t="shared" si="17"/>
        <v>1</v>
      </c>
      <c r="BN51" s="252">
        <f t="shared" si="18"/>
        <v>1</v>
      </c>
      <c r="BO51" s="252">
        <f t="shared" si="19"/>
        <v>1</v>
      </c>
      <c r="BP51" s="2578"/>
      <c r="BQ51" s="2562"/>
      <c r="BR51" s="2562"/>
      <c r="BS51" s="2585"/>
      <c r="BT51" s="2585"/>
      <c r="BU51" s="2585"/>
    </row>
    <row r="52" spans="1:73" s="22" customFormat="1" ht="15.75" hidden="1" customHeight="1" outlineLevel="1">
      <c r="A52" s="2585"/>
      <c r="B52" s="44"/>
      <c r="C52" s="45"/>
      <c r="D52" s="46"/>
      <c r="E52" s="46"/>
      <c r="F52" s="45"/>
      <c r="G52" s="46"/>
      <c r="H52" s="45"/>
      <c r="I52" s="45"/>
      <c r="J52" s="47"/>
      <c r="K52" s="48"/>
      <c r="L52" s="47"/>
      <c r="M52" s="1913"/>
      <c r="N52" s="48"/>
      <c r="O52" s="49"/>
      <c r="P52" s="49"/>
      <c r="Q52" s="1884">
        <f t="shared" si="20"/>
        <v>0</v>
      </c>
      <c r="R52" s="1885">
        <f t="shared" si="0"/>
        <v>0</v>
      </c>
      <c r="S52" s="1885">
        <f t="shared" si="1"/>
        <v>0</v>
      </c>
      <c r="T52" s="1914"/>
      <c r="U52" s="1914"/>
      <c r="V52" s="1914"/>
      <c r="W52" s="50"/>
      <c r="X52" s="1891">
        <f t="shared" si="2"/>
        <v>0</v>
      </c>
      <c r="Y52" s="1891">
        <f t="shared" si="5"/>
        <v>0</v>
      </c>
      <c r="Z52" s="50"/>
      <c r="AA52" s="50"/>
      <c r="AB52" s="48"/>
      <c r="AC52" s="48"/>
      <c r="AD52" s="48"/>
      <c r="AE52" s="45"/>
      <c r="AF52" s="51"/>
      <c r="AG52" s="42"/>
      <c r="AH52" s="52" t="s">
        <v>4572</v>
      </c>
      <c r="AI52" s="197"/>
      <c r="AJ52" s="2578"/>
      <c r="AK52" s="251"/>
      <c r="AL52" s="2578"/>
      <c r="AM52" s="2562"/>
      <c r="AN52" s="2562"/>
      <c r="AO52" s="2562"/>
      <c r="AP52" s="2562"/>
      <c r="AQ52" s="2562"/>
      <c r="AR52" s="2562"/>
      <c r="AS52" s="2562"/>
      <c r="AT52" s="252">
        <f t="shared" si="6"/>
        <v>1</v>
      </c>
      <c r="AU52" s="252">
        <f t="shared" si="7"/>
        <v>1</v>
      </c>
      <c r="AV52" s="252">
        <f t="shared" si="8"/>
        <v>1</v>
      </c>
      <c r="AW52" s="252">
        <f t="shared" si="9"/>
        <v>1</v>
      </c>
      <c r="AX52" s="252">
        <f t="shared" si="10"/>
        <v>1</v>
      </c>
      <c r="AY52" s="252">
        <f t="shared" si="11"/>
        <v>1</v>
      </c>
      <c r="AZ52" s="252">
        <f t="shared" si="12"/>
        <v>1</v>
      </c>
      <c r="BA52" s="237"/>
      <c r="BB52" s="237"/>
      <c r="BC52" s="237"/>
      <c r="BD52" s="237"/>
      <c r="BE52" s="237"/>
      <c r="BF52" s="237"/>
      <c r="BG52" s="252">
        <f t="shared" si="13"/>
        <v>1</v>
      </c>
      <c r="BH52" s="237"/>
      <c r="BI52" s="237"/>
      <c r="BJ52" s="252">
        <f t="shared" si="14"/>
        <v>1</v>
      </c>
      <c r="BK52" s="252">
        <f t="shared" si="15"/>
        <v>1</v>
      </c>
      <c r="BL52" s="252">
        <f t="shared" si="16"/>
        <v>1</v>
      </c>
      <c r="BM52" s="252">
        <f t="shared" si="17"/>
        <v>1</v>
      </c>
      <c r="BN52" s="252">
        <f t="shared" si="18"/>
        <v>1</v>
      </c>
      <c r="BO52" s="252">
        <f t="shared" si="19"/>
        <v>1</v>
      </c>
      <c r="BP52" s="2578"/>
      <c r="BQ52" s="2562"/>
      <c r="BR52" s="2562"/>
      <c r="BS52" s="2585"/>
      <c r="BT52" s="2585"/>
      <c r="BU52" s="2585"/>
    </row>
    <row r="53" spans="1:73" s="22" customFormat="1" ht="15.75" hidden="1" customHeight="1" outlineLevel="1">
      <c r="A53" s="2585"/>
      <c r="B53" s="44"/>
      <c r="C53" s="45"/>
      <c r="D53" s="46"/>
      <c r="E53" s="46"/>
      <c r="F53" s="45"/>
      <c r="G53" s="46"/>
      <c r="H53" s="45"/>
      <c r="I53" s="45"/>
      <c r="J53" s="47"/>
      <c r="K53" s="48"/>
      <c r="L53" s="47"/>
      <c r="M53" s="1913"/>
      <c r="N53" s="48"/>
      <c r="O53" s="49"/>
      <c r="P53" s="49"/>
      <c r="Q53" s="1884">
        <f t="shared" si="20"/>
        <v>0</v>
      </c>
      <c r="R53" s="1885">
        <f t="shared" si="0"/>
        <v>0</v>
      </c>
      <c r="S53" s="1885">
        <f t="shared" si="1"/>
        <v>0</v>
      </c>
      <c r="T53" s="1914"/>
      <c r="U53" s="1914"/>
      <c r="V53" s="1914"/>
      <c r="W53" s="50"/>
      <c r="X53" s="1891">
        <f t="shared" si="2"/>
        <v>0</v>
      </c>
      <c r="Y53" s="1891">
        <f t="shared" si="5"/>
        <v>0</v>
      </c>
      <c r="Z53" s="50"/>
      <c r="AA53" s="50"/>
      <c r="AB53" s="48"/>
      <c r="AC53" s="48"/>
      <c r="AD53" s="48"/>
      <c r="AE53" s="45"/>
      <c r="AF53" s="51"/>
      <c r="AG53" s="42"/>
      <c r="AH53" s="52" t="s">
        <v>4573</v>
      </c>
      <c r="AI53" s="197"/>
      <c r="AJ53" s="2578"/>
      <c r="AK53" s="251"/>
      <c r="AL53" s="2578"/>
      <c r="AM53" s="2562"/>
      <c r="AN53" s="2562"/>
      <c r="AO53" s="2562"/>
      <c r="AP53" s="2562"/>
      <c r="AQ53" s="2562"/>
      <c r="AR53" s="2562"/>
      <c r="AS53" s="2562"/>
      <c r="AT53" s="252">
        <f t="shared" si="6"/>
        <v>1</v>
      </c>
      <c r="AU53" s="252">
        <f t="shared" si="7"/>
        <v>1</v>
      </c>
      <c r="AV53" s="252">
        <f t="shared" si="8"/>
        <v>1</v>
      </c>
      <c r="AW53" s="252">
        <f t="shared" si="9"/>
        <v>1</v>
      </c>
      <c r="AX53" s="252">
        <f t="shared" si="10"/>
        <v>1</v>
      </c>
      <c r="AY53" s="252">
        <f t="shared" si="11"/>
        <v>1</v>
      </c>
      <c r="AZ53" s="252">
        <f t="shared" si="12"/>
        <v>1</v>
      </c>
      <c r="BA53" s="237"/>
      <c r="BB53" s="237"/>
      <c r="BC53" s="237"/>
      <c r="BD53" s="237"/>
      <c r="BE53" s="237"/>
      <c r="BF53" s="237"/>
      <c r="BG53" s="252">
        <f t="shared" si="13"/>
        <v>1</v>
      </c>
      <c r="BH53" s="237"/>
      <c r="BI53" s="237"/>
      <c r="BJ53" s="252">
        <f t="shared" si="14"/>
        <v>1</v>
      </c>
      <c r="BK53" s="252">
        <f t="shared" si="15"/>
        <v>1</v>
      </c>
      <c r="BL53" s="252">
        <f t="shared" si="16"/>
        <v>1</v>
      </c>
      <c r="BM53" s="252">
        <f t="shared" si="17"/>
        <v>1</v>
      </c>
      <c r="BN53" s="252">
        <f t="shared" si="18"/>
        <v>1</v>
      </c>
      <c r="BO53" s="252">
        <f t="shared" si="19"/>
        <v>1</v>
      </c>
      <c r="BP53" s="2578"/>
      <c r="BQ53" s="2562"/>
      <c r="BR53" s="2562"/>
      <c r="BS53" s="2585"/>
      <c r="BT53" s="2585"/>
      <c r="BU53" s="2585"/>
    </row>
    <row r="54" spans="1:73" s="22" customFormat="1" ht="15.75" hidden="1" customHeight="1" outlineLevel="1">
      <c r="A54" s="2585"/>
      <c r="B54" s="44"/>
      <c r="C54" s="45"/>
      <c r="D54" s="46"/>
      <c r="E54" s="46"/>
      <c r="F54" s="45"/>
      <c r="G54" s="46"/>
      <c r="H54" s="45"/>
      <c r="I54" s="45"/>
      <c r="J54" s="47"/>
      <c r="K54" s="48"/>
      <c r="L54" s="47"/>
      <c r="M54" s="1913"/>
      <c r="N54" s="48"/>
      <c r="O54" s="49"/>
      <c r="P54" s="49"/>
      <c r="Q54" s="1884">
        <f t="shared" si="20"/>
        <v>0</v>
      </c>
      <c r="R54" s="1885">
        <f t="shared" si="0"/>
        <v>0</v>
      </c>
      <c r="S54" s="1885">
        <f t="shared" si="1"/>
        <v>0</v>
      </c>
      <c r="T54" s="1914"/>
      <c r="U54" s="1914"/>
      <c r="V54" s="1914"/>
      <c r="W54" s="50"/>
      <c r="X54" s="1891">
        <f t="shared" si="2"/>
        <v>0</v>
      </c>
      <c r="Y54" s="1891">
        <f t="shared" si="5"/>
        <v>0</v>
      </c>
      <c r="Z54" s="50"/>
      <c r="AA54" s="50"/>
      <c r="AB54" s="48"/>
      <c r="AC54" s="48"/>
      <c r="AD54" s="48"/>
      <c r="AE54" s="45"/>
      <c r="AF54" s="51"/>
      <c r="AG54" s="42"/>
      <c r="AH54" s="52" t="s">
        <v>4574</v>
      </c>
      <c r="AI54" s="197"/>
      <c r="AJ54" s="2578"/>
      <c r="AK54" s="251"/>
      <c r="AL54" s="2578"/>
      <c r="AM54" s="2562"/>
      <c r="AN54" s="2562"/>
      <c r="AO54" s="2562"/>
      <c r="AP54" s="2562"/>
      <c r="AQ54" s="2562"/>
      <c r="AR54" s="2562"/>
      <c r="AS54" s="2562"/>
      <c r="AT54" s="252">
        <f t="shared" si="6"/>
        <v>1</v>
      </c>
      <c r="AU54" s="252">
        <f t="shared" si="7"/>
        <v>1</v>
      </c>
      <c r="AV54" s="252">
        <f t="shared" si="8"/>
        <v>1</v>
      </c>
      <c r="AW54" s="252">
        <f t="shared" si="9"/>
        <v>1</v>
      </c>
      <c r="AX54" s="252">
        <f t="shared" si="10"/>
        <v>1</v>
      </c>
      <c r="AY54" s="252">
        <f t="shared" si="11"/>
        <v>1</v>
      </c>
      <c r="AZ54" s="252">
        <f t="shared" si="12"/>
        <v>1</v>
      </c>
      <c r="BA54" s="237"/>
      <c r="BB54" s="237"/>
      <c r="BC54" s="237"/>
      <c r="BD54" s="237"/>
      <c r="BE54" s="237"/>
      <c r="BF54" s="237"/>
      <c r="BG54" s="252">
        <f t="shared" si="13"/>
        <v>1</v>
      </c>
      <c r="BH54" s="237"/>
      <c r="BI54" s="237"/>
      <c r="BJ54" s="252">
        <f t="shared" si="14"/>
        <v>1</v>
      </c>
      <c r="BK54" s="252">
        <f t="shared" si="15"/>
        <v>1</v>
      </c>
      <c r="BL54" s="252">
        <f t="shared" si="16"/>
        <v>1</v>
      </c>
      <c r="BM54" s="252">
        <f t="shared" si="17"/>
        <v>1</v>
      </c>
      <c r="BN54" s="252">
        <f t="shared" si="18"/>
        <v>1</v>
      </c>
      <c r="BO54" s="252">
        <f t="shared" si="19"/>
        <v>1</v>
      </c>
      <c r="BP54" s="2578"/>
      <c r="BQ54" s="2562"/>
      <c r="BR54" s="2562"/>
      <c r="BS54" s="2585"/>
      <c r="BT54" s="2585"/>
      <c r="BU54" s="2585"/>
    </row>
    <row r="55" spans="1:73" s="22" customFormat="1" ht="15.75" hidden="1" customHeight="1" outlineLevel="1">
      <c r="A55" s="2585"/>
      <c r="B55" s="44"/>
      <c r="C55" s="45"/>
      <c r="D55" s="46"/>
      <c r="E55" s="46"/>
      <c r="F55" s="45"/>
      <c r="G55" s="46"/>
      <c r="H55" s="45"/>
      <c r="I55" s="45"/>
      <c r="J55" s="47"/>
      <c r="K55" s="48"/>
      <c r="L55" s="47"/>
      <c r="M55" s="1913"/>
      <c r="N55" s="48"/>
      <c r="O55" s="49"/>
      <c r="P55" s="49"/>
      <c r="Q55" s="1884">
        <f t="shared" si="20"/>
        <v>0</v>
      </c>
      <c r="R55" s="1885">
        <f t="shared" si="0"/>
        <v>0</v>
      </c>
      <c r="S55" s="1885">
        <f t="shared" si="1"/>
        <v>0</v>
      </c>
      <c r="T55" s="1914"/>
      <c r="U55" s="1914"/>
      <c r="V55" s="1914"/>
      <c r="W55" s="50"/>
      <c r="X55" s="1891">
        <f t="shared" si="2"/>
        <v>0</v>
      </c>
      <c r="Y55" s="1891">
        <f t="shared" si="5"/>
        <v>0</v>
      </c>
      <c r="Z55" s="50"/>
      <c r="AA55" s="50"/>
      <c r="AB55" s="48"/>
      <c r="AC55" s="48"/>
      <c r="AD55" s="48"/>
      <c r="AE55" s="45"/>
      <c r="AF55" s="51"/>
      <c r="AG55" s="42"/>
      <c r="AH55" s="52" t="s">
        <v>4575</v>
      </c>
      <c r="AI55" s="197"/>
      <c r="AJ55" s="2578"/>
      <c r="AK55" s="251"/>
      <c r="AL55" s="2578"/>
      <c r="AM55" s="2562"/>
      <c r="AN55" s="2562"/>
      <c r="AO55" s="2562"/>
      <c r="AP55" s="2562"/>
      <c r="AQ55" s="2562"/>
      <c r="AR55" s="2562"/>
      <c r="AS55" s="2562"/>
      <c r="AT55" s="252">
        <f t="shared" si="6"/>
        <v>1</v>
      </c>
      <c r="AU55" s="252">
        <f t="shared" si="7"/>
        <v>1</v>
      </c>
      <c r="AV55" s="252">
        <f t="shared" si="8"/>
        <v>1</v>
      </c>
      <c r="AW55" s="252">
        <f t="shared" si="9"/>
        <v>1</v>
      </c>
      <c r="AX55" s="252">
        <f t="shared" si="10"/>
        <v>1</v>
      </c>
      <c r="AY55" s="252">
        <f t="shared" si="11"/>
        <v>1</v>
      </c>
      <c r="AZ55" s="252">
        <f t="shared" si="12"/>
        <v>1</v>
      </c>
      <c r="BA55" s="237"/>
      <c r="BB55" s="237"/>
      <c r="BC55" s="237"/>
      <c r="BD55" s="237"/>
      <c r="BE55" s="237"/>
      <c r="BF55" s="237"/>
      <c r="BG55" s="252">
        <f t="shared" si="13"/>
        <v>1</v>
      </c>
      <c r="BH55" s="237"/>
      <c r="BI55" s="237"/>
      <c r="BJ55" s="252">
        <f t="shared" si="14"/>
        <v>1</v>
      </c>
      <c r="BK55" s="252">
        <f t="shared" si="15"/>
        <v>1</v>
      </c>
      <c r="BL55" s="252">
        <f t="shared" si="16"/>
        <v>1</v>
      </c>
      <c r="BM55" s="252">
        <f t="shared" si="17"/>
        <v>1</v>
      </c>
      <c r="BN55" s="252">
        <f t="shared" si="18"/>
        <v>1</v>
      </c>
      <c r="BO55" s="252">
        <f t="shared" si="19"/>
        <v>1</v>
      </c>
      <c r="BP55" s="2578"/>
      <c r="BQ55" s="2562"/>
      <c r="BR55" s="2562"/>
      <c r="BS55" s="2585"/>
      <c r="BT55" s="2585"/>
      <c r="BU55" s="2585"/>
    </row>
    <row r="56" spans="1:73" s="22" customFormat="1" ht="15.75" hidden="1" customHeight="1" outlineLevel="1">
      <c r="A56" s="2585"/>
      <c r="B56" s="44"/>
      <c r="C56" s="45"/>
      <c r="D56" s="46"/>
      <c r="E56" s="46"/>
      <c r="F56" s="45"/>
      <c r="G56" s="46"/>
      <c r="H56" s="45"/>
      <c r="I56" s="45"/>
      <c r="J56" s="47"/>
      <c r="K56" s="48"/>
      <c r="L56" s="47"/>
      <c r="M56" s="1913"/>
      <c r="N56" s="48"/>
      <c r="O56" s="49"/>
      <c r="P56" s="49"/>
      <c r="Q56" s="1884">
        <f t="shared" si="20"/>
        <v>0</v>
      </c>
      <c r="R56" s="1885">
        <f t="shared" si="0"/>
        <v>0</v>
      </c>
      <c r="S56" s="1885">
        <f t="shared" si="1"/>
        <v>0</v>
      </c>
      <c r="T56" s="1914"/>
      <c r="U56" s="1914"/>
      <c r="V56" s="1914"/>
      <c r="W56" s="50"/>
      <c r="X56" s="1891">
        <f t="shared" si="2"/>
        <v>0</v>
      </c>
      <c r="Y56" s="1891">
        <f t="shared" si="5"/>
        <v>0</v>
      </c>
      <c r="Z56" s="50"/>
      <c r="AA56" s="50"/>
      <c r="AB56" s="48"/>
      <c r="AC56" s="48"/>
      <c r="AD56" s="48"/>
      <c r="AE56" s="45"/>
      <c r="AF56" s="51"/>
      <c r="AG56" s="42"/>
      <c r="AH56" s="52" t="s">
        <v>4576</v>
      </c>
      <c r="AI56" s="197"/>
      <c r="AJ56" s="2578"/>
      <c r="AK56" s="251"/>
      <c r="AL56" s="2578"/>
      <c r="AM56" s="2562"/>
      <c r="AN56" s="2562"/>
      <c r="AO56" s="2562"/>
      <c r="AP56" s="2562"/>
      <c r="AQ56" s="2562"/>
      <c r="AR56" s="2562"/>
      <c r="AS56" s="2562"/>
      <c r="AT56" s="252">
        <f t="shared" si="6"/>
        <v>1</v>
      </c>
      <c r="AU56" s="252">
        <f t="shared" si="7"/>
        <v>1</v>
      </c>
      <c r="AV56" s="252">
        <f t="shared" si="8"/>
        <v>1</v>
      </c>
      <c r="AW56" s="252">
        <f t="shared" si="9"/>
        <v>1</v>
      </c>
      <c r="AX56" s="252">
        <f t="shared" si="10"/>
        <v>1</v>
      </c>
      <c r="AY56" s="252">
        <f t="shared" si="11"/>
        <v>1</v>
      </c>
      <c r="AZ56" s="252">
        <f t="shared" si="12"/>
        <v>1</v>
      </c>
      <c r="BA56" s="237"/>
      <c r="BB56" s="237"/>
      <c r="BC56" s="237"/>
      <c r="BD56" s="237"/>
      <c r="BE56" s="237"/>
      <c r="BF56" s="237"/>
      <c r="BG56" s="252">
        <f t="shared" si="13"/>
        <v>1</v>
      </c>
      <c r="BH56" s="237"/>
      <c r="BI56" s="237"/>
      <c r="BJ56" s="252">
        <f t="shared" si="14"/>
        <v>1</v>
      </c>
      <c r="BK56" s="252">
        <f t="shared" si="15"/>
        <v>1</v>
      </c>
      <c r="BL56" s="252">
        <f t="shared" si="16"/>
        <v>1</v>
      </c>
      <c r="BM56" s="252">
        <f t="shared" si="17"/>
        <v>1</v>
      </c>
      <c r="BN56" s="252">
        <f t="shared" si="18"/>
        <v>1</v>
      </c>
      <c r="BO56" s="252">
        <f t="shared" si="19"/>
        <v>1</v>
      </c>
      <c r="BP56" s="2578"/>
      <c r="BQ56" s="2562"/>
      <c r="BR56" s="2562"/>
      <c r="BS56" s="2585"/>
      <c r="BT56" s="2585"/>
      <c r="BU56" s="2585"/>
    </row>
    <row r="57" spans="1:73" s="22" customFormat="1" ht="15.75" hidden="1" customHeight="1" outlineLevel="1">
      <c r="A57" s="2585"/>
      <c r="B57" s="44"/>
      <c r="C57" s="45"/>
      <c r="D57" s="46"/>
      <c r="E57" s="46"/>
      <c r="F57" s="45"/>
      <c r="G57" s="46"/>
      <c r="H57" s="45"/>
      <c r="I57" s="45"/>
      <c r="J57" s="47"/>
      <c r="K57" s="48"/>
      <c r="L57" s="47"/>
      <c r="M57" s="1913"/>
      <c r="N57" s="48"/>
      <c r="O57" s="49"/>
      <c r="P57" s="49"/>
      <c r="Q57" s="1884">
        <f t="shared" si="20"/>
        <v>0</v>
      </c>
      <c r="R57" s="1885">
        <f t="shared" si="0"/>
        <v>0</v>
      </c>
      <c r="S57" s="1885">
        <f t="shared" si="1"/>
        <v>0</v>
      </c>
      <c r="T57" s="1914"/>
      <c r="U57" s="1914"/>
      <c r="V57" s="1914"/>
      <c r="W57" s="50"/>
      <c r="X57" s="1891">
        <f t="shared" si="2"/>
        <v>0</v>
      </c>
      <c r="Y57" s="1891">
        <f t="shared" si="5"/>
        <v>0</v>
      </c>
      <c r="Z57" s="50"/>
      <c r="AA57" s="50"/>
      <c r="AB57" s="48"/>
      <c r="AC57" s="48"/>
      <c r="AD57" s="48"/>
      <c r="AE57" s="45"/>
      <c r="AF57" s="51"/>
      <c r="AG57" s="42"/>
      <c r="AH57" s="52" t="s">
        <v>4577</v>
      </c>
      <c r="AI57" s="197"/>
      <c r="AJ57" s="2578"/>
      <c r="AK57" s="251"/>
      <c r="AL57" s="2578"/>
      <c r="AM57" s="2562"/>
      <c r="AN57" s="2562"/>
      <c r="AO57" s="2562"/>
      <c r="AP57" s="2562"/>
      <c r="AQ57" s="2562"/>
      <c r="AR57" s="2562"/>
      <c r="AS57" s="2562"/>
      <c r="AT57" s="252">
        <f t="shared" si="6"/>
        <v>1</v>
      </c>
      <c r="AU57" s="252">
        <f t="shared" si="7"/>
        <v>1</v>
      </c>
      <c r="AV57" s="252">
        <f t="shared" si="8"/>
        <v>1</v>
      </c>
      <c r="AW57" s="252">
        <f t="shared" si="9"/>
        <v>1</v>
      </c>
      <c r="AX57" s="252">
        <f t="shared" si="10"/>
        <v>1</v>
      </c>
      <c r="AY57" s="252">
        <f t="shared" si="11"/>
        <v>1</v>
      </c>
      <c r="AZ57" s="252">
        <f t="shared" si="12"/>
        <v>1</v>
      </c>
      <c r="BA57" s="237"/>
      <c r="BB57" s="237"/>
      <c r="BC57" s="237"/>
      <c r="BD57" s="237"/>
      <c r="BE57" s="237"/>
      <c r="BF57" s="237"/>
      <c r="BG57" s="252">
        <f t="shared" si="13"/>
        <v>1</v>
      </c>
      <c r="BH57" s="237"/>
      <c r="BI57" s="237"/>
      <c r="BJ57" s="252">
        <f t="shared" si="14"/>
        <v>1</v>
      </c>
      <c r="BK57" s="252">
        <f t="shared" si="15"/>
        <v>1</v>
      </c>
      <c r="BL57" s="252">
        <f t="shared" si="16"/>
        <v>1</v>
      </c>
      <c r="BM57" s="252">
        <f t="shared" si="17"/>
        <v>1</v>
      </c>
      <c r="BN57" s="252">
        <f t="shared" si="18"/>
        <v>1</v>
      </c>
      <c r="BO57" s="252">
        <f t="shared" si="19"/>
        <v>1</v>
      </c>
      <c r="BP57" s="2578"/>
      <c r="BQ57" s="2562"/>
      <c r="BR57" s="2562"/>
      <c r="BS57" s="2585"/>
      <c r="BT57" s="2585"/>
      <c r="BU57" s="2585"/>
    </row>
    <row r="58" spans="1:73" s="22" customFormat="1" ht="15.75" hidden="1" customHeight="1" outlineLevel="1">
      <c r="A58" s="2585"/>
      <c r="B58" s="44"/>
      <c r="C58" s="45"/>
      <c r="D58" s="46"/>
      <c r="E58" s="46"/>
      <c r="F58" s="45"/>
      <c r="G58" s="46"/>
      <c r="H58" s="45"/>
      <c r="I58" s="45"/>
      <c r="J58" s="47"/>
      <c r="K58" s="48"/>
      <c r="L58" s="47"/>
      <c r="M58" s="1913"/>
      <c r="N58" s="48"/>
      <c r="O58" s="49"/>
      <c r="P58" s="49"/>
      <c r="Q58" s="1884">
        <f t="shared" si="20"/>
        <v>0</v>
      </c>
      <c r="R58" s="1885">
        <f t="shared" si="0"/>
        <v>0</v>
      </c>
      <c r="S58" s="1885">
        <f t="shared" si="1"/>
        <v>0</v>
      </c>
      <c r="T58" s="1914"/>
      <c r="U58" s="1914"/>
      <c r="V58" s="1914"/>
      <c r="W58" s="50"/>
      <c r="X58" s="1891">
        <f t="shared" si="2"/>
        <v>0</v>
      </c>
      <c r="Y58" s="1891">
        <f t="shared" si="5"/>
        <v>0</v>
      </c>
      <c r="Z58" s="50"/>
      <c r="AA58" s="50"/>
      <c r="AB58" s="48"/>
      <c r="AC58" s="48"/>
      <c r="AD58" s="48"/>
      <c r="AE58" s="45"/>
      <c r="AF58" s="51"/>
      <c r="AG58" s="42"/>
      <c r="AH58" s="52" t="s">
        <v>4578</v>
      </c>
      <c r="AI58" s="197"/>
      <c r="AJ58" s="2578"/>
      <c r="AK58" s="251"/>
      <c r="AL58" s="2578"/>
      <c r="AM58" s="2562"/>
      <c r="AN58" s="2562"/>
      <c r="AO58" s="2562"/>
      <c r="AP58" s="2562"/>
      <c r="AQ58" s="2562"/>
      <c r="AR58" s="2562"/>
      <c r="AS58" s="2562"/>
      <c r="AT58" s="252">
        <f t="shared" si="6"/>
        <v>1</v>
      </c>
      <c r="AU58" s="252">
        <f t="shared" si="7"/>
        <v>1</v>
      </c>
      <c r="AV58" s="252">
        <f t="shared" si="8"/>
        <v>1</v>
      </c>
      <c r="AW58" s="252">
        <f t="shared" si="9"/>
        <v>1</v>
      </c>
      <c r="AX58" s="252">
        <f t="shared" si="10"/>
        <v>1</v>
      </c>
      <c r="AY58" s="252">
        <f t="shared" si="11"/>
        <v>1</v>
      </c>
      <c r="AZ58" s="252">
        <f t="shared" si="12"/>
        <v>1</v>
      </c>
      <c r="BA58" s="237"/>
      <c r="BB58" s="237"/>
      <c r="BC58" s="237"/>
      <c r="BD58" s="237"/>
      <c r="BE58" s="237"/>
      <c r="BF58" s="237"/>
      <c r="BG58" s="252">
        <f t="shared" si="13"/>
        <v>1</v>
      </c>
      <c r="BH58" s="237"/>
      <c r="BI58" s="237"/>
      <c r="BJ58" s="252">
        <f t="shared" si="14"/>
        <v>1</v>
      </c>
      <c r="BK58" s="252">
        <f t="shared" si="15"/>
        <v>1</v>
      </c>
      <c r="BL58" s="252">
        <f t="shared" si="16"/>
        <v>1</v>
      </c>
      <c r="BM58" s="252">
        <f t="shared" si="17"/>
        <v>1</v>
      </c>
      <c r="BN58" s="252">
        <f t="shared" si="18"/>
        <v>1</v>
      </c>
      <c r="BO58" s="252">
        <f t="shared" si="19"/>
        <v>1</v>
      </c>
      <c r="BP58" s="2578"/>
      <c r="BQ58" s="2562"/>
      <c r="BR58" s="2562"/>
      <c r="BS58" s="2585"/>
      <c r="BT58" s="2585"/>
      <c r="BU58" s="2585"/>
    </row>
    <row r="59" spans="1:73" s="22" customFormat="1" ht="15.75" hidden="1" customHeight="1" outlineLevel="1">
      <c r="A59" s="2585"/>
      <c r="B59" s="44"/>
      <c r="C59" s="45"/>
      <c r="D59" s="46"/>
      <c r="E59" s="46"/>
      <c r="F59" s="45"/>
      <c r="G59" s="46"/>
      <c r="H59" s="45"/>
      <c r="I59" s="45"/>
      <c r="J59" s="47"/>
      <c r="K59" s="48"/>
      <c r="L59" s="47"/>
      <c r="M59" s="1913"/>
      <c r="N59" s="48"/>
      <c r="O59" s="49"/>
      <c r="P59" s="49"/>
      <c r="Q59" s="1884">
        <f t="shared" si="20"/>
        <v>0</v>
      </c>
      <c r="R59" s="1885">
        <f t="shared" si="0"/>
        <v>0</v>
      </c>
      <c r="S59" s="1885">
        <f t="shared" si="1"/>
        <v>0</v>
      </c>
      <c r="T59" s="1914"/>
      <c r="U59" s="1914"/>
      <c r="V59" s="1914"/>
      <c r="W59" s="50"/>
      <c r="X59" s="1891">
        <f t="shared" si="2"/>
        <v>0</v>
      </c>
      <c r="Y59" s="1891">
        <f t="shared" si="5"/>
        <v>0</v>
      </c>
      <c r="Z59" s="50"/>
      <c r="AA59" s="50"/>
      <c r="AB59" s="48"/>
      <c r="AC59" s="48"/>
      <c r="AD59" s="48"/>
      <c r="AE59" s="45"/>
      <c r="AF59" s="51"/>
      <c r="AG59" s="42"/>
      <c r="AH59" s="52" t="s">
        <v>4579</v>
      </c>
      <c r="AI59" s="197"/>
      <c r="AJ59" s="2578"/>
      <c r="AK59" s="251"/>
      <c r="AL59" s="2578"/>
      <c r="AM59" s="2562"/>
      <c r="AN59" s="2562"/>
      <c r="AO59" s="2562"/>
      <c r="AP59" s="2562"/>
      <c r="AQ59" s="2562"/>
      <c r="AR59" s="2562"/>
      <c r="AS59" s="2562"/>
      <c r="AT59" s="252">
        <f t="shared" si="6"/>
        <v>1</v>
      </c>
      <c r="AU59" s="252">
        <f t="shared" si="7"/>
        <v>1</v>
      </c>
      <c r="AV59" s="252">
        <f t="shared" si="8"/>
        <v>1</v>
      </c>
      <c r="AW59" s="252">
        <f t="shared" si="9"/>
        <v>1</v>
      </c>
      <c r="AX59" s="252">
        <f t="shared" si="10"/>
        <v>1</v>
      </c>
      <c r="AY59" s="252">
        <f t="shared" si="11"/>
        <v>1</v>
      </c>
      <c r="AZ59" s="252">
        <f t="shared" si="12"/>
        <v>1</v>
      </c>
      <c r="BA59" s="237"/>
      <c r="BB59" s="237"/>
      <c r="BC59" s="237"/>
      <c r="BD59" s="237"/>
      <c r="BE59" s="237"/>
      <c r="BF59" s="237"/>
      <c r="BG59" s="252">
        <f t="shared" si="13"/>
        <v>1</v>
      </c>
      <c r="BH59" s="237"/>
      <c r="BI59" s="237"/>
      <c r="BJ59" s="252">
        <f t="shared" si="14"/>
        <v>1</v>
      </c>
      <c r="BK59" s="252">
        <f t="shared" si="15"/>
        <v>1</v>
      </c>
      <c r="BL59" s="252">
        <f t="shared" si="16"/>
        <v>1</v>
      </c>
      <c r="BM59" s="252">
        <f t="shared" si="17"/>
        <v>1</v>
      </c>
      <c r="BN59" s="252">
        <f t="shared" si="18"/>
        <v>1</v>
      </c>
      <c r="BO59" s="252">
        <f t="shared" si="19"/>
        <v>1</v>
      </c>
      <c r="BP59" s="2578"/>
      <c r="BQ59" s="2562"/>
      <c r="BR59" s="2562"/>
      <c r="BS59" s="2585"/>
      <c r="BT59" s="2585"/>
      <c r="BU59" s="2585"/>
    </row>
    <row r="60" spans="1:73" s="22" customFormat="1" ht="15.75" hidden="1" customHeight="1" outlineLevel="1">
      <c r="A60" s="2585"/>
      <c r="B60" s="44"/>
      <c r="C60" s="45"/>
      <c r="D60" s="46"/>
      <c r="E60" s="46"/>
      <c r="F60" s="45"/>
      <c r="G60" s="46"/>
      <c r="H60" s="45"/>
      <c r="I60" s="45"/>
      <c r="J60" s="47"/>
      <c r="K60" s="48"/>
      <c r="L60" s="47"/>
      <c r="M60" s="1913"/>
      <c r="N60" s="48"/>
      <c r="O60" s="49"/>
      <c r="P60" s="49"/>
      <c r="Q60" s="1884">
        <f t="shared" si="20"/>
        <v>0</v>
      </c>
      <c r="R60" s="1885">
        <f t="shared" si="0"/>
        <v>0</v>
      </c>
      <c r="S60" s="1885">
        <f t="shared" si="1"/>
        <v>0</v>
      </c>
      <c r="T60" s="1914"/>
      <c r="U60" s="1914"/>
      <c r="V60" s="1914"/>
      <c r="W60" s="50"/>
      <c r="X60" s="1891">
        <f t="shared" si="2"/>
        <v>0</v>
      </c>
      <c r="Y60" s="1891">
        <f t="shared" si="5"/>
        <v>0</v>
      </c>
      <c r="Z60" s="50"/>
      <c r="AA60" s="50"/>
      <c r="AB60" s="48"/>
      <c r="AC60" s="48"/>
      <c r="AD60" s="48"/>
      <c r="AE60" s="45"/>
      <c r="AF60" s="51"/>
      <c r="AG60" s="42"/>
      <c r="AH60" s="52" t="s">
        <v>4580</v>
      </c>
      <c r="AI60" s="197"/>
      <c r="AJ60" s="2578"/>
      <c r="AK60" s="251"/>
      <c r="AL60" s="2578"/>
      <c r="AM60" s="2562"/>
      <c r="AN60" s="2562"/>
      <c r="AO60" s="2562"/>
      <c r="AP60" s="2562"/>
      <c r="AQ60" s="2562"/>
      <c r="AR60" s="2562"/>
      <c r="AS60" s="2562"/>
      <c r="AT60" s="252">
        <f t="shared" si="6"/>
        <v>1</v>
      </c>
      <c r="AU60" s="252">
        <f t="shared" si="7"/>
        <v>1</v>
      </c>
      <c r="AV60" s="252">
        <f t="shared" si="8"/>
        <v>1</v>
      </c>
      <c r="AW60" s="252">
        <f t="shared" si="9"/>
        <v>1</v>
      </c>
      <c r="AX60" s="252">
        <f t="shared" si="10"/>
        <v>1</v>
      </c>
      <c r="AY60" s="252">
        <f t="shared" si="11"/>
        <v>1</v>
      </c>
      <c r="AZ60" s="252">
        <f t="shared" si="12"/>
        <v>1</v>
      </c>
      <c r="BA60" s="237"/>
      <c r="BB60" s="237"/>
      <c r="BC60" s="237"/>
      <c r="BD60" s="237"/>
      <c r="BE60" s="237"/>
      <c r="BF60" s="237"/>
      <c r="BG60" s="252">
        <f t="shared" si="13"/>
        <v>1</v>
      </c>
      <c r="BH60" s="237"/>
      <c r="BI60" s="237"/>
      <c r="BJ60" s="252">
        <f t="shared" si="14"/>
        <v>1</v>
      </c>
      <c r="BK60" s="252">
        <f t="shared" si="15"/>
        <v>1</v>
      </c>
      <c r="BL60" s="252">
        <f t="shared" si="16"/>
        <v>1</v>
      </c>
      <c r="BM60" s="252">
        <f t="shared" si="17"/>
        <v>1</v>
      </c>
      <c r="BN60" s="252">
        <f t="shared" si="18"/>
        <v>1</v>
      </c>
      <c r="BO60" s="252">
        <f t="shared" si="19"/>
        <v>1</v>
      </c>
      <c r="BP60" s="2578"/>
      <c r="BQ60" s="2562"/>
      <c r="BR60" s="2562"/>
      <c r="BS60" s="2585"/>
      <c r="BT60" s="2585"/>
      <c r="BU60" s="2585"/>
    </row>
    <row r="61" spans="1:73" s="22" customFormat="1" ht="15.75" hidden="1" customHeight="1" outlineLevel="1">
      <c r="A61" s="2585"/>
      <c r="B61" s="44"/>
      <c r="C61" s="45"/>
      <c r="D61" s="46"/>
      <c r="E61" s="46"/>
      <c r="F61" s="45"/>
      <c r="G61" s="46"/>
      <c r="H61" s="45"/>
      <c r="I61" s="45"/>
      <c r="J61" s="47"/>
      <c r="K61" s="48"/>
      <c r="L61" s="47"/>
      <c r="M61" s="1913"/>
      <c r="N61" s="48"/>
      <c r="O61" s="49"/>
      <c r="P61" s="49"/>
      <c r="Q61" s="1884">
        <f t="shared" si="20"/>
        <v>0</v>
      </c>
      <c r="R61" s="1885">
        <f t="shared" si="0"/>
        <v>0</v>
      </c>
      <c r="S61" s="1885">
        <f t="shared" si="1"/>
        <v>0</v>
      </c>
      <c r="T61" s="1914"/>
      <c r="U61" s="1914"/>
      <c r="V61" s="1914"/>
      <c r="W61" s="50"/>
      <c r="X61" s="1891">
        <f t="shared" si="2"/>
        <v>0</v>
      </c>
      <c r="Y61" s="1891">
        <f t="shared" si="5"/>
        <v>0</v>
      </c>
      <c r="Z61" s="50"/>
      <c r="AA61" s="50"/>
      <c r="AB61" s="48"/>
      <c r="AC61" s="48"/>
      <c r="AD61" s="48"/>
      <c r="AE61" s="45"/>
      <c r="AF61" s="51"/>
      <c r="AG61" s="42"/>
      <c r="AH61" s="52" t="s">
        <v>4581</v>
      </c>
      <c r="AI61" s="197"/>
      <c r="AJ61" s="2578"/>
      <c r="AK61" s="251"/>
      <c r="AL61" s="2578"/>
      <c r="AM61" s="2562"/>
      <c r="AN61" s="2562"/>
      <c r="AO61" s="2562"/>
      <c r="AP61" s="2562"/>
      <c r="AQ61" s="2562"/>
      <c r="AR61" s="2562"/>
      <c r="AS61" s="2562"/>
      <c r="AT61" s="252">
        <f t="shared" si="6"/>
        <v>1</v>
      </c>
      <c r="AU61" s="252">
        <f t="shared" si="7"/>
        <v>1</v>
      </c>
      <c r="AV61" s="252">
        <f t="shared" si="8"/>
        <v>1</v>
      </c>
      <c r="AW61" s="252">
        <f t="shared" si="9"/>
        <v>1</v>
      </c>
      <c r="AX61" s="252">
        <f t="shared" si="10"/>
        <v>1</v>
      </c>
      <c r="AY61" s="252">
        <f t="shared" si="11"/>
        <v>1</v>
      </c>
      <c r="AZ61" s="252">
        <f t="shared" si="12"/>
        <v>1</v>
      </c>
      <c r="BA61" s="237"/>
      <c r="BB61" s="237"/>
      <c r="BC61" s="237"/>
      <c r="BD61" s="237"/>
      <c r="BE61" s="237"/>
      <c r="BF61" s="237"/>
      <c r="BG61" s="252">
        <f t="shared" si="13"/>
        <v>1</v>
      </c>
      <c r="BH61" s="237"/>
      <c r="BI61" s="237"/>
      <c r="BJ61" s="252">
        <f t="shared" si="14"/>
        <v>1</v>
      </c>
      <c r="BK61" s="252">
        <f t="shared" si="15"/>
        <v>1</v>
      </c>
      <c r="BL61" s="252">
        <f t="shared" si="16"/>
        <v>1</v>
      </c>
      <c r="BM61" s="252">
        <f t="shared" si="17"/>
        <v>1</v>
      </c>
      <c r="BN61" s="252">
        <f t="shared" si="18"/>
        <v>1</v>
      </c>
      <c r="BO61" s="252">
        <f t="shared" si="19"/>
        <v>1</v>
      </c>
      <c r="BP61" s="2578"/>
      <c r="BQ61" s="2562"/>
      <c r="BR61" s="2562"/>
      <c r="BS61" s="2585"/>
      <c r="BT61" s="2585"/>
      <c r="BU61" s="2585"/>
    </row>
    <row r="62" spans="1:73" s="22" customFormat="1" ht="15.75" hidden="1" customHeight="1" outlineLevel="1">
      <c r="A62" s="2585"/>
      <c r="B62" s="44"/>
      <c r="C62" s="45"/>
      <c r="D62" s="46"/>
      <c r="E62" s="46"/>
      <c r="F62" s="45"/>
      <c r="G62" s="46"/>
      <c r="H62" s="45"/>
      <c r="I62" s="45"/>
      <c r="J62" s="47"/>
      <c r="K62" s="48"/>
      <c r="L62" s="47"/>
      <c r="M62" s="1913"/>
      <c r="N62" s="48"/>
      <c r="O62" s="49"/>
      <c r="P62" s="49"/>
      <c r="Q62" s="1884">
        <f t="shared" si="20"/>
        <v>0</v>
      </c>
      <c r="R62" s="1885">
        <f t="shared" si="0"/>
        <v>0</v>
      </c>
      <c r="S62" s="1885">
        <f t="shared" si="1"/>
        <v>0</v>
      </c>
      <c r="T62" s="1914"/>
      <c r="U62" s="1914"/>
      <c r="V62" s="1914"/>
      <c r="W62" s="50"/>
      <c r="X62" s="1891">
        <f t="shared" si="2"/>
        <v>0</v>
      </c>
      <c r="Y62" s="1891">
        <f t="shared" si="5"/>
        <v>0</v>
      </c>
      <c r="Z62" s="50"/>
      <c r="AA62" s="50"/>
      <c r="AB62" s="48"/>
      <c r="AC62" s="48"/>
      <c r="AD62" s="48"/>
      <c r="AE62" s="45"/>
      <c r="AF62" s="51"/>
      <c r="AG62" s="42"/>
      <c r="AH62" s="52" t="s">
        <v>4582</v>
      </c>
      <c r="AI62" s="197"/>
      <c r="AJ62" s="2578"/>
      <c r="AK62" s="251"/>
      <c r="AL62" s="2578"/>
      <c r="AM62" s="2562"/>
      <c r="AN62" s="2562"/>
      <c r="AO62" s="2562"/>
      <c r="AP62" s="2562"/>
      <c r="AQ62" s="2562"/>
      <c r="AR62" s="2562"/>
      <c r="AS62" s="2562"/>
      <c r="AT62" s="252">
        <f t="shared" si="6"/>
        <v>1</v>
      </c>
      <c r="AU62" s="252">
        <f t="shared" si="7"/>
        <v>1</v>
      </c>
      <c r="AV62" s="252">
        <f t="shared" si="8"/>
        <v>1</v>
      </c>
      <c r="AW62" s="252">
        <f t="shared" si="9"/>
        <v>1</v>
      </c>
      <c r="AX62" s="252">
        <f t="shared" si="10"/>
        <v>1</v>
      </c>
      <c r="AY62" s="252">
        <f t="shared" si="11"/>
        <v>1</v>
      </c>
      <c r="AZ62" s="252">
        <f t="shared" si="12"/>
        <v>1</v>
      </c>
      <c r="BA62" s="237"/>
      <c r="BB62" s="237"/>
      <c r="BC62" s="237"/>
      <c r="BD62" s="237"/>
      <c r="BE62" s="237"/>
      <c r="BF62" s="237"/>
      <c r="BG62" s="252">
        <f t="shared" si="13"/>
        <v>1</v>
      </c>
      <c r="BH62" s="237"/>
      <c r="BI62" s="237"/>
      <c r="BJ62" s="252">
        <f t="shared" si="14"/>
        <v>1</v>
      </c>
      <c r="BK62" s="252">
        <f t="shared" si="15"/>
        <v>1</v>
      </c>
      <c r="BL62" s="252">
        <f t="shared" si="16"/>
        <v>1</v>
      </c>
      <c r="BM62" s="252">
        <f t="shared" si="17"/>
        <v>1</v>
      </c>
      <c r="BN62" s="252">
        <f t="shared" si="18"/>
        <v>1</v>
      </c>
      <c r="BO62" s="252">
        <f t="shared" si="19"/>
        <v>1</v>
      </c>
      <c r="BP62" s="2578"/>
      <c r="BQ62" s="2562"/>
      <c r="BR62" s="2562"/>
      <c r="BS62" s="2585"/>
      <c r="BT62" s="2585"/>
      <c r="BU62" s="2585"/>
    </row>
    <row r="63" spans="1:73" s="22" customFormat="1" ht="15.75" hidden="1" customHeight="1" outlineLevel="1">
      <c r="A63" s="2585"/>
      <c r="B63" s="44"/>
      <c r="C63" s="45"/>
      <c r="D63" s="46"/>
      <c r="E63" s="46"/>
      <c r="F63" s="45"/>
      <c r="G63" s="46"/>
      <c r="H63" s="45"/>
      <c r="I63" s="45"/>
      <c r="J63" s="47"/>
      <c r="K63" s="48"/>
      <c r="L63" s="47"/>
      <c r="M63" s="1913"/>
      <c r="N63" s="48"/>
      <c r="O63" s="49"/>
      <c r="P63" s="49"/>
      <c r="Q63" s="1884">
        <f t="shared" si="20"/>
        <v>0</v>
      </c>
      <c r="R63" s="1885">
        <f t="shared" si="0"/>
        <v>0</v>
      </c>
      <c r="S63" s="1885">
        <f t="shared" si="1"/>
        <v>0</v>
      </c>
      <c r="T63" s="1914"/>
      <c r="U63" s="1914"/>
      <c r="V63" s="1914"/>
      <c r="W63" s="50"/>
      <c r="X63" s="1891">
        <f t="shared" si="2"/>
        <v>0</v>
      </c>
      <c r="Y63" s="1891">
        <f t="shared" si="5"/>
        <v>0</v>
      </c>
      <c r="Z63" s="50"/>
      <c r="AA63" s="50"/>
      <c r="AB63" s="48"/>
      <c r="AC63" s="48"/>
      <c r="AD63" s="48"/>
      <c r="AE63" s="45"/>
      <c r="AF63" s="51"/>
      <c r="AG63" s="42"/>
      <c r="AH63" s="52" t="s">
        <v>4583</v>
      </c>
      <c r="AI63" s="197"/>
      <c r="AJ63" s="2578"/>
      <c r="AK63" s="251"/>
      <c r="AL63" s="2578"/>
      <c r="AM63" s="2562"/>
      <c r="AN63" s="2562"/>
      <c r="AO63" s="2562"/>
      <c r="AP63" s="2562"/>
      <c r="AQ63" s="2562"/>
      <c r="AR63" s="2562"/>
      <c r="AS63" s="2562"/>
      <c r="AT63" s="252">
        <f t="shared" si="6"/>
        <v>1</v>
      </c>
      <c r="AU63" s="252">
        <f t="shared" si="7"/>
        <v>1</v>
      </c>
      <c r="AV63" s="252">
        <f t="shared" si="8"/>
        <v>1</v>
      </c>
      <c r="AW63" s="252">
        <f t="shared" si="9"/>
        <v>1</v>
      </c>
      <c r="AX63" s="252">
        <f t="shared" si="10"/>
        <v>1</v>
      </c>
      <c r="AY63" s="252">
        <f t="shared" si="11"/>
        <v>1</v>
      </c>
      <c r="AZ63" s="252">
        <f t="shared" si="12"/>
        <v>1</v>
      </c>
      <c r="BA63" s="237"/>
      <c r="BB63" s="237"/>
      <c r="BC63" s="237"/>
      <c r="BD63" s="237"/>
      <c r="BE63" s="237"/>
      <c r="BF63" s="237"/>
      <c r="BG63" s="252">
        <f t="shared" si="13"/>
        <v>1</v>
      </c>
      <c r="BH63" s="237"/>
      <c r="BI63" s="237"/>
      <c r="BJ63" s="252">
        <f t="shared" si="14"/>
        <v>1</v>
      </c>
      <c r="BK63" s="252">
        <f t="shared" si="15"/>
        <v>1</v>
      </c>
      <c r="BL63" s="252">
        <f t="shared" si="16"/>
        <v>1</v>
      </c>
      <c r="BM63" s="252">
        <f t="shared" si="17"/>
        <v>1</v>
      </c>
      <c r="BN63" s="252">
        <f t="shared" si="18"/>
        <v>1</v>
      </c>
      <c r="BO63" s="252">
        <f t="shared" si="19"/>
        <v>1</v>
      </c>
      <c r="BP63" s="2578"/>
      <c r="BQ63" s="2562"/>
      <c r="BR63" s="2562"/>
      <c r="BS63" s="2585"/>
      <c r="BT63" s="2585"/>
      <c r="BU63" s="2585"/>
    </row>
    <row r="64" spans="1:73" s="22" customFormat="1" ht="15.75" hidden="1" customHeight="1" outlineLevel="1">
      <c r="A64" s="2585"/>
      <c r="B64" s="44"/>
      <c r="C64" s="45"/>
      <c r="D64" s="46"/>
      <c r="E64" s="46"/>
      <c r="F64" s="45"/>
      <c r="G64" s="46"/>
      <c r="H64" s="45"/>
      <c r="I64" s="45"/>
      <c r="J64" s="47"/>
      <c r="K64" s="48"/>
      <c r="L64" s="47"/>
      <c r="M64" s="1913"/>
      <c r="N64" s="48"/>
      <c r="O64" s="49"/>
      <c r="P64" s="49"/>
      <c r="Q64" s="1884">
        <f t="shared" si="20"/>
        <v>0</v>
      </c>
      <c r="R64" s="1885">
        <f t="shared" si="0"/>
        <v>0</v>
      </c>
      <c r="S64" s="1885">
        <f t="shared" si="1"/>
        <v>0</v>
      </c>
      <c r="T64" s="1914"/>
      <c r="U64" s="1914"/>
      <c r="V64" s="1914"/>
      <c r="W64" s="50"/>
      <c r="X64" s="1891">
        <f t="shared" si="2"/>
        <v>0</v>
      </c>
      <c r="Y64" s="1891">
        <f t="shared" si="5"/>
        <v>0</v>
      </c>
      <c r="Z64" s="50"/>
      <c r="AA64" s="50"/>
      <c r="AB64" s="48"/>
      <c r="AC64" s="48"/>
      <c r="AD64" s="48"/>
      <c r="AE64" s="45"/>
      <c r="AF64" s="51"/>
      <c r="AG64" s="42"/>
      <c r="AH64" s="52" t="s">
        <v>4584</v>
      </c>
      <c r="AI64" s="197"/>
      <c r="AJ64" s="2578"/>
      <c r="AK64" s="251"/>
      <c r="AL64" s="2578"/>
      <c r="AM64" s="2562"/>
      <c r="AN64" s="2562"/>
      <c r="AO64" s="2562"/>
      <c r="AP64" s="2562"/>
      <c r="AQ64" s="2562"/>
      <c r="AR64" s="2562"/>
      <c r="AS64" s="2562"/>
      <c r="AT64" s="252">
        <f t="shared" si="6"/>
        <v>1</v>
      </c>
      <c r="AU64" s="252">
        <f t="shared" si="7"/>
        <v>1</v>
      </c>
      <c r="AV64" s="252">
        <f t="shared" si="8"/>
        <v>1</v>
      </c>
      <c r="AW64" s="252">
        <f t="shared" si="9"/>
        <v>1</v>
      </c>
      <c r="AX64" s="252">
        <f t="shared" si="10"/>
        <v>1</v>
      </c>
      <c r="AY64" s="252">
        <f t="shared" si="11"/>
        <v>1</v>
      </c>
      <c r="AZ64" s="252">
        <f t="shared" si="12"/>
        <v>1</v>
      </c>
      <c r="BA64" s="237"/>
      <c r="BB64" s="237"/>
      <c r="BC64" s="237"/>
      <c r="BD64" s="237"/>
      <c r="BE64" s="237"/>
      <c r="BF64" s="237"/>
      <c r="BG64" s="252">
        <f t="shared" si="13"/>
        <v>1</v>
      </c>
      <c r="BH64" s="237"/>
      <c r="BI64" s="237"/>
      <c r="BJ64" s="252">
        <f t="shared" si="14"/>
        <v>1</v>
      </c>
      <c r="BK64" s="252">
        <f t="shared" si="15"/>
        <v>1</v>
      </c>
      <c r="BL64" s="252">
        <f t="shared" si="16"/>
        <v>1</v>
      </c>
      <c r="BM64" s="252">
        <f t="shared" si="17"/>
        <v>1</v>
      </c>
      <c r="BN64" s="252">
        <f t="shared" si="18"/>
        <v>1</v>
      </c>
      <c r="BO64" s="252">
        <f t="shared" si="19"/>
        <v>1</v>
      </c>
      <c r="BP64" s="2578"/>
      <c r="BQ64" s="2562"/>
      <c r="BR64" s="2562"/>
      <c r="BS64" s="2585"/>
      <c r="BT64" s="2585"/>
      <c r="BU64" s="2585"/>
    </row>
    <row r="65" spans="1:73" s="22" customFormat="1" ht="15.75" hidden="1" customHeight="1" outlineLevel="1">
      <c r="A65" s="2585"/>
      <c r="B65" s="44"/>
      <c r="C65" s="45"/>
      <c r="D65" s="46"/>
      <c r="E65" s="46"/>
      <c r="F65" s="45"/>
      <c r="G65" s="46"/>
      <c r="H65" s="45"/>
      <c r="I65" s="45"/>
      <c r="J65" s="47"/>
      <c r="K65" s="48"/>
      <c r="L65" s="47"/>
      <c r="M65" s="1913"/>
      <c r="N65" s="48"/>
      <c r="O65" s="49"/>
      <c r="P65" s="49"/>
      <c r="Q65" s="1884">
        <f t="shared" si="20"/>
        <v>0</v>
      </c>
      <c r="R65" s="1885">
        <f t="shared" si="0"/>
        <v>0</v>
      </c>
      <c r="S65" s="1885">
        <f t="shared" si="1"/>
        <v>0</v>
      </c>
      <c r="T65" s="1914"/>
      <c r="U65" s="1914"/>
      <c r="V65" s="1914"/>
      <c r="W65" s="50"/>
      <c r="X65" s="1891">
        <f t="shared" si="2"/>
        <v>0</v>
      </c>
      <c r="Y65" s="1891">
        <f t="shared" si="5"/>
        <v>0</v>
      </c>
      <c r="Z65" s="50"/>
      <c r="AA65" s="50"/>
      <c r="AB65" s="48"/>
      <c r="AC65" s="48"/>
      <c r="AD65" s="48"/>
      <c r="AE65" s="45"/>
      <c r="AF65" s="51"/>
      <c r="AG65" s="42"/>
      <c r="AH65" s="52" t="s">
        <v>4585</v>
      </c>
      <c r="AI65" s="197"/>
      <c r="AJ65" s="2578"/>
      <c r="AK65" s="251"/>
      <c r="AL65" s="2578"/>
      <c r="AM65" s="2562"/>
      <c r="AN65" s="2562"/>
      <c r="AO65" s="2562"/>
      <c r="AP65" s="2562"/>
      <c r="AQ65" s="2562"/>
      <c r="AR65" s="2562"/>
      <c r="AS65" s="2562"/>
      <c r="AT65" s="252">
        <f t="shared" si="6"/>
        <v>1</v>
      </c>
      <c r="AU65" s="252">
        <f t="shared" si="7"/>
        <v>1</v>
      </c>
      <c r="AV65" s="252">
        <f t="shared" si="8"/>
        <v>1</v>
      </c>
      <c r="AW65" s="252">
        <f t="shared" si="9"/>
        <v>1</v>
      </c>
      <c r="AX65" s="252">
        <f t="shared" si="10"/>
        <v>1</v>
      </c>
      <c r="AY65" s="252">
        <f t="shared" si="11"/>
        <v>1</v>
      </c>
      <c r="AZ65" s="252">
        <f t="shared" si="12"/>
        <v>1</v>
      </c>
      <c r="BA65" s="237"/>
      <c r="BB65" s="237"/>
      <c r="BC65" s="237"/>
      <c r="BD65" s="237"/>
      <c r="BE65" s="237"/>
      <c r="BF65" s="237"/>
      <c r="BG65" s="252">
        <f t="shared" si="13"/>
        <v>1</v>
      </c>
      <c r="BH65" s="237"/>
      <c r="BI65" s="237"/>
      <c r="BJ65" s="252">
        <f t="shared" si="14"/>
        <v>1</v>
      </c>
      <c r="BK65" s="252">
        <f t="shared" si="15"/>
        <v>1</v>
      </c>
      <c r="BL65" s="252">
        <f t="shared" si="16"/>
        <v>1</v>
      </c>
      <c r="BM65" s="252">
        <f t="shared" si="17"/>
        <v>1</v>
      </c>
      <c r="BN65" s="252">
        <f t="shared" si="18"/>
        <v>1</v>
      </c>
      <c r="BO65" s="252">
        <f t="shared" si="19"/>
        <v>1</v>
      </c>
      <c r="BP65" s="2578"/>
      <c r="BQ65" s="2562"/>
      <c r="BR65" s="2562"/>
      <c r="BS65" s="2585"/>
      <c r="BT65" s="2585"/>
      <c r="BU65" s="2585"/>
    </row>
    <row r="66" spans="1:73" s="22" customFormat="1" ht="15.75" hidden="1" customHeight="1" outlineLevel="1">
      <c r="A66" s="2585"/>
      <c r="B66" s="44"/>
      <c r="C66" s="45"/>
      <c r="D66" s="46"/>
      <c r="E66" s="46"/>
      <c r="F66" s="45"/>
      <c r="G66" s="46"/>
      <c r="H66" s="45"/>
      <c r="I66" s="45"/>
      <c r="J66" s="47"/>
      <c r="K66" s="48"/>
      <c r="L66" s="47"/>
      <c r="M66" s="1913"/>
      <c r="N66" s="48"/>
      <c r="O66" s="49"/>
      <c r="P66" s="49"/>
      <c r="Q66" s="1884">
        <f t="shared" si="20"/>
        <v>0</v>
      </c>
      <c r="R66" s="1885">
        <f t="shared" si="0"/>
        <v>0</v>
      </c>
      <c r="S66" s="1885">
        <f t="shared" si="1"/>
        <v>0</v>
      </c>
      <c r="T66" s="1914"/>
      <c r="U66" s="1914"/>
      <c r="V66" s="1914"/>
      <c r="W66" s="50"/>
      <c r="X66" s="1891">
        <f t="shared" si="2"/>
        <v>0</v>
      </c>
      <c r="Y66" s="1891">
        <f t="shared" si="5"/>
        <v>0</v>
      </c>
      <c r="Z66" s="50"/>
      <c r="AA66" s="50"/>
      <c r="AB66" s="48"/>
      <c r="AC66" s="48"/>
      <c r="AD66" s="48"/>
      <c r="AE66" s="45"/>
      <c r="AF66" s="51"/>
      <c r="AG66" s="42"/>
      <c r="AH66" s="52" t="s">
        <v>4586</v>
      </c>
      <c r="AI66" s="197"/>
      <c r="AJ66" s="2578"/>
      <c r="AK66" s="251"/>
      <c r="AL66" s="2578"/>
      <c r="AM66" s="2562"/>
      <c r="AN66" s="2562"/>
      <c r="AO66" s="2562"/>
      <c r="AP66" s="2562"/>
      <c r="AQ66" s="2562"/>
      <c r="AR66" s="2562"/>
      <c r="AS66" s="2562"/>
      <c r="AT66" s="252">
        <f t="shared" si="6"/>
        <v>1</v>
      </c>
      <c r="AU66" s="252">
        <f t="shared" si="7"/>
        <v>1</v>
      </c>
      <c r="AV66" s="252">
        <f t="shared" si="8"/>
        <v>1</v>
      </c>
      <c r="AW66" s="252">
        <f t="shared" si="9"/>
        <v>1</v>
      </c>
      <c r="AX66" s="252">
        <f t="shared" si="10"/>
        <v>1</v>
      </c>
      <c r="AY66" s="252">
        <f t="shared" si="11"/>
        <v>1</v>
      </c>
      <c r="AZ66" s="252">
        <f t="shared" si="12"/>
        <v>1</v>
      </c>
      <c r="BA66" s="237"/>
      <c r="BB66" s="237"/>
      <c r="BC66" s="237"/>
      <c r="BD66" s="237"/>
      <c r="BE66" s="237"/>
      <c r="BF66" s="237"/>
      <c r="BG66" s="252">
        <f t="shared" si="13"/>
        <v>1</v>
      </c>
      <c r="BH66" s="237"/>
      <c r="BI66" s="237"/>
      <c r="BJ66" s="252">
        <f t="shared" si="14"/>
        <v>1</v>
      </c>
      <c r="BK66" s="252">
        <f t="shared" si="15"/>
        <v>1</v>
      </c>
      <c r="BL66" s="252">
        <f t="shared" si="16"/>
        <v>1</v>
      </c>
      <c r="BM66" s="252">
        <f t="shared" si="17"/>
        <v>1</v>
      </c>
      <c r="BN66" s="252">
        <f t="shared" si="18"/>
        <v>1</v>
      </c>
      <c r="BO66" s="252">
        <f t="shared" si="19"/>
        <v>1</v>
      </c>
      <c r="BP66" s="2578"/>
      <c r="BQ66" s="2562"/>
      <c r="BR66" s="2562"/>
      <c r="BS66" s="2585"/>
      <c r="BT66" s="2585"/>
      <c r="BU66" s="2585"/>
    </row>
    <row r="67" spans="1:73" s="22" customFormat="1" ht="15.75" hidden="1" customHeight="1" outlineLevel="1">
      <c r="A67" s="2585"/>
      <c r="B67" s="44"/>
      <c r="C67" s="45"/>
      <c r="D67" s="46"/>
      <c r="E67" s="46"/>
      <c r="F67" s="45"/>
      <c r="G67" s="46"/>
      <c r="H67" s="45"/>
      <c r="I67" s="45"/>
      <c r="J67" s="47"/>
      <c r="K67" s="48"/>
      <c r="L67" s="47"/>
      <c r="M67" s="1913"/>
      <c r="N67" s="48"/>
      <c r="O67" s="49"/>
      <c r="P67" s="49"/>
      <c r="Q67" s="1884">
        <f t="shared" si="20"/>
        <v>0</v>
      </c>
      <c r="R67" s="1885">
        <f t="shared" si="0"/>
        <v>0</v>
      </c>
      <c r="S67" s="1885">
        <f t="shared" si="1"/>
        <v>0</v>
      </c>
      <c r="T67" s="1914"/>
      <c r="U67" s="1914"/>
      <c r="V67" s="1914"/>
      <c r="W67" s="50"/>
      <c r="X67" s="1891">
        <f t="shared" si="2"/>
        <v>0</v>
      </c>
      <c r="Y67" s="1891">
        <f t="shared" si="5"/>
        <v>0</v>
      </c>
      <c r="Z67" s="50"/>
      <c r="AA67" s="50"/>
      <c r="AB67" s="48"/>
      <c r="AC67" s="48"/>
      <c r="AD67" s="48"/>
      <c r="AE67" s="45"/>
      <c r="AF67" s="51"/>
      <c r="AG67" s="42"/>
      <c r="AH67" s="52" t="s">
        <v>4587</v>
      </c>
      <c r="AI67" s="197"/>
      <c r="AJ67" s="2578"/>
      <c r="AK67" s="251"/>
      <c r="AL67" s="2578"/>
      <c r="AM67" s="2562"/>
      <c r="AN67" s="2562"/>
      <c r="AO67" s="2562"/>
      <c r="AP67" s="2562"/>
      <c r="AQ67" s="2562"/>
      <c r="AR67" s="2562"/>
      <c r="AS67" s="2562"/>
      <c r="AT67" s="252">
        <f t="shared" si="6"/>
        <v>1</v>
      </c>
      <c r="AU67" s="252">
        <f t="shared" si="7"/>
        <v>1</v>
      </c>
      <c r="AV67" s="252">
        <f t="shared" si="8"/>
        <v>1</v>
      </c>
      <c r="AW67" s="252">
        <f t="shared" si="9"/>
        <v>1</v>
      </c>
      <c r="AX67" s="252">
        <f t="shared" si="10"/>
        <v>1</v>
      </c>
      <c r="AY67" s="252">
        <f t="shared" si="11"/>
        <v>1</v>
      </c>
      <c r="AZ67" s="252">
        <f t="shared" si="12"/>
        <v>1</v>
      </c>
      <c r="BA67" s="237"/>
      <c r="BB67" s="237"/>
      <c r="BC67" s="237"/>
      <c r="BD67" s="237"/>
      <c r="BE67" s="237"/>
      <c r="BF67" s="237"/>
      <c r="BG67" s="252">
        <f t="shared" si="13"/>
        <v>1</v>
      </c>
      <c r="BH67" s="237"/>
      <c r="BI67" s="237"/>
      <c r="BJ67" s="252">
        <f t="shared" si="14"/>
        <v>1</v>
      </c>
      <c r="BK67" s="252">
        <f t="shared" si="15"/>
        <v>1</v>
      </c>
      <c r="BL67" s="252">
        <f t="shared" si="16"/>
        <v>1</v>
      </c>
      <c r="BM67" s="252">
        <f t="shared" si="17"/>
        <v>1</v>
      </c>
      <c r="BN67" s="252">
        <f t="shared" si="18"/>
        <v>1</v>
      </c>
      <c r="BO67" s="252">
        <f t="shared" si="19"/>
        <v>1</v>
      </c>
      <c r="BP67" s="2578"/>
      <c r="BQ67" s="2562"/>
      <c r="BR67" s="2562"/>
      <c r="BS67" s="2585"/>
      <c r="BT67" s="2585"/>
      <c r="BU67" s="2585"/>
    </row>
    <row r="68" spans="1:73" s="22" customFormat="1" ht="15.75" hidden="1" customHeight="1" outlineLevel="1">
      <c r="A68" s="2585"/>
      <c r="B68" s="44"/>
      <c r="C68" s="45"/>
      <c r="D68" s="46"/>
      <c r="E68" s="46"/>
      <c r="F68" s="45"/>
      <c r="G68" s="46"/>
      <c r="H68" s="45"/>
      <c r="I68" s="45"/>
      <c r="J68" s="47"/>
      <c r="K68" s="48"/>
      <c r="L68" s="47"/>
      <c r="M68" s="1913"/>
      <c r="N68" s="48"/>
      <c r="O68" s="49"/>
      <c r="P68" s="49"/>
      <c r="Q68" s="1884">
        <f t="shared" si="20"/>
        <v>0</v>
      </c>
      <c r="R68" s="1885">
        <f t="shared" si="0"/>
        <v>0</v>
      </c>
      <c r="S68" s="1885">
        <f t="shared" si="1"/>
        <v>0</v>
      </c>
      <c r="T68" s="1914"/>
      <c r="U68" s="1914"/>
      <c r="V68" s="1914"/>
      <c r="W68" s="50"/>
      <c r="X68" s="1891">
        <f t="shared" si="2"/>
        <v>0</v>
      </c>
      <c r="Y68" s="1891">
        <f t="shared" si="5"/>
        <v>0</v>
      </c>
      <c r="Z68" s="50"/>
      <c r="AA68" s="50"/>
      <c r="AB68" s="48"/>
      <c r="AC68" s="48"/>
      <c r="AD68" s="48"/>
      <c r="AE68" s="45"/>
      <c r="AF68" s="51"/>
      <c r="AG68" s="42"/>
      <c r="AH68" s="52" t="s">
        <v>4588</v>
      </c>
      <c r="AI68" s="197"/>
      <c r="AJ68" s="2578"/>
      <c r="AK68" s="251"/>
      <c r="AL68" s="2578"/>
      <c r="AM68" s="2562"/>
      <c r="AN68" s="2562"/>
      <c r="AO68" s="2562"/>
      <c r="AP68" s="2562"/>
      <c r="AQ68" s="2562"/>
      <c r="AR68" s="2562"/>
      <c r="AS68" s="2562"/>
      <c r="AT68" s="252">
        <f t="shared" si="6"/>
        <v>1</v>
      </c>
      <c r="AU68" s="252">
        <f t="shared" si="7"/>
        <v>1</v>
      </c>
      <c r="AV68" s="252">
        <f t="shared" si="8"/>
        <v>1</v>
      </c>
      <c r="AW68" s="252">
        <f t="shared" si="9"/>
        <v>1</v>
      </c>
      <c r="AX68" s="252">
        <f t="shared" si="10"/>
        <v>1</v>
      </c>
      <c r="AY68" s="252">
        <f t="shared" si="11"/>
        <v>1</v>
      </c>
      <c r="AZ68" s="252">
        <f t="shared" si="12"/>
        <v>1</v>
      </c>
      <c r="BA68" s="237"/>
      <c r="BB68" s="237"/>
      <c r="BC68" s="237"/>
      <c r="BD68" s="237"/>
      <c r="BE68" s="237"/>
      <c r="BF68" s="237"/>
      <c r="BG68" s="252">
        <f t="shared" si="13"/>
        <v>1</v>
      </c>
      <c r="BH68" s="237"/>
      <c r="BI68" s="237"/>
      <c r="BJ68" s="252">
        <f t="shared" si="14"/>
        <v>1</v>
      </c>
      <c r="BK68" s="252">
        <f t="shared" si="15"/>
        <v>1</v>
      </c>
      <c r="BL68" s="252">
        <f t="shared" si="16"/>
        <v>1</v>
      </c>
      <c r="BM68" s="252">
        <f t="shared" si="17"/>
        <v>1</v>
      </c>
      <c r="BN68" s="252">
        <f t="shared" si="18"/>
        <v>1</v>
      </c>
      <c r="BO68" s="252">
        <f t="shared" si="19"/>
        <v>1</v>
      </c>
      <c r="BP68" s="2578"/>
      <c r="BQ68" s="2562"/>
      <c r="BR68" s="2562"/>
      <c r="BS68" s="2585"/>
      <c r="BT68" s="2585"/>
      <c r="BU68" s="2585"/>
    </row>
    <row r="69" spans="1:73" s="22" customFormat="1" ht="15.75" hidden="1" customHeight="1" outlineLevel="1">
      <c r="A69" s="2585"/>
      <c r="B69" s="44"/>
      <c r="C69" s="45"/>
      <c r="D69" s="46"/>
      <c r="E69" s="46"/>
      <c r="F69" s="45"/>
      <c r="G69" s="46"/>
      <c r="H69" s="45"/>
      <c r="I69" s="45"/>
      <c r="J69" s="47"/>
      <c r="K69" s="48"/>
      <c r="L69" s="47"/>
      <c r="M69" s="1913"/>
      <c r="N69" s="48"/>
      <c r="O69" s="49"/>
      <c r="P69" s="49"/>
      <c r="Q69" s="1884">
        <f t="shared" si="20"/>
        <v>0</v>
      </c>
      <c r="R69" s="1885">
        <f t="shared" si="0"/>
        <v>0</v>
      </c>
      <c r="S69" s="1885">
        <f t="shared" si="1"/>
        <v>0</v>
      </c>
      <c r="T69" s="1914"/>
      <c r="U69" s="1914"/>
      <c r="V69" s="1914"/>
      <c r="W69" s="50"/>
      <c r="X69" s="1891">
        <f t="shared" si="2"/>
        <v>0</v>
      </c>
      <c r="Y69" s="1891">
        <f t="shared" si="5"/>
        <v>0</v>
      </c>
      <c r="Z69" s="50"/>
      <c r="AA69" s="50"/>
      <c r="AB69" s="48"/>
      <c r="AC69" s="48"/>
      <c r="AD69" s="48"/>
      <c r="AE69" s="45"/>
      <c r="AF69" s="51"/>
      <c r="AG69" s="42"/>
      <c r="AH69" s="52" t="s">
        <v>4589</v>
      </c>
      <c r="AI69" s="197"/>
      <c r="AJ69" s="2578"/>
      <c r="AK69" s="251"/>
      <c r="AL69" s="2578"/>
      <c r="AM69" s="2562"/>
      <c r="AN69" s="2562"/>
      <c r="AO69" s="2562"/>
      <c r="AP69" s="2562"/>
      <c r="AQ69" s="2562"/>
      <c r="AR69" s="2562"/>
      <c r="AS69" s="2562"/>
      <c r="AT69" s="252">
        <f t="shared" si="6"/>
        <v>1</v>
      </c>
      <c r="AU69" s="252">
        <f t="shared" si="7"/>
        <v>1</v>
      </c>
      <c r="AV69" s="252">
        <f t="shared" si="8"/>
        <v>1</v>
      </c>
      <c r="AW69" s="252">
        <f t="shared" si="9"/>
        <v>1</v>
      </c>
      <c r="AX69" s="252">
        <f t="shared" si="10"/>
        <v>1</v>
      </c>
      <c r="AY69" s="252">
        <f t="shared" si="11"/>
        <v>1</v>
      </c>
      <c r="AZ69" s="252">
        <f t="shared" si="12"/>
        <v>1</v>
      </c>
      <c r="BA69" s="237"/>
      <c r="BB69" s="237"/>
      <c r="BC69" s="237"/>
      <c r="BD69" s="237"/>
      <c r="BE69" s="237"/>
      <c r="BF69" s="237"/>
      <c r="BG69" s="252">
        <f t="shared" si="13"/>
        <v>1</v>
      </c>
      <c r="BH69" s="237"/>
      <c r="BI69" s="237"/>
      <c r="BJ69" s="252">
        <f t="shared" si="14"/>
        <v>1</v>
      </c>
      <c r="BK69" s="252">
        <f t="shared" si="15"/>
        <v>1</v>
      </c>
      <c r="BL69" s="252">
        <f t="shared" si="16"/>
        <v>1</v>
      </c>
      <c r="BM69" s="252">
        <f t="shared" si="17"/>
        <v>1</v>
      </c>
      <c r="BN69" s="252">
        <f t="shared" si="18"/>
        <v>1</v>
      </c>
      <c r="BO69" s="252">
        <f t="shared" si="19"/>
        <v>1</v>
      </c>
      <c r="BP69" s="2578"/>
      <c r="BQ69" s="2562"/>
      <c r="BR69" s="2562"/>
      <c r="BS69" s="2585"/>
      <c r="BT69" s="2585"/>
      <c r="BU69" s="2585"/>
    </row>
    <row r="70" spans="1:73" s="22" customFormat="1" ht="15.75" hidden="1" customHeight="1" outlineLevel="1">
      <c r="A70" s="2585"/>
      <c r="B70" s="44"/>
      <c r="C70" s="45"/>
      <c r="D70" s="46"/>
      <c r="E70" s="46"/>
      <c r="F70" s="45"/>
      <c r="G70" s="46"/>
      <c r="H70" s="45"/>
      <c r="I70" s="45"/>
      <c r="J70" s="47"/>
      <c r="K70" s="48"/>
      <c r="L70" s="47"/>
      <c r="M70" s="1913"/>
      <c r="N70" s="48"/>
      <c r="O70" s="49"/>
      <c r="P70" s="49"/>
      <c r="Q70" s="1884">
        <f t="shared" si="20"/>
        <v>0</v>
      </c>
      <c r="R70" s="1885">
        <f t="shared" si="0"/>
        <v>0</v>
      </c>
      <c r="S70" s="1885">
        <f t="shared" si="1"/>
        <v>0</v>
      </c>
      <c r="T70" s="1914"/>
      <c r="U70" s="1914"/>
      <c r="V70" s="1914"/>
      <c r="W70" s="50"/>
      <c r="X70" s="1891">
        <f t="shared" si="2"/>
        <v>0</v>
      </c>
      <c r="Y70" s="1891">
        <f t="shared" si="5"/>
        <v>0</v>
      </c>
      <c r="Z70" s="50"/>
      <c r="AA70" s="50"/>
      <c r="AB70" s="48"/>
      <c r="AC70" s="48"/>
      <c r="AD70" s="48"/>
      <c r="AE70" s="45"/>
      <c r="AF70" s="51"/>
      <c r="AG70" s="42"/>
      <c r="AH70" s="52" t="s">
        <v>4590</v>
      </c>
      <c r="AI70" s="197"/>
      <c r="AJ70" s="2578"/>
      <c r="AK70" s="251"/>
      <c r="AL70" s="2578"/>
      <c r="AM70" s="2562"/>
      <c r="AN70" s="2562"/>
      <c r="AO70" s="2562"/>
      <c r="AP70" s="2562"/>
      <c r="AQ70" s="2562"/>
      <c r="AR70" s="2562"/>
      <c r="AS70" s="2562"/>
      <c r="AT70" s="252">
        <f t="shared" si="6"/>
        <v>1</v>
      </c>
      <c r="AU70" s="252">
        <f t="shared" si="7"/>
        <v>1</v>
      </c>
      <c r="AV70" s="252">
        <f t="shared" si="8"/>
        <v>1</v>
      </c>
      <c r="AW70" s="252">
        <f t="shared" si="9"/>
        <v>1</v>
      </c>
      <c r="AX70" s="252">
        <f t="shared" si="10"/>
        <v>1</v>
      </c>
      <c r="AY70" s="252">
        <f t="shared" si="11"/>
        <v>1</v>
      </c>
      <c r="AZ70" s="252">
        <f t="shared" si="12"/>
        <v>1</v>
      </c>
      <c r="BA70" s="237"/>
      <c r="BB70" s="237"/>
      <c r="BC70" s="237"/>
      <c r="BD70" s="237"/>
      <c r="BE70" s="237"/>
      <c r="BF70" s="237"/>
      <c r="BG70" s="252">
        <f t="shared" si="13"/>
        <v>1</v>
      </c>
      <c r="BH70" s="237"/>
      <c r="BI70" s="237"/>
      <c r="BJ70" s="252">
        <f t="shared" si="14"/>
        <v>1</v>
      </c>
      <c r="BK70" s="252">
        <f t="shared" si="15"/>
        <v>1</v>
      </c>
      <c r="BL70" s="252">
        <f t="shared" si="16"/>
        <v>1</v>
      </c>
      <c r="BM70" s="252">
        <f t="shared" si="17"/>
        <v>1</v>
      </c>
      <c r="BN70" s="252">
        <f t="shared" si="18"/>
        <v>1</v>
      </c>
      <c r="BO70" s="252">
        <f t="shared" si="19"/>
        <v>1</v>
      </c>
      <c r="BP70" s="2578"/>
      <c r="BQ70" s="2562"/>
      <c r="BR70" s="2562"/>
      <c r="BS70" s="2585"/>
      <c r="BT70" s="2585"/>
      <c r="BU70" s="2585"/>
    </row>
    <row r="71" spans="1:73" s="22" customFormat="1" ht="15.75" hidden="1" customHeight="1" outlineLevel="1">
      <c r="A71" s="2585"/>
      <c r="B71" s="44"/>
      <c r="C71" s="45"/>
      <c r="D71" s="46"/>
      <c r="E71" s="46"/>
      <c r="F71" s="45"/>
      <c r="G71" s="46"/>
      <c r="H71" s="45"/>
      <c r="I71" s="45"/>
      <c r="J71" s="47"/>
      <c r="K71" s="48"/>
      <c r="L71" s="47"/>
      <c r="M71" s="1913"/>
      <c r="N71" s="48"/>
      <c r="O71" s="49"/>
      <c r="P71" s="49"/>
      <c r="Q71" s="1884">
        <f t="shared" si="20"/>
        <v>0</v>
      </c>
      <c r="R71" s="1885">
        <f t="shared" si="0"/>
        <v>0</v>
      </c>
      <c r="S71" s="1885">
        <f t="shared" si="1"/>
        <v>0</v>
      </c>
      <c r="T71" s="1914"/>
      <c r="U71" s="1914"/>
      <c r="V71" s="1914"/>
      <c r="W71" s="50"/>
      <c r="X71" s="1891">
        <f t="shared" si="2"/>
        <v>0</v>
      </c>
      <c r="Y71" s="1891">
        <f t="shared" si="5"/>
        <v>0</v>
      </c>
      <c r="Z71" s="50"/>
      <c r="AA71" s="50"/>
      <c r="AB71" s="48"/>
      <c r="AC71" s="48"/>
      <c r="AD71" s="48"/>
      <c r="AE71" s="45"/>
      <c r="AF71" s="51"/>
      <c r="AG71" s="42"/>
      <c r="AH71" s="52" t="s">
        <v>4591</v>
      </c>
      <c r="AI71" s="197"/>
      <c r="AJ71" s="2578"/>
      <c r="AK71" s="251"/>
      <c r="AL71" s="2578"/>
      <c r="AM71" s="2562"/>
      <c r="AN71" s="2562"/>
      <c r="AO71" s="2562"/>
      <c r="AP71" s="2562"/>
      <c r="AQ71" s="2562"/>
      <c r="AR71" s="2562"/>
      <c r="AS71" s="2562"/>
      <c r="AT71" s="252">
        <f t="shared" si="6"/>
        <v>1</v>
      </c>
      <c r="AU71" s="252">
        <f t="shared" si="7"/>
        <v>1</v>
      </c>
      <c r="AV71" s="252">
        <f t="shared" si="8"/>
        <v>1</v>
      </c>
      <c r="AW71" s="252">
        <f t="shared" si="9"/>
        <v>1</v>
      </c>
      <c r="AX71" s="252">
        <f t="shared" si="10"/>
        <v>1</v>
      </c>
      <c r="AY71" s="252">
        <f t="shared" si="11"/>
        <v>1</v>
      </c>
      <c r="AZ71" s="252">
        <f t="shared" si="12"/>
        <v>1</v>
      </c>
      <c r="BA71" s="237"/>
      <c r="BB71" s="237"/>
      <c r="BC71" s="237"/>
      <c r="BD71" s="237"/>
      <c r="BE71" s="237"/>
      <c r="BF71" s="237"/>
      <c r="BG71" s="252">
        <f t="shared" si="13"/>
        <v>1</v>
      </c>
      <c r="BH71" s="237"/>
      <c r="BI71" s="237"/>
      <c r="BJ71" s="252">
        <f t="shared" si="14"/>
        <v>1</v>
      </c>
      <c r="BK71" s="252">
        <f t="shared" si="15"/>
        <v>1</v>
      </c>
      <c r="BL71" s="252">
        <f t="shared" si="16"/>
        <v>1</v>
      </c>
      <c r="BM71" s="252">
        <f t="shared" si="17"/>
        <v>1</v>
      </c>
      <c r="BN71" s="252">
        <f t="shared" si="18"/>
        <v>1</v>
      </c>
      <c r="BO71" s="252">
        <f t="shared" si="19"/>
        <v>1</v>
      </c>
      <c r="BP71" s="2578"/>
      <c r="BQ71" s="2562"/>
      <c r="BR71" s="2562"/>
      <c r="BS71" s="2585"/>
      <c r="BT71" s="2585"/>
      <c r="BU71" s="2585"/>
    </row>
    <row r="72" spans="1:73" s="22" customFormat="1" ht="15.75" hidden="1" customHeight="1" outlineLevel="1">
      <c r="A72" s="2585"/>
      <c r="B72" s="44"/>
      <c r="C72" s="45"/>
      <c r="D72" s="46"/>
      <c r="E72" s="46"/>
      <c r="F72" s="45"/>
      <c r="G72" s="46"/>
      <c r="H72" s="45"/>
      <c r="I72" s="45"/>
      <c r="J72" s="47"/>
      <c r="K72" s="48"/>
      <c r="L72" s="47"/>
      <c r="M72" s="1913"/>
      <c r="N72" s="48"/>
      <c r="O72" s="49"/>
      <c r="P72" s="49"/>
      <c r="Q72" s="1884">
        <f t="shared" si="20"/>
        <v>0</v>
      </c>
      <c r="R72" s="1885">
        <f t="shared" si="0"/>
        <v>0</v>
      </c>
      <c r="S72" s="1885">
        <f t="shared" si="1"/>
        <v>0</v>
      </c>
      <c r="T72" s="1914"/>
      <c r="U72" s="1914"/>
      <c r="V72" s="1914"/>
      <c r="W72" s="50"/>
      <c r="X72" s="1891">
        <f t="shared" si="2"/>
        <v>0</v>
      </c>
      <c r="Y72" s="1891">
        <f t="shared" si="5"/>
        <v>0</v>
      </c>
      <c r="Z72" s="50"/>
      <c r="AA72" s="50"/>
      <c r="AB72" s="48"/>
      <c r="AC72" s="48"/>
      <c r="AD72" s="48"/>
      <c r="AE72" s="45"/>
      <c r="AF72" s="51"/>
      <c r="AG72" s="42"/>
      <c r="AH72" s="52" t="s">
        <v>4592</v>
      </c>
      <c r="AI72" s="197"/>
      <c r="AJ72" s="2578"/>
      <c r="AK72" s="251"/>
      <c r="AL72" s="2578"/>
      <c r="AM72" s="2562"/>
      <c r="AN72" s="2562"/>
      <c r="AO72" s="2562"/>
      <c r="AP72" s="2562"/>
      <c r="AQ72" s="2562"/>
      <c r="AR72" s="2562"/>
      <c r="AS72" s="2562"/>
      <c r="AT72" s="252">
        <f t="shared" si="6"/>
        <v>1</v>
      </c>
      <c r="AU72" s="252">
        <f t="shared" si="7"/>
        <v>1</v>
      </c>
      <c r="AV72" s="252">
        <f t="shared" si="8"/>
        <v>1</v>
      </c>
      <c r="AW72" s="252">
        <f t="shared" si="9"/>
        <v>1</v>
      </c>
      <c r="AX72" s="252">
        <f t="shared" si="10"/>
        <v>1</v>
      </c>
      <c r="AY72" s="252">
        <f t="shared" si="11"/>
        <v>1</v>
      </c>
      <c r="AZ72" s="252">
        <f t="shared" si="12"/>
        <v>1</v>
      </c>
      <c r="BA72" s="237"/>
      <c r="BB72" s="237"/>
      <c r="BC72" s="237"/>
      <c r="BD72" s="237"/>
      <c r="BE72" s="237"/>
      <c r="BF72" s="237"/>
      <c r="BG72" s="252">
        <f t="shared" si="13"/>
        <v>1</v>
      </c>
      <c r="BH72" s="237"/>
      <c r="BI72" s="237"/>
      <c r="BJ72" s="252">
        <f t="shared" si="14"/>
        <v>1</v>
      </c>
      <c r="BK72" s="252">
        <f t="shared" si="15"/>
        <v>1</v>
      </c>
      <c r="BL72" s="252">
        <f t="shared" si="16"/>
        <v>1</v>
      </c>
      <c r="BM72" s="252">
        <f t="shared" si="17"/>
        <v>1</v>
      </c>
      <c r="BN72" s="252">
        <f t="shared" si="18"/>
        <v>1</v>
      </c>
      <c r="BO72" s="252">
        <f t="shared" si="19"/>
        <v>1</v>
      </c>
      <c r="BP72" s="2578"/>
      <c r="BQ72" s="2562"/>
      <c r="BR72" s="2562"/>
      <c r="BS72" s="2585"/>
      <c r="BT72" s="2585"/>
      <c r="BU72" s="2585"/>
    </row>
    <row r="73" spans="1:73" s="22" customFormat="1" ht="15.75" hidden="1" customHeight="1" outlineLevel="1">
      <c r="A73" s="2585"/>
      <c r="B73" s="44"/>
      <c r="C73" s="45"/>
      <c r="D73" s="46"/>
      <c r="E73" s="46"/>
      <c r="F73" s="45"/>
      <c r="G73" s="46"/>
      <c r="H73" s="45"/>
      <c r="I73" s="45"/>
      <c r="J73" s="47"/>
      <c r="K73" s="48"/>
      <c r="L73" s="47"/>
      <c r="M73" s="1913"/>
      <c r="N73" s="48"/>
      <c r="O73" s="49"/>
      <c r="P73" s="49"/>
      <c r="Q73" s="1884">
        <f t="shared" si="20"/>
        <v>0</v>
      </c>
      <c r="R73" s="1885">
        <f t="shared" ref="R73:R136" si="21">IF(W73=0,0,((1+W73)/(1+$C$626))-1)</f>
        <v>0</v>
      </c>
      <c r="S73" s="1885">
        <f t="shared" ref="S73:S136" si="22">IF(W73=0,0,((1+W73)/(1+$C$627))-1)</f>
        <v>0</v>
      </c>
      <c r="T73" s="1914"/>
      <c r="U73" s="1914"/>
      <c r="V73" s="1914"/>
      <c r="W73" s="50"/>
      <c r="X73" s="1891">
        <f t="shared" ref="X73:X136" si="23">W73*P73</f>
        <v>0</v>
      </c>
      <c r="Y73" s="1891">
        <f t="shared" si="5"/>
        <v>0</v>
      </c>
      <c r="Z73" s="50"/>
      <c r="AA73" s="50"/>
      <c r="AB73" s="48"/>
      <c r="AC73" s="48"/>
      <c r="AD73" s="48"/>
      <c r="AE73" s="45"/>
      <c r="AF73" s="51"/>
      <c r="AG73" s="42"/>
      <c r="AH73" s="52" t="s">
        <v>4593</v>
      </c>
      <c r="AI73" s="197"/>
      <c r="AJ73" s="2578"/>
      <c r="AK73" s="251"/>
      <c r="AL73" s="2578"/>
      <c r="AM73" s="2562"/>
      <c r="AN73" s="2562"/>
      <c r="AO73" s="2562"/>
      <c r="AP73" s="2562"/>
      <c r="AQ73" s="2562"/>
      <c r="AR73" s="2562"/>
      <c r="AS73" s="2562"/>
      <c r="AT73" s="252">
        <f t="shared" si="6"/>
        <v>1</v>
      </c>
      <c r="AU73" s="252">
        <f t="shared" si="7"/>
        <v>1</v>
      </c>
      <c r="AV73" s="252">
        <f t="shared" si="8"/>
        <v>1</v>
      </c>
      <c r="AW73" s="252">
        <f t="shared" si="9"/>
        <v>1</v>
      </c>
      <c r="AX73" s="252">
        <f t="shared" si="10"/>
        <v>1</v>
      </c>
      <c r="AY73" s="252">
        <f t="shared" si="11"/>
        <v>1</v>
      </c>
      <c r="AZ73" s="252">
        <f t="shared" si="12"/>
        <v>1</v>
      </c>
      <c r="BA73" s="237"/>
      <c r="BB73" s="237"/>
      <c r="BC73" s="237"/>
      <c r="BD73" s="237"/>
      <c r="BE73" s="237"/>
      <c r="BF73" s="237"/>
      <c r="BG73" s="252">
        <f t="shared" si="13"/>
        <v>1</v>
      </c>
      <c r="BH73" s="237"/>
      <c r="BI73" s="237"/>
      <c r="BJ73" s="252">
        <f t="shared" si="14"/>
        <v>1</v>
      </c>
      <c r="BK73" s="252">
        <f t="shared" si="15"/>
        <v>1</v>
      </c>
      <c r="BL73" s="252">
        <f t="shared" si="16"/>
        <v>1</v>
      </c>
      <c r="BM73" s="252">
        <f t="shared" si="17"/>
        <v>1</v>
      </c>
      <c r="BN73" s="252">
        <f t="shared" si="18"/>
        <v>1</v>
      </c>
      <c r="BO73" s="252">
        <f t="shared" si="19"/>
        <v>1</v>
      </c>
      <c r="BP73" s="2578"/>
      <c r="BQ73" s="2562"/>
      <c r="BR73" s="2562"/>
      <c r="BS73" s="2585"/>
      <c r="BT73" s="2585"/>
      <c r="BU73" s="2585"/>
    </row>
    <row r="74" spans="1:73" s="22" customFormat="1" ht="15.75" hidden="1" customHeight="1" outlineLevel="1">
      <c r="A74" s="2585"/>
      <c r="B74" s="44"/>
      <c r="C74" s="45"/>
      <c r="D74" s="46"/>
      <c r="E74" s="46"/>
      <c r="F74" s="45"/>
      <c r="G74" s="46"/>
      <c r="H74" s="45"/>
      <c r="I74" s="45"/>
      <c r="J74" s="47"/>
      <c r="K74" s="48"/>
      <c r="L74" s="47"/>
      <c r="M74" s="1913"/>
      <c r="N74" s="48"/>
      <c r="O74" s="49"/>
      <c r="P74" s="49"/>
      <c r="Q74" s="1884">
        <f t="shared" si="20"/>
        <v>0</v>
      </c>
      <c r="R74" s="1885">
        <f t="shared" si="21"/>
        <v>0</v>
      </c>
      <c r="S74" s="1885">
        <f t="shared" si="22"/>
        <v>0</v>
      </c>
      <c r="T74" s="1914"/>
      <c r="U74" s="1914"/>
      <c r="V74" s="1914"/>
      <c r="W74" s="50"/>
      <c r="X74" s="1891">
        <f t="shared" si="23"/>
        <v>0</v>
      </c>
      <c r="Y74" s="1891">
        <f t="shared" ref="Y74:Y137" si="24">X74</f>
        <v>0</v>
      </c>
      <c r="Z74" s="50"/>
      <c r="AA74" s="50"/>
      <c r="AB74" s="48"/>
      <c r="AC74" s="48"/>
      <c r="AD74" s="48"/>
      <c r="AE74" s="45"/>
      <c r="AF74" s="51"/>
      <c r="AG74" s="42"/>
      <c r="AH74" s="52" t="s">
        <v>4594</v>
      </c>
      <c r="AI74" s="197"/>
      <c r="AJ74" s="2578"/>
      <c r="AK74" s="251"/>
      <c r="AL74" s="2578"/>
      <c r="AM74" s="2562"/>
      <c r="AN74" s="2562"/>
      <c r="AO74" s="2562"/>
      <c r="AP74" s="2562"/>
      <c r="AQ74" s="2562"/>
      <c r="AR74" s="2562"/>
      <c r="AS74" s="2562"/>
      <c r="AT74" s="252">
        <f t="shared" ref="AT74:AT109" si="25" xml:space="preserve"> IF( ISNUMBER(J74 ), 0, 1 )</f>
        <v>1</v>
      </c>
      <c r="AU74" s="252">
        <f t="shared" ref="AU74:AU109" si="26" xml:space="preserve"> IF( ISNUMBER(K74 ), 0, 1 )</f>
        <v>1</v>
      </c>
      <c r="AV74" s="252">
        <f t="shared" ref="AV74:AV109" si="27" xml:space="preserve"> IF( ISNUMBER(L74 ), 0, 1 )</f>
        <v>1</v>
      </c>
      <c r="AW74" s="252">
        <f t="shared" ref="AW74:AW109" si="28" xml:space="preserve"> IF( ISNUMBER(M74 ), 0, 1 )</f>
        <v>1</v>
      </c>
      <c r="AX74" s="252">
        <f t="shared" ref="AX74:AX109" si="29" xml:space="preserve"> IF( ISNUMBER(N74 ), 0, 1 )</f>
        <v>1</v>
      </c>
      <c r="AY74" s="252">
        <f t="shared" ref="AY74:AY109" si="30" xml:space="preserve"> IF( ISNUMBER(O74 ), 0, 1 )</f>
        <v>1</v>
      </c>
      <c r="AZ74" s="252">
        <f t="shared" ref="AZ74:AZ109" si="31" xml:space="preserve"> IF( ISNUMBER(P74 ), 0, 1 )</f>
        <v>1</v>
      </c>
      <c r="BA74" s="237"/>
      <c r="BB74" s="237"/>
      <c r="BC74" s="237"/>
      <c r="BD74" s="237"/>
      <c r="BE74" s="237"/>
      <c r="BF74" s="237"/>
      <c r="BG74" s="252">
        <f t="shared" ref="BG74:BG109" si="32" xml:space="preserve"> IF( ISNUMBER(W74 ), 0, 1 )</f>
        <v>1</v>
      </c>
      <c r="BH74" s="237"/>
      <c r="BI74" s="237"/>
      <c r="BJ74" s="252">
        <f t="shared" ref="BJ74:BJ109" si="33" xml:space="preserve"> IF( ISNUMBER(Z74 ), 0, 1 )</f>
        <v>1</v>
      </c>
      <c r="BK74" s="252">
        <f t="shared" ref="BK74:BK109" si="34" xml:space="preserve"> IF( ISNUMBER(AA74 ), 0, 1 )</f>
        <v>1</v>
      </c>
      <c r="BL74" s="252">
        <f t="shared" ref="BL74:BL109" si="35" xml:space="preserve"> IF( ISNUMBER(AB74 ), 0, 1 )</f>
        <v>1</v>
      </c>
      <c r="BM74" s="252">
        <f t="shared" ref="BM74:BM109" si="36" xml:space="preserve"> IF( ISNUMBER(AC74 ), 0, 1 )</f>
        <v>1</v>
      </c>
      <c r="BN74" s="252">
        <f t="shared" ref="BN74:BN109" si="37" xml:space="preserve"> IF( ISNUMBER(AD74 ), 0, 1 )</f>
        <v>1</v>
      </c>
      <c r="BO74" s="252">
        <f t="shared" ref="BO74:BO109" si="38" xml:space="preserve"> IF( ISNUMBER(AF74 ), 0, 1 )</f>
        <v>1</v>
      </c>
      <c r="BP74" s="2578"/>
      <c r="BQ74" s="2562"/>
      <c r="BR74" s="2562"/>
      <c r="BS74" s="2585"/>
      <c r="BT74" s="2585"/>
      <c r="BU74" s="2585"/>
    </row>
    <row r="75" spans="1:73" s="22" customFormat="1" ht="15.75" hidden="1" customHeight="1" outlineLevel="1">
      <c r="A75" s="2585"/>
      <c r="B75" s="44"/>
      <c r="C75" s="45"/>
      <c r="D75" s="46"/>
      <c r="E75" s="46"/>
      <c r="F75" s="45"/>
      <c r="G75" s="46"/>
      <c r="H75" s="45"/>
      <c r="I75" s="45"/>
      <c r="J75" s="47"/>
      <c r="K75" s="48"/>
      <c r="L75" s="47"/>
      <c r="M75" s="1913"/>
      <c r="N75" s="48"/>
      <c r="O75" s="49"/>
      <c r="P75" s="49"/>
      <c r="Q75" s="1884">
        <f t="shared" ref="Q75:Q138" si="39">IFERROR(M75*O75,"")</f>
        <v>0</v>
      </c>
      <c r="R75" s="1885">
        <f t="shared" si="21"/>
        <v>0</v>
      </c>
      <c r="S75" s="1885">
        <f t="shared" si="22"/>
        <v>0</v>
      </c>
      <c r="T75" s="1914"/>
      <c r="U75" s="1914"/>
      <c r="V75" s="1914"/>
      <c r="W75" s="50"/>
      <c r="X75" s="1891">
        <f t="shared" si="23"/>
        <v>0</v>
      </c>
      <c r="Y75" s="1891">
        <f t="shared" si="24"/>
        <v>0</v>
      </c>
      <c r="Z75" s="50"/>
      <c r="AA75" s="50"/>
      <c r="AB75" s="48"/>
      <c r="AC75" s="48"/>
      <c r="AD75" s="48"/>
      <c r="AE75" s="45"/>
      <c r="AF75" s="51"/>
      <c r="AG75" s="42"/>
      <c r="AH75" s="52" t="s">
        <v>4595</v>
      </c>
      <c r="AI75" s="197"/>
      <c r="AJ75" s="2578"/>
      <c r="AK75" s="251"/>
      <c r="AL75" s="2578"/>
      <c r="AM75" s="2562"/>
      <c r="AN75" s="2562"/>
      <c r="AO75" s="2562"/>
      <c r="AP75" s="2562"/>
      <c r="AQ75" s="2562"/>
      <c r="AR75" s="2562"/>
      <c r="AS75" s="2562"/>
      <c r="AT75" s="252">
        <f t="shared" si="25"/>
        <v>1</v>
      </c>
      <c r="AU75" s="252">
        <f t="shared" si="26"/>
        <v>1</v>
      </c>
      <c r="AV75" s="252">
        <f t="shared" si="27"/>
        <v>1</v>
      </c>
      <c r="AW75" s="252">
        <f t="shared" si="28"/>
        <v>1</v>
      </c>
      <c r="AX75" s="252">
        <f t="shared" si="29"/>
        <v>1</v>
      </c>
      <c r="AY75" s="252">
        <f t="shared" si="30"/>
        <v>1</v>
      </c>
      <c r="AZ75" s="252">
        <f t="shared" si="31"/>
        <v>1</v>
      </c>
      <c r="BA75" s="237"/>
      <c r="BB75" s="237"/>
      <c r="BC75" s="237"/>
      <c r="BD75" s="237"/>
      <c r="BE75" s="237"/>
      <c r="BF75" s="237"/>
      <c r="BG75" s="252">
        <f t="shared" si="32"/>
        <v>1</v>
      </c>
      <c r="BH75" s="237"/>
      <c r="BI75" s="237"/>
      <c r="BJ75" s="252">
        <f t="shared" si="33"/>
        <v>1</v>
      </c>
      <c r="BK75" s="252">
        <f t="shared" si="34"/>
        <v>1</v>
      </c>
      <c r="BL75" s="252">
        <f t="shared" si="35"/>
        <v>1</v>
      </c>
      <c r="BM75" s="252">
        <f t="shared" si="36"/>
        <v>1</v>
      </c>
      <c r="BN75" s="252">
        <f t="shared" si="37"/>
        <v>1</v>
      </c>
      <c r="BO75" s="252">
        <f t="shared" si="38"/>
        <v>1</v>
      </c>
      <c r="BP75" s="2578"/>
      <c r="BQ75" s="2562"/>
      <c r="BR75" s="2562"/>
      <c r="BS75" s="2585"/>
      <c r="BT75" s="2585"/>
      <c r="BU75" s="2585"/>
    </row>
    <row r="76" spans="1:73" s="22" customFormat="1" ht="15.75" hidden="1" customHeight="1" outlineLevel="1">
      <c r="A76" s="2585"/>
      <c r="B76" s="44"/>
      <c r="C76" s="45"/>
      <c r="D76" s="46"/>
      <c r="E76" s="46"/>
      <c r="F76" s="45"/>
      <c r="G76" s="46"/>
      <c r="H76" s="45"/>
      <c r="I76" s="45"/>
      <c r="J76" s="47"/>
      <c r="K76" s="48"/>
      <c r="L76" s="47"/>
      <c r="M76" s="1913"/>
      <c r="N76" s="48"/>
      <c r="O76" s="49"/>
      <c r="P76" s="49"/>
      <c r="Q76" s="1884">
        <f t="shared" si="39"/>
        <v>0</v>
      </c>
      <c r="R76" s="1885">
        <f t="shared" si="21"/>
        <v>0</v>
      </c>
      <c r="S76" s="1885">
        <f t="shared" si="22"/>
        <v>0</v>
      </c>
      <c r="T76" s="1914"/>
      <c r="U76" s="1914"/>
      <c r="V76" s="1914"/>
      <c r="W76" s="50"/>
      <c r="X76" s="1891">
        <f t="shared" si="23"/>
        <v>0</v>
      </c>
      <c r="Y76" s="1891">
        <f t="shared" si="24"/>
        <v>0</v>
      </c>
      <c r="Z76" s="50"/>
      <c r="AA76" s="50"/>
      <c r="AB76" s="48"/>
      <c r="AC76" s="48"/>
      <c r="AD76" s="48"/>
      <c r="AE76" s="45"/>
      <c r="AF76" s="51"/>
      <c r="AG76" s="42"/>
      <c r="AH76" s="52" t="s">
        <v>4596</v>
      </c>
      <c r="AI76" s="197"/>
      <c r="AJ76" s="2578"/>
      <c r="AK76" s="251"/>
      <c r="AL76" s="2578"/>
      <c r="AM76" s="2562"/>
      <c r="AN76" s="2562"/>
      <c r="AO76" s="2562"/>
      <c r="AP76" s="2562"/>
      <c r="AQ76" s="2562"/>
      <c r="AR76" s="2562"/>
      <c r="AS76" s="2562"/>
      <c r="AT76" s="252">
        <f t="shared" si="25"/>
        <v>1</v>
      </c>
      <c r="AU76" s="252">
        <f t="shared" si="26"/>
        <v>1</v>
      </c>
      <c r="AV76" s="252">
        <f t="shared" si="27"/>
        <v>1</v>
      </c>
      <c r="AW76" s="252">
        <f t="shared" si="28"/>
        <v>1</v>
      </c>
      <c r="AX76" s="252">
        <f t="shared" si="29"/>
        <v>1</v>
      </c>
      <c r="AY76" s="252">
        <f t="shared" si="30"/>
        <v>1</v>
      </c>
      <c r="AZ76" s="252">
        <f t="shared" si="31"/>
        <v>1</v>
      </c>
      <c r="BA76" s="237"/>
      <c r="BB76" s="237"/>
      <c r="BC76" s="237"/>
      <c r="BD76" s="237"/>
      <c r="BE76" s="237"/>
      <c r="BF76" s="237"/>
      <c r="BG76" s="252">
        <f t="shared" si="32"/>
        <v>1</v>
      </c>
      <c r="BH76" s="237"/>
      <c r="BI76" s="237"/>
      <c r="BJ76" s="252">
        <f t="shared" si="33"/>
        <v>1</v>
      </c>
      <c r="BK76" s="252">
        <f t="shared" si="34"/>
        <v>1</v>
      </c>
      <c r="BL76" s="252">
        <f t="shared" si="35"/>
        <v>1</v>
      </c>
      <c r="BM76" s="252">
        <f t="shared" si="36"/>
        <v>1</v>
      </c>
      <c r="BN76" s="252">
        <f t="shared" si="37"/>
        <v>1</v>
      </c>
      <c r="BO76" s="252">
        <f t="shared" si="38"/>
        <v>1</v>
      </c>
      <c r="BP76" s="2578"/>
      <c r="BQ76" s="2562"/>
      <c r="BR76" s="2562"/>
      <c r="BS76" s="2585"/>
      <c r="BT76" s="2585"/>
      <c r="BU76" s="2585"/>
    </row>
    <row r="77" spans="1:73" s="22" customFormat="1" ht="15.75" hidden="1" customHeight="1" outlineLevel="1">
      <c r="A77" s="2585"/>
      <c r="B77" s="44"/>
      <c r="C77" s="45"/>
      <c r="D77" s="46"/>
      <c r="E77" s="46"/>
      <c r="F77" s="45"/>
      <c r="G77" s="46"/>
      <c r="H77" s="45"/>
      <c r="I77" s="45"/>
      <c r="J77" s="47"/>
      <c r="K77" s="48"/>
      <c r="L77" s="47"/>
      <c r="M77" s="1913"/>
      <c r="N77" s="48"/>
      <c r="O77" s="49"/>
      <c r="P77" s="49"/>
      <c r="Q77" s="1884">
        <f t="shared" si="39"/>
        <v>0</v>
      </c>
      <c r="R77" s="1885">
        <f t="shared" si="21"/>
        <v>0</v>
      </c>
      <c r="S77" s="1885">
        <f t="shared" si="22"/>
        <v>0</v>
      </c>
      <c r="T77" s="1914"/>
      <c r="U77" s="1914"/>
      <c r="V77" s="1914"/>
      <c r="W77" s="50"/>
      <c r="X77" s="1891">
        <f t="shared" si="23"/>
        <v>0</v>
      </c>
      <c r="Y77" s="1891">
        <f t="shared" si="24"/>
        <v>0</v>
      </c>
      <c r="Z77" s="50"/>
      <c r="AA77" s="50"/>
      <c r="AB77" s="48"/>
      <c r="AC77" s="48"/>
      <c r="AD77" s="48"/>
      <c r="AE77" s="45"/>
      <c r="AF77" s="51"/>
      <c r="AG77" s="42"/>
      <c r="AH77" s="52" t="s">
        <v>4597</v>
      </c>
      <c r="AI77" s="197"/>
      <c r="AJ77" s="2578"/>
      <c r="AK77" s="251"/>
      <c r="AL77" s="2578"/>
      <c r="AM77" s="2562"/>
      <c r="AN77" s="2562"/>
      <c r="AO77" s="2562"/>
      <c r="AP77" s="2562"/>
      <c r="AQ77" s="2562"/>
      <c r="AR77" s="2562"/>
      <c r="AS77" s="2562"/>
      <c r="AT77" s="252">
        <f t="shared" si="25"/>
        <v>1</v>
      </c>
      <c r="AU77" s="252">
        <f t="shared" si="26"/>
        <v>1</v>
      </c>
      <c r="AV77" s="252">
        <f t="shared" si="27"/>
        <v>1</v>
      </c>
      <c r="AW77" s="252">
        <f t="shared" si="28"/>
        <v>1</v>
      </c>
      <c r="AX77" s="252">
        <f t="shared" si="29"/>
        <v>1</v>
      </c>
      <c r="AY77" s="252">
        <f t="shared" si="30"/>
        <v>1</v>
      </c>
      <c r="AZ77" s="252">
        <f t="shared" si="31"/>
        <v>1</v>
      </c>
      <c r="BA77" s="237"/>
      <c r="BB77" s="237"/>
      <c r="BC77" s="237"/>
      <c r="BD77" s="237"/>
      <c r="BE77" s="237"/>
      <c r="BF77" s="237"/>
      <c r="BG77" s="252">
        <f t="shared" si="32"/>
        <v>1</v>
      </c>
      <c r="BH77" s="237"/>
      <c r="BI77" s="237"/>
      <c r="BJ77" s="252">
        <f t="shared" si="33"/>
        <v>1</v>
      </c>
      <c r="BK77" s="252">
        <f t="shared" si="34"/>
        <v>1</v>
      </c>
      <c r="BL77" s="252">
        <f t="shared" si="35"/>
        <v>1</v>
      </c>
      <c r="BM77" s="252">
        <f t="shared" si="36"/>
        <v>1</v>
      </c>
      <c r="BN77" s="252">
        <f t="shared" si="37"/>
        <v>1</v>
      </c>
      <c r="BO77" s="252">
        <f t="shared" si="38"/>
        <v>1</v>
      </c>
      <c r="BP77" s="2578"/>
      <c r="BQ77" s="2562"/>
      <c r="BR77" s="2562"/>
      <c r="BS77" s="2585"/>
      <c r="BT77" s="2585"/>
      <c r="BU77" s="2585"/>
    </row>
    <row r="78" spans="1:73" s="22" customFormat="1" ht="15.75" hidden="1" customHeight="1" outlineLevel="1">
      <c r="A78" s="2585"/>
      <c r="B78" s="44"/>
      <c r="C78" s="45"/>
      <c r="D78" s="46"/>
      <c r="E78" s="46"/>
      <c r="F78" s="45"/>
      <c r="G78" s="46"/>
      <c r="H78" s="45"/>
      <c r="I78" s="45"/>
      <c r="J78" s="47"/>
      <c r="K78" s="48"/>
      <c r="L78" s="47"/>
      <c r="M78" s="1913"/>
      <c r="N78" s="48"/>
      <c r="O78" s="49"/>
      <c r="P78" s="49"/>
      <c r="Q78" s="1884">
        <f t="shared" si="39"/>
        <v>0</v>
      </c>
      <c r="R78" s="1885">
        <f t="shared" si="21"/>
        <v>0</v>
      </c>
      <c r="S78" s="1885">
        <f t="shared" si="22"/>
        <v>0</v>
      </c>
      <c r="T78" s="1914"/>
      <c r="U78" s="1914"/>
      <c r="V78" s="1914"/>
      <c r="W78" s="50"/>
      <c r="X78" s="1891">
        <f t="shared" si="23"/>
        <v>0</v>
      </c>
      <c r="Y78" s="1891">
        <f t="shared" si="24"/>
        <v>0</v>
      </c>
      <c r="Z78" s="50"/>
      <c r="AA78" s="50"/>
      <c r="AB78" s="48"/>
      <c r="AC78" s="48"/>
      <c r="AD78" s="48"/>
      <c r="AE78" s="45"/>
      <c r="AF78" s="51"/>
      <c r="AG78" s="42"/>
      <c r="AH78" s="52" t="s">
        <v>4598</v>
      </c>
      <c r="AI78" s="197"/>
      <c r="AJ78" s="2578"/>
      <c r="AK78" s="251"/>
      <c r="AL78" s="2578"/>
      <c r="AM78" s="2562"/>
      <c r="AN78" s="2562"/>
      <c r="AO78" s="2562"/>
      <c r="AP78" s="2562"/>
      <c r="AQ78" s="2562"/>
      <c r="AR78" s="2562"/>
      <c r="AS78" s="2562"/>
      <c r="AT78" s="252">
        <f t="shared" si="25"/>
        <v>1</v>
      </c>
      <c r="AU78" s="252">
        <f t="shared" si="26"/>
        <v>1</v>
      </c>
      <c r="AV78" s="252">
        <f t="shared" si="27"/>
        <v>1</v>
      </c>
      <c r="AW78" s="252">
        <f t="shared" si="28"/>
        <v>1</v>
      </c>
      <c r="AX78" s="252">
        <f t="shared" si="29"/>
        <v>1</v>
      </c>
      <c r="AY78" s="252">
        <f t="shared" si="30"/>
        <v>1</v>
      </c>
      <c r="AZ78" s="252">
        <f t="shared" si="31"/>
        <v>1</v>
      </c>
      <c r="BA78" s="237"/>
      <c r="BB78" s="237"/>
      <c r="BC78" s="237"/>
      <c r="BD78" s="237"/>
      <c r="BE78" s="237"/>
      <c r="BF78" s="237"/>
      <c r="BG78" s="252">
        <f t="shared" si="32"/>
        <v>1</v>
      </c>
      <c r="BH78" s="237"/>
      <c r="BI78" s="237"/>
      <c r="BJ78" s="252">
        <f t="shared" si="33"/>
        <v>1</v>
      </c>
      <c r="BK78" s="252">
        <f t="shared" si="34"/>
        <v>1</v>
      </c>
      <c r="BL78" s="252">
        <f t="shared" si="35"/>
        <v>1</v>
      </c>
      <c r="BM78" s="252">
        <f t="shared" si="36"/>
        <v>1</v>
      </c>
      <c r="BN78" s="252">
        <f t="shared" si="37"/>
        <v>1</v>
      </c>
      <c r="BO78" s="252">
        <f t="shared" si="38"/>
        <v>1</v>
      </c>
      <c r="BP78" s="2578"/>
      <c r="BQ78" s="2562"/>
      <c r="BR78" s="2562"/>
      <c r="BS78" s="2585"/>
      <c r="BT78" s="2585"/>
      <c r="BU78" s="2585"/>
    </row>
    <row r="79" spans="1:73" s="22" customFormat="1" ht="15.75" hidden="1" customHeight="1" outlineLevel="1">
      <c r="A79" s="2585"/>
      <c r="B79" s="44"/>
      <c r="C79" s="45"/>
      <c r="D79" s="46"/>
      <c r="E79" s="46"/>
      <c r="F79" s="45"/>
      <c r="G79" s="46"/>
      <c r="H79" s="45"/>
      <c r="I79" s="45"/>
      <c r="J79" s="47"/>
      <c r="K79" s="48"/>
      <c r="L79" s="47"/>
      <c r="M79" s="1913"/>
      <c r="N79" s="48"/>
      <c r="O79" s="49"/>
      <c r="P79" s="49"/>
      <c r="Q79" s="1884">
        <f t="shared" si="39"/>
        <v>0</v>
      </c>
      <c r="R79" s="1885">
        <f t="shared" si="21"/>
        <v>0</v>
      </c>
      <c r="S79" s="1885">
        <f t="shared" si="22"/>
        <v>0</v>
      </c>
      <c r="T79" s="1914"/>
      <c r="U79" s="1914"/>
      <c r="V79" s="1914"/>
      <c r="W79" s="50"/>
      <c r="X79" s="1891">
        <f t="shared" si="23"/>
        <v>0</v>
      </c>
      <c r="Y79" s="1891">
        <f t="shared" si="24"/>
        <v>0</v>
      </c>
      <c r="Z79" s="50"/>
      <c r="AA79" s="50"/>
      <c r="AB79" s="48"/>
      <c r="AC79" s="48"/>
      <c r="AD79" s="48"/>
      <c r="AE79" s="45"/>
      <c r="AF79" s="51"/>
      <c r="AG79" s="42"/>
      <c r="AH79" s="52" t="s">
        <v>4599</v>
      </c>
      <c r="AI79" s="197"/>
      <c r="AJ79" s="2578"/>
      <c r="AK79" s="251"/>
      <c r="AL79" s="2578"/>
      <c r="AM79" s="2562"/>
      <c r="AN79" s="2562"/>
      <c r="AO79" s="2562"/>
      <c r="AP79" s="2562"/>
      <c r="AQ79" s="2562"/>
      <c r="AR79" s="2562"/>
      <c r="AS79" s="2562"/>
      <c r="AT79" s="252">
        <f t="shared" si="25"/>
        <v>1</v>
      </c>
      <c r="AU79" s="252">
        <f t="shared" si="26"/>
        <v>1</v>
      </c>
      <c r="AV79" s="252">
        <f t="shared" si="27"/>
        <v>1</v>
      </c>
      <c r="AW79" s="252">
        <f t="shared" si="28"/>
        <v>1</v>
      </c>
      <c r="AX79" s="252">
        <f t="shared" si="29"/>
        <v>1</v>
      </c>
      <c r="AY79" s="252">
        <f t="shared" si="30"/>
        <v>1</v>
      </c>
      <c r="AZ79" s="252">
        <f t="shared" si="31"/>
        <v>1</v>
      </c>
      <c r="BA79" s="237"/>
      <c r="BB79" s="237"/>
      <c r="BC79" s="237"/>
      <c r="BD79" s="237"/>
      <c r="BE79" s="237"/>
      <c r="BF79" s="237"/>
      <c r="BG79" s="252">
        <f t="shared" si="32"/>
        <v>1</v>
      </c>
      <c r="BH79" s="237"/>
      <c r="BI79" s="237"/>
      <c r="BJ79" s="252">
        <f t="shared" si="33"/>
        <v>1</v>
      </c>
      <c r="BK79" s="252">
        <f t="shared" si="34"/>
        <v>1</v>
      </c>
      <c r="BL79" s="252">
        <f t="shared" si="35"/>
        <v>1</v>
      </c>
      <c r="BM79" s="252">
        <f t="shared" si="36"/>
        <v>1</v>
      </c>
      <c r="BN79" s="252">
        <f t="shared" si="37"/>
        <v>1</v>
      </c>
      <c r="BO79" s="252">
        <f t="shared" si="38"/>
        <v>1</v>
      </c>
      <c r="BP79" s="2578"/>
      <c r="BQ79" s="2562"/>
      <c r="BR79" s="2562"/>
      <c r="BS79" s="2585"/>
      <c r="BT79" s="2585"/>
      <c r="BU79" s="2585"/>
    </row>
    <row r="80" spans="1:73" s="22" customFormat="1" ht="15.75" hidden="1" customHeight="1" outlineLevel="1">
      <c r="A80" s="2585"/>
      <c r="B80" s="44"/>
      <c r="C80" s="45"/>
      <c r="D80" s="46"/>
      <c r="E80" s="46"/>
      <c r="F80" s="45"/>
      <c r="G80" s="46"/>
      <c r="H80" s="45"/>
      <c r="I80" s="45"/>
      <c r="J80" s="47"/>
      <c r="K80" s="48"/>
      <c r="L80" s="47"/>
      <c r="M80" s="1913"/>
      <c r="N80" s="48"/>
      <c r="O80" s="49"/>
      <c r="P80" s="49"/>
      <c r="Q80" s="1884">
        <f t="shared" si="39"/>
        <v>0</v>
      </c>
      <c r="R80" s="1885">
        <f t="shared" si="21"/>
        <v>0</v>
      </c>
      <c r="S80" s="1885">
        <f t="shared" si="22"/>
        <v>0</v>
      </c>
      <c r="T80" s="1914"/>
      <c r="U80" s="1914"/>
      <c r="V80" s="1914"/>
      <c r="W80" s="50"/>
      <c r="X80" s="1891">
        <f t="shared" si="23"/>
        <v>0</v>
      </c>
      <c r="Y80" s="1891">
        <f t="shared" si="24"/>
        <v>0</v>
      </c>
      <c r="Z80" s="50"/>
      <c r="AA80" s="50"/>
      <c r="AB80" s="48"/>
      <c r="AC80" s="48"/>
      <c r="AD80" s="48"/>
      <c r="AE80" s="45"/>
      <c r="AF80" s="51"/>
      <c r="AG80" s="42"/>
      <c r="AH80" s="52" t="s">
        <v>4600</v>
      </c>
      <c r="AI80" s="197"/>
      <c r="AJ80" s="2578"/>
      <c r="AK80" s="251"/>
      <c r="AL80" s="2578"/>
      <c r="AM80" s="2562"/>
      <c r="AN80" s="2562"/>
      <c r="AO80" s="2562"/>
      <c r="AP80" s="2562"/>
      <c r="AQ80" s="2562"/>
      <c r="AR80" s="2562"/>
      <c r="AS80" s="2562"/>
      <c r="AT80" s="252">
        <f t="shared" si="25"/>
        <v>1</v>
      </c>
      <c r="AU80" s="252">
        <f t="shared" si="26"/>
        <v>1</v>
      </c>
      <c r="AV80" s="252">
        <f t="shared" si="27"/>
        <v>1</v>
      </c>
      <c r="AW80" s="252">
        <f t="shared" si="28"/>
        <v>1</v>
      </c>
      <c r="AX80" s="252">
        <f t="shared" si="29"/>
        <v>1</v>
      </c>
      <c r="AY80" s="252">
        <f t="shared" si="30"/>
        <v>1</v>
      </c>
      <c r="AZ80" s="252">
        <f t="shared" si="31"/>
        <v>1</v>
      </c>
      <c r="BA80" s="237"/>
      <c r="BB80" s="237"/>
      <c r="BC80" s="237"/>
      <c r="BD80" s="237"/>
      <c r="BE80" s="237"/>
      <c r="BF80" s="237"/>
      <c r="BG80" s="252">
        <f t="shared" si="32"/>
        <v>1</v>
      </c>
      <c r="BH80" s="237"/>
      <c r="BI80" s="237"/>
      <c r="BJ80" s="252">
        <f t="shared" si="33"/>
        <v>1</v>
      </c>
      <c r="BK80" s="252">
        <f t="shared" si="34"/>
        <v>1</v>
      </c>
      <c r="BL80" s="252">
        <f t="shared" si="35"/>
        <v>1</v>
      </c>
      <c r="BM80" s="252">
        <f t="shared" si="36"/>
        <v>1</v>
      </c>
      <c r="BN80" s="252">
        <f t="shared" si="37"/>
        <v>1</v>
      </c>
      <c r="BO80" s="252">
        <f t="shared" si="38"/>
        <v>1</v>
      </c>
      <c r="BP80" s="2578"/>
      <c r="BQ80" s="2562"/>
      <c r="BR80" s="2562"/>
      <c r="BS80" s="2585"/>
      <c r="BT80" s="2585"/>
      <c r="BU80" s="2585"/>
    </row>
    <row r="81" spans="1:73" s="22" customFormat="1" ht="15.75" hidden="1" customHeight="1" outlineLevel="1">
      <c r="A81" s="2585"/>
      <c r="B81" s="44"/>
      <c r="C81" s="45"/>
      <c r="D81" s="46"/>
      <c r="E81" s="46"/>
      <c r="F81" s="45"/>
      <c r="G81" s="46"/>
      <c r="H81" s="45"/>
      <c r="I81" s="45"/>
      <c r="J81" s="47"/>
      <c r="K81" s="48"/>
      <c r="L81" s="47"/>
      <c r="M81" s="1913"/>
      <c r="N81" s="48"/>
      <c r="O81" s="49"/>
      <c r="P81" s="49"/>
      <c r="Q81" s="1884">
        <f t="shared" si="39"/>
        <v>0</v>
      </c>
      <c r="R81" s="1885">
        <f t="shared" si="21"/>
        <v>0</v>
      </c>
      <c r="S81" s="1885">
        <f t="shared" si="22"/>
        <v>0</v>
      </c>
      <c r="T81" s="1914"/>
      <c r="U81" s="1914"/>
      <c r="V81" s="1914"/>
      <c r="W81" s="50"/>
      <c r="X81" s="1891">
        <f t="shared" si="23"/>
        <v>0</v>
      </c>
      <c r="Y81" s="1891">
        <f t="shared" si="24"/>
        <v>0</v>
      </c>
      <c r="Z81" s="50"/>
      <c r="AA81" s="50"/>
      <c r="AB81" s="48"/>
      <c r="AC81" s="48"/>
      <c r="AD81" s="48"/>
      <c r="AE81" s="45"/>
      <c r="AF81" s="51"/>
      <c r="AG81" s="42"/>
      <c r="AH81" s="52" t="s">
        <v>4601</v>
      </c>
      <c r="AI81" s="197"/>
      <c r="AJ81" s="2578"/>
      <c r="AK81" s="251"/>
      <c r="AL81" s="2578"/>
      <c r="AM81" s="2562"/>
      <c r="AN81" s="2562"/>
      <c r="AO81" s="2562"/>
      <c r="AP81" s="2562"/>
      <c r="AQ81" s="2562"/>
      <c r="AR81" s="2562"/>
      <c r="AS81" s="2562"/>
      <c r="AT81" s="252">
        <f t="shared" si="25"/>
        <v>1</v>
      </c>
      <c r="AU81" s="252">
        <f t="shared" si="26"/>
        <v>1</v>
      </c>
      <c r="AV81" s="252">
        <f t="shared" si="27"/>
        <v>1</v>
      </c>
      <c r="AW81" s="252">
        <f t="shared" si="28"/>
        <v>1</v>
      </c>
      <c r="AX81" s="252">
        <f t="shared" si="29"/>
        <v>1</v>
      </c>
      <c r="AY81" s="252">
        <f t="shared" si="30"/>
        <v>1</v>
      </c>
      <c r="AZ81" s="252">
        <f t="shared" si="31"/>
        <v>1</v>
      </c>
      <c r="BA81" s="237"/>
      <c r="BB81" s="237"/>
      <c r="BC81" s="237"/>
      <c r="BD81" s="237"/>
      <c r="BE81" s="237"/>
      <c r="BF81" s="237"/>
      <c r="BG81" s="252">
        <f t="shared" si="32"/>
        <v>1</v>
      </c>
      <c r="BH81" s="237"/>
      <c r="BI81" s="237"/>
      <c r="BJ81" s="252">
        <f t="shared" si="33"/>
        <v>1</v>
      </c>
      <c r="BK81" s="252">
        <f t="shared" si="34"/>
        <v>1</v>
      </c>
      <c r="BL81" s="252">
        <f t="shared" si="35"/>
        <v>1</v>
      </c>
      <c r="BM81" s="252">
        <f t="shared" si="36"/>
        <v>1</v>
      </c>
      <c r="BN81" s="252">
        <f t="shared" si="37"/>
        <v>1</v>
      </c>
      <c r="BO81" s="252">
        <f t="shared" si="38"/>
        <v>1</v>
      </c>
      <c r="BP81" s="2578"/>
      <c r="BQ81" s="2562"/>
      <c r="BR81" s="2562"/>
      <c r="BS81" s="2585"/>
      <c r="BT81" s="2585"/>
      <c r="BU81" s="2585"/>
    </row>
    <row r="82" spans="1:73" s="22" customFormat="1" ht="15.75" hidden="1" customHeight="1" outlineLevel="1">
      <c r="A82" s="2585"/>
      <c r="B82" s="44"/>
      <c r="C82" s="45"/>
      <c r="D82" s="46"/>
      <c r="E82" s="46"/>
      <c r="F82" s="45"/>
      <c r="G82" s="46"/>
      <c r="H82" s="45"/>
      <c r="I82" s="45"/>
      <c r="J82" s="47"/>
      <c r="K82" s="48"/>
      <c r="L82" s="47"/>
      <c r="M82" s="1913"/>
      <c r="N82" s="48"/>
      <c r="O82" s="49"/>
      <c r="P82" s="49"/>
      <c r="Q82" s="1884">
        <f t="shared" si="39"/>
        <v>0</v>
      </c>
      <c r="R82" s="1885">
        <f t="shared" si="21"/>
        <v>0</v>
      </c>
      <c r="S82" s="1885">
        <f t="shared" si="22"/>
        <v>0</v>
      </c>
      <c r="T82" s="1914"/>
      <c r="U82" s="1914"/>
      <c r="V82" s="1914"/>
      <c r="W82" s="50"/>
      <c r="X82" s="1891">
        <f t="shared" si="23"/>
        <v>0</v>
      </c>
      <c r="Y82" s="1891">
        <f t="shared" si="24"/>
        <v>0</v>
      </c>
      <c r="Z82" s="50"/>
      <c r="AA82" s="50"/>
      <c r="AB82" s="48"/>
      <c r="AC82" s="48"/>
      <c r="AD82" s="48"/>
      <c r="AE82" s="45"/>
      <c r="AF82" s="51"/>
      <c r="AG82" s="42"/>
      <c r="AH82" s="52" t="s">
        <v>4602</v>
      </c>
      <c r="AI82" s="197"/>
      <c r="AJ82" s="2578"/>
      <c r="AK82" s="251"/>
      <c r="AL82" s="2578"/>
      <c r="AM82" s="2562"/>
      <c r="AN82" s="2562"/>
      <c r="AO82" s="2562"/>
      <c r="AP82" s="2562"/>
      <c r="AQ82" s="2562"/>
      <c r="AR82" s="2562"/>
      <c r="AS82" s="2562"/>
      <c r="AT82" s="252">
        <f t="shared" si="25"/>
        <v>1</v>
      </c>
      <c r="AU82" s="252">
        <f t="shared" si="26"/>
        <v>1</v>
      </c>
      <c r="AV82" s="252">
        <f t="shared" si="27"/>
        <v>1</v>
      </c>
      <c r="AW82" s="252">
        <f t="shared" si="28"/>
        <v>1</v>
      </c>
      <c r="AX82" s="252">
        <f t="shared" si="29"/>
        <v>1</v>
      </c>
      <c r="AY82" s="252">
        <f t="shared" si="30"/>
        <v>1</v>
      </c>
      <c r="AZ82" s="252">
        <f t="shared" si="31"/>
        <v>1</v>
      </c>
      <c r="BA82" s="237"/>
      <c r="BB82" s="237"/>
      <c r="BC82" s="237"/>
      <c r="BD82" s="237"/>
      <c r="BE82" s="237"/>
      <c r="BF82" s="237"/>
      <c r="BG82" s="252">
        <f t="shared" si="32"/>
        <v>1</v>
      </c>
      <c r="BH82" s="237"/>
      <c r="BI82" s="237"/>
      <c r="BJ82" s="252">
        <f t="shared" si="33"/>
        <v>1</v>
      </c>
      <c r="BK82" s="252">
        <f t="shared" si="34"/>
        <v>1</v>
      </c>
      <c r="BL82" s="252">
        <f t="shared" si="35"/>
        <v>1</v>
      </c>
      <c r="BM82" s="252">
        <f t="shared" si="36"/>
        <v>1</v>
      </c>
      <c r="BN82" s="252">
        <f t="shared" si="37"/>
        <v>1</v>
      </c>
      <c r="BO82" s="252">
        <f t="shared" si="38"/>
        <v>1</v>
      </c>
      <c r="BP82" s="2578"/>
      <c r="BQ82" s="2562"/>
      <c r="BR82" s="2562"/>
      <c r="BS82" s="2585"/>
      <c r="BT82" s="2585"/>
      <c r="BU82" s="2585"/>
    </row>
    <row r="83" spans="1:73" s="22" customFormat="1" ht="15.75" hidden="1" customHeight="1" outlineLevel="1">
      <c r="A83" s="2585"/>
      <c r="B83" s="44"/>
      <c r="C83" s="45"/>
      <c r="D83" s="46"/>
      <c r="E83" s="46"/>
      <c r="F83" s="45"/>
      <c r="G83" s="46"/>
      <c r="H83" s="45"/>
      <c r="I83" s="45"/>
      <c r="J83" s="47"/>
      <c r="K83" s="48"/>
      <c r="L83" s="47"/>
      <c r="M83" s="1913"/>
      <c r="N83" s="48"/>
      <c r="O83" s="49"/>
      <c r="P83" s="49"/>
      <c r="Q83" s="1884">
        <f t="shared" si="39"/>
        <v>0</v>
      </c>
      <c r="R83" s="1885">
        <f t="shared" si="21"/>
        <v>0</v>
      </c>
      <c r="S83" s="1885">
        <f t="shared" si="22"/>
        <v>0</v>
      </c>
      <c r="T83" s="1914"/>
      <c r="U83" s="1914"/>
      <c r="V83" s="1914"/>
      <c r="W83" s="50"/>
      <c r="X83" s="1891">
        <f t="shared" si="23"/>
        <v>0</v>
      </c>
      <c r="Y83" s="1891">
        <f t="shared" si="24"/>
        <v>0</v>
      </c>
      <c r="Z83" s="50"/>
      <c r="AA83" s="50"/>
      <c r="AB83" s="48"/>
      <c r="AC83" s="48"/>
      <c r="AD83" s="48"/>
      <c r="AE83" s="45"/>
      <c r="AF83" s="51"/>
      <c r="AG83" s="42"/>
      <c r="AH83" s="52" t="s">
        <v>4603</v>
      </c>
      <c r="AI83" s="197"/>
      <c r="AJ83" s="2578"/>
      <c r="AK83" s="251"/>
      <c r="AL83" s="2578"/>
      <c r="AM83" s="2562"/>
      <c r="AN83" s="2562"/>
      <c r="AO83" s="2562"/>
      <c r="AP83" s="2562"/>
      <c r="AQ83" s="2562"/>
      <c r="AR83" s="2562"/>
      <c r="AS83" s="2562"/>
      <c r="AT83" s="252">
        <f t="shared" si="25"/>
        <v>1</v>
      </c>
      <c r="AU83" s="252">
        <f t="shared" si="26"/>
        <v>1</v>
      </c>
      <c r="AV83" s="252">
        <f t="shared" si="27"/>
        <v>1</v>
      </c>
      <c r="AW83" s="252">
        <f t="shared" si="28"/>
        <v>1</v>
      </c>
      <c r="AX83" s="252">
        <f t="shared" si="29"/>
        <v>1</v>
      </c>
      <c r="AY83" s="252">
        <f t="shared" si="30"/>
        <v>1</v>
      </c>
      <c r="AZ83" s="252">
        <f t="shared" si="31"/>
        <v>1</v>
      </c>
      <c r="BA83" s="237"/>
      <c r="BB83" s="237"/>
      <c r="BC83" s="237"/>
      <c r="BD83" s="237"/>
      <c r="BE83" s="237"/>
      <c r="BF83" s="237"/>
      <c r="BG83" s="252">
        <f t="shared" si="32"/>
        <v>1</v>
      </c>
      <c r="BH83" s="237"/>
      <c r="BI83" s="237"/>
      <c r="BJ83" s="252">
        <f t="shared" si="33"/>
        <v>1</v>
      </c>
      <c r="BK83" s="252">
        <f t="shared" si="34"/>
        <v>1</v>
      </c>
      <c r="BL83" s="252">
        <f t="shared" si="35"/>
        <v>1</v>
      </c>
      <c r="BM83" s="252">
        <f t="shared" si="36"/>
        <v>1</v>
      </c>
      <c r="BN83" s="252">
        <f t="shared" si="37"/>
        <v>1</v>
      </c>
      <c r="BO83" s="252">
        <f t="shared" si="38"/>
        <v>1</v>
      </c>
      <c r="BP83" s="2578"/>
      <c r="BQ83" s="2562"/>
      <c r="BR83" s="2562"/>
      <c r="BS83" s="2585"/>
      <c r="BT83" s="2585"/>
      <c r="BU83" s="2585"/>
    </row>
    <row r="84" spans="1:73" s="22" customFormat="1" ht="15.75" hidden="1" customHeight="1" outlineLevel="1">
      <c r="A84" s="2585"/>
      <c r="B84" s="44"/>
      <c r="C84" s="45"/>
      <c r="D84" s="46"/>
      <c r="E84" s="46"/>
      <c r="F84" s="45"/>
      <c r="G84" s="46"/>
      <c r="H84" s="45"/>
      <c r="I84" s="45"/>
      <c r="J84" s="47"/>
      <c r="K84" s="48"/>
      <c r="L84" s="47"/>
      <c r="M84" s="1913"/>
      <c r="N84" s="48"/>
      <c r="O84" s="49"/>
      <c r="P84" s="49"/>
      <c r="Q84" s="1884">
        <f t="shared" si="39"/>
        <v>0</v>
      </c>
      <c r="R84" s="1885">
        <f t="shared" si="21"/>
        <v>0</v>
      </c>
      <c r="S84" s="1885">
        <f t="shared" si="22"/>
        <v>0</v>
      </c>
      <c r="T84" s="1914"/>
      <c r="U84" s="1914"/>
      <c r="V84" s="1914"/>
      <c r="W84" s="50"/>
      <c r="X84" s="1891">
        <f t="shared" si="23"/>
        <v>0</v>
      </c>
      <c r="Y84" s="1891">
        <f t="shared" si="24"/>
        <v>0</v>
      </c>
      <c r="Z84" s="50"/>
      <c r="AA84" s="50"/>
      <c r="AB84" s="48"/>
      <c r="AC84" s="48"/>
      <c r="AD84" s="48"/>
      <c r="AE84" s="45"/>
      <c r="AF84" s="51"/>
      <c r="AG84" s="42"/>
      <c r="AH84" s="52" t="s">
        <v>4604</v>
      </c>
      <c r="AI84" s="197"/>
      <c r="AJ84" s="2578"/>
      <c r="AK84" s="251"/>
      <c r="AL84" s="2578"/>
      <c r="AM84" s="2562"/>
      <c r="AN84" s="2562"/>
      <c r="AO84" s="2562"/>
      <c r="AP84" s="2562"/>
      <c r="AQ84" s="2562"/>
      <c r="AR84" s="2562"/>
      <c r="AS84" s="2562"/>
      <c r="AT84" s="252">
        <f t="shared" si="25"/>
        <v>1</v>
      </c>
      <c r="AU84" s="252">
        <f t="shared" si="26"/>
        <v>1</v>
      </c>
      <c r="AV84" s="252">
        <f t="shared" si="27"/>
        <v>1</v>
      </c>
      <c r="AW84" s="252">
        <f t="shared" si="28"/>
        <v>1</v>
      </c>
      <c r="AX84" s="252">
        <f t="shared" si="29"/>
        <v>1</v>
      </c>
      <c r="AY84" s="252">
        <f t="shared" si="30"/>
        <v>1</v>
      </c>
      <c r="AZ84" s="252">
        <f t="shared" si="31"/>
        <v>1</v>
      </c>
      <c r="BA84" s="237"/>
      <c r="BB84" s="237"/>
      <c r="BC84" s="237"/>
      <c r="BD84" s="237"/>
      <c r="BE84" s="237"/>
      <c r="BF84" s="237"/>
      <c r="BG84" s="252">
        <f t="shared" si="32"/>
        <v>1</v>
      </c>
      <c r="BH84" s="237"/>
      <c r="BI84" s="237"/>
      <c r="BJ84" s="252">
        <f t="shared" si="33"/>
        <v>1</v>
      </c>
      <c r="BK84" s="252">
        <f t="shared" si="34"/>
        <v>1</v>
      </c>
      <c r="BL84" s="252">
        <f t="shared" si="35"/>
        <v>1</v>
      </c>
      <c r="BM84" s="252">
        <f t="shared" si="36"/>
        <v>1</v>
      </c>
      <c r="BN84" s="252">
        <f t="shared" si="37"/>
        <v>1</v>
      </c>
      <c r="BO84" s="252">
        <f t="shared" si="38"/>
        <v>1</v>
      </c>
      <c r="BP84" s="2578"/>
      <c r="BQ84" s="2562"/>
      <c r="BR84" s="2562"/>
      <c r="BS84" s="2585"/>
      <c r="BT84" s="2585"/>
      <c r="BU84" s="2585"/>
    </row>
    <row r="85" spans="1:73" s="22" customFormat="1" ht="15.75" hidden="1" customHeight="1" outlineLevel="1">
      <c r="A85" s="2585"/>
      <c r="B85" s="44"/>
      <c r="C85" s="45"/>
      <c r="D85" s="46"/>
      <c r="E85" s="46"/>
      <c r="F85" s="45"/>
      <c r="G85" s="46"/>
      <c r="H85" s="45"/>
      <c r="I85" s="45"/>
      <c r="J85" s="47"/>
      <c r="K85" s="48"/>
      <c r="L85" s="47"/>
      <c r="M85" s="1913"/>
      <c r="N85" s="48"/>
      <c r="O85" s="49"/>
      <c r="P85" s="49"/>
      <c r="Q85" s="1884">
        <f t="shared" si="39"/>
        <v>0</v>
      </c>
      <c r="R85" s="1885">
        <f t="shared" si="21"/>
        <v>0</v>
      </c>
      <c r="S85" s="1885">
        <f t="shared" si="22"/>
        <v>0</v>
      </c>
      <c r="T85" s="1914"/>
      <c r="U85" s="1914"/>
      <c r="V85" s="1914"/>
      <c r="W85" s="50"/>
      <c r="X85" s="1891">
        <f t="shared" si="23"/>
        <v>0</v>
      </c>
      <c r="Y85" s="1891">
        <f t="shared" si="24"/>
        <v>0</v>
      </c>
      <c r="Z85" s="50"/>
      <c r="AA85" s="50"/>
      <c r="AB85" s="48"/>
      <c r="AC85" s="48"/>
      <c r="AD85" s="48"/>
      <c r="AE85" s="45"/>
      <c r="AF85" s="51"/>
      <c r="AG85" s="42"/>
      <c r="AH85" s="52" t="s">
        <v>4605</v>
      </c>
      <c r="AI85" s="197"/>
      <c r="AJ85" s="2578"/>
      <c r="AK85" s="251"/>
      <c r="AL85" s="2578"/>
      <c r="AM85" s="2562"/>
      <c r="AN85" s="2562"/>
      <c r="AO85" s="2562"/>
      <c r="AP85" s="2562"/>
      <c r="AQ85" s="2562"/>
      <c r="AR85" s="2562"/>
      <c r="AS85" s="2562"/>
      <c r="AT85" s="252">
        <f t="shared" si="25"/>
        <v>1</v>
      </c>
      <c r="AU85" s="252">
        <f t="shared" si="26"/>
        <v>1</v>
      </c>
      <c r="AV85" s="252">
        <f t="shared" si="27"/>
        <v>1</v>
      </c>
      <c r="AW85" s="252">
        <f t="shared" si="28"/>
        <v>1</v>
      </c>
      <c r="AX85" s="252">
        <f t="shared" si="29"/>
        <v>1</v>
      </c>
      <c r="AY85" s="252">
        <f t="shared" si="30"/>
        <v>1</v>
      </c>
      <c r="AZ85" s="252">
        <f t="shared" si="31"/>
        <v>1</v>
      </c>
      <c r="BA85" s="237"/>
      <c r="BB85" s="237"/>
      <c r="BC85" s="237"/>
      <c r="BD85" s="237"/>
      <c r="BE85" s="237"/>
      <c r="BF85" s="237"/>
      <c r="BG85" s="252">
        <f t="shared" si="32"/>
        <v>1</v>
      </c>
      <c r="BH85" s="237"/>
      <c r="BI85" s="237"/>
      <c r="BJ85" s="252">
        <f t="shared" si="33"/>
        <v>1</v>
      </c>
      <c r="BK85" s="252">
        <f t="shared" si="34"/>
        <v>1</v>
      </c>
      <c r="BL85" s="252">
        <f t="shared" si="35"/>
        <v>1</v>
      </c>
      <c r="BM85" s="252">
        <f t="shared" si="36"/>
        <v>1</v>
      </c>
      <c r="BN85" s="252">
        <f t="shared" si="37"/>
        <v>1</v>
      </c>
      <c r="BO85" s="252">
        <f t="shared" si="38"/>
        <v>1</v>
      </c>
      <c r="BP85" s="2578"/>
      <c r="BQ85" s="2562"/>
      <c r="BR85" s="2562"/>
      <c r="BS85" s="2585"/>
      <c r="BT85" s="2585"/>
      <c r="BU85" s="2585"/>
    </row>
    <row r="86" spans="1:73" s="22" customFormat="1" ht="15.75" hidden="1" customHeight="1" outlineLevel="1">
      <c r="A86" s="2585"/>
      <c r="B86" s="44"/>
      <c r="C86" s="45"/>
      <c r="D86" s="46"/>
      <c r="E86" s="46"/>
      <c r="F86" s="45"/>
      <c r="G86" s="46"/>
      <c r="H86" s="45"/>
      <c r="I86" s="45"/>
      <c r="J86" s="47"/>
      <c r="K86" s="48"/>
      <c r="L86" s="47"/>
      <c r="M86" s="1913"/>
      <c r="N86" s="48"/>
      <c r="O86" s="49"/>
      <c r="P86" s="49"/>
      <c r="Q86" s="1884">
        <f t="shared" si="39"/>
        <v>0</v>
      </c>
      <c r="R86" s="1885">
        <f t="shared" si="21"/>
        <v>0</v>
      </c>
      <c r="S86" s="1885">
        <f t="shared" si="22"/>
        <v>0</v>
      </c>
      <c r="T86" s="1914"/>
      <c r="U86" s="1914"/>
      <c r="V86" s="1914"/>
      <c r="W86" s="50"/>
      <c r="X86" s="1891">
        <f t="shared" si="23"/>
        <v>0</v>
      </c>
      <c r="Y86" s="1891">
        <f t="shared" si="24"/>
        <v>0</v>
      </c>
      <c r="Z86" s="50"/>
      <c r="AA86" s="50"/>
      <c r="AB86" s="48"/>
      <c r="AC86" s="48"/>
      <c r="AD86" s="48"/>
      <c r="AE86" s="45"/>
      <c r="AF86" s="51"/>
      <c r="AG86" s="42"/>
      <c r="AH86" s="52" t="s">
        <v>4606</v>
      </c>
      <c r="AI86" s="197"/>
      <c r="AJ86" s="2578"/>
      <c r="AK86" s="251"/>
      <c r="AL86" s="2578"/>
      <c r="AM86" s="2562"/>
      <c r="AN86" s="2562"/>
      <c r="AO86" s="2562"/>
      <c r="AP86" s="2562"/>
      <c r="AQ86" s="2562"/>
      <c r="AR86" s="2562"/>
      <c r="AS86" s="2562"/>
      <c r="AT86" s="252">
        <f t="shared" si="25"/>
        <v>1</v>
      </c>
      <c r="AU86" s="252">
        <f t="shared" si="26"/>
        <v>1</v>
      </c>
      <c r="AV86" s="252">
        <f t="shared" si="27"/>
        <v>1</v>
      </c>
      <c r="AW86" s="252">
        <f t="shared" si="28"/>
        <v>1</v>
      </c>
      <c r="AX86" s="252">
        <f t="shared" si="29"/>
        <v>1</v>
      </c>
      <c r="AY86" s="252">
        <f t="shared" si="30"/>
        <v>1</v>
      </c>
      <c r="AZ86" s="252">
        <f t="shared" si="31"/>
        <v>1</v>
      </c>
      <c r="BA86" s="237"/>
      <c r="BB86" s="237"/>
      <c r="BC86" s="237"/>
      <c r="BD86" s="237"/>
      <c r="BE86" s="237"/>
      <c r="BF86" s="237"/>
      <c r="BG86" s="252">
        <f t="shared" si="32"/>
        <v>1</v>
      </c>
      <c r="BH86" s="237"/>
      <c r="BI86" s="237"/>
      <c r="BJ86" s="252">
        <f t="shared" si="33"/>
        <v>1</v>
      </c>
      <c r="BK86" s="252">
        <f t="shared" si="34"/>
        <v>1</v>
      </c>
      <c r="BL86" s="252">
        <f t="shared" si="35"/>
        <v>1</v>
      </c>
      <c r="BM86" s="252">
        <f t="shared" si="36"/>
        <v>1</v>
      </c>
      <c r="BN86" s="252">
        <f t="shared" si="37"/>
        <v>1</v>
      </c>
      <c r="BO86" s="252">
        <f t="shared" si="38"/>
        <v>1</v>
      </c>
      <c r="BP86" s="2578"/>
      <c r="BQ86" s="2562"/>
      <c r="BR86" s="2562"/>
      <c r="BS86" s="2585"/>
      <c r="BT86" s="2585"/>
      <c r="BU86" s="2585"/>
    </row>
    <row r="87" spans="1:73" s="22" customFormat="1" ht="15.75" hidden="1" customHeight="1" outlineLevel="1">
      <c r="A87" s="2585"/>
      <c r="B87" s="44"/>
      <c r="C87" s="45"/>
      <c r="D87" s="46"/>
      <c r="E87" s="46"/>
      <c r="F87" s="45"/>
      <c r="G87" s="46"/>
      <c r="H87" s="45"/>
      <c r="I87" s="45"/>
      <c r="J87" s="47"/>
      <c r="K87" s="48"/>
      <c r="L87" s="47"/>
      <c r="M87" s="1913"/>
      <c r="N87" s="48"/>
      <c r="O87" s="49"/>
      <c r="P87" s="49"/>
      <c r="Q87" s="1884">
        <f t="shared" si="39"/>
        <v>0</v>
      </c>
      <c r="R87" s="1885">
        <f t="shared" si="21"/>
        <v>0</v>
      </c>
      <c r="S87" s="1885">
        <f t="shared" si="22"/>
        <v>0</v>
      </c>
      <c r="T87" s="1914"/>
      <c r="U87" s="1914"/>
      <c r="V87" s="1914"/>
      <c r="W87" s="50"/>
      <c r="X87" s="1891">
        <f t="shared" si="23"/>
        <v>0</v>
      </c>
      <c r="Y87" s="1891">
        <f t="shared" si="24"/>
        <v>0</v>
      </c>
      <c r="Z87" s="50"/>
      <c r="AA87" s="50"/>
      <c r="AB87" s="48"/>
      <c r="AC87" s="48"/>
      <c r="AD87" s="48"/>
      <c r="AE87" s="45"/>
      <c r="AF87" s="51"/>
      <c r="AG87" s="42"/>
      <c r="AH87" s="52" t="s">
        <v>4607</v>
      </c>
      <c r="AI87" s="197"/>
      <c r="AJ87" s="2578"/>
      <c r="AK87" s="251"/>
      <c r="AL87" s="2578"/>
      <c r="AM87" s="2562"/>
      <c r="AN87" s="2562"/>
      <c r="AO87" s="2562"/>
      <c r="AP87" s="2562"/>
      <c r="AQ87" s="2562"/>
      <c r="AR87" s="2562"/>
      <c r="AS87" s="2562"/>
      <c r="AT87" s="252">
        <f t="shared" si="25"/>
        <v>1</v>
      </c>
      <c r="AU87" s="252">
        <f t="shared" si="26"/>
        <v>1</v>
      </c>
      <c r="AV87" s="252">
        <f t="shared" si="27"/>
        <v>1</v>
      </c>
      <c r="AW87" s="252">
        <f t="shared" si="28"/>
        <v>1</v>
      </c>
      <c r="AX87" s="252">
        <f t="shared" si="29"/>
        <v>1</v>
      </c>
      <c r="AY87" s="252">
        <f t="shared" si="30"/>
        <v>1</v>
      </c>
      <c r="AZ87" s="252">
        <f t="shared" si="31"/>
        <v>1</v>
      </c>
      <c r="BA87" s="237"/>
      <c r="BB87" s="237"/>
      <c r="BC87" s="237"/>
      <c r="BD87" s="237"/>
      <c r="BE87" s="237"/>
      <c r="BF87" s="237"/>
      <c r="BG87" s="252">
        <f t="shared" si="32"/>
        <v>1</v>
      </c>
      <c r="BH87" s="237"/>
      <c r="BI87" s="237"/>
      <c r="BJ87" s="252">
        <f t="shared" si="33"/>
        <v>1</v>
      </c>
      <c r="BK87" s="252">
        <f t="shared" si="34"/>
        <v>1</v>
      </c>
      <c r="BL87" s="252">
        <f t="shared" si="35"/>
        <v>1</v>
      </c>
      <c r="BM87" s="252">
        <f t="shared" si="36"/>
        <v>1</v>
      </c>
      <c r="BN87" s="252">
        <f t="shared" si="37"/>
        <v>1</v>
      </c>
      <c r="BO87" s="252">
        <f t="shared" si="38"/>
        <v>1</v>
      </c>
      <c r="BP87" s="2578"/>
      <c r="BQ87" s="2562"/>
      <c r="BR87" s="2562"/>
      <c r="BS87" s="2585"/>
      <c r="BT87" s="2585"/>
      <c r="BU87" s="2585"/>
    </row>
    <row r="88" spans="1:73" s="22" customFormat="1" ht="15.75" hidden="1" customHeight="1" outlineLevel="1">
      <c r="A88" s="2585"/>
      <c r="B88" s="44"/>
      <c r="C88" s="45"/>
      <c r="D88" s="46"/>
      <c r="E88" s="46"/>
      <c r="F88" s="45"/>
      <c r="G88" s="46"/>
      <c r="H88" s="45"/>
      <c r="I88" s="45"/>
      <c r="J88" s="47"/>
      <c r="K88" s="48"/>
      <c r="L88" s="47"/>
      <c r="M88" s="1913"/>
      <c r="N88" s="48"/>
      <c r="O88" s="49"/>
      <c r="P88" s="49"/>
      <c r="Q88" s="1884">
        <f t="shared" si="39"/>
        <v>0</v>
      </c>
      <c r="R88" s="1885">
        <f t="shared" si="21"/>
        <v>0</v>
      </c>
      <c r="S88" s="1885">
        <f t="shared" si="22"/>
        <v>0</v>
      </c>
      <c r="T88" s="1914"/>
      <c r="U88" s="1914"/>
      <c r="V88" s="1914"/>
      <c r="W88" s="50"/>
      <c r="X88" s="1891">
        <f t="shared" si="23"/>
        <v>0</v>
      </c>
      <c r="Y88" s="1891">
        <f t="shared" si="24"/>
        <v>0</v>
      </c>
      <c r="Z88" s="50"/>
      <c r="AA88" s="50"/>
      <c r="AB88" s="48"/>
      <c r="AC88" s="48"/>
      <c r="AD88" s="48"/>
      <c r="AE88" s="45"/>
      <c r="AF88" s="51"/>
      <c r="AG88" s="42"/>
      <c r="AH88" s="52" t="s">
        <v>4608</v>
      </c>
      <c r="AI88" s="197"/>
      <c r="AJ88" s="2578"/>
      <c r="AK88" s="251"/>
      <c r="AL88" s="2578"/>
      <c r="AM88" s="2562"/>
      <c r="AN88" s="2562"/>
      <c r="AO88" s="2562"/>
      <c r="AP88" s="2562"/>
      <c r="AQ88" s="2562"/>
      <c r="AR88" s="2562"/>
      <c r="AS88" s="2562"/>
      <c r="AT88" s="252">
        <f t="shared" si="25"/>
        <v>1</v>
      </c>
      <c r="AU88" s="252">
        <f t="shared" si="26"/>
        <v>1</v>
      </c>
      <c r="AV88" s="252">
        <f t="shared" si="27"/>
        <v>1</v>
      </c>
      <c r="AW88" s="252">
        <f t="shared" si="28"/>
        <v>1</v>
      </c>
      <c r="AX88" s="252">
        <f t="shared" si="29"/>
        <v>1</v>
      </c>
      <c r="AY88" s="252">
        <f t="shared" si="30"/>
        <v>1</v>
      </c>
      <c r="AZ88" s="252">
        <f t="shared" si="31"/>
        <v>1</v>
      </c>
      <c r="BA88" s="237"/>
      <c r="BB88" s="237"/>
      <c r="BC88" s="237"/>
      <c r="BD88" s="237"/>
      <c r="BE88" s="237"/>
      <c r="BF88" s="237"/>
      <c r="BG88" s="252">
        <f t="shared" si="32"/>
        <v>1</v>
      </c>
      <c r="BH88" s="237"/>
      <c r="BI88" s="237"/>
      <c r="BJ88" s="252">
        <f t="shared" si="33"/>
        <v>1</v>
      </c>
      <c r="BK88" s="252">
        <f t="shared" si="34"/>
        <v>1</v>
      </c>
      <c r="BL88" s="252">
        <f t="shared" si="35"/>
        <v>1</v>
      </c>
      <c r="BM88" s="252">
        <f t="shared" si="36"/>
        <v>1</v>
      </c>
      <c r="BN88" s="252">
        <f t="shared" si="37"/>
        <v>1</v>
      </c>
      <c r="BO88" s="252">
        <f t="shared" si="38"/>
        <v>1</v>
      </c>
      <c r="BP88" s="2578"/>
      <c r="BQ88" s="2562"/>
      <c r="BR88" s="2562"/>
      <c r="BS88" s="2585"/>
      <c r="BT88" s="2585"/>
      <c r="BU88" s="2585"/>
    </row>
    <row r="89" spans="1:73" s="22" customFormat="1" ht="15.75" hidden="1" customHeight="1" outlineLevel="1">
      <c r="A89" s="2585"/>
      <c r="B89" s="44"/>
      <c r="C89" s="45"/>
      <c r="D89" s="46"/>
      <c r="E89" s="46"/>
      <c r="F89" s="45"/>
      <c r="G89" s="46"/>
      <c r="H89" s="45"/>
      <c r="I89" s="45"/>
      <c r="J89" s="47"/>
      <c r="K89" s="48"/>
      <c r="L89" s="47"/>
      <c r="M89" s="1913"/>
      <c r="N89" s="48"/>
      <c r="O89" s="49"/>
      <c r="P89" s="49"/>
      <c r="Q89" s="1884">
        <f t="shared" si="39"/>
        <v>0</v>
      </c>
      <c r="R89" s="1885">
        <f t="shared" si="21"/>
        <v>0</v>
      </c>
      <c r="S89" s="1885">
        <f t="shared" si="22"/>
        <v>0</v>
      </c>
      <c r="T89" s="1914"/>
      <c r="U89" s="1914"/>
      <c r="V89" s="1914"/>
      <c r="W89" s="50"/>
      <c r="X89" s="1891">
        <f t="shared" si="23"/>
        <v>0</v>
      </c>
      <c r="Y89" s="1891">
        <f t="shared" si="24"/>
        <v>0</v>
      </c>
      <c r="Z89" s="50"/>
      <c r="AA89" s="50"/>
      <c r="AB89" s="48"/>
      <c r="AC89" s="48"/>
      <c r="AD89" s="48"/>
      <c r="AE89" s="45"/>
      <c r="AF89" s="51"/>
      <c r="AG89" s="42"/>
      <c r="AH89" s="52" t="s">
        <v>4609</v>
      </c>
      <c r="AI89" s="197"/>
      <c r="AJ89" s="2578"/>
      <c r="AK89" s="251"/>
      <c r="AL89" s="2578"/>
      <c r="AM89" s="2562"/>
      <c r="AN89" s="2562"/>
      <c r="AO89" s="2562"/>
      <c r="AP89" s="2562"/>
      <c r="AQ89" s="2562"/>
      <c r="AR89" s="2562"/>
      <c r="AS89" s="2562"/>
      <c r="AT89" s="252">
        <f t="shared" si="25"/>
        <v>1</v>
      </c>
      <c r="AU89" s="252">
        <f t="shared" si="26"/>
        <v>1</v>
      </c>
      <c r="AV89" s="252">
        <f t="shared" si="27"/>
        <v>1</v>
      </c>
      <c r="AW89" s="252">
        <f t="shared" si="28"/>
        <v>1</v>
      </c>
      <c r="AX89" s="252">
        <f t="shared" si="29"/>
        <v>1</v>
      </c>
      <c r="AY89" s="252">
        <f t="shared" si="30"/>
        <v>1</v>
      </c>
      <c r="AZ89" s="252">
        <f t="shared" si="31"/>
        <v>1</v>
      </c>
      <c r="BA89" s="237"/>
      <c r="BB89" s="237"/>
      <c r="BC89" s="237"/>
      <c r="BD89" s="237"/>
      <c r="BE89" s="237"/>
      <c r="BF89" s="237"/>
      <c r="BG89" s="252">
        <f t="shared" si="32"/>
        <v>1</v>
      </c>
      <c r="BH89" s="237"/>
      <c r="BI89" s="237"/>
      <c r="BJ89" s="252">
        <f t="shared" si="33"/>
        <v>1</v>
      </c>
      <c r="BK89" s="252">
        <f t="shared" si="34"/>
        <v>1</v>
      </c>
      <c r="BL89" s="252">
        <f t="shared" si="35"/>
        <v>1</v>
      </c>
      <c r="BM89" s="252">
        <f t="shared" si="36"/>
        <v>1</v>
      </c>
      <c r="BN89" s="252">
        <f t="shared" si="37"/>
        <v>1</v>
      </c>
      <c r="BO89" s="252">
        <f t="shared" si="38"/>
        <v>1</v>
      </c>
      <c r="BP89" s="2578"/>
      <c r="BQ89" s="2562"/>
      <c r="BR89" s="2562"/>
      <c r="BS89" s="2585"/>
      <c r="BT89" s="2585"/>
      <c r="BU89" s="2585"/>
    </row>
    <row r="90" spans="1:73" s="22" customFormat="1" ht="15.75" hidden="1" customHeight="1" outlineLevel="1">
      <c r="A90" s="2585"/>
      <c r="B90" s="44"/>
      <c r="C90" s="45"/>
      <c r="D90" s="46"/>
      <c r="E90" s="46"/>
      <c r="F90" s="45"/>
      <c r="G90" s="46"/>
      <c r="H90" s="45"/>
      <c r="I90" s="45"/>
      <c r="J90" s="47"/>
      <c r="K90" s="48"/>
      <c r="L90" s="47"/>
      <c r="M90" s="1913"/>
      <c r="N90" s="48"/>
      <c r="O90" s="49"/>
      <c r="P90" s="49"/>
      <c r="Q90" s="1884">
        <f t="shared" si="39"/>
        <v>0</v>
      </c>
      <c r="R90" s="1885">
        <f t="shared" si="21"/>
        <v>0</v>
      </c>
      <c r="S90" s="1885">
        <f t="shared" si="22"/>
        <v>0</v>
      </c>
      <c r="T90" s="1914"/>
      <c r="U90" s="1914"/>
      <c r="V90" s="1914"/>
      <c r="W90" s="50"/>
      <c r="X90" s="1891">
        <f t="shared" si="23"/>
        <v>0</v>
      </c>
      <c r="Y90" s="1891">
        <f t="shared" si="24"/>
        <v>0</v>
      </c>
      <c r="Z90" s="50"/>
      <c r="AA90" s="50"/>
      <c r="AB90" s="48"/>
      <c r="AC90" s="48"/>
      <c r="AD90" s="48"/>
      <c r="AE90" s="45"/>
      <c r="AF90" s="51"/>
      <c r="AG90" s="42"/>
      <c r="AH90" s="52" t="s">
        <v>4610</v>
      </c>
      <c r="AI90" s="197"/>
      <c r="AJ90" s="2578"/>
      <c r="AK90" s="251"/>
      <c r="AL90" s="2578"/>
      <c r="AM90" s="2562"/>
      <c r="AN90" s="2562"/>
      <c r="AO90" s="2562"/>
      <c r="AP90" s="2562"/>
      <c r="AQ90" s="2562"/>
      <c r="AR90" s="2562"/>
      <c r="AS90" s="2562"/>
      <c r="AT90" s="252">
        <f t="shared" si="25"/>
        <v>1</v>
      </c>
      <c r="AU90" s="252">
        <f t="shared" si="26"/>
        <v>1</v>
      </c>
      <c r="AV90" s="252">
        <f t="shared" si="27"/>
        <v>1</v>
      </c>
      <c r="AW90" s="252">
        <f t="shared" si="28"/>
        <v>1</v>
      </c>
      <c r="AX90" s="252">
        <f t="shared" si="29"/>
        <v>1</v>
      </c>
      <c r="AY90" s="252">
        <f t="shared" si="30"/>
        <v>1</v>
      </c>
      <c r="AZ90" s="252">
        <f t="shared" si="31"/>
        <v>1</v>
      </c>
      <c r="BA90" s="237"/>
      <c r="BB90" s="237"/>
      <c r="BC90" s="237"/>
      <c r="BD90" s="237"/>
      <c r="BE90" s="237"/>
      <c r="BF90" s="237"/>
      <c r="BG90" s="252">
        <f t="shared" si="32"/>
        <v>1</v>
      </c>
      <c r="BH90" s="237"/>
      <c r="BI90" s="237"/>
      <c r="BJ90" s="252">
        <f t="shared" si="33"/>
        <v>1</v>
      </c>
      <c r="BK90" s="252">
        <f t="shared" si="34"/>
        <v>1</v>
      </c>
      <c r="BL90" s="252">
        <f t="shared" si="35"/>
        <v>1</v>
      </c>
      <c r="BM90" s="252">
        <f t="shared" si="36"/>
        <v>1</v>
      </c>
      <c r="BN90" s="252">
        <f t="shared" si="37"/>
        <v>1</v>
      </c>
      <c r="BO90" s="252">
        <f t="shared" si="38"/>
        <v>1</v>
      </c>
      <c r="BP90" s="2578"/>
      <c r="BQ90" s="2562"/>
      <c r="BR90" s="2562"/>
      <c r="BS90" s="2585"/>
      <c r="BT90" s="2585"/>
      <c r="BU90" s="2585"/>
    </row>
    <row r="91" spans="1:73" s="22" customFormat="1" ht="15.75" hidden="1" customHeight="1" outlineLevel="1">
      <c r="A91" s="2585"/>
      <c r="B91" s="44"/>
      <c r="C91" s="45"/>
      <c r="D91" s="46"/>
      <c r="E91" s="46"/>
      <c r="F91" s="45"/>
      <c r="G91" s="46"/>
      <c r="H91" s="45"/>
      <c r="I91" s="45"/>
      <c r="J91" s="47"/>
      <c r="K91" s="48"/>
      <c r="L91" s="47"/>
      <c r="M91" s="1913"/>
      <c r="N91" s="48"/>
      <c r="O91" s="49"/>
      <c r="P91" s="49"/>
      <c r="Q91" s="1884">
        <f t="shared" si="39"/>
        <v>0</v>
      </c>
      <c r="R91" s="1885">
        <f t="shared" si="21"/>
        <v>0</v>
      </c>
      <c r="S91" s="1885">
        <f t="shared" si="22"/>
        <v>0</v>
      </c>
      <c r="T91" s="1914"/>
      <c r="U91" s="1914"/>
      <c r="V91" s="1914"/>
      <c r="W91" s="50"/>
      <c r="X91" s="1891">
        <f t="shared" si="23"/>
        <v>0</v>
      </c>
      <c r="Y91" s="1891">
        <f t="shared" si="24"/>
        <v>0</v>
      </c>
      <c r="Z91" s="50"/>
      <c r="AA91" s="50"/>
      <c r="AB91" s="48"/>
      <c r="AC91" s="48"/>
      <c r="AD91" s="48"/>
      <c r="AE91" s="45"/>
      <c r="AF91" s="51"/>
      <c r="AG91" s="42"/>
      <c r="AH91" s="52" t="s">
        <v>4611</v>
      </c>
      <c r="AI91" s="197"/>
      <c r="AJ91" s="2578"/>
      <c r="AK91" s="251"/>
      <c r="AL91" s="2578"/>
      <c r="AM91" s="2562"/>
      <c r="AN91" s="2562"/>
      <c r="AO91" s="2562"/>
      <c r="AP91" s="2562"/>
      <c r="AQ91" s="2562"/>
      <c r="AR91" s="2562"/>
      <c r="AS91" s="2562"/>
      <c r="AT91" s="252">
        <f t="shared" si="25"/>
        <v>1</v>
      </c>
      <c r="AU91" s="252">
        <f t="shared" si="26"/>
        <v>1</v>
      </c>
      <c r="AV91" s="252">
        <f t="shared" si="27"/>
        <v>1</v>
      </c>
      <c r="AW91" s="252">
        <f t="shared" si="28"/>
        <v>1</v>
      </c>
      <c r="AX91" s="252">
        <f t="shared" si="29"/>
        <v>1</v>
      </c>
      <c r="AY91" s="252">
        <f t="shared" si="30"/>
        <v>1</v>
      </c>
      <c r="AZ91" s="252">
        <f t="shared" si="31"/>
        <v>1</v>
      </c>
      <c r="BA91" s="237"/>
      <c r="BB91" s="237"/>
      <c r="BC91" s="237"/>
      <c r="BD91" s="237"/>
      <c r="BE91" s="237"/>
      <c r="BF91" s="237"/>
      <c r="BG91" s="252">
        <f t="shared" si="32"/>
        <v>1</v>
      </c>
      <c r="BH91" s="237"/>
      <c r="BI91" s="237"/>
      <c r="BJ91" s="252">
        <f t="shared" si="33"/>
        <v>1</v>
      </c>
      <c r="BK91" s="252">
        <f t="shared" si="34"/>
        <v>1</v>
      </c>
      <c r="BL91" s="252">
        <f t="shared" si="35"/>
        <v>1</v>
      </c>
      <c r="BM91" s="252">
        <f t="shared" si="36"/>
        <v>1</v>
      </c>
      <c r="BN91" s="252">
        <f t="shared" si="37"/>
        <v>1</v>
      </c>
      <c r="BO91" s="252">
        <f t="shared" si="38"/>
        <v>1</v>
      </c>
      <c r="BP91" s="2578"/>
      <c r="BQ91" s="2562"/>
      <c r="BR91" s="2562"/>
      <c r="BS91" s="2585"/>
      <c r="BT91" s="2585"/>
      <c r="BU91" s="2585"/>
    </row>
    <row r="92" spans="1:73" s="22" customFormat="1" ht="15.75" hidden="1" customHeight="1" outlineLevel="1">
      <c r="A92" s="2585"/>
      <c r="B92" s="44"/>
      <c r="C92" s="45"/>
      <c r="D92" s="46"/>
      <c r="E92" s="46"/>
      <c r="F92" s="45"/>
      <c r="G92" s="46"/>
      <c r="H92" s="45"/>
      <c r="I92" s="45"/>
      <c r="J92" s="47"/>
      <c r="K92" s="48"/>
      <c r="L92" s="47"/>
      <c r="M92" s="1913"/>
      <c r="N92" s="48"/>
      <c r="O92" s="49"/>
      <c r="P92" s="49"/>
      <c r="Q92" s="1884">
        <f t="shared" si="39"/>
        <v>0</v>
      </c>
      <c r="R92" s="1885">
        <f t="shared" si="21"/>
        <v>0</v>
      </c>
      <c r="S92" s="1885">
        <f t="shared" si="22"/>
        <v>0</v>
      </c>
      <c r="T92" s="1914"/>
      <c r="U92" s="1914"/>
      <c r="V92" s="1914"/>
      <c r="W92" s="50"/>
      <c r="X92" s="1891">
        <f t="shared" si="23"/>
        <v>0</v>
      </c>
      <c r="Y92" s="1891">
        <f t="shared" si="24"/>
        <v>0</v>
      </c>
      <c r="Z92" s="50"/>
      <c r="AA92" s="50"/>
      <c r="AB92" s="48"/>
      <c r="AC92" s="48"/>
      <c r="AD92" s="48"/>
      <c r="AE92" s="45"/>
      <c r="AF92" s="51"/>
      <c r="AG92" s="42"/>
      <c r="AH92" s="52" t="s">
        <v>4612</v>
      </c>
      <c r="AI92" s="197"/>
      <c r="AJ92" s="2578"/>
      <c r="AK92" s="251"/>
      <c r="AL92" s="2578"/>
      <c r="AM92" s="2562"/>
      <c r="AN92" s="2562"/>
      <c r="AO92" s="2562"/>
      <c r="AP92" s="2562"/>
      <c r="AQ92" s="2562"/>
      <c r="AR92" s="2562"/>
      <c r="AS92" s="2562"/>
      <c r="AT92" s="252">
        <f t="shared" si="25"/>
        <v>1</v>
      </c>
      <c r="AU92" s="252">
        <f t="shared" si="26"/>
        <v>1</v>
      </c>
      <c r="AV92" s="252">
        <f t="shared" si="27"/>
        <v>1</v>
      </c>
      <c r="AW92" s="252">
        <f t="shared" si="28"/>
        <v>1</v>
      </c>
      <c r="AX92" s="252">
        <f t="shared" si="29"/>
        <v>1</v>
      </c>
      <c r="AY92" s="252">
        <f t="shared" si="30"/>
        <v>1</v>
      </c>
      <c r="AZ92" s="252">
        <f t="shared" si="31"/>
        <v>1</v>
      </c>
      <c r="BA92" s="237"/>
      <c r="BB92" s="237"/>
      <c r="BC92" s="237"/>
      <c r="BD92" s="237"/>
      <c r="BE92" s="237"/>
      <c r="BF92" s="237"/>
      <c r="BG92" s="252">
        <f t="shared" si="32"/>
        <v>1</v>
      </c>
      <c r="BH92" s="237"/>
      <c r="BI92" s="237"/>
      <c r="BJ92" s="252">
        <f t="shared" si="33"/>
        <v>1</v>
      </c>
      <c r="BK92" s="252">
        <f t="shared" si="34"/>
        <v>1</v>
      </c>
      <c r="BL92" s="252">
        <f t="shared" si="35"/>
        <v>1</v>
      </c>
      <c r="BM92" s="252">
        <f t="shared" si="36"/>
        <v>1</v>
      </c>
      <c r="BN92" s="252">
        <f t="shared" si="37"/>
        <v>1</v>
      </c>
      <c r="BO92" s="252">
        <f t="shared" si="38"/>
        <v>1</v>
      </c>
      <c r="BP92" s="2578"/>
      <c r="BQ92" s="2562"/>
      <c r="BR92" s="2562"/>
      <c r="BS92" s="2585"/>
      <c r="BT92" s="2585"/>
      <c r="BU92" s="2585"/>
    </row>
    <row r="93" spans="1:73" s="22" customFormat="1" ht="15.75" hidden="1" customHeight="1" outlineLevel="1">
      <c r="A93" s="2585"/>
      <c r="B93" s="44"/>
      <c r="C93" s="45"/>
      <c r="D93" s="46"/>
      <c r="E93" s="46"/>
      <c r="F93" s="45"/>
      <c r="G93" s="46"/>
      <c r="H93" s="45"/>
      <c r="I93" s="45"/>
      <c r="J93" s="47"/>
      <c r="K93" s="48"/>
      <c r="L93" s="47"/>
      <c r="M93" s="1913"/>
      <c r="N93" s="48"/>
      <c r="O93" s="49"/>
      <c r="P93" s="49"/>
      <c r="Q93" s="1884">
        <f t="shared" si="39"/>
        <v>0</v>
      </c>
      <c r="R93" s="1885">
        <f t="shared" si="21"/>
        <v>0</v>
      </c>
      <c r="S93" s="1885">
        <f t="shared" si="22"/>
        <v>0</v>
      </c>
      <c r="T93" s="1914"/>
      <c r="U93" s="1914"/>
      <c r="V93" s="1914"/>
      <c r="W93" s="50"/>
      <c r="X93" s="1891">
        <f t="shared" si="23"/>
        <v>0</v>
      </c>
      <c r="Y93" s="1891">
        <f t="shared" si="24"/>
        <v>0</v>
      </c>
      <c r="Z93" s="50"/>
      <c r="AA93" s="50"/>
      <c r="AB93" s="48"/>
      <c r="AC93" s="48"/>
      <c r="AD93" s="48"/>
      <c r="AE93" s="45"/>
      <c r="AF93" s="51"/>
      <c r="AG93" s="42"/>
      <c r="AH93" s="52" t="s">
        <v>4613</v>
      </c>
      <c r="AI93" s="197"/>
      <c r="AJ93" s="2578"/>
      <c r="AK93" s="251"/>
      <c r="AL93" s="2578"/>
      <c r="AM93" s="2562"/>
      <c r="AN93" s="2562"/>
      <c r="AO93" s="2562"/>
      <c r="AP93" s="2562"/>
      <c r="AQ93" s="2562"/>
      <c r="AR93" s="2562"/>
      <c r="AS93" s="2562"/>
      <c r="AT93" s="252">
        <f t="shared" si="25"/>
        <v>1</v>
      </c>
      <c r="AU93" s="252">
        <f t="shared" si="26"/>
        <v>1</v>
      </c>
      <c r="AV93" s="252">
        <f t="shared" si="27"/>
        <v>1</v>
      </c>
      <c r="AW93" s="252">
        <f t="shared" si="28"/>
        <v>1</v>
      </c>
      <c r="AX93" s="252">
        <f t="shared" si="29"/>
        <v>1</v>
      </c>
      <c r="AY93" s="252">
        <f t="shared" si="30"/>
        <v>1</v>
      </c>
      <c r="AZ93" s="252">
        <f t="shared" si="31"/>
        <v>1</v>
      </c>
      <c r="BA93" s="237"/>
      <c r="BB93" s="237"/>
      <c r="BC93" s="237"/>
      <c r="BD93" s="237"/>
      <c r="BE93" s="237"/>
      <c r="BF93" s="237"/>
      <c r="BG93" s="252">
        <f t="shared" si="32"/>
        <v>1</v>
      </c>
      <c r="BH93" s="237"/>
      <c r="BI93" s="237"/>
      <c r="BJ93" s="252">
        <f t="shared" si="33"/>
        <v>1</v>
      </c>
      <c r="BK93" s="252">
        <f t="shared" si="34"/>
        <v>1</v>
      </c>
      <c r="BL93" s="252">
        <f t="shared" si="35"/>
        <v>1</v>
      </c>
      <c r="BM93" s="252">
        <f t="shared" si="36"/>
        <v>1</v>
      </c>
      <c r="BN93" s="252">
        <f t="shared" si="37"/>
        <v>1</v>
      </c>
      <c r="BO93" s="252">
        <f t="shared" si="38"/>
        <v>1</v>
      </c>
      <c r="BP93" s="2578"/>
      <c r="BQ93" s="2562"/>
      <c r="BR93" s="2562"/>
      <c r="BS93" s="2585"/>
      <c r="BT93" s="2585"/>
      <c r="BU93" s="2585"/>
    </row>
    <row r="94" spans="1:73" s="22" customFormat="1" ht="15.75" hidden="1" customHeight="1" outlineLevel="1">
      <c r="A94" s="2585"/>
      <c r="B94" s="44"/>
      <c r="C94" s="45"/>
      <c r="D94" s="46"/>
      <c r="E94" s="46"/>
      <c r="F94" s="45"/>
      <c r="G94" s="46"/>
      <c r="H94" s="45"/>
      <c r="I94" s="45"/>
      <c r="J94" s="47"/>
      <c r="K94" s="48"/>
      <c r="L94" s="47"/>
      <c r="M94" s="1913"/>
      <c r="N94" s="48"/>
      <c r="O94" s="49"/>
      <c r="P94" s="49"/>
      <c r="Q94" s="1884">
        <f t="shared" si="39"/>
        <v>0</v>
      </c>
      <c r="R94" s="1885">
        <f t="shared" si="21"/>
        <v>0</v>
      </c>
      <c r="S94" s="1885">
        <f t="shared" si="22"/>
        <v>0</v>
      </c>
      <c r="T94" s="1914"/>
      <c r="U94" s="1914"/>
      <c r="V94" s="1914"/>
      <c r="W94" s="50"/>
      <c r="X94" s="1891">
        <f t="shared" si="23"/>
        <v>0</v>
      </c>
      <c r="Y94" s="1891">
        <f t="shared" si="24"/>
        <v>0</v>
      </c>
      <c r="Z94" s="50"/>
      <c r="AA94" s="50"/>
      <c r="AB94" s="48"/>
      <c r="AC94" s="48"/>
      <c r="AD94" s="48"/>
      <c r="AE94" s="45"/>
      <c r="AF94" s="51"/>
      <c r="AG94" s="42"/>
      <c r="AH94" s="52" t="s">
        <v>4614</v>
      </c>
      <c r="AI94" s="197"/>
      <c r="AJ94" s="2578"/>
      <c r="AK94" s="251"/>
      <c r="AL94" s="2578"/>
      <c r="AM94" s="2562"/>
      <c r="AN94" s="2562"/>
      <c r="AO94" s="2562"/>
      <c r="AP94" s="2562"/>
      <c r="AQ94" s="2562"/>
      <c r="AR94" s="2562"/>
      <c r="AS94" s="2562"/>
      <c r="AT94" s="252">
        <f t="shared" si="25"/>
        <v>1</v>
      </c>
      <c r="AU94" s="252">
        <f t="shared" si="26"/>
        <v>1</v>
      </c>
      <c r="AV94" s="252">
        <f t="shared" si="27"/>
        <v>1</v>
      </c>
      <c r="AW94" s="252">
        <f t="shared" si="28"/>
        <v>1</v>
      </c>
      <c r="AX94" s="252">
        <f t="shared" si="29"/>
        <v>1</v>
      </c>
      <c r="AY94" s="252">
        <f t="shared" si="30"/>
        <v>1</v>
      </c>
      <c r="AZ94" s="252">
        <f t="shared" si="31"/>
        <v>1</v>
      </c>
      <c r="BA94" s="237"/>
      <c r="BB94" s="237"/>
      <c r="BC94" s="237"/>
      <c r="BD94" s="237"/>
      <c r="BE94" s="237"/>
      <c r="BF94" s="237"/>
      <c r="BG94" s="252">
        <f t="shared" si="32"/>
        <v>1</v>
      </c>
      <c r="BH94" s="237"/>
      <c r="BI94" s="237"/>
      <c r="BJ94" s="252">
        <f t="shared" si="33"/>
        <v>1</v>
      </c>
      <c r="BK94" s="252">
        <f t="shared" si="34"/>
        <v>1</v>
      </c>
      <c r="BL94" s="252">
        <f t="shared" si="35"/>
        <v>1</v>
      </c>
      <c r="BM94" s="252">
        <f t="shared" si="36"/>
        <v>1</v>
      </c>
      <c r="BN94" s="252">
        <f t="shared" si="37"/>
        <v>1</v>
      </c>
      <c r="BO94" s="252">
        <f t="shared" si="38"/>
        <v>1</v>
      </c>
      <c r="BP94" s="2578"/>
      <c r="BQ94" s="2562"/>
      <c r="BR94" s="2562"/>
      <c r="BS94" s="2585"/>
      <c r="BT94" s="2585"/>
      <c r="BU94" s="2585"/>
    </row>
    <row r="95" spans="1:73" s="22" customFormat="1" ht="15.75" hidden="1" customHeight="1" outlineLevel="1">
      <c r="A95" s="2585"/>
      <c r="B95" s="44"/>
      <c r="C95" s="45"/>
      <c r="D95" s="46"/>
      <c r="E95" s="46"/>
      <c r="F95" s="45"/>
      <c r="G95" s="46"/>
      <c r="H95" s="45"/>
      <c r="I95" s="45"/>
      <c r="J95" s="47"/>
      <c r="K95" s="48"/>
      <c r="L95" s="47"/>
      <c r="M95" s="1913"/>
      <c r="N95" s="48"/>
      <c r="O95" s="49"/>
      <c r="P95" s="49"/>
      <c r="Q95" s="1884">
        <f t="shared" si="39"/>
        <v>0</v>
      </c>
      <c r="R95" s="1885">
        <f t="shared" si="21"/>
        <v>0</v>
      </c>
      <c r="S95" s="1885">
        <f t="shared" si="22"/>
        <v>0</v>
      </c>
      <c r="T95" s="1914"/>
      <c r="U95" s="1914"/>
      <c r="V95" s="1914"/>
      <c r="W95" s="50"/>
      <c r="X95" s="1891">
        <f t="shared" si="23"/>
        <v>0</v>
      </c>
      <c r="Y95" s="1891">
        <f t="shared" si="24"/>
        <v>0</v>
      </c>
      <c r="Z95" s="50"/>
      <c r="AA95" s="50"/>
      <c r="AB95" s="48"/>
      <c r="AC95" s="48"/>
      <c r="AD95" s="48"/>
      <c r="AE95" s="45"/>
      <c r="AF95" s="51"/>
      <c r="AG95" s="42"/>
      <c r="AH95" s="52" t="s">
        <v>4615</v>
      </c>
      <c r="AI95" s="197"/>
      <c r="AJ95" s="2578"/>
      <c r="AK95" s="251"/>
      <c r="AL95" s="2578"/>
      <c r="AM95" s="2562"/>
      <c r="AN95" s="2562"/>
      <c r="AO95" s="2562"/>
      <c r="AP95" s="2562"/>
      <c r="AQ95" s="2562"/>
      <c r="AR95" s="2562"/>
      <c r="AS95" s="2562"/>
      <c r="AT95" s="252">
        <f t="shared" si="25"/>
        <v>1</v>
      </c>
      <c r="AU95" s="252">
        <f t="shared" si="26"/>
        <v>1</v>
      </c>
      <c r="AV95" s="252">
        <f t="shared" si="27"/>
        <v>1</v>
      </c>
      <c r="AW95" s="252">
        <f t="shared" si="28"/>
        <v>1</v>
      </c>
      <c r="AX95" s="252">
        <f t="shared" si="29"/>
        <v>1</v>
      </c>
      <c r="AY95" s="252">
        <f t="shared" si="30"/>
        <v>1</v>
      </c>
      <c r="AZ95" s="252">
        <f t="shared" si="31"/>
        <v>1</v>
      </c>
      <c r="BA95" s="237"/>
      <c r="BB95" s="237"/>
      <c r="BC95" s="237"/>
      <c r="BD95" s="237"/>
      <c r="BE95" s="237"/>
      <c r="BF95" s="237"/>
      <c r="BG95" s="252">
        <f t="shared" si="32"/>
        <v>1</v>
      </c>
      <c r="BH95" s="237"/>
      <c r="BI95" s="237"/>
      <c r="BJ95" s="252">
        <f t="shared" si="33"/>
        <v>1</v>
      </c>
      <c r="BK95" s="252">
        <f t="shared" si="34"/>
        <v>1</v>
      </c>
      <c r="BL95" s="252">
        <f t="shared" si="35"/>
        <v>1</v>
      </c>
      <c r="BM95" s="252">
        <f t="shared" si="36"/>
        <v>1</v>
      </c>
      <c r="BN95" s="252">
        <f t="shared" si="37"/>
        <v>1</v>
      </c>
      <c r="BO95" s="252">
        <f t="shared" si="38"/>
        <v>1</v>
      </c>
      <c r="BP95" s="2578"/>
      <c r="BQ95" s="2562"/>
      <c r="BR95" s="2562"/>
      <c r="BS95" s="2585"/>
      <c r="BT95" s="2585"/>
      <c r="BU95" s="2585"/>
    </row>
    <row r="96" spans="1:73" s="22" customFormat="1" ht="15.75" hidden="1" customHeight="1" outlineLevel="1">
      <c r="A96" s="2585"/>
      <c r="B96" s="44"/>
      <c r="C96" s="45"/>
      <c r="D96" s="46"/>
      <c r="E96" s="46"/>
      <c r="F96" s="45"/>
      <c r="G96" s="46"/>
      <c r="H96" s="45"/>
      <c r="I96" s="45"/>
      <c r="J96" s="47"/>
      <c r="K96" s="48"/>
      <c r="L96" s="47"/>
      <c r="M96" s="1913"/>
      <c r="N96" s="48"/>
      <c r="O96" s="49"/>
      <c r="P96" s="49"/>
      <c r="Q96" s="1884">
        <f t="shared" si="39"/>
        <v>0</v>
      </c>
      <c r="R96" s="1885">
        <f t="shared" si="21"/>
        <v>0</v>
      </c>
      <c r="S96" s="1885">
        <f t="shared" si="22"/>
        <v>0</v>
      </c>
      <c r="T96" s="1914"/>
      <c r="U96" s="1914"/>
      <c r="V96" s="1914"/>
      <c r="W96" s="50"/>
      <c r="X96" s="1891">
        <f t="shared" si="23"/>
        <v>0</v>
      </c>
      <c r="Y96" s="1891">
        <f t="shared" si="24"/>
        <v>0</v>
      </c>
      <c r="Z96" s="50"/>
      <c r="AA96" s="50"/>
      <c r="AB96" s="48"/>
      <c r="AC96" s="48"/>
      <c r="AD96" s="48"/>
      <c r="AE96" s="45"/>
      <c r="AF96" s="51"/>
      <c r="AG96" s="42"/>
      <c r="AH96" s="52" t="s">
        <v>4616</v>
      </c>
      <c r="AI96" s="197"/>
      <c r="AJ96" s="2578"/>
      <c r="AK96" s="251"/>
      <c r="AL96" s="2578"/>
      <c r="AM96" s="2562"/>
      <c r="AN96" s="2562"/>
      <c r="AO96" s="2562"/>
      <c r="AP96" s="2562"/>
      <c r="AQ96" s="2562"/>
      <c r="AR96" s="2562"/>
      <c r="AS96" s="2562"/>
      <c r="AT96" s="252">
        <f t="shared" si="25"/>
        <v>1</v>
      </c>
      <c r="AU96" s="252">
        <f t="shared" si="26"/>
        <v>1</v>
      </c>
      <c r="AV96" s="252">
        <f t="shared" si="27"/>
        <v>1</v>
      </c>
      <c r="AW96" s="252">
        <f t="shared" si="28"/>
        <v>1</v>
      </c>
      <c r="AX96" s="252">
        <f t="shared" si="29"/>
        <v>1</v>
      </c>
      <c r="AY96" s="252">
        <f t="shared" si="30"/>
        <v>1</v>
      </c>
      <c r="AZ96" s="252">
        <f t="shared" si="31"/>
        <v>1</v>
      </c>
      <c r="BA96" s="237"/>
      <c r="BB96" s="237"/>
      <c r="BC96" s="237"/>
      <c r="BD96" s="237"/>
      <c r="BE96" s="237"/>
      <c r="BF96" s="237"/>
      <c r="BG96" s="252">
        <f t="shared" si="32"/>
        <v>1</v>
      </c>
      <c r="BH96" s="237"/>
      <c r="BI96" s="237"/>
      <c r="BJ96" s="252">
        <f t="shared" si="33"/>
        <v>1</v>
      </c>
      <c r="BK96" s="252">
        <f t="shared" si="34"/>
        <v>1</v>
      </c>
      <c r="BL96" s="252">
        <f t="shared" si="35"/>
        <v>1</v>
      </c>
      <c r="BM96" s="252">
        <f t="shared" si="36"/>
        <v>1</v>
      </c>
      <c r="BN96" s="252">
        <f t="shared" si="37"/>
        <v>1</v>
      </c>
      <c r="BO96" s="252">
        <f t="shared" si="38"/>
        <v>1</v>
      </c>
      <c r="BP96" s="2578"/>
      <c r="BQ96" s="2562"/>
      <c r="BR96" s="2562"/>
      <c r="BS96" s="2585"/>
      <c r="BT96" s="2585"/>
      <c r="BU96" s="2585"/>
    </row>
    <row r="97" spans="1:73" s="22" customFormat="1" ht="15.75" hidden="1" customHeight="1" outlineLevel="1">
      <c r="A97" s="2585"/>
      <c r="B97" s="44"/>
      <c r="C97" s="45"/>
      <c r="D97" s="46"/>
      <c r="E97" s="46"/>
      <c r="F97" s="45"/>
      <c r="G97" s="46"/>
      <c r="H97" s="45"/>
      <c r="I97" s="45"/>
      <c r="J97" s="47"/>
      <c r="K97" s="48"/>
      <c r="L97" s="47"/>
      <c r="M97" s="1913"/>
      <c r="N97" s="48"/>
      <c r="O97" s="49"/>
      <c r="P97" s="49"/>
      <c r="Q97" s="1884">
        <f t="shared" si="39"/>
        <v>0</v>
      </c>
      <c r="R97" s="1885">
        <f t="shared" si="21"/>
        <v>0</v>
      </c>
      <c r="S97" s="1885">
        <f t="shared" si="22"/>
        <v>0</v>
      </c>
      <c r="T97" s="1914"/>
      <c r="U97" s="1914"/>
      <c r="V97" s="1914"/>
      <c r="W97" s="50"/>
      <c r="X97" s="1891">
        <f t="shared" si="23"/>
        <v>0</v>
      </c>
      <c r="Y97" s="1891">
        <f t="shared" si="24"/>
        <v>0</v>
      </c>
      <c r="Z97" s="50"/>
      <c r="AA97" s="50"/>
      <c r="AB97" s="48"/>
      <c r="AC97" s="48"/>
      <c r="AD97" s="48"/>
      <c r="AE97" s="45"/>
      <c r="AF97" s="51"/>
      <c r="AG97" s="42"/>
      <c r="AH97" s="52" t="s">
        <v>4617</v>
      </c>
      <c r="AI97" s="197"/>
      <c r="AJ97" s="2578"/>
      <c r="AK97" s="251"/>
      <c r="AL97" s="2578"/>
      <c r="AM97" s="2562"/>
      <c r="AN97" s="2562"/>
      <c r="AO97" s="2562"/>
      <c r="AP97" s="2562"/>
      <c r="AQ97" s="2562"/>
      <c r="AR97" s="2562"/>
      <c r="AS97" s="2562"/>
      <c r="AT97" s="252">
        <f t="shared" si="25"/>
        <v>1</v>
      </c>
      <c r="AU97" s="252">
        <f t="shared" si="26"/>
        <v>1</v>
      </c>
      <c r="AV97" s="252">
        <f t="shared" si="27"/>
        <v>1</v>
      </c>
      <c r="AW97" s="252">
        <f t="shared" si="28"/>
        <v>1</v>
      </c>
      <c r="AX97" s="252">
        <f t="shared" si="29"/>
        <v>1</v>
      </c>
      <c r="AY97" s="252">
        <f t="shared" si="30"/>
        <v>1</v>
      </c>
      <c r="AZ97" s="252">
        <f t="shared" si="31"/>
        <v>1</v>
      </c>
      <c r="BA97" s="237"/>
      <c r="BB97" s="237"/>
      <c r="BC97" s="237"/>
      <c r="BD97" s="237"/>
      <c r="BE97" s="237"/>
      <c r="BF97" s="237"/>
      <c r="BG97" s="252">
        <f t="shared" si="32"/>
        <v>1</v>
      </c>
      <c r="BH97" s="237"/>
      <c r="BI97" s="237"/>
      <c r="BJ97" s="252">
        <f t="shared" si="33"/>
        <v>1</v>
      </c>
      <c r="BK97" s="252">
        <f t="shared" si="34"/>
        <v>1</v>
      </c>
      <c r="BL97" s="252">
        <f t="shared" si="35"/>
        <v>1</v>
      </c>
      <c r="BM97" s="252">
        <f t="shared" si="36"/>
        <v>1</v>
      </c>
      <c r="BN97" s="252">
        <f t="shared" si="37"/>
        <v>1</v>
      </c>
      <c r="BO97" s="252">
        <f t="shared" si="38"/>
        <v>1</v>
      </c>
      <c r="BP97" s="2578"/>
      <c r="BQ97" s="2562"/>
      <c r="BR97" s="2562"/>
      <c r="BS97" s="2585"/>
      <c r="BT97" s="2585"/>
      <c r="BU97" s="2585"/>
    </row>
    <row r="98" spans="1:73" s="22" customFormat="1" ht="15.75" hidden="1" customHeight="1" outlineLevel="1">
      <c r="A98" s="2585"/>
      <c r="B98" s="44"/>
      <c r="C98" s="45"/>
      <c r="D98" s="46"/>
      <c r="E98" s="46"/>
      <c r="F98" s="45"/>
      <c r="G98" s="46"/>
      <c r="H98" s="45"/>
      <c r="I98" s="45"/>
      <c r="J98" s="47"/>
      <c r="K98" s="48"/>
      <c r="L98" s="47"/>
      <c r="M98" s="1913"/>
      <c r="N98" s="48"/>
      <c r="O98" s="49"/>
      <c r="P98" s="49"/>
      <c r="Q98" s="1884">
        <f t="shared" si="39"/>
        <v>0</v>
      </c>
      <c r="R98" s="1885">
        <f t="shared" si="21"/>
        <v>0</v>
      </c>
      <c r="S98" s="1885">
        <f t="shared" si="22"/>
        <v>0</v>
      </c>
      <c r="T98" s="1914"/>
      <c r="U98" s="1914"/>
      <c r="V98" s="1914"/>
      <c r="W98" s="50"/>
      <c r="X98" s="1891">
        <f t="shared" si="23"/>
        <v>0</v>
      </c>
      <c r="Y98" s="1891">
        <f t="shared" si="24"/>
        <v>0</v>
      </c>
      <c r="Z98" s="50"/>
      <c r="AA98" s="50"/>
      <c r="AB98" s="48"/>
      <c r="AC98" s="48"/>
      <c r="AD98" s="48"/>
      <c r="AE98" s="45"/>
      <c r="AF98" s="51"/>
      <c r="AG98" s="42"/>
      <c r="AH98" s="52" t="s">
        <v>4618</v>
      </c>
      <c r="AI98" s="197"/>
      <c r="AJ98" s="2578"/>
      <c r="AK98" s="251"/>
      <c r="AL98" s="2578"/>
      <c r="AM98" s="2562"/>
      <c r="AN98" s="2562"/>
      <c r="AO98" s="2562"/>
      <c r="AP98" s="2562"/>
      <c r="AQ98" s="2562"/>
      <c r="AR98" s="2562"/>
      <c r="AS98" s="2562"/>
      <c r="AT98" s="252">
        <f t="shared" si="25"/>
        <v>1</v>
      </c>
      <c r="AU98" s="252">
        <f t="shared" si="26"/>
        <v>1</v>
      </c>
      <c r="AV98" s="252">
        <f t="shared" si="27"/>
        <v>1</v>
      </c>
      <c r="AW98" s="252">
        <f t="shared" si="28"/>
        <v>1</v>
      </c>
      <c r="AX98" s="252">
        <f t="shared" si="29"/>
        <v>1</v>
      </c>
      <c r="AY98" s="252">
        <f t="shared" si="30"/>
        <v>1</v>
      </c>
      <c r="AZ98" s="252">
        <f t="shared" si="31"/>
        <v>1</v>
      </c>
      <c r="BA98" s="237"/>
      <c r="BB98" s="237"/>
      <c r="BC98" s="237"/>
      <c r="BD98" s="237"/>
      <c r="BE98" s="237"/>
      <c r="BF98" s="237"/>
      <c r="BG98" s="252">
        <f t="shared" si="32"/>
        <v>1</v>
      </c>
      <c r="BH98" s="237"/>
      <c r="BI98" s="237"/>
      <c r="BJ98" s="252">
        <f t="shared" si="33"/>
        <v>1</v>
      </c>
      <c r="BK98" s="252">
        <f t="shared" si="34"/>
        <v>1</v>
      </c>
      <c r="BL98" s="252">
        <f t="shared" si="35"/>
        <v>1</v>
      </c>
      <c r="BM98" s="252">
        <f t="shared" si="36"/>
        <v>1</v>
      </c>
      <c r="BN98" s="252">
        <f t="shared" si="37"/>
        <v>1</v>
      </c>
      <c r="BO98" s="252">
        <f t="shared" si="38"/>
        <v>1</v>
      </c>
      <c r="BP98" s="2578"/>
      <c r="BQ98" s="2562"/>
      <c r="BR98" s="2562"/>
      <c r="BS98" s="2585"/>
      <c r="BT98" s="2585"/>
      <c r="BU98" s="2585"/>
    </row>
    <row r="99" spans="1:73" s="22" customFormat="1" ht="15.75" hidden="1" customHeight="1" outlineLevel="1">
      <c r="A99" s="2585"/>
      <c r="B99" s="44"/>
      <c r="C99" s="45"/>
      <c r="D99" s="46"/>
      <c r="E99" s="46"/>
      <c r="F99" s="45"/>
      <c r="G99" s="46"/>
      <c r="H99" s="45"/>
      <c r="I99" s="45"/>
      <c r="J99" s="47"/>
      <c r="K99" s="48"/>
      <c r="L99" s="47"/>
      <c r="M99" s="1913"/>
      <c r="N99" s="48"/>
      <c r="O99" s="49"/>
      <c r="P99" s="49"/>
      <c r="Q99" s="1884">
        <f t="shared" si="39"/>
        <v>0</v>
      </c>
      <c r="R99" s="1885">
        <f t="shared" si="21"/>
        <v>0</v>
      </c>
      <c r="S99" s="1885">
        <f t="shared" si="22"/>
        <v>0</v>
      </c>
      <c r="T99" s="1914"/>
      <c r="U99" s="1914"/>
      <c r="V99" s="1914"/>
      <c r="W99" s="50"/>
      <c r="X99" s="1891">
        <f t="shared" si="23"/>
        <v>0</v>
      </c>
      <c r="Y99" s="1891">
        <f t="shared" si="24"/>
        <v>0</v>
      </c>
      <c r="Z99" s="50"/>
      <c r="AA99" s="50"/>
      <c r="AB99" s="48"/>
      <c r="AC99" s="48"/>
      <c r="AD99" s="48"/>
      <c r="AE99" s="45"/>
      <c r="AF99" s="51"/>
      <c r="AG99" s="42"/>
      <c r="AH99" s="52" t="s">
        <v>4619</v>
      </c>
      <c r="AI99" s="197"/>
      <c r="AJ99" s="2578"/>
      <c r="AK99" s="251"/>
      <c r="AL99" s="2578"/>
      <c r="AM99" s="2562"/>
      <c r="AN99" s="2562"/>
      <c r="AO99" s="2562"/>
      <c r="AP99" s="2562"/>
      <c r="AQ99" s="2562"/>
      <c r="AR99" s="2562"/>
      <c r="AS99" s="2562"/>
      <c r="AT99" s="252">
        <f t="shared" si="25"/>
        <v>1</v>
      </c>
      <c r="AU99" s="252">
        <f t="shared" si="26"/>
        <v>1</v>
      </c>
      <c r="AV99" s="252">
        <f t="shared" si="27"/>
        <v>1</v>
      </c>
      <c r="AW99" s="252">
        <f t="shared" si="28"/>
        <v>1</v>
      </c>
      <c r="AX99" s="252">
        <f t="shared" si="29"/>
        <v>1</v>
      </c>
      <c r="AY99" s="252">
        <f t="shared" si="30"/>
        <v>1</v>
      </c>
      <c r="AZ99" s="252">
        <f t="shared" si="31"/>
        <v>1</v>
      </c>
      <c r="BA99" s="237"/>
      <c r="BB99" s="237"/>
      <c r="BC99" s="237"/>
      <c r="BD99" s="237"/>
      <c r="BE99" s="237"/>
      <c r="BF99" s="237"/>
      <c r="BG99" s="252">
        <f t="shared" si="32"/>
        <v>1</v>
      </c>
      <c r="BH99" s="237"/>
      <c r="BI99" s="237"/>
      <c r="BJ99" s="252">
        <f t="shared" si="33"/>
        <v>1</v>
      </c>
      <c r="BK99" s="252">
        <f t="shared" si="34"/>
        <v>1</v>
      </c>
      <c r="BL99" s="252">
        <f t="shared" si="35"/>
        <v>1</v>
      </c>
      <c r="BM99" s="252">
        <f t="shared" si="36"/>
        <v>1</v>
      </c>
      <c r="BN99" s="252">
        <f t="shared" si="37"/>
        <v>1</v>
      </c>
      <c r="BO99" s="252">
        <f t="shared" si="38"/>
        <v>1</v>
      </c>
      <c r="BP99" s="2578"/>
      <c r="BQ99" s="2562"/>
      <c r="BR99" s="2562"/>
      <c r="BS99" s="2585"/>
      <c r="BT99" s="2585"/>
      <c r="BU99" s="2585"/>
    </row>
    <row r="100" spans="1:73" s="22" customFormat="1" ht="15.75" hidden="1" customHeight="1" outlineLevel="1">
      <c r="A100" s="2585"/>
      <c r="B100" s="44"/>
      <c r="C100" s="45"/>
      <c r="D100" s="46"/>
      <c r="E100" s="46"/>
      <c r="F100" s="45"/>
      <c r="G100" s="46"/>
      <c r="H100" s="45"/>
      <c r="I100" s="45"/>
      <c r="J100" s="47"/>
      <c r="K100" s="48"/>
      <c r="L100" s="47"/>
      <c r="M100" s="1913"/>
      <c r="N100" s="48"/>
      <c r="O100" s="49"/>
      <c r="P100" s="49"/>
      <c r="Q100" s="1884">
        <f t="shared" si="39"/>
        <v>0</v>
      </c>
      <c r="R100" s="1885">
        <f t="shared" si="21"/>
        <v>0</v>
      </c>
      <c r="S100" s="1885">
        <f t="shared" si="22"/>
        <v>0</v>
      </c>
      <c r="T100" s="1914"/>
      <c r="U100" s="1914"/>
      <c r="V100" s="1914"/>
      <c r="W100" s="50"/>
      <c r="X100" s="1891">
        <f t="shared" si="23"/>
        <v>0</v>
      </c>
      <c r="Y100" s="1891">
        <f t="shared" si="24"/>
        <v>0</v>
      </c>
      <c r="Z100" s="50"/>
      <c r="AA100" s="50"/>
      <c r="AB100" s="48"/>
      <c r="AC100" s="48"/>
      <c r="AD100" s="48"/>
      <c r="AE100" s="45"/>
      <c r="AF100" s="51"/>
      <c r="AG100" s="42"/>
      <c r="AH100" s="52" t="s">
        <v>4620</v>
      </c>
      <c r="AI100" s="197"/>
      <c r="AJ100" s="2578"/>
      <c r="AK100" s="251"/>
      <c r="AL100" s="2578"/>
      <c r="AM100" s="2562"/>
      <c r="AN100" s="2562"/>
      <c r="AO100" s="2562"/>
      <c r="AP100" s="2562"/>
      <c r="AQ100" s="2562"/>
      <c r="AR100" s="2562"/>
      <c r="AS100" s="2562"/>
      <c r="AT100" s="252">
        <f t="shared" si="25"/>
        <v>1</v>
      </c>
      <c r="AU100" s="252">
        <f t="shared" si="26"/>
        <v>1</v>
      </c>
      <c r="AV100" s="252">
        <f t="shared" si="27"/>
        <v>1</v>
      </c>
      <c r="AW100" s="252">
        <f t="shared" si="28"/>
        <v>1</v>
      </c>
      <c r="AX100" s="252">
        <f t="shared" si="29"/>
        <v>1</v>
      </c>
      <c r="AY100" s="252">
        <f t="shared" si="30"/>
        <v>1</v>
      </c>
      <c r="AZ100" s="252">
        <f t="shared" si="31"/>
        <v>1</v>
      </c>
      <c r="BA100" s="237"/>
      <c r="BB100" s="237"/>
      <c r="BC100" s="237"/>
      <c r="BD100" s="237"/>
      <c r="BE100" s="237"/>
      <c r="BF100" s="237"/>
      <c r="BG100" s="252">
        <f t="shared" si="32"/>
        <v>1</v>
      </c>
      <c r="BH100" s="237"/>
      <c r="BI100" s="237"/>
      <c r="BJ100" s="252">
        <f t="shared" si="33"/>
        <v>1</v>
      </c>
      <c r="BK100" s="252">
        <f t="shared" si="34"/>
        <v>1</v>
      </c>
      <c r="BL100" s="252">
        <f t="shared" si="35"/>
        <v>1</v>
      </c>
      <c r="BM100" s="252">
        <f t="shared" si="36"/>
        <v>1</v>
      </c>
      <c r="BN100" s="252">
        <f t="shared" si="37"/>
        <v>1</v>
      </c>
      <c r="BO100" s="252">
        <f t="shared" si="38"/>
        <v>1</v>
      </c>
      <c r="BP100" s="2578"/>
      <c r="BQ100" s="2562"/>
      <c r="BR100" s="2562"/>
      <c r="BS100" s="2585"/>
      <c r="BT100" s="2585"/>
      <c r="BU100" s="2585"/>
    </row>
    <row r="101" spans="1:73" s="22" customFormat="1" ht="15.75" hidden="1" customHeight="1" outlineLevel="1">
      <c r="A101" s="2585"/>
      <c r="B101" s="44"/>
      <c r="C101" s="45"/>
      <c r="D101" s="46"/>
      <c r="E101" s="46"/>
      <c r="F101" s="45"/>
      <c r="G101" s="46"/>
      <c r="H101" s="45"/>
      <c r="I101" s="45"/>
      <c r="J101" s="47"/>
      <c r="K101" s="48"/>
      <c r="L101" s="47"/>
      <c r="M101" s="1913"/>
      <c r="N101" s="48"/>
      <c r="O101" s="49"/>
      <c r="P101" s="49"/>
      <c r="Q101" s="1884">
        <f t="shared" si="39"/>
        <v>0</v>
      </c>
      <c r="R101" s="1885">
        <f t="shared" si="21"/>
        <v>0</v>
      </c>
      <c r="S101" s="1885">
        <f t="shared" si="22"/>
        <v>0</v>
      </c>
      <c r="T101" s="1914"/>
      <c r="U101" s="1914"/>
      <c r="V101" s="1914"/>
      <c r="W101" s="50"/>
      <c r="X101" s="1891">
        <f t="shared" si="23"/>
        <v>0</v>
      </c>
      <c r="Y101" s="1891">
        <f t="shared" si="24"/>
        <v>0</v>
      </c>
      <c r="Z101" s="50"/>
      <c r="AA101" s="50"/>
      <c r="AB101" s="48"/>
      <c r="AC101" s="48"/>
      <c r="AD101" s="48"/>
      <c r="AE101" s="45"/>
      <c r="AF101" s="51"/>
      <c r="AG101" s="42"/>
      <c r="AH101" s="52" t="s">
        <v>4621</v>
      </c>
      <c r="AI101" s="197"/>
      <c r="AJ101" s="2578"/>
      <c r="AK101" s="251"/>
      <c r="AL101" s="2578"/>
      <c r="AM101" s="2562"/>
      <c r="AN101" s="2562"/>
      <c r="AO101" s="2562"/>
      <c r="AP101" s="2562"/>
      <c r="AQ101" s="2562"/>
      <c r="AR101" s="2562"/>
      <c r="AS101" s="2562"/>
      <c r="AT101" s="252">
        <f t="shared" si="25"/>
        <v>1</v>
      </c>
      <c r="AU101" s="252">
        <f t="shared" si="26"/>
        <v>1</v>
      </c>
      <c r="AV101" s="252">
        <f t="shared" si="27"/>
        <v>1</v>
      </c>
      <c r="AW101" s="252">
        <f t="shared" si="28"/>
        <v>1</v>
      </c>
      <c r="AX101" s="252">
        <f t="shared" si="29"/>
        <v>1</v>
      </c>
      <c r="AY101" s="252">
        <f t="shared" si="30"/>
        <v>1</v>
      </c>
      <c r="AZ101" s="252">
        <f t="shared" si="31"/>
        <v>1</v>
      </c>
      <c r="BA101" s="237"/>
      <c r="BB101" s="237"/>
      <c r="BC101" s="237"/>
      <c r="BD101" s="237"/>
      <c r="BE101" s="237"/>
      <c r="BF101" s="237"/>
      <c r="BG101" s="252">
        <f t="shared" si="32"/>
        <v>1</v>
      </c>
      <c r="BH101" s="237"/>
      <c r="BI101" s="237"/>
      <c r="BJ101" s="252">
        <f t="shared" si="33"/>
        <v>1</v>
      </c>
      <c r="BK101" s="252">
        <f t="shared" si="34"/>
        <v>1</v>
      </c>
      <c r="BL101" s="252">
        <f t="shared" si="35"/>
        <v>1</v>
      </c>
      <c r="BM101" s="252">
        <f t="shared" si="36"/>
        <v>1</v>
      </c>
      <c r="BN101" s="252">
        <f t="shared" si="37"/>
        <v>1</v>
      </c>
      <c r="BO101" s="252">
        <f t="shared" si="38"/>
        <v>1</v>
      </c>
      <c r="BP101" s="2578"/>
      <c r="BQ101" s="2562"/>
      <c r="BR101" s="2562"/>
      <c r="BS101" s="2585"/>
      <c r="BT101" s="2585"/>
      <c r="BU101" s="2585"/>
    </row>
    <row r="102" spans="1:73" s="22" customFormat="1" ht="15.75" hidden="1" customHeight="1" outlineLevel="1">
      <c r="A102" s="2585"/>
      <c r="B102" s="44"/>
      <c r="C102" s="45"/>
      <c r="D102" s="46"/>
      <c r="E102" s="46"/>
      <c r="F102" s="45"/>
      <c r="G102" s="46"/>
      <c r="H102" s="45"/>
      <c r="I102" s="45"/>
      <c r="J102" s="47"/>
      <c r="K102" s="48"/>
      <c r="L102" s="47"/>
      <c r="M102" s="1913"/>
      <c r="N102" s="48"/>
      <c r="O102" s="49"/>
      <c r="P102" s="49"/>
      <c r="Q102" s="1884">
        <f t="shared" si="39"/>
        <v>0</v>
      </c>
      <c r="R102" s="1885">
        <f t="shared" si="21"/>
        <v>0</v>
      </c>
      <c r="S102" s="1885">
        <f t="shared" si="22"/>
        <v>0</v>
      </c>
      <c r="T102" s="1914"/>
      <c r="U102" s="1914"/>
      <c r="V102" s="1914"/>
      <c r="W102" s="50"/>
      <c r="X102" s="1891">
        <f t="shared" si="23"/>
        <v>0</v>
      </c>
      <c r="Y102" s="1891">
        <f t="shared" si="24"/>
        <v>0</v>
      </c>
      <c r="Z102" s="50"/>
      <c r="AA102" s="50"/>
      <c r="AB102" s="48"/>
      <c r="AC102" s="48"/>
      <c r="AD102" s="48"/>
      <c r="AE102" s="45"/>
      <c r="AF102" s="51"/>
      <c r="AG102" s="42"/>
      <c r="AH102" s="52" t="s">
        <v>4622</v>
      </c>
      <c r="AI102" s="197"/>
      <c r="AJ102" s="2578"/>
      <c r="AK102" s="251"/>
      <c r="AL102" s="2578"/>
      <c r="AM102" s="2562"/>
      <c r="AN102" s="2562"/>
      <c r="AO102" s="2562"/>
      <c r="AP102" s="2562"/>
      <c r="AQ102" s="2562"/>
      <c r="AR102" s="2562"/>
      <c r="AS102" s="2562"/>
      <c r="AT102" s="252">
        <f t="shared" si="25"/>
        <v>1</v>
      </c>
      <c r="AU102" s="252">
        <f t="shared" si="26"/>
        <v>1</v>
      </c>
      <c r="AV102" s="252">
        <f t="shared" si="27"/>
        <v>1</v>
      </c>
      <c r="AW102" s="252">
        <f t="shared" si="28"/>
        <v>1</v>
      </c>
      <c r="AX102" s="252">
        <f t="shared" si="29"/>
        <v>1</v>
      </c>
      <c r="AY102" s="252">
        <f t="shared" si="30"/>
        <v>1</v>
      </c>
      <c r="AZ102" s="252">
        <f t="shared" si="31"/>
        <v>1</v>
      </c>
      <c r="BA102" s="237"/>
      <c r="BB102" s="237"/>
      <c r="BC102" s="237"/>
      <c r="BD102" s="237"/>
      <c r="BE102" s="237"/>
      <c r="BF102" s="237"/>
      <c r="BG102" s="252">
        <f t="shared" si="32"/>
        <v>1</v>
      </c>
      <c r="BH102" s="237"/>
      <c r="BI102" s="237"/>
      <c r="BJ102" s="252">
        <f t="shared" si="33"/>
        <v>1</v>
      </c>
      <c r="BK102" s="252">
        <f t="shared" si="34"/>
        <v>1</v>
      </c>
      <c r="BL102" s="252">
        <f t="shared" si="35"/>
        <v>1</v>
      </c>
      <c r="BM102" s="252">
        <f t="shared" si="36"/>
        <v>1</v>
      </c>
      <c r="BN102" s="252">
        <f t="shared" si="37"/>
        <v>1</v>
      </c>
      <c r="BO102" s="252">
        <f t="shared" si="38"/>
        <v>1</v>
      </c>
      <c r="BP102" s="2578"/>
      <c r="BQ102" s="2562"/>
      <c r="BR102" s="2562"/>
      <c r="BS102" s="2585"/>
      <c r="BT102" s="2585"/>
      <c r="BU102" s="2585"/>
    </row>
    <row r="103" spans="1:73" s="22" customFormat="1" ht="15.75" hidden="1" customHeight="1" outlineLevel="1">
      <c r="A103" s="2585"/>
      <c r="B103" s="44"/>
      <c r="C103" s="45"/>
      <c r="D103" s="46"/>
      <c r="E103" s="46"/>
      <c r="F103" s="45"/>
      <c r="G103" s="46"/>
      <c r="H103" s="45"/>
      <c r="I103" s="45"/>
      <c r="J103" s="47"/>
      <c r="K103" s="48"/>
      <c r="L103" s="47"/>
      <c r="M103" s="1913"/>
      <c r="N103" s="48"/>
      <c r="O103" s="49"/>
      <c r="P103" s="49"/>
      <c r="Q103" s="1884">
        <f t="shared" si="39"/>
        <v>0</v>
      </c>
      <c r="R103" s="1885">
        <f t="shared" si="21"/>
        <v>0</v>
      </c>
      <c r="S103" s="1885">
        <f t="shared" si="22"/>
        <v>0</v>
      </c>
      <c r="T103" s="1914"/>
      <c r="U103" s="1914"/>
      <c r="V103" s="1914"/>
      <c r="W103" s="50"/>
      <c r="X103" s="1891">
        <f t="shared" si="23"/>
        <v>0</v>
      </c>
      <c r="Y103" s="1891">
        <f t="shared" si="24"/>
        <v>0</v>
      </c>
      <c r="Z103" s="50"/>
      <c r="AA103" s="50"/>
      <c r="AB103" s="48"/>
      <c r="AC103" s="48"/>
      <c r="AD103" s="48"/>
      <c r="AE103" s="45"/>
      <c r="AF103" s="51"/>
      <c r="AG103" s="42"/>
      <c r="AH103" s="52" t="s">
        <v>4623</v>
      </c>
      <c r="AI103" s="197"/>
      <c r="AJ103" s="2578"/>
      <c r="AK103" s="251"/>
      <c r="AL103" s="2578"/>
      <c r="AM103" s="2562"/>
      <c r="AN103" s="2562"/>
      <c r="AO103" s="2562"/>
      <c r="AP103" s="2562"/>
      <c r="AQ103" s="2562"/>
      <c r="AR103" s="2562"/>
      <c r="AS103" s="2562"/>
      <c r="AT103" s="252">
        <f t="shared" si="25"/>
        <v>1</v>
      </c>
      <c r="AU103" s="252">
        <f t="shared" si="26"/>
        <v>1</v>
      </c>
      <c r="AV103" s="252">
        <f t="shared" si="27"/>
        <v>1</v>
      </c>
      <c r="AW103" s="252">
        <f t="shared" si="28"/>
        <v>1</v>
      </c>
      <c r="AX103" s="252">
        <f t="shared" si="29"/>
        <v>1</v>
      </c>
      <c r="AY103" s="252">
        <f t="shared" si="30"/>
        <v>1</v>
      </c>
      <c r="AZ103" s="252">
        <f t="shared" si="31"/>
        <v>1</v>
      </c>
      <c r="BA103" s="237"/>
      <c r="BB103" s="237"/>
      <c r="BC103" s="237"/>
      <c r="BD103" s="237"/>
      <c r="BE103" s="237"/>
      <c r="BF103" s="237"/>
      <c r="BG103" s="252">
        <f t="shared" si="32"/>
        <v>1</v>
      </c>
      <c r="BH103" s="237"/>
      <c r="BI103" s="237"/>
      <c r="BJ103" s="252">
        <f t="shared" si="33"/>
        <v>1</v>
      </c>
      <c r="BK103" s="252">
        <f t="shared" si="34"/>
        <v>1</v>
      </c>
      <c r="BL103" s="252">
        <f t="shared" si="35"/>
        <v>1</v>
      </c>
      <c r="BM103" s="252">
        <f t="shared" si="36"/>
        <v>1</v>
      </c>
      <c r="BN103" s="252">
        <f t="shared" si="37"/>
        <v>1</v>
      </c>
      <c r="BO103" s="252">
        <f t="shared" si="38"/>
        <v>1</v>
      </c>
      <c r="BP103" s="2578"/>
      <c r="BQ103" s="2562"/>
      <c r="BR103" s="2562"/>
      <c r="BS103" s="2585"/>
      <c r="BT103" s="2585"/>
      <c r="BU103" s="2585"/>
    </row>
    <row r="104" spans="1:73" s="22" customFormat="1" ht="15.75" hidden="1" customHeight="1" outlineLevel="1">
      <c r="A104" s="2585"/>
      <c r="B104" s="44"/>
      <c r="C104" s="45"/>
      <c r="D104" s="46"/>
      <c r="E104" s="46"/>
      <c r="F104" s="45"/>
      <c r="G104" s="46"/>
      <c r="H104" s="45"/>
      <c r="I104" s="45"/>
      <c r="J104" s="47"/>
      <c r="K104" s="48"/>
      <c r="L104" s="47"/>
      <c r="M104" s="1913"/>
      <c r="N104" s="48"/>
      <c r="O104" s="49"/>
      <c r="P104" s="49"/>
      <c r="Q104" s="1884">
        <f t="shared" si="39"/>
        <v>0</v>
      </c>
      <c r="R104" s="1885">
        <f t="shared" si="21"/>
        <v>0</v>
      </c>
      <c r="S104" s="1885">
        <f t="shared" si="22"/>
        <v>0</v>
      </c>
      <c r="T104" s="1914"/>
      <c r="U104" s="1914"/>
      <c r="V104" s="1914"/>
      <c r="W104" s="50"/>
      <c r="X104" s="1891">
        <f t="shared" si="23"/>
        <v>0</v>
      </c>
      <c r="Y104" s="1891">
        <f t="shared" si="24"/>
        <v>0</v>
      </c>
      <c r="Z104" s="50"/>
      <c r="AA104" s="50"/>
      <c r="AB104" s="48"/>
      <c r="AC104" s="48"/>
      <c r="AD104" s="48"/>
      <c r="AE104" s="45"/>
      <c r="AF104" s="51"/>
      <c r="AG104" s="42"/>
      <c r="AH104" s="52" t="s">
        <v>4624</v>
      </c>
      <c r="AI104" s="197"/>
      <c r="AJ104" s="2578"/>
      <c r="AK104" s="251"/>
      <c r="AL104" s="2578"/>
      <c r="AM104" s="2562"/>
      <c r="AN104" s="2562"/>
      <c r="AO104" s="2562"/>
      <c r="AP104" s="2562"/>
      <c r="AQ104" s="2562"/>
      <c r="AR104" s="2562"/>
      <c r="AS104" s="2562"/>
      <c r="AT104" s="252">
        <f t="shared" si="25"/>
        <v>1</v>
      </c>
      <c r="AU104" s="252">
        <f t="shared" si="26"/>
        <v>1</v>
      </c>
      <c r="AV104" s="252">
        <f t="shared" si="27"/>
        <v>1</v>
      </c>
      <c r="AW104" s="252">
        <f t="shared" si="28"/>
        <v>1</v>
      </c>
      <c r="AX104" s="252">
        <f t="shared" si="29"/>
        <v>1</v>
      </c>
      <c r="AY104" s="252">
        <f t="shared" si="30"/>
        <v>1</v>
      </c>
      <c r="AZ104" s="252">
        <f t="shared" si="31"/>
        <v>1</v>
      </c>
      <c r="BA104" s="237"/>
      <c r="BB104" s="237"/>
      <c r="BC104" s="237"/>
      <c r="BD104" s="237"/>
      <c r="BE104" s="237"/>
      <c r="BF104" s="237"/>
      <c r="BG104" s="252">
        <f t="shared" si="32"/>
        <v>1</v>
      </c>
      <c r="BH104" s="237"/>
      <c r="BI104" s="237"/>
      <c r="BJ104" s="252">
        <f t="shared" si="33"/>
        <v>1</v>
      </c>
      <c r="BK104" s="252">
        <f t="shared" si="34"/>
        <v>1</v>
      </c>
      <c r="BL104" s="252">
        <f t="shared" si="35"/>
        <v>1</v>
      </c>
      <c r="BM104" s="252">
        <f t="shared" si="36"/>
        <v>1</v>
      </c>
      <c r="BN104" s="252">
        <f t="shared" si="37"/>
        <v>1</v>
      </c>
      <c r="BO104" s="252">
        <f t="shared" si="38"/>
        <v>1</v>
      </c>
      <c r="BP104" s="2578"/>
      <c r="BQ104" s="2562"/>
      <c r="BR104" s="2562"/>
      <c r="BS104" s="2585"/>
      <c r="BT104" s="2585"/>
      <c r="BU104" s="2585"/>
    </row>
    <row r="105" spans="1:73" s="22" customFormat="1" ht="15.75" hidden="1" customHeight="1" outlineLevel="1">
      <c r="A105" s="2585"/>
      <c r="B105" s="44"/>
      <c r="C105" s="45"/>
      <c r="D105" s="46"/>
      <c r="E105" s="46"/>
      <c r="F105" s="45"/>
      <c r="G105" s="46"/>
      <c r="H105" s="45"/>
      <c r="I105" s="45"/>
      <c r="J105" s="47"/>
      <c r="K105" s="48"/>
      <c r="L105" s="47"/>
      <c r="M105" s="1913"/>
      <c r="N105" s="48"/>
      <c r="O105" s="49"/>
      <c r="P105" s="49"/>
      <c r="Q105" s="1884">
        <f t="shared" si="39"/>
        <v>0</v>
      </c>
      <c r="R105" s="1885">
        <f t="shared" si="21"/>
        <v>0</v>
      </c>
      <c r="S105" s="1885">
        <f t="shared" si="22"/>
        <v>0</v>
      </c>
      <c r="T105" s="1914"/>
      <c r="U105" s="1914"/>
      <c r="V105" s="1914"/>
      <c r="W105" s="50"/>
      <c r="X105" s="1891">
        <f t="shared" si="23"/>
        <v>0</v>
      </c>
      <c r="Y105" s="1891">
        <f t="shared" si="24"/>
        <v>0</v>
      </c>
      <c r="Z105" s="50"/>
      <c r="AA105" s="50"/>
      <c r="AB105" s="48"/>
      <c r="AC105" s="48"/>
      <c r="AD105" s="48"/>
      <c r="AE105" s="45"/>
      <c r="AF105" s="51"/>
      <c r="AG105" s="42"/>
      <c r="AH105" s="52" t="s">
        <v>4625</v>
      </c>
      <c r="AI105" s="197"/>
      <c r="AJ105" s="2578"/>
      <c r="AK105" s="251"/>
      <c r="AL105" s="2578"/>
      <c r="AM105" s="2562"/>
      <c r="AN105" s="2562"/>
      <c r="AO105" s="2562"/>
      <c r="AP105" s="2562"/>
      <c r="AQ105" s="2562"/>
      <c r="AR105" s="2562"/>
      <c r="AS105" s="2562"/>
      <c r="AT105" s="252">
        <f t="shared" si="25"/>
        <v>1</v>
      </c>
      <c r="AU105" s="252">
        <f t="shared" si="26"/>
        <v>1</v>
      </c>
      <c r="AV105" s="252">
        <f t="shared" si="27"/>
        <v>1</v>
      </c>
      <c r="AW105" s="252">
        <f t="shared" si="28"/>
        <v>1</v>
      </c>
      <c r="AX105" s="252">
        <f t="shared" si="29"/>
        <v>1</v>
      </c>
      <c r="AY105" s="252">
        <f t="shared" si="30"/>
        <v>1</v>
      </c>
      <c r="AZ105" s="252">
        <f t="shared" si="31"/>
        <v>1</v>
      </c>
      <c r="BA105" s="237"/>
      <c r="BB105" s="237"/>
      <c r="BC105" s="237"/>
      <c r="BD105" s="237"/>
      <c r="BE105" s="237"/>
      <c r="BF105" s="237"/>
      <c r="BG105" s="252">
        <f t="shared" si="32"/>
        <v>1</v>
      </c>
      <c r="BH105" s="237"/>
      <c r="BI105" s="237"/>
      <c r="BJ105" s="252">
        <f t="shared" si="33"/>
        <v>1</v>
      </c>
      <c r="BK105" s="252">
        <f t="shared" si="34"/>
        <v>1</v>
      </c>
      <c r="BL105" s="252">
        <f t="shared" si="35"/>
        <v>1</v>
      </c>
      <c r="BM105" s="252">
        <f t="shared" si="36"/>
        <v>1</v>
      </c>
      <c r="BN105" s="252">
        <f t="shared" si="37"/>
        <v>1</v>
      </c>
      <c r="BO105" s="252">
        <f t="shared" si="38"/>
        <v>1</v>
      </c>
      <c r="BP105" s="2578"/>
      <c r="BQ105" s="2562"/>
      <c r="BR105" s="2562"/>
      <c r="BS105" s="2585"/>
      <c r="BT105" s="2585"/>
      <c r="BU105" s="2585"/>
    </row>
    <row r="106" spans="1:73" s="22" customFormat="1" ht="15.75" hidden="1" customHeight="1" outlineLevel="1">
      <c r="A106" s="2585"/>
      <c r="B106" s="44"/>
      <c r="C106" s="45"/>
      <c r="D106" s="46"/>
      <c r="E106" s="46"/>
      <c r="F106" s="45"/>
      <c r="G106" s="46"/>
      <c r="H106" s="45"/>
      <c r="I106" s="45"/>
      <c r="J106" s="47"/>
      <c r="K106" s="48"/>
      <c r="L106" s="47"/>
      <c r="M106" s="1913"/>
      <c r="N106" s="48"/>
      <c r="O106" s="49"/>
      <c r="P106" s="49"/>
      <c r="Q106" s="1884">
        <f t="shared" si="39"/>
        <v>0</v>
      </c>
      <c r="R106" s="1885">
        <f t="shared" si="21"/>
        <v>0</v>
      </c>
      <c r="S106" s="1885">
        <f t="shared" si="22"/>
        <v>0</v>
      </c>
      <c r="T106" s="1914"/>
      <c r="U106" s="1914"/>
      <c r="V106" s="1914"/>
      <c r="W106" s="50"/>
      <c r="X106" s="1891">
        <f t="shared" si="23"/>
        <v>0</v>
      </c>
      <c r="Y106" s="1891">
        <f t="shared" si="24"/>
        <v>0</v>
      </c>
      <c r="Z106" s="50"/>
      <c r="AA106" s="50"/>
      <c r="AB106" s="48"/>
      <c r="AC106" s="48"/>
      <c r="AD106" s="48"/>
      <c r="AE106" s="45"/>
      <c r="AF106" s="51"/>
      <c r="AG106" s="42"/>
      <c r="AH106" s="52" t="s">
        <v>4626</v>
      </c>
      <c r="AI106" s="197"/>
      <c r="AJ106" s="2578"/>
      <c r="AK106" s="251"/>
      <c r="AL106" s="2578"/>
      <c r="AM106" s="2562"/>
      <c r="AN106" s="2562"/>
      <c r="AO106" s="2562"/>
      <c r="AP106" s="2562"/>
      <c r="AQ106" s="2562"/>
      <c r="AR106" s="2562"/>
      <c r="AS106" s="2562"/>
      <c r="AT106" s="252">
        <f t="shared" si="25"/>
        <v>1</v>
      </c>
      <c r="AU106" s="252">
        <f t="shared" si="26"/>
        <v>1</v>
      </c>
      <c r="AV106" s="252">
        <f t="shared" si="27"/>
        <v>1</v>
      </c>
      <c r="AW106" s="252">
        <f t="shared" si="28"/>
        <v>1</v>
      </c>
      <c r="AX106" s="252">
        <f t="shared" si="29"/>
        <v>1</v>
      </c>
      <c r="AY106" s="252">
        <f t="shared" si="30"/>
        <v>1</v>
      </c>
      <c r="AZ106" s="252">
        <f t="shared" si="31"/>
        <v>1</v>
      </c>
      <c r="BA106" s="237"/>
      <c r="BB106" s="237"/>
      <c r="BC106" s="237"/>
      <c r="BD106" s="237"/>
      <c r="BE106" s="237"/>
      <c r="BF106" s="237"/>
      <c r="BG106" s="252">
        <f t="shared" si="32"/>
        <v>1</v>
      </c>
      <c r="BH106" s="237"/>
      <c r="BI106" s="237"/>
      <c r="BJ106" s="252">
        <f t="shared" si="33"/>
        <v>1</v>
      </c>
      <c r="BK106" s="252">
        <f t="shared" si="34"/>
        <v>1</v>
      </c>
      <c r="BL106" s="252">
        <f t="shared" si="35"/>
        <v>1</v>
      </c>
      <c r="BM106" s="252">
        <f t="shared" si="36"/>
        <v>1</v>
      </c>
      <c r="BN106" s="252">
        <f t="shared" si="37"/>
        <v>1</v>
      </c>
      <c r="BO106" s="252">
        <f t="shared" si="38"/>
        <v>1</v>
      </c>
      <c r="BP106" s="2578"/>
      <c r="BQ106" s="2562"/>
      <c r="BR106" s="2562"/>
      <c r="BS106" s="2585"/>
      <c r="BT106" s="2585"/>
      <c r="BU106" s="2585"/>
    </row>
    <row r="107" spans="1:73" s="22" customFormat="1" ht="15.75" hidden="1" customHeight="1" outlineLevel="1">
      <c r="A107" s="2585"/>
      <c r="B107" s="44"/>
      <c r="C107" s="45"/>
      <c r="D107" s="46"/>
      <c r="E107" s="46"/>
      <c r="F107" s="45"/>
      <c r="G107" s="46"/>
      <c r="H107" s="45"/>
      <c r="I107" s="45"/>
      <c r="J107" s="47"/>
      <c r="K107" s="48"/>
      <c r="L107" s="47"/>
      <c r="M107" s="1913"/>
      <c r="N107" s="48"/>
      <c r="O107" s="49"/>
      <c r="P107" s="49"/>
      <c r="Q107" s="1884">
        <f t="shared" si="39"/>
        <v>0</v>
      </c>
      <c r="R107" s="1885">
        <f t="shared" si="21"/>
        <v>0</v>
      </c>
      <c r="S107" s="1885">
        <f t="shared" si="22"/>
        <v>0</v>
      </c>
      <c r="T107" s="1914"/>
      <c r="U107" s="1914"/>
      <c r="V107" s="1914"/>
      <c r="W107" s="50"/>
      <c r="X107" s="1891">
        <f t="shared" si="23"/>
        <v>0</v>
      </c>
      <c r="Y107" s="1891">
        <f t="shared" si="24"/>
        <v>0</v>
      </c>
      <c r="Z107" s="50"/>
      <c r="AA107" s="50"/>
      <c r="AB107" s="48"/>
      <c r="AC107" s="48"/>
      <c r="AD107" s="48"/>
      <c r="AE107" s="45"/>
      <c r="AF107" s="51"/>
      <c r="AG107" s="42"/>
      <c r="AH107" s="52" t="s">
        <v>4627</v>
      </c>
      <c r="AI107" s="197"/>
      <c r="AJ107" s="2578"/>
      <c r="AK107" s="251"/>
      <c r="AL107" s="2578"/>
      <c r="AM107" s="2562"/>
      <c r="AN107" s="2562"/>
      <c r="AO107" s="2562"/>
      <c r="AP107" s="2562"/>
      <c r="AQ107" s="2562"/>
      <c r="AR107" s="2562"/>
      <c r="AS107" s="2562"/>
      <c r="AT107" s="252">
        <f t="shared" si="25"/>
        <v>1</v>
      </c>
      <c r="AU107" s="252">
        <f t="shared" si="26"/>
        <v>1</v>
      </c>
      <c r="AV107" s="252">
        <f t="shared" si="27"/>
        <v>1</v>
      </c>
      <c r="AW107" s="252">
        <f t="shared" si="28"/>
        <v>1</v>
      </c>
      <c r="AX107" s="252">
        <f t="shared" si="29"/>
        <v>1</v>
      </c>
      <c r="AY107" s="252">
        <f t="shared" si="30"/>
        <v>1</v>
      </c>
      <c r="AZ107" s="252">
        <f t="shared" si="31"/>
        <v>1</v>
      </c>
      <c r="BA107" s="237"/>
      <c r="BB107" s="237"/>
      <c r="BC107" s="237"/>
      <c r="BD107" s="237"/>
      <c r="BE107" s="237"/>
      <c r="BF107" s="237"/>
      <c r="BG107" s="252">
        <f t="shared" si="32"/>
        <v>1</v>
      </c>
      <c r="BH107" s="237"/>
      <c r="BI107" s="237"/>
      <c r="BJ107" s="252">
        <f t="shared" si="33"/>
        <v>1</v>
      </c>
      <c r="BK107" s="252">
        <f t="shared" si="34"/>
        <v>1</v>
      </c>
      <c r="BL107" s="252">
        <f t="shared" si="35"/>
        <v>1</v>
      </c>
      <c r="BM107" s="252">
        <f t="shared" si="36"/>
        <v>1</v>
      </c>
      <c r="BN107" s="252">
        <f t="shared" si="37"/>
        <v>1</v>
      </c>
      <c r="BO107" s="252">
        <f t="shared" si="38"/>
        <v>1</v>
      </c>
      <c r="BP107" s="2578"/>
      <c r="BQ107" s="2562"/>
      <c r="BR107" s="2562"/>
      <c r="BS107" s="2585"/>
      <c r="BT107" s="2585"/>
      <c r="BU107" s="2585"/>
    </row>
    <row r="108" spans="1:73" s="22" customFormat="1" ht="15.75" hidden="1" customHeight="1" outlineLevel="1">
      <c r="A108" s="2585"/>
      <c r="B108" s="44"/>
      <c r="C108" s="45"/>
      <c r="D108" s="46"/>
      <c r="E108" s="46"/>
      <c r="F108" s="45"/>
      <c r="G108" s="46"/>
      <c r="H108" s="45"/>
      <c r="I108" s="45"/>
      <c r="J108" s="47"/>
      <c r="K108" s="48"/>
      <c r="L108" s="47"/>
      <c r="M108" s="1913"/>
      <c r="N108" s="48"/>
      <c r="O108" s="49"/>
      <c r="P108" s="49"/>
      <c r="Q108" s="1884">
        <f t="shared" si="39"/>
        <v>0</v>
      </c>
      <c r="R108" s="1885">
        <f t="shared" si="21"/>
        <v>0</v>
      </c>
      <c r="S108" s="1885">
        <f t="shared" si="22"/>
        <v>0</v>
      </c>
      <c r="T108" s="1914"/>
      <c r="U108" s="1914"/>
      <c r="V108" s="1914"/>
      <c r="W108" s="50"/>
      <c r="X108" s="1891">
        <f t="shared" si="23"/>
        <v>0</v>
      </c>
      <c r="Y108" s="1891">
        <f t="shared" si="24"/>
        <v>0</v>
      </c>
      <c r="Z108" s="50"/>
      <c r="AA108" s="50"/>
      <c r="AB108" s="48"/>
      <c r="AC108" s="48"/>
      <c r="AD108" s="48"/>
      <c r="AE108" s="45"/>
      <c r="AF108" s="51"/>
      <c r="AG108" s="42"/>
      <c r="AH108" s="52" t="s">
        <v>4628</v>
      </c>
      <c r="AI108" s="197"/>
      <c r="AJ108" s="2578"/>
      <c r="AK108" s="251"/>
      <c r="AL108" s="2578"/>
      <c r="AM108" s="2562"/>
      <c r="AN108" s="2562"/>
      <c r="AO108" s="2562"/>
      <c r="AP108" s="2562"/>
      <c r="AQ108" s="2562"/>
      <c r="AR108" s="2562"/>
      <c r="AS108" s="2562"/>
      <c r="AT108" s="252">
        <f t="shared" si="25"/>
        <v>1</v>
      </c>
      <c r="AU108" s="252">
        <f t="shared" si="26"/>
        <v>1</v>
      </c>
      <c r="AV108" s="252">
        <f t="shared" si="27"/>
        <v>1</v>
      </c>
      <c r="AW108" s="252">
        <f t="shared" si="28"/>
        <v>1</v>
      </c>
      <c r="AX108" s="252">
        <f t="shared" si="29"/>
        <v>1</v>
      </c>
      <c r="AY108" s="252">
        <f t="shared" si="30"/>
        <v>1</v>
      </c>
      <c r="AZ108" s="252">
        <f t="shared" si="31"/>
        <v>1</v>
      </c>
      <c r="BA108" s="237"/>
      <c r="BB108" s="237"/>
      <c r="BC108" s="237"/>
      <c r="BD108" s="237"/>
      <c r="BE108" s="237"/>
      <c r="BF108" s="237"/>
      <c r="BG108" s="252">
        <f t="shared" si="32"/>
        <v>1</v>
      </c>
      <c r="BH108" s="237"/>
      <c r="BI108" s="237"/>
      <c r="BJ108" s="252">
        <f t="shared" si="33"/>
        <v>1</v>
      </c>
      <c r="BK108" s="252">
        <f t="shared" si="34"/>
        <v>1</v>
      </c>
      <c r="BL108" s="252">
        <f t="shared" si="35"/>
        <v>1</v>
      </c>
      <c r="BM108" s="252">
        <f t="shared" si="36"/>
        <v>1</v>
      </c>
      <c r="BN108" s="252">
        <f t="shared" si="37"/>
        <v>1</v>
      </c>
      <c r="BO108" s="252">
        <f t="shared" si="38"/>
        <v>1</v>
      </c>
      <c r="BP108" s="2578"/>
      <c r="BQ108" s="2562"/>
      <c r="BR108" s="2562"/>
      <c r="BS108" s="2585"/>
      <c r="BT108" s="2585"/>
      <c r="BU108" s="2585"/>
    </row>
    <row r="109" spans="1:73" s="22" customFormat="1" ht="15.75" customHeight="1" collapsed="1">
      <c r="A109" s="2585"/>
      <c r="B109" s="44"/>
      <c r="C109" s="45"/>
      <c r="D109" s="46"/>
      <c r="E109" s="46"/>
      <c r="F109" s="45"/>
      <c r="G109" s="46"/>
      <c r="H109" s="45"/>
      <c r="I109" s="45"/>
      <c r="J109" s="47"/>
      <c r="K109" s="48"/>
      <c r="L109" s="47"/>
      <c r="M109" s="1913"/>
      <c r="N109" s="48"/>
      <c r="O109" s="49"/>
      <c r="P109" s="49"/>
      <c r="Q109" s="1884">
        <f t="shared" si="39"/>
        <v>0</v>
      </c>
      <c r="R109" s="1885">
        <f t="shared" si="21"/>
        <v>0</v>
      </c>
      <c r="S109" s="1885">
        <f t="shared" si="22"/>
        <v>0</v>
      </c>
      <c r="T109" s="1914"/>
      <c r="U109" s="1914"/>
      <c r="V109" s="1914"/>
      <c r="W109" s="50"/>
      <c r="X109" s="1891">
        <f t="shared" si="23"/>
        <v>0</v>
      </c>
      <c r="Y109" s="1891">
        <f t="shared" si="24"/>
        <v>0</v>
      </c>
      <c r="Z109" s="50"/>
      <c r="AA109" s="50"/>
      <c r="AB109" s="48"/>
      <c r="AC109" s="48"/>
      <c r="AD109" s="48"/>
      <c r="AE109" s="45"/>
      <c r="AF109" s="51"/>
      <c r="AG109" s="42"/>
      <c r="AH109" s="52" t="s">
        <v>4629</v>
      </c>
      <c r="AI109" s="197"/>
      <c r="AJ109" s="2578"/>
      <c r="AK109" s="251"/>
      <c r="AL109" s="2578"/>
      <c r="AM109" s="2562"/>
      <c r="AN109" s="2562"/>
      <c r="AO109" s="2562"/>
      <c r="AP109" s="2562"/>
      <c r="AQ109" s="2562"/>
      <c r="AR109" s="2562"/>
      <c r="AS109" s="2562"/>
      <c r="AT109" s="252">
        <f t="shared" si="25"/>
        <v>1</v>
      </c>
      <c r="AU109" s="252">
        <f t="shared" si="26"/>
        <v>1</v>
      </c>
      <c r="AV109" s="252">
        <f t="shared" si="27"/>
        <v>1</v>
      </c>
      <c r="AW109" s="252">
        <f t="shared" si="28"/>
        <v>1</v>
      </c>
      <c r="AX109" s="252">
        <f t="shared" si="29"/>
        <v>1</v>
      </c>
      <c r="AY109" s="252">
        <f t="shared" si="30"/>
        <v>1</v>
      </c>
      <c r="AZ109" s="252">
        <f t="shared" si="31"/>
        <v>1</v>
      </c>
      <c r="BA109" s="237"/>
      <c r="BB109" s="237"/>
      <c r="BC109" s="237"/>
      <c r="BD109" s="237"/>
      <c r="BE109" s="237"/>
      <c r="BF109" s="237"/>
      <c r="BG109" s="252">
        <f t="shared" si="32"/>
        <v>1</v>
      </c>
      <c r="BH109" s="237"/>
      <c r="BI109" s="237"/>
      <c r="BJ109" s="252">
        <f t="shared" si="33"/>
        <v>1</v>
      </c>
      <c r="BK109" s="252">
        <f t="shared" si="34"/>
        <v>1</v>
      </c>
      <c r="BL109" s="252">
        <f t="shared" si="35"/>
        <v>1</v>
      </c>
      <c r="BM109" s="252">
        <f t="shared" si="36"/>
        <v>1</v>
      </c>
      <c r="BN109" s="252">
        <f t="shared" si="37"/>
        <v>1</v>
      </c>
      <c r="BO109" s="252">
        <f t="shared" si="38"/>
        <v>1</v>
      </c>
      <c r="BP109" s="2578"/>
      <c r="BQ109" s="2562"/>
      <c r="BR109" s="2562"/>
      <c r="BS109" s="2585"/>
      <c r="BT109" s="2585"/>
      <c r="BU109" s="2585"/>
    </row>
    <row r="110" spans="1:73" s="22" customFormat="1" ht="15.75" hidden="1" customHeight="1" outlineLevel="1">
      <c r="A110" s="2585"/>
      <c r="B110" s="44"/>
      <c r="C110" s="45"/>
      <c r="D110" s="46"/>
      <c r="E110" s="46"/>
      <c r="F110" s="45"/>
      <c r="G110" s="46"/>
      <c r="H110" s="45"/>
      <c r="I110" s="45"/>
      <c r="J110" s="47"/>
      <c r="K110" s="48"/>
      <c r="L110" s="47"/>
      <c r="M110" s="1913"/>
      <c r="N110" s="48"/>
      <c r="O110" s="49"/>
      <c r="P110" s="49"/>
      <c r="Q110" s="1884">
        <f t="shared" si="39"/>
        <v>0</v>
      </c>
      <c r="R110" s="1885">
        <f t="shared" si="21"/>
        <v>0</v>
      </c>
      <c r="S110" s="1885">
        <f t="shared" si="22"/>
        <v>0</v>
      </c>
      <c r="T110" s="1914"/>
      <c r="U110" s="1914"/>
      <c r="V110" s="1914"/>
      <c r="W110" s="50"/>
      <c r="X110" s="1891">
        <f t="shared" si="23"/>
        <v>0</v>
      </c>
      <c r="Y110" s="1891">
        <f t="shared" si="24"/>
        <v>0</v>
      </c>
      <c r="Z110" s="50"/>
      <c r="AA110" s="50"/>
      <c r="AB110" s="48"/>
      <c r="AC110" s="48"/>
      <c r="AD110" s="48"/>
      <c r="AE110" s="45"/>
      <c r="AF110" s="51"/>
      <c r="AG110" s="42"/>
      <c r="AH110" s="52" t="s">
        <v>4630</v>
      </c>
      <c r="AI110" s="197"/>
      <c r="AJ110" s="2578"/>
      <c r="AK110" s="2562"/>
      <c r="AL110" s="2578"/>
      <c r="AM110" s="2562"/>
      <c r="AN110" s="2562"/>
      <c r="AO110" s="2562"/>
      <c r="AP110" s="2562"/>
      <c r="AQ110" s="2562"/>
      <c r="AR110" s="2562"/>
      <c r="AS110" s="2562"/>
      <c r="AT110" s="252">
        <f t="shared" ref="AT110:AT123" si="40" xml:space="preserve"> IF( ISNUMBER( J60 ), 0, 1 )</f>
        <v>1</v>
      </c>
      <c r="AU110" s="252">
        <f t="shared" ref="AU110:AU123" si="41" xml:space="preserve"> IF( ISNUMBER( K60 ), 0, 1 )</f>
        <v>1</v>
      </c>
      <c r="AV110" s="252">
        <f t="shared" ref="AV110:AV123" si="42" xml:space="preserve"> IF( ISNUMBER( L60 ), 0, 1 )</f>
        <v>1</v>
      </c>
      <c r="AW110" s="252">
        <f t="shared" ref="AW110:AW123" si="43" xml:space="preserve"> IF( ISNUMBER( M60 ), 0, 1 )</f>
        <v>1</v>
      </c>
      <c r="AX110" s="252">
        <f t="shared" ref="AX110:AX123" si="44" xml:space="preserve"> IF( ISNUMBER( N60 ), 0, 1 )</f>
        <v>1</v>
      </c>
      <c r="AY110" s="252">
        <f t="shared" ref="AY110:AY123" si="45" xml:space="preserve"> IF( ISNUMBER( O60 ), 0, 1 )</f>
        <v>1</v>
      </c>
      <c r="AZ110" s="252">
        <f t="shared" ref="AZ110:AZ123" si="46" xml:space="preserve"> IF( ISNUMBER( P60 ), 0, 1 )</f>
        <v>1</v>
      </c>
      <c r="BA110" s="237"/>
      <c r="BB110" s="237"/>
      <c r="BC110" s="2562"/>
      <c r="BD110" s="2562"/>
      <c r="BE110" s="2562"/>
      <c r="BF110" s="2562"/>
      <c r="BG110" s="252">
        <f t="shared" ref="BG110:BG123" si="47" xml:space="preserve"> IF( ISNUMBER( W60 ), 0, 1 )</f>
        <v>1</v>
      </c>
      <c r="BH110" s="2562"/>
      <c r="BI110" s="237"/>
      <c r="BJ110" s="252">
        <f t="shared" ref="BJ110:BJ123" si="48" xml:space="preserve"> IF( ISNUMBER( Z60 ), 0, 1 )</f>
        <v>1</v>
      </c>
      <c r="BK110" s="252">
        <f t="shared" ref="BK110:BK123" si="49" xml:space="preserve"> IF( ISNUMBER( AA60 ), 0, 1 )</f>
        <v>1</v>
      </c>
      <c r="BL110" s="252">
        <f t="shared" ref="BL110:BL123" si="50" xml:space="preserve"> IF( ISNUMBER( AB60 ), 0, 1 )</f>
        <v>1</v>
      </c>
      <c r="BM110" s="252">
        <f t="shared" ref="BM110:BM123" si="51" xml:space="preserve"> IF( ISNUMBER( AC60 ), 0, 1 )</f>
        <v>1</v>
      </c>
      <c r="BN110" s="252">
        <f t="shared" ref="BN110:BN123" si="52" xml:space="preserve"> IF( ISNUMBER( AD60 ), 0, 1 )</f>
        <v>1</v>
      </c>
      <c r="BO110" s="252">
        <f t="shared" ref="BO110:BO123" si="53" xml:space="preserve"> IF( ISNUMBER( AF60 ), 0, 1 )</f>
        <v>1</v>
      </c>
      <c r="BP110" s="2578"/>
      <c r="BQ110" s="2562"/>
      <c r="BR110" s="2562"/>
      <c r="BS110" s="2585"/>
      <c r="BT110" s="2585"/>
      <c r="BU110" s="2585"/>
    </row>
    <row r="111" spans="1:73" s="22" customFormat="1" ht="15.75" hidden="1" customHeight="1" outlineLevel="1">
      <c r="A111" s="2585"/>
      <c r="B111" s="44"/>
      <c r="C111" s="45"/>
      <c r="D111" s="46"/>
      <c r="E111" s="46"/>
      <c r="F111" s="45"/>
      <c r="G111" s="46"/>
      <c r="H111" s="45"/>
      <c r="I111" s="45"/>
      <c r="J111" s="47"/>
      <c r="K111" s="48"/>
      <c r="L111" s="47"/>
      <c r="M111" s="1913"/>
      <c r="N111" s="48"/>
      <c r="O111" s="49"/>
      <c r="P111" s="49"/>
      <c r="Q111" s="1884">
        <f t="shared" si="39"/>
        <v>0</v>
      </c>
      <c r="R111" s="1885">
        <f t="shared" si="21"/>
        <v>0</v>
      </c>
      <c r="S111" s="1885">
        <f t="shared" si="22"/>
        <v>0</v>
      </c>
      <c r="T111" s="1914"/>
      <c r="U111" s="1914"/>
      <c r="V111" s="1914"/>
      <c r="W111" s="50"/>
      <c r="X111" s="1891">
        <f t="shared" si="23"/>
        <v>0</v>
      </c>
      <c r="Y111" s="1891">
        <f t="shared" si="24"/>
        <v>0</v>
      </c>
      <c r="Z111" s="50"/>
      <c r="AA111" s="50"/>
      <c r="AB111" s="48"/>
      <c r="AC111" s="48"/>
      <c r="AD111" s="48"/>
      <c r="AE111" s="45"/>
      <c r="AF111" s="51"/>
      <c r="AG111" s="42"/>
      <c r="AH111" s="52" t="s">
        <v>4631</v>
      </c>
      <c r="AI111" s="197"/>
      <c r="AJ111" s="2578"/>
      <c r="AK111" s="2562"/>
      <c r="AL111" s="2578"/>
      <c r="AM111" s="2562"/>
      <c r="AN111" s="2562"/>
      <c r="AO111" s="2562"/>
      <c r="AP111" s="2562"/>
      <c r="AQ111" s="2562"/>
      <c r="AR111" s="2562"/>
      <c r="AS111" s="2562"/>
      <c r="AT111" s="252">
        <f t="shared" si="40"/>
        <v>1</v>
      </c>
      <c r="AU111" s="252">
        <f t="shared" si="41"/>
        <v>1</v>
      </c>
      <c r="AV111" s="252">
        <f t="shared" si="42"/>
        <v>1</v>
      </c>
      <c r="AW111" s="252">
        <f t="shared" si="43"/>
        <v>1</v>
      </c>
      <c r="AX111" s="252">
        <f t="shared" si="44"/>
        <v>1</v>
      </c>
      <c r="AY111" s="252">
        <f t="shared" si="45"/>
        <v>1</v>
      </c>
      <c r="AZ111" s="252">
        <f t="shared" si="46"/>
        <v>1</v>
      </c>
      <c r="BA111" s="237"/>
      <c r="BB111" s="237"/>
      <c r="BC111" s="2562"/>
      <c r="BD111" s="2562"/>
      <c r="BE111" s="2562"/>
      <c r="BF111" s="2562"/>
      <c r="BG111" s="252">
        <f t="shared" si="47"/>
        <v>1</v>
      </c>
      <c r="BH111" s="2562"/>
      <c r="BI111" s="237"/>
      <c r="BJ111" s="252">
        <f t="shared" si="48"/>
        <v>1</v>
      </c>
      <c r="BK111" s="252">
        <f t="shared" si="49"/>
        <v>1</v>
      </c>
      <c r="BL111" s="252">
        <f t="shared" si="50"/>
        <v>1</v>
      </c>
      <c r="BM111" s="252">
        <f t="shared" si="51"/>
        <v>1</v>
      </c>
      <c r="BN111" s="252">
        <f t="shared" si="52"/>
        <v>1</v>
      </c>
      <c r="BO111" s="252">
        <f t="shared" si="53"/>
        <v>1</v>
      </c>
      <c r="BP111" s="2578"/>
      <c r="BQ111" s="2562"/>
      <c r="BR111" s="2562"/>
      <c r="BS111" s="2585"/>
      <c r="BT111" s="2585"/>
      <c r="BU111" s="2585"/>
    </row>
    <row r="112" spans="1:73" s="22" customFormat="1" ht="15.75" hidden="1" customHeight="1" outlineLevel="1">
      <c r="A112" s="2585"/>
      <c r="B112" s="44"/>
      <c r="C112" s="45"/>
      <c r="D112" s="46"/>
      <c r="E112" s="46"/>
      <c r="F112" s="45"/>
      <c r="G112" s="46"/>
      <c r="H112" s="45"/>
      <c r="I112" s="45"/>
      <c r="J112" s="47"/>
      <c r="K112" s="48"/>
      <c r="L112" s="47"/>
      <c r="M112" s="1913"/>
      <c r="N112" s="48"/>
      <c r="O112" s="49"/>
      <c r="P112" s="49"/>
      <c r="Q112" s="1884">
        <f t="shared" si="39"/>
        <v>0</v>
      </c>
      <c r="R112" s="1885">
        <f t="shared" si="21"/>
        <v>0</v>
      </c>
      <c r="S112" s="1885">
        <f t="shared" si="22"/>
        <v>0</v>
      </c>
      <c r="T112" s="1914"/>
      <c r="U112" s="1914"/>
      <c r="V112" s="1914"/>
      <c r="W112" s="50"/>
      <c r="X112" s="1891">
        <f t="shared" si="23"/>
        <v>0</v>
      </c>
      <c r="Y112" s="1891">
        <f t="shared" si="24"/>
        <v>0</v>
      </c>
      <c r="Z112" s="50"/>
      <c r="AA112" s="50"/>
      <c r="AB112" s="48"/>
      <c r="AC112" s="48"/>
      <c r="AD112" s="48"/>
      <c r="AE112" s="45"/>
      <c r="AF112" s="51"/>
      <c r="AG112" s="42"/>
      <c r="AH112" s="52" t="s">
        <v>4632</v>
      </c>
      <c r="AI112" s="197"/>
      <c r="AJ112" s="2578"/>
      <c r="AK112" s="2562"/>
      <c r="AL112" s="2578"/>
      <c r="AM112" s="2562"/>
      <c r="AN112" s="2562"/>
      <c r="AO112" s="2562"/>
      <c r="AP112" s="2562"/>
      <c r="AQ112" s="2562"/>
      <c r="AR112" s="2562"/>
      <c r="AS112" s="2562"/>
      <c r="AT112" s="252">
        <f t="shared" si="40"/>
        <v>1</v>
      </c>
      <c r="AU112" s="252">
        <f t="shared" si="41"/>
        <v>1</v>
      </c>
      <c r="AV112" s="252">
        <f t="shared" si="42"/>
        <v>1</v>
      </c>
      <c r="AW112" s="252">
        <f t="shared" si="43"/>
        <v>1</v>
      </c>
      <c r="AX112" s="252">
        <f t="shared" si="44"/>
        <v>1</v>
      </c>
      <c r="AY112" s="252">
        <f t="shared" si="45"/>
        <v>1</v>
      </c>
      <c r="AZ112" s="252">
        <f t="shared" si="46"/>
        <v>1</v>
      </c>
      <c r="BA112" s="237"/>
      <c r="BB112" s="237"/>
      <c r="BC112" s="2562"/>
      <c r="BD112" s="2562"/>
      <c r="BE112" s="2562"/>
      <c r="BF112" s="2562"/>
      <c r="BG112" s="252">
        <f t="shared" si="47"/>
        <v>1</v>
      </c>
      <c r="BH112" s="2562"/>
      <c r="BI112" s="237"/>
      <c r="BJ112" s="252">
        <f t="shared" si="48"/>
        <v>1</v>
      </c>
      <c r="BK112" s="252">
        <f t="shared" si="49"/>
        <v>1</v>
      </c>
      <c r="BL112" s="252">
        <f t="shared" si="50"/>
        <v>1</v>
      </c>
      <c r="BM112" s="252">
        <f t="shared" si="51"/>
        <v>1</v>
      </c>
      <c r="BN112" s="252">
        <f t="shared" si="52"/>
        <v>1</v>
      </c>
      <c r="BO112" s="252">
        <f t="shared" si="53"/>
        <v>1</v>
      </c>
      <c r="BP112" s="2578"/>
      <c r="BQ112" s="2562"/>
      <c r="BR112" s="2562"/>
      <c r="BS112" s="2585"/>
      <c r="BT112" s="2585"/>
      <c r="BU112" s="2585"/>
    </row>
    <row r="113" spans="1:73" s="22" customFormat="1" ht="15.75" hidden="1" customHeight="1" outlineLevel="1">
      <c r="A113" s="2585"/>
      <c r="B113" s="44"/>
      <c r="C113" s="45"/>
      <c r="D113" s="46"/>
      <c r="E113" s="46"/>
      <c r="F113" s="45"/>
      <c r="G113" s="46"/>
      <c r="H113" s="45"/>
      <c r="I113" s="45"/>
      <c r="J113" s="47"/>
      <c r="K113" s="48"/>
      <c r="L113" s="47"/>
      <c r="M113" s="1913"/>
      <c r="N113" s="48"/>
      <c r="O113" s="49"/>
      <c r="P113" s="49"/>
      <c r="Q113" s="1884">
        <f t="shared" si="39"/>
        <v>0</v>
      </c>
      <c r="R113" s="1885">
        <f t="shared" si="21"/>
        <v>0</v>
      </c>
      <c r="S113" s="1885">
        <f t="shared" si="22"/>
        <v>0</v>
      </c>
      <c r="T113" s="1914"/>
      <c r="U113" s="1914"/>
      <c r="V113" s="1914"/>
      <c r="W113" s="50"/>
      <c r="X113" s="1891">
        <f t="shared" si="23"/>
        <v>0</v>
      </c>
      <c r="Y113" s="1891">
        <f t="shared" si="24"/>
        <v>0</v>
      </c>
      <c r="Z113" s="50"/>
      <c r="AA113" s="50"/>
      <c r="AB113" s="48"/>
      <c r="AC113" s="48"/>
      <c r="AD113" s="48"/>
      <c r="AE113" s="45"/>
      <c r="AF113" s="51"/>
      <c r="AG113" s="42"/>
      <c r="AH113" s="52" t="s">
        <v>4633</v>
      </c>
      <c r="AI113" s="197"/>
      <c r="AJ113" s="2578"/>
      <c r="AK113" s="2562"/>
      <c r="AL113" s="2578"/>
      <c r="AM113" s="2562"/>
      <c r="AN113" s="2562"/>
      <c r="AO113" s="2562"/>
      <c r="AP113" s="2562"/>
      <c r="AQ113" s="2562"/>
      <c r="AR113" s="2562"/>
      <c r="AS113" s="2562"/>
      <c r="AT113" s="252">
        <f t="shared" si="40"/>
        <v>1</v>
      </c>
      <c r="AU113" s="252">
        <f t="shared" si="41"/>
        <v>1</v>
      </c>
      <c r="AV113" s="252">
        <f t="shared" si="42"/>
        <v>1</v>
      </c>
      <c r="AW113" s="252">
        <f t="shared" si="43"/>
        <v>1</v>
      </c>
      <c r="AX113" s="252">
        <f t="shared" si="44"/>
        <v>1</v>
      </c>
      <c r="AY113" s="252">
        <f t="shared" si="45"/>
        <v>1</v>
      </c>
      <c r="AZ113" s="252">
        <f t="shared" si="46"/>
        <v>1</v>
      </c>
      <c r="BA113" s="237"/>
      <c r="BB113" s="237"/>
      <c r="BC113" s="2562"/>
      <c r="BD113" s="2562"/>
      <c r="BE113" s="2562"/>
      <c r="BF113" s="2562"/>
      <c r="BG113" s="252">
        <f t="shared" si="47"/>
        <v>1</v>
      </c>
      <c r="BH113" s="2562"/>
      <c r="BI113" s="237"/>
      <c r="BJ113" s="252">
        <f t="shared" si="48"/>
        <v>1</v>
      </c>
      <c r="BK113" s="252">
        <f t="shared" si="49"/>
        <v>1</v>
      </c>
      <c r="BL113" s="252">
        <f t="shared" si="50"/>
        <v>1</v>
      </c>
      <c r="BM113" s="252">
        <f t="shared" si="51"/>
        <v>1</v>
      </c>
      <c r="BN113" s="252">
        <f t="shared" si="52"/>
        <v>1</v>
      </c>
      <c r="BO113" s="252">
        <f t="shared" si="53"/>
        <v>1</v>
      </c>
      <c r="BP113" s="2578"/>
      <c r="BQ113" s="2562"/>
      <c r="BR113" s="2562"/>
      <c r="BS113" s="2585"/>
      <c r="BT113" s="2585"/>
      <c r="BU113" s="2585"/>
    </row>
    <row r="114" spans="1:73" s="22" customFormat="1" ht="15.75" hidden="1" customHeight="1" outlineLevel="1">
      <c r="A114" s="2585"/>
      <c r="B114" s="44"/>
      <c r="C114" s="45"/>
      <c r="D114" s="46"/>
      <c r="E114" s="46"/>
      <c r="F114" s="45"/>
      <c r="G114" s="46"/>
      <c r="H114" s="45"/>
      <c r="I114" s="45"/>
      <c r="J114" s="47"/>
      <c r="K114" s="48"/>
      <c r="L114" s="47"/>
      <c r="M114" s="1913"/>
      <c r="N114" s="48"/>
      <c r="O114" s="49"/>
      <c r="P114" s="49"/>
      <c r="Q114" s="1884">
        <f t="shared" si="39"/>
        <v>0</v>
      </c>
      <c r="R114" s="1885">
        <f t="shared" si="21"/>
        <v>0</v>
      </c>
      <c r="S114" s="1885">
        <f t="shared" si="22"/>
        <v>0</v>
      </c>
      <c r="T114" s="1914"/>
      <c r="U114" s="1914"/>
      <c r="V114" s="1914"/>
      <c r="W114" s="50"/>
      <c r="X114" s="1891">
        <f t="shared" si="23"/>
        <v>0</v>
      </c>
      <c r="Y114" s="1891">
        <f t="shared" si="24"/>
        <v>0</v>
      </c>
      <c r="Z114" s="50"/>
      <c r="AA114" s="50"/>
      <c r="AB114" s="48"/>
      <c r="AC114" s="48"/>
      <c r="AD114" s="48"/>
      <c r="AE114" s="45"/>
      <c r="AF114" s="51"/>
      <c r="AG114" s="42"/>
      <c r="AH114" s="52" t="s">
        <v>4634</v>
      </c>
      <c r="AI114" s="197"/>
      <c r="AJ114" s="2578"/>
      <c r="AK114" s="2562"/>
      <c r="AL114" s="2578"/>
      <c r="AM114" s="2562"/>
      <c r="AN114" s="2562"/>
      <c r="AO114" s="2562"/>
      <c r="AP114" s="2562"/>
      <c r="AQ114" s="2562"/>
      <c r="AR114" s="2562"/>
      <c r="AS114" s="2562"/>
      <c r="AT114" s="252">
        <f t="shared" si="40"/>
        <v>1</v>
      </c>
      <c r="AU114" s="252">
        <f t="shared" si="41"/>
        <v>1</v>
      </c>
      <c r="AV114" s="252">
        <f t="shared" si="42"/>
        <v>1</v>
      </c>
      <c r="AW114" s="252">
        <f t="shared" si="43"/>
        <v>1</v>
      </c>
      <c r="AX114" s="252">
        <f t="shared" si="44"/>
        <v>1</v>
      </c>
      <c r="AY114" s="252">
        <f t="shared" si="45"/>
        <v>1</v>
      </c>
      <c r="AZ114" s="252">
        <f t="shared" si="46"/>
        <v>1</v>
      </c>
      <c r="BA114" s="237"/>
      <c r="BB114" s="237"/>
      <c r="BC114" s="2562"/>
      <c r="BD114" s="2562"/>
      <c r="BE114" s="2562"/>
      <c r="BF114" s="2562"/>
      <c r="BG114" s="252">
        <f t="shared" si="47"/>
        <v>1</v>
      </c>
      <c r="BH114" s="2562"/>
      <c r="BI114" s="237"/>
      <c r="BJ114" s="252">
        <f t="shared" si="48"/>
        <v>1</v>
      </c>
      <c r="BK114" s="252">
        <f t="shared" si="49"/>
        <v>1</v>
      </c>
      <c r="BL114" s="252">
        <f t="shared" si="50"/>
        <v>1</v>
      </c>
      <c r="BM114" s="252">
        <f t="shared" si="51"/>
        <v>1</v>
      </c>
      <c r="BN114" s="252">
        <f t="shared" si="52"/>
        <v>1</v>
      </c>
      <c r="BO114" s="252">
        <f t="shared" si="53"/>
        <v>1</v>
      </c>
      <c r="BP114" s="2578"/>
      <c r="BQ114" s="2562"/>
      <c r="BR114" s="2562"/>
      <c r="BS114" s="2585"/>
      <c r="BT114" s="2585"/>
      <c r="BU114" s="2585"/>
    </row>
    <row r="115" spans="1:73" s="22" customFormat="1" ht="15.75" hidden="1" customHeight="1" outlineLevel="1">
      <c r="A115" s="2585"/>
      <c r="B115" s="44"/>
      <c r="C115" s="45"/>
      <c r="D115" s="46"/>
      <c r="E115" s="46"/>
      <c r="F115" s="45"/>
      <c r="G115" s="46"/>
      <c r="H115" s="45"/>
      <c r="I115" s="45"/>
      <c r="J115" s="47"/>
      <c r="K115" s="48"/>
      <c r="L115" s="47"/>
      <c r="M115" s="1913"/>
      <c r="N115" s="48"/>
      <c r="O115" s="49"/>
      <c r="P115" s="49"/>
      <c r="Q115" s="1884">
        <f t="shared" si="39"/>
        <v>0</v>
      </c>
      <c r="R115" s="1885">
        <f t="shared" si="21"/>
        <v>0</v>
      </c>
      <c r="S115" s="1885">
        <f t="shared" si="22"/>
        <v>0</v>
      </c>
      <c r="T115" s="1914"/>
      <c r="U115" s="1914"/>
      <c r="V115" s="1914"/>
      <c r="W115" s="50"/>
      <c r="X115" s="1891">
        <f t="shared" si="23"/>
        <v>0</v>
      </c>
      <c r="Y115" s="1891">
        <f t="shared" si="24"/>
        <v>0</v>
      </c>
      <c r="Z115" s="50"/>
      <c r="AA115" s="50"/>
      <c r="AB115" s="48"/>
      <c r="AC115" s="48"/>
      <c r="AD115" s="48"/>
      <c r="AE115" s="45"/>
      <c r="AF115" s="51"/>
      <c r="AG115" s="42"/>
      <c r="AH115" s="52" t="s">
        <v>4635</v>
      </c>
      <c r="AI115" s="197"/>
      <c r="AJ115" s="2578"/>
      <c r="AK115" s="2562"/>
      <c r="AL115" s="2578"/>
      <c r="AM115" s="2562"/>
      <c r="AN115" s="2562"/>
      <c r="AO115" s="2562"/>
      <c r="AP115" s="2562"/>
      <c r="AQ115" s="2562"/>
      <c r="AR115" s="2562"/>
      <c r="AS115" s="2562"/>
      <c r="AT115" s="252">
        <f t="shared" si="40"/>
        <v>1</v>
      </c>
      <c r="AU115" s="252">
        <f t="shared" si="41"/>
        <v>1</v>
      </c>
      <c r="AV115" s="252">
        <f t="shared" si="42"/>
        <v>1</v>
      </c>
      <c r="AW115" s="252">
        <f t="shared" si="43"/>
        <v>1</v>
      </c>
      <c r="AX115" s="252">
        <f t="shared" si="44"/>
        <v>1</v>
      </c>
      <c r="AY115" s="252">
        <f t="shared" si="45"/>
        <v>1</v>
      </c>
      <c r="AZ115" s="252">
        <f t="shared" si="46"/>
        <v>1</v>
      </c>
      <c r="BA115" s="237"/>
      <c r="BB115" s="237"/>
      <c r="BC115" s="2562"/>
      <c r="BD115" s="2562"/>
      <c r="BE115" s="2562"/>
      <c r="BF115" s="2562"/>
      <c r="BG115" s="252">
        <f t="shared" si="47"/>
        <v>1</v>
      </c>
      <c r="BH115" s="2562"/>
      <c r="BI115" s="237"/>
      <c r="BJ115" s="252">
        <f t="shared" si="48"/>
        <v>1</v>
      </c>
      <c r="BK115" s="252">
        <f t="shared" si="49"/>
        <v>1</v>
      </c>
      <c r="BL115" s="252">
        <f t="shared" si="50"/>
        <v>1</v>
      </c>
      <c r="BM115" s="252">
        <f t="shared" si="51"/>
        <v>1</v>
      </c>
      <c r="BN115" s="252">
        <f t="shared" si="52"/>
        <v>1</v>
      </c>
      <c r="BO115" s="252">
        <f t="shared" si="53"/>
        <v>1</v>
      </c>
      <c r="BP115" s="2578"/>
      <c r="BQ115" s="2562"/>
      <c r="BR115" s="2562"/>
      <c r="BS115" s="2585"/>
      <c r="BT115" s="2585"/>
      <c r="BU115" s="2585"/>
    </row>
    <row r="116" spans="1:73" s="22" customFormat="1" ht="15.75" hidden="1" customHeight="1" outlineLevel="1">
      <c r="A116" s="2585"/>
      <c r="B116" s="44"/>
      <c r="C116" s="45"/>
      <c r="D116" s="46"/>
      <c r="E116" s="46"/>
      <c r="F116" s="45"/>
      <c r="G116" s="46"/>
      <c r="H116" s="45"/>
      <c r="I116" s="45"/>
      <c r="J116" s="47"/>
      <c r="K116" s="48"/>
      <c r="L116" s="47"/>
      <c r="M116" s="1913"/>
      <c r="N116" s="48"/>
      <c r="O116" s="49"/>
      <c r="P116" s="49"/>
      <c r="Q116" s="1884">
        <f t="shared" si="39"/>
        <v>0</v>
      </c>
      <c r="R116" s="1885">
        <f t="shared" si="21"/>
        <v>0</v>
      </c>
      <c r="S116" s="1885">
        <f t="shared" si="22"/>
        <v>0</v>
      </c>
      <c r="T116" s="1914"/>
      <c r="U116" s="1914"/>
      <c r="V116" s="1914"/>
      <c r="W116" s="50"/>
      <c r="X116" s="1891">
        <f t="shared" si="23"/>
        <v>0</v>
      </c>
      <c r="Y116" s="1891">
        <f t="shared" si="24"/>
        <v>0</v>
      </c>
      <c r="Z116" s="50"/>
      <c r="AA116" s="50"/>
      <c r="AB116" s="48"/>
      <c r="AC116" s="48"/>
      <c r="AD116" s="48"/>
      <c r="AE116" s="45"/>
      <c r="AF116" s="51"/>
      <c r="AG116" s="42"/>
      <c r="AH116" s="52" t="s">
        <v>4636</v>
      </c>
      <c r="AI116" s="197"/>
      <c r="AJ116" s="2578"/>
      <c r="AK116" s="2562"/>
      <c r="AL116" s="2578"/>
      <c r="AM116" s="2562"/>
      <c r="AN116" s="2562"/>
      <c r="AO116" s="2562"/>
      <c r="AP116" s="2562"/>
      <c r="AQ116" s="2562"/>
      <c r="AR116" s="2562"/>
      <c r="AS116" s="2562"/>
      <c r="AT116" s="252">
        <f t="shared" si="40"/>
        <v>1</v>
      </c>
      <c r="AU116" s="252">
        <f t="shared" si="41"/>
        <v>1</v>
      </c>
      <c r="AV116" s="252">
        <f t="shared" si="42"/>
        <v>1</v>
      </c>
      <c r="AW116" s="252">
        <f t="shared" si="43"/>
        <v>1</v>
      </c>
      <c r="AX116" s="252">
        <f t="shared" si="44"/>
        <v>1</v>
      </c>
      <c r="AY116" s="252">
        <f t="shared" si="45"/>
        <v>1</v>
      </c>
      <c r="AZ116" s="252">
        <f t="shared" si="46"/>
        <v>1</v>
      </c>
      <c r="BA116" s="237"/>
      <c r="BB116" s="237"/>
      <c r="BC116" s="2562"/>
      <c r="BD116" s="2562"/>
      <c r="BE116" s="2562"/>
      <c r="BF116" s="2562"/>
      <c r="BG116" s="252">
        <f t="shared" si="47"/>
        <v>1</v>
      </c>
      <c r="BH116" s="2562"/>
      <c r="BI116" s="237"/>
      <c r="BJ116" s="252">
        <f t="shared" si="48"/>
        <v>1</v>
      </c>
      <c r="BK116" s="252">
        <f t="shared" si="49"/>
        <v>1</v>
      </c>
      <c r="BL116" s="252">
        <f t="shared" si="50"/>
        <v>1</v>
      </c>
      <c r="BM116" s="252">
        <f t="shared" si="51"/>
        <v>1</v>
      </c>
      <c r="BN116" s="252">
        <f t="shared" si="52"/>
        <v>1</v>
      </c>
      <c r="BO116" s="252">
        <f t="shared" si="53"/>
        <v>1</v>
      </c>
      <c r="BP116" s="2578"/>
      <c r="BQ116" s="2562"/>
      <c r="BR116" s="2562"/>
      <c r="BS116" s="2585"/>
      <c r="BT116" s="2585"/>
      <c r="BU116" s="2585"/>
    </row>
    <row r="117" spans="1:73" s="22" customFormat="1" ht="15.75" hidden="1" customHeight="1" outlineLevel="1">
      <c r="A117" s="2585"/>
      <c r="B117" s="44"/>
      <c r="C117" s="45"/>
      <c r="D117" s="46"/>
      <c r="E117" s="46"/>
      <c r="F117" s="45"/>
      <c r="G117" s="46"/>
      <c r="H117" s="45"/>
      <c r="I117" s="45"/>
      <c r="J117" s="47"/>
      <c r="K117" s="48"/>
      <c r="L117" s="47"/>
      <c r="M117" s="1913"/>
      <c r="N117" s="48"/>
      <c r="O117" s="49"/>
      <c r="P117" s="49"/>
      <c r="Q117" s="1884">
        <f t="shared" si="39"/>
        <v>0</v>
      </c>
      <c r="R117" s="1885">
        <f t="shared" si="21"/>
        <v>0</v>
      </c>
      <c r="S117" s="1885">
        <f t="shared" si="22"/>
        <v>0</v>
      </c>
      <c r="T117" s="1914"/>
      <c r="U117" s="1914"/>
      <c r="V117" s="1914"/>
      <c r="W117" s="50"/>
      <c r="X117" s="1891">
        <f t="shared" si="23"/>
        <v>0</v>
      </c>
      <c r="Y117" s="1891">
        <f t="shared" si="24"/>
        <v>0</v>
      </c>
      <c r="Z117" s="50"/>
      <c r="AA117" s="50"/>
      <c r="AB117" s="48"/>
      <c r="AC117" s="48"/>
      <c r="AD117" s="48"/>
      <c r="AE117" s="45"/>
      <c r="AF117" s="51"/>
      <c r="AG117" s="42"/>
      <c r="AH117" s="52" t="s">
        <v>4637</v>
      </c>
      <c r="AI117" s="197"/>
      <c r="AJ117" s="2578"/>
      <c r="AK117" s="2562"/>
      <c r="AL117" s="2578"/>
      <c r="AM117" s="2562"/>
      <c r="AN117" s="2562"/>
      <c r="AO117" s="2562"/>
      <c r="AP117" s="2562"/>
      <c r="AQ117" s="2562"/>
      <c r="AR117" s="2562"/>
      <c r="AS117" s="2562"/>
      <c r="AT117" s="252">
        <f t="shared" si="40"/>
        <v>1</v>
      </c>
      <c r="AU117" s="252">
        <f t="shared" si="41"/>
        <v>1</v>
      </c>
      <c r="AV117" s="252">
        <f t="shared" si="42"/>
        <v>1</v>
      </c>
      <c r="AW117" s="252">
        <f t="shared" si="43"/>
        <v>1</v>
      </c>
      <c r="AX117" s="252">
        <f t="shared" si="44"/>
        <v>1</v>
      </c>
      <c r="AY117" s="252">
        <f t="shared" si="45"/>
        <v>1</v>
      </c>
      <c r="AZ117" s="252">
        <f t="shared" si="46"/>
        <v>1</v>
      </c>
      <c r="BA117" s="237"/>
      <c r="BB117" s="237"/>
      <c r="BC117" s="2562"/>
      <c r="BD117" s="2562"/>
      <c r="BE117" s="2562"/>
      <c r="BF117" s="2562"/>
      <c r="BG117" s="252">
        <f t="shared" si="47"/>
        <v>1</v>
      </c>
      <c r="BH117" s="2562"/>
      <c r="BI117" s="237"/>
      <c r="BJ117" s="252">
        <f t="shared" si="48"/>
        <v>1</v>
      </c>
      <c r="BK117" s="252">
        <f t="shared" si="49"/>
        <v>1</v>
      </c>
      <c r="BL117" s="252">
        <f t="shared" si="50"/>
        <v>1</v>
      </c>
      <c r="BM117" s="252">
        <f t="shared" si="51"/>
        <v>1</v>
      </c>
      <c r="BN117" s="252">
        <f t="shared" si="52"/>
        <v>1</v>
      </c>
      <c r="BO117" s="252">
        <f t="shared" si="53"/>
        <v>1</v>
      </c>
      <c r="BP117" s="2578"/>
      <c r="BQ117" s="2562"/>
      <c r="BR117" s="2562"/>
      <c r="BS117" s="2585"/>
      <c r="BT117" s="2585"/>
      <c r="BU117" s="2585"/>
    </row>
    <row r="118" spans="1:73" s="22" customFormat="1" ht="15.75" hidden="1" customHeight="1" outlineLevel="1">
      <c r="A118" s="2585"/>
      <c r="B118" s="44"/>
      <c r="C118" s="45"/>
      <c r="D118" s="46"/>
      <c r="E118" s="46"/>
      <c r="F118" s="45"/>
      <c r="G118" s="46"/>
      <c r="H118" s="45"/>
      <c r="I118" s="45"/>
      <c r="J118" s="47"/>
      <c r="K118" s="48"/>
      <c r="L118" s="47"/>
      <c r="M118" s="1913"/>
      <c r="N118" s="48"/>
      <c r="O118" s="49"/>
      <c r="P118" s="49"/>
      <c r="Q118" s="1884">
        <f t="shared" si="39"/>
        <v>0</v>
      </c>
      <c r="R118" s="1885">
        <f t="shared" si="21"/>
        <v>0</v>
      </c>
      <c r="S118" s="1885">
        <f t="shared" si="22"/>
        <v>0</v>
      </c>
      <c r="T118" s="1914"/>
      <c r="U118" s="1914"/>
      <c r="V118" s="1914"/>
      <c r="W118" s="50"/>
      <c r="X118" s="1891">
        <f t="shared" si="23"/>
        <v>0</v>
      </c>
      <c r="Y118" s="1891">
        <f t="shared" si="24"/>
        <v>0</v>
      </c>
      <c r="Z118" s="50"/>
      <c r="AA118" s="50"/>
      <c r="AB118" s="48"/>
      <c r="AC118" s="48"/>
      <c r="AD118" s="48"/>
      <c r="AE118" s="45"/>
      <c r="AF118" s="51"/>
      <c r="AG118" s="42"/>
      <c r="AH118" s="52" t="s">
        <v>4638</v>
      </c>
      <c r="AI118" s="197"/>
      <c r="AJ118" s="2578"/>
      <c r="AK118" s="2562"/>
      <c r="AL118" s="2578"/>
      <c r="AM118" s="2562"/>
      <c r="AN118" s="2562"/>
      <c r="AO118" s="2562"/>
      <c r="AP118" s="2562"/>
      <c r="AQ118" s="2562"/>
      <c r="AR118" s="2562"/>
      <c r="AS118" s="2562"/>
      <c r="AT118" s="252">
        <f t="shared" si="40"/>
        <v>1</v>
      </c>
      <c r="AU118" s="252">
        <f t="shared" si="41"/>
        <v>1</v>
      </c>
      <c r="AV118" s="252">
        <f t="shared" si="42"/>
        <v>1</v>
      </c>
      <c r="AW118" s="252">
        <f t="shared" si="43"/>
        <v>1</v>
      </c>
      <c r="AX118" s="252">
        <f t="shared" si="44"/>
        <v>1</v>
      </c>
      <c r="AY118" s="252">
        <f t="shared" si="45"/>
        <v>1</v>
      </c>
      <c r="AZ118" s="252">
        <f t="shared" si="46"/>
        <v>1</v>
      </c>
      <c r="BA118" s="237"/>
      <c r="BB118" s="237"/>
      <c r="BC118" s="2562"/>
      <c r="BD118" s="2562"/>
      <c r="BE118" s="2562"/>
      <c r="BF118" s="2562"/>
      <c r="BG118" s="252">
        <f t="shared" si="47"/>
        <v>1</v>
      </c>
      <c r="BH118" s="2562"/>
      <c r="BI118" s="237"/>
      <c r="BJ118" s="252">
        <f t="shared" si="48"/>
        <v>1</v>
      </c>
      <c r="BK118" s="252">
        <f t="shared" si="49"/>
        <v>1</v>
      </c>
      <c r="BL118" s="252">
        <f t="shared" si="50"/>
        <v>1</v>
      </c>
      <c r="BM118" s="252">
        <f t="shared" si="51"/>
        <v>1</v>
      </c>
      <c r="BN118" s="252">
        <f t="shared" si="52"/>
        <v>1</v>
      </c>
      <c r="BO118" s="252">
        <f t="shared" si="53"/>
        <v>1</v>
      </c>
      <c r="BP118" s="2578"/>
      <c r="BQ118" s="2562"/>
      <c r="BR118" s="2562"/>
      <c r="BS118" s="2585"/>
      <c r="BT118" s="2585"/>
      <c r="BU118" s="2585"/>
    </row>
    <row r="119" spans="1:73" s="22" customFormat="1" ht="15.75" hidden="1" customHeight="1" outlineLevel="1">
      <c r="A119" s="2585"/>
      <c r="B119" s="44"/>
      <c r="C119" s="45"/>
      <c r="D119" s="46"/>
      <c r="E119" s="46"/>
      <c r="F119" s="45"/>
      <c r="G119" s="46"/>
      <c r="H119" s="45"/>
      <c r="I119" s="45"/>
      <c r="J119" s="47"/>
      <c r="K119" s="48"/>
      <c r="L119" s="47"/>
      <c r="M119" s="1913"/>
      <c r="N119" s="48"/>
      <c r="O119" s="49"/>
      <c r="P119" s="49"/>
      <c r="Q119" s="1884">
        <f t="shared" si="39"/>
        <v>0</v>
      </c>
      <c r="R119" s="1885">
        <f t="shared" si="21"/>
        <v>0</v>
      </c>
      <c r="S119" s="1885">
        <f t="shared" si="22"/>
        <v>0</v>
      </c>
      <c r="T119" s="1914"/>
      <c r="U119" s="1914"/>
      <c r="V119" s="1914"/>
      <c r="W119" s="50"/>
      <c r="X119" s="1891">
        <f t="shared" si="23"/>
        <v>0</v>
      </c>
      <c r="Y119" s="1891">
        <f t="shared" si="24"/>
        <v>0</v>
      </c>
      <c r="Z119" s="50"/>
      <c r="AA119" s="50"/>
      <c r="AB119" s="48"/>
      <c r="AC119" s="48"/>
      <c r="AD119" s="48"/>
      <c r="AE119" s="45"/>
      <c r="AF119" s="51"/>
      <c r="AG119" s="42"/>
      <c r="AH119" s="52" t="s">
        <v>4639</v>
      </c>
      <c r="AI119" s="197"/>
      <c r="AJ119" s="2578"/>
      <c r="AK119" s="2562"/>
      <c r="AL119" s="2578"/>
      <c r="AM119" s="2562"/>
      <c r="AN119" s="2562"/>
      <c r="AO119" s="2562"/>
      <c r="AP119" s="2562"/>
      <c r="AQ119" s="2562"/>
      <c r="AR119" s="2562"/>
      <c r="AS119" s="2562"/>
      <c r="AT119" s="252">
        <f t="shared" si="40"/>
        <v>1</v>
      </c>
      <c r="AU119" s="252">
        <f t="shared" si="41"/>
        <v>1</v>
      </c>
      <c r="AV119" s="252">
        <f t="shared" si="42"/>
        <v>1</v>
      </c>
      <c r="AW119" s="252">
        <f t="shared" si="43"/>
        <v>1</v>
      </c>
      <c r="AX119" s="252">
        <f t="shared" si="44"/>
        <v>1</v>
      </c>
      <c r="AY119" s="252">
        <f t="shared" si="45"/>
        <v>1</v>
      </c>
      <c r="AZ119" s="252">
        <f t="shared" si="46"/>
        <v>1</v>
      </c>
      <c r="BA119" s="237"/>
      <c r="BB119" s="237"/>
      <c r="BC119" s="2562"/>
      <c r="BD119" s="2562"/>
      <c r="BE119" s="2562"/>
      <c r="BF119" s="2562"/>
      <c r="BG119" s="252">
        <f t="shared" si="47"/>
        <v>1</v>
      </c>
      <c r="BH119" s="2562"/>
      <c r="BI119" s="237"/>
      <c r="BJ119" s="252">
        <f t="shared" si="48"/>
        <v>1</v>
      </c>
      <c r="BK119" s="252">
        <f t="shared" si="49"/>
        <v>1</v>
      </c>
      <c r="BL119" s="252">
        <f t="shared" si="50"/>
        <v>1</v>
      </c>
      <c r="BM119" s="252">
        <f t="shared" si="51"/>
        <v>1</v>
      </c>
      <c r="BN119" s="252">
        <f t="shared" si="52"/>
        <v>1</v>
      </c>
      <c r="BO119" s="252">
        <f t="shared" si="53"/>
        <v>1</v>
      </c>
      <c r="BP119" s="2578"/>
      <c r="BQ119" s="2562"/>
      <c r="BR119" s="2562"/>
      <c r="BS119" s="2585"/>
      <c r="BT119" s="2585"/>
      <c r="BU119" s="2585"/>
    </row>
    <row r="120" spans="1:73" s="22" customFormat="1" ht="15.75" hidden="1" customHeight="1" outlineLevel="1">
      <c r="A120" s="2585"/>
      <c r="B120" s="44"/>
      <c r="C120" s="45"/>
      <c r="D120" s="46"/>
      <c r="E120" s="46"/>
      <c r="F120" s="45"/>
      <c r="G120" s="46"/>
      <c r="H120" s="45"/>
      <c r="I120" s="45"/>
      <c r="J120" s="47"/>
      <c r="K120" s="48"/>
      <c r="L120" s="47"/>
      <c r="M120" s="1913"/>
      <c r="N120" s="48"/>
      <c r="O120" s="49"/>
      <c r="P120" s="49"/>
      <c r="Q120" s="1884">
        <f t="shared" si="39"/>
        <v>0</v>
      </c>
      <c r="R120" s="1885">
        <f t="shared" si="21"/>
        <v>0</v>
      </c>
      <c r="S120" s="1885">
        <f t="shared" si="22"/>
        <v>0</v>
      </c>
      <c r="T120" s="1914"/>
      <c r="U120" s="1914"/>
      <c r="V120" s="1914"/>
      <c r="W120" s="50"/>
      <c r="X120" s="1891">
        <f t="shared" si="23"/>
        <v>0</v>
      </c>
      <c r="Y120" s="1891">
        <f t="shared" si="24"/>
        <v>0</v>
      </c>
      <c r="Z120" s="50"/>
      <c r="AA120" s="50"/>
      <c r="AB120" s="48"/>
      <c r="AC120" s="48"/>
      <c r="AD120" s="48"/>
      <c r="AE120" s="45"/>
      <c r="AF120" s="51"/>
      <c r="AG120" s="42"/>
      <c r="AH120" s="52" t="s">
        <v>4640</v>
      </c>
      <c r="AI120" s="197"/>
      <c r="AJ120" s="2578"/>
      <c r="AK120" s="2562"/>
      <c r="AL120" s="2578"/>
      <c r="AM120" s="2562"/>
      <c r="AN120" s="2562"/>
      <c r="AO120" s="2562"/>
      <c r="AP120" s="2562"/>
      <c r="AQ120" s="2562"/>
      <c r="AR120" s="2562"/>
      <c r="AS120" s="2562"/>
      <c r="AT120" s="252">
        <f t="shared" si="40"/>
        <v>1</v>
      </c>
      <c r="AU120" s="252">
        <f t="shared" si="41"/>
        <v>1</v>
      </c>
      <c r="AV120" s="252">
        <f t="shared" si="42"/>
        <v>1</v>
      </c>
      <c r="AW120" s="252">
        <f t="shared" si="43"/>
        <v>1</v>
      </c>
      <c r="AX120" s="252">
        <f t="shared" si="44"/>
        <v>1</v>
      </c>
      <c r="AY120" s="252">
        <f t="shared" si="45"/>
        <v>1</v>
      </c>
      <c r="AZ120" s="252">
        <f t="shared" si="46"/>
        <v>1</v>
      </c>
      <c r="BA120" s="237"/>
      <c r="BB120" s="237"/>
      <c r="BC120" s="2562"/>
      <c r="BD120" s="2562"/>
      <c r="BE120" s="2562"/>
      <c r="BF120" s="2562"/>
      <c r="BG120" s="252">
        <f t="shared" si="47"/>
        <v>1</v>
      </c>
      <c r="BH120" s="2562"/>
      <c r="BI120" s="237"/>
      <c r="BJ120" s="252">
        <f t="shared" si="48"/>
        <v>1</v>
      </c>
      <c r="BK120" s="252">
        <f t="shared" si="49"/>
        <v>1</v>
      </c>
      <c r="BL120" s="252">
        <f t="shared" si="50"/>
        <v>1</v>
      </c>
      <c r="BM120" s="252">
        <f t="shared" si="51"/>
        <v>1</v>
      </c>
      <c r="BN120" s="252">
        <f t="shared" si="52"/>
        <v>1</v>
      </c>
      <c r="BO120" s="252">
        <f t="shared" si="53"/>
        <v>1</v>
      </c>
      <c r="BP120" s="2578"/>
      <c r="BQ120" s="2562"/>
      <c r="BR120" s="2562"/>
      <c r="BS120" s="2585"/>
      <c r="BT120" s="2585"/>
      <c r="BU120" s="2585"/>
    </row>
    <row r="121" spans="1:73" s="22" customFormat="1" ht="15.75" hidden="1" customHeight="1" outlineLevel="1">
      <c r="A121" s="2585"/>
      <c r="B121" s="44"/>
      <c r="C121" s="45"/>
      <c r="D121" s="46"/>
      <c r="E121" s="46"/>
      <c r="F121" s="45"/>
      <c r="G121" s="46"/>
      <c r="H121" s="45"/>
      <c r="I121" s="45"/>
      <c r="J121" s="47"/>
      <c r="K121" s="48"/>
      <c r="L121" s="47"/>
      <c r="M121" s="1913"/>
      <c r="N121" s="48"/>
      <c r="O121" s="49"/>
      <c r="P121" s="49"/>
      <c r="Q121" s="1884">
        <f t="shared" si="39"/>
        <v>0</v>
      </c>
      <c r="R121" s="1885">
        <f t="shared" si="21"/>
        <v>0</v>
      </c>
      <c r="S121" s="1885">
        <f t="shared" si="22"/>
        <v>0</v>
      </c>
      <c r="T121" s="1914"/>
      <c r="U121" s="1914"/>
      <c r="V121" s="1914"/>
      <c r="W121" s="50"/>
      <c r="X121" s="1891">
        <f t="shared" si="23"/>
        <v>0</v>
      </c>
      <c r="Y121" s="1891">
        <f t="shared" si="24"/>
        <v>0</v>
      </c>
      <c r="Z121" s="50"/>
      <c r="AA121" s="50"/>
      <c r="AB121" s="48"/>
      <c r="AC121" s="48"/>
      <c r="AD121" s="48"/>
      <c r="AE121" s="45"/>
      <c r="AF121" s="51"/>
      <c r="AG121" s="42"/>
      <c r="AH121" s="52" t="s">
        <v>4641</v>
      </c>
      <c r="AI121" s="197"/>
      <c r="AJ121" s="2578"/>
      <c r="AK121" s="2562"/>
      <c r="AL121" s="2578"/>
      <c r="AM121" s="2562"/>
      <c r="AN121" s="2562"/>
      <c r="AO121" s="2562"/>
      <c r="AP121" s="2562"/>
      <c r="AQ121" s="2562"/>
      <c r="AR121" s="2562"/>
      <c r="AS121" s="2562"/>
      <c r="AT121" s="252">
        <f t="shared" si="40"/>
        <v>1</v>
      </c>
      <c r="AU121" s="252">
        <f t="shared" si="41"/>
        <v>1</v>
      </c>
      <c r="AV121" s="252">
        <f t="shared" si="42"/>
        <v>1</v>
      </c>
      <c r="AW121" s="252">
        <f t="shared" si="43"/>
        <v>1</v>
      </c>
      <c r="AX121" s="252">
        <f t="shared" si="44"/>
        <v>1</v>
      </c>
      <c r="AY121" s="252">
        <f t="shared" si="45"/>
        <v>1</v>
      </c>
      <c r="AZ121" s="252">
        <f t="shared" si="46"/>
        <v>1</v>
      </c>
      <c r="BA121" s="237"/>
      <c r="BB121" s="237"/>
      <c r="BC121" s="2562"/>
      <c r="BD121" s="2562"/>
      <c r="BE121" s="2562"/>
      <c r="BF121" s="2562"/>
      <c r="BG121" s="252">
        <f t="shared" si="47"/>
        <v>1</v>
      </c>
      <c r="BH121" s="2562"/>
      <c r="BI121" s="237"/>
      <c r="BJ121" s="252">
        <f t="shared" si="48"/>
        <v>1</v>
      </c>
      <c r="BK121" s="252">
        <f t="shared" si="49"/>
        <v>1</v>
      </c>
      <c r="BL121" s="252">
        <f t="shared" si="50"/>
        <v>1</v>
      </c>
      <c r="BM121" s="252">
        <f t="shared" si="51"/>
        <v>1</v>
      </c>
      <c r="BN121" s="252">
        <f t="shared" si="52"/>
        <v>1</v>
      </c>
      <c r="BO121" s="252">
        <f t="shared" si="53"/>
        <v>1</v>
      </c>
      <c r="BP121" s="2578"/>
      <c r="BQ121" s="2562"/>
      <c r="BR121" s="2562"/>
      <c r="BS121" s="2585"/>
      <c r="BT121" s="2585"/>
      <c r="BU121" s="2585"/>
    </row>
    <row r="122" spans="1:73" s="22" customFormat="1" ht="15.75" hidden="1" customHeight="1" outlineLevel="1">
      <c r="A122" s="2585"/>
      <c r="B122" s="44"/>
      <c r="C122" s="45"/>
      <c r="D122" s="46"/>
      <c r="E122" s="46"/>
      <c r="F122" s="45"/>
      <c r="G122" s="46"/>
      <c r="H122" s="45"/>
      <c r="I122" s="45"/>
      <c r="J122" s="47"/>
      <c r="K122" s="48"/>
      <c r="L122" s="47"/>
      <c r="M122" s="1913"/>
      <c r="N122" s="48"/>
      <c r="O122" s="49"/>
      <c r="P122" s="49"/>
      <c r="Q122" s="1884">
        <f t="shared" si="39"/>
        <v>0</v>
      </c>
      <c r="R122" s="1885">
        <f t="shared" si="21"/>
        <v>0</v>
      </c>
      <c r="S122" s="1885">
        <f t="shared" si="22"/>
        <v>0</v>
      </c>
      <c r="T122" s="1914"/>
      <c r="U122" s="1914"/>
      <c r="V122" s="1914"/>
      <c r="W122" s="50"/>
      <c r="X122" s="1891">
        <f t="shared" si="23"/>
        <v>0</v>
      </c>
      <c r="Y122" s="1891">
        <f t="shared" si="24"/>
        <v>0</v>
      </c>
      <c r="Z122" s="50"/>
      <c r="AA122" s="50"/>
      <c r="AB122" s="48"/>
      <c r="AC122" s="48"/>
      <c r="AD122" s="48"/>
      <c r="AE122" s="45"/>
      <c r="AF122" s="51"/>
      <c r="AG122" s="42"/>
      <c r="AH122" s="52" t="s">
        <v>4642</v>
      </c>
      <c r="AI122" s="197"/>
      <c r="AJ122" s="2578"/>
      <c r="AK122" s="2562"/>
      <c r="AL122" s="2578"/>
      <c r="AM122" s="2562"/>
      <c r="AN122" s="2562"/>
      <c r="AO122" s="2562"/>
      <c r="AP122" s="2562"/>
      <c r="AQ122" s="2562"/>
      <c r="AR122" s="2562"/>
      <c r="AS122" s="2562"/>
      <c r="AT122" s="252">
        <f t="shared" si="40"/>
        <v>1</v>
      </c>
      <c r="AU122" s="252">
        <f t="shared" si="41"/>
        <v>1</v>
      </c>
      <c r="AV122" s="252">
        <f t="shared" si="42"/>
        <v>1</v>
      </c>
      <c r="AW122" s="252">
        <f t="shared" si="43"/>
        <v>1</v>
      </c>
      <c r="AX122" s="252">
        <f t="shared" si="44"/>
        <v>1</v>
      </c>
      <c r="AY122" s="252">
        <f t="shared" si="45"/>
        <v>1</v>
      </c>
      <c r="AZ122" s="252">
        <f t="shared" si="46"/>
        <v>1</v>
      </c>
      <c r="BA122" s="237"/>
      <c r="BB122" s="237"/>
      <c r="BC122" s="2562"/>
      <c r="BD122" s="2562"/>
      <c r="BE122" s="2562"/>
      <c r="BF122" s="2562"/>
      <c r="BG122" s="252">
        <f t="shared" si="47"/>
        <v>1</v>
      </c>
      <c r="BH122" s="2562"/>
      <c r="BI122" s="237"/>
      <c r="BJ122" s="252">
        <f t="shared" si="48"/>
        <v>1</v>
      </c>
      <c r="BK122" s="252">
        <f t="shared" si="49"/>
        <v>1</v>
      </c>
      <c r="BL122" s="252">
        <f t="shared" si="50"/>
        <v>1</v>
      </c>
      <c r="BM122" s="252">
        <f t="shared" si="51"/>
        <v>1</v>
      </c>
      <c r="BN122" s="252">
        <f t="shared" si="52"/>
        <v>1</v>
      </c>
      <c r="BO122" s="252">
        <f t="shared" si="53"/>
        <v>1</v>
      </c>
      <c r="BP122" s="2578"/>
      <c r="BQ122" s="2562"/>
      <c r="BR122" s="2562"/>
      <c r="BS122" s="2585"/>
      <c r="BT122" s="2585"/>
      <c r="BU122" s="2585"/>
    </row>
    <row r="123" spans="1:73" s="22" customFormat="1" ht="15.75" hidden="1" customHeight="1" outlineLevel="1">
      <c r="A123" s="2585"/>
      <c r="B123" s="44"/>
      <c r="C123" s="45"/>
      <c r="D123" s="46"/>
      <c r="E123" s="46"/>
      <c r="F123" s="45"/>
      <c r="G123" s="46"/>
      <c r="H123" s="45"/>
      <c r="I123" s="45"/>
      <c r="J123" s="47"/>
      <c r="K123" s="48"/>
      <c r="L123" s="47"/>
      <c r="M123" s="1913"/>
      <c r="N123" s="48"/>
      <c r="O123" s="49"/>
      <c r="P123" s="49"/>
      <c r="Q123" s="1884">
        <f t="shared" si="39"/>
        <v>0</v>
      </c>
      <c r="R123" s="1885">
        <f t="shared" si="21"/>
        <v>0</v>
      </c>
      <c r="S123" s="1885">
        <f t="shared" si="22"/>
        <v>0</v>
      </c>
      <c r="T123" s="1914"/>
      <c r="U123" s="1914"/>
      <c r="V123" s="1914"/>
      <c r="W123" s="50"/>
      <c r="X123" s="1891">
        <f t="shared" si="23"/>
        <v>0</v>
      </c>
      <c r="Y123" s="1891">
        <f t="shared" si="24"/>
        <v>0</v>
      </c>
      <c r="Z123" s="50"/>
      <c r="AA123" s="50"/>
      <c r="AB123" s="48"/>
      <c r="AC123" s="48"/>
      <c r="AD123" s="48"/>
      <c r="AE123" s="45"/>
      <c r="AF123" s="51"/>
      <c r="AG123" s="42"/>
      <c r="AH123" s="52" t="s">
        <v>4643</v>
      </c>
      <c r="AI123" s="197"/>
      <c r="AJ123" s="2578"/>
      <c r="AK123" s="2562"/>
      <c r="AL123" s="2578"/>
      <c r="AM123" s="2562"/>
      <c r="AN123" s="2562"/>
      <c r="AO123" s="2562"/>
      <c r="AP123" s="2562"/>
      <c r="AQ123" s="2562"/>
      <c r="AR123" s="2562"/>
      <c r="AS123" s="2562"/>
      <c r="AT123" s="252">
        <f t="shared" si="40"/>
        <v>1</v>
      </c>
      <c r="AU123" s="252">
        <f t="shared" si="41"/>
        <v>1</v>
      </c>
      <c r="AV123" s="252">
        <f t="shared" si="42"/>
        <v>1</v>
      </c>
      <c r="AW123" s="252">
        <f t="shared" si="43"/>
        <v>1</v>
      </c>
      <c r="AX123" s="252">
        <f t="shared" si="44"/>
        <v>1</v>
      </c>
      <c r="AY123" s="252">
        <f t="shared" si="45"/>
        <v>1</v>
      </c>
      <c r="AZ123" s="252">
        <f t="shared" si="46"/>
        <v>1</v>
      </c>
      <c r="BA123" s="237"/>
      <c r="BB123" s="237"/>
      <c r="BC123" s="2562"/>
      <c r="BD123" s="2562"/>
      <c r="BE123" s="2562"/>
      <c r="BF123" s="2562"/>
      <c r="BG123" s="252">
        <f t="shared" si="47"/>
        <v>1</v>
      </c>
      <c r="BH123" s="2562"/>
      <c r="BI123" s="237"/>
      <c r="BJ123" s="252">
        <f t="shared" si="48"/>
        <v>1</v>
      </c>
      <c r="BK123" s="252">
        <f t="shared" si="49"/>
        <v>1</v>
      </c>
      <c r="BL123" s="252">
        <f t="shared" si="50"/>
        <v>1</v>
      </c>
      <c r="BM123" s="252">
        <f t="shared" si="51"/>
        <v>1</v>
      </c>
      <c r="BN123" s="252">
        <f t="shared" si="52"/>
        <v>1</v>
      </c>
      <c r="BO123" s="252">
        <f t="shared" si="53"/>
        <v>1</v>
      </c>
      <c r="BP123" s="2578"/>
      <c r="BQ123" s="2562"/>
      <c r="BR123" s="2562"/>
      <c r="BS123" s="2585"/>
      <c r="BT123" s="2585"/>
      <c r="BU123" s="2585"/>
    </row>
    <row r="124" spans="1:73" s="22" customFormat="1" ht="15.75" hidden="1" customHeight="1" outlineLevel="1">
      <c r="A124" s="2585"/>
      <c r="B124" s="44"/>
      <c r="C124" s="45"/>
      <c r="D124" s="46"/>
      <c r="E124" s="46"/>
      <c r="F124" s="45"/>
      <c r="G124" s="46"/>
      <c r="H124" s="45"/>
      <c r="I124" s="45"/>
      <c r="J124" s="47"/>
      <c r="K124" s="48"/>
      <c r="L124" s="47"/>
      <c r="M124" s="1913"/>
      <c r="N124" s="48"/>
      <c r="O124" s="49"/>
      <c r="P124" s="49"/>
      <c r="Q124" s="1884">
        <f t="shared" si="39"/>
        <v>0</v>
      </c>
      <c r="R124" s="1885">
        <f t="shared" si="21"/>
        <v>0</v>
      </c>
      <c r="S124" s="1885">
        <f t="shared" si="22"/>
        <v>0</v>
      </c>
      <c r="T124" s="1914"/>
      <c r="U124" s="1914"/>
      <c r="V124" s="1914"/>
      <c r="W124" s="50"/>
      <c r="X124" s="1891">
        <f t="shared" si="23"/>
        <v>0</v>
      </c>
      <c r="Y124" s="1891">
        <f t="shared" si="24"/>
        <v>0</v>
      </c>
      <c r="Z124" s="50"/>
      <c r="AA124" s="50"/>
      <c r="AB124" s="48"/>
      <c r="AC124" s="48"/>
      <c r="AD124" s="48"/>
      <c r="AE124" s="45"/>
      <c r="AF124" s="51"/>
      <c r="AG124" s="42"/>
      <c r="AH124" s="52" t="s">
        <v>4644</v>
      </c>
      <c r="AI124" s="197"/>
      <c r="AJ124" s="2578"/>
      <c r="AK124" s="2562"/>
      <c r="AL124" s="2578"/>
      <c r="AM124" s="2562"/>
      <c r="AN124" s="2562"/>
      <c r="AO124" s="2562"/>
      <c r="AP124" s="2562"/>
      <c r="AQ124" s="2562"/>
      <c r="AR124" s="2562"/>
      <c r="AS124" s="2562"/>
      <c r="AT124" s="252">
        <f t="shared" ref="AT124:AT158" si="54" xml:space="preserve"> IF( ISNUMBER( J74 ), 0, 1 )</f>
        <v>1</v>
      </c>
      <c r="AU124" s="252">
        <f t="shared" ref="AU124:AU158" si="55" xml:space="preserve"> IF( ISNUMBER( K74 ), 0, 1 )</f>
        <v>1</v>
      </c>
      <c r="AV124" s="252">
        <f t="shared" ref="AV124:AV158" si="56" xml:space="preserve"> IF( ISNUMBER( L74 ), 0, 1 )</f>
        <v>1</v>
      </c>
      <c r="AW124" s="252">
        <f t="shared" ref="AW124:AW158" si="57" xml:space="preserve"> IF( ISNUMBER( M74 ), 0, 1 )</f>
        <v>1</v>
      </c>
      <c r="AX124" s="252">
        <f t="shared" ref="AX124:AX158" si="58" xml:space="preserve"> IF( ISNUMBER( N74 ), 0, 1 )</f>
        <v>1</v>
      </c>
      <c r="AY124" s="252">
        <f t="shared" ref="AY124:AY158" si="59" xml:space="preserve"> IF( ISNUMBER( O74 ), 0, 1 )</f>
        <v>1</v>
      </c>
      <c r="AZ124" s="252">
        <f t="shared" ref="AZ124:AZ158" si="60" xml:space="preserve"> IF( ISNUMBER( P74 ), 0, 1 )</f>
        <v>1</v>
      </c>
      <c r="BA124" s="237"/>
      <c r="BB124" s="237"/>
      <c r="BC124" s="2562"/>
      <c r="BD124" s="2562"/>
      <c r="BE124" s="2562"/>
      <c r="BF124" s="2562"/>
      <c r="BG124" s="252">
        <f t="shared" ref="BG124:BG158" si="61" xml:space="preserve"> IF( ISNUMBER( W74 ), 0, 1 )</f>
        <v>1</v>
      </c>
      <c r="BH124" s="2562"/>
      <c r="BI124" s="237"/>
      <c r="BJ124" s="252">
        <f t="shared" ref="BJ124:BJ158" si="62" xml:space="preserve"> IF( ISNUMBER( Z74 ), 0, 1 )</f>
        <v>1</v>
      </c>
      <c r="BK124" s="252">
        <f t="shared" ref="BK124:BK158" si="63" xml:space="preserve"> IF( ISNUMBER( AA74 ), 0, 1 )</f>
        <v>1</v>
      </c>
      <c r="BL124" s="252">
        <f t="shared" ref="BL124:BL158" si="64" xml:space="preserve"> IF( ISNUMBER( AB74 ), 0, 1 )</f>
        <v>1</v>
      </c>
      <c r="BM124" s="252">
        <f t="shared" ref="BM124:BM158" si="65" xml:space="preserve"> IF( ISNUMBER( AC74 ), 0, 1 )</f>
        <v>1</v>
      </c>
      <c r="BN124" s="252">
        <f t="shared" ref="BN124:BN158" si="66" xml:space="preserve"> IF( ISNUMBER( AD74 ), 0, 1 )</f>
        <v>1</v>
      </c>
      <c r="BO124" s="252">
        <f t="shared" ref="BO124:BO158" si="67" xml:space="preserve"> IF( ISNUMBER( AF74 ), 0, 1 )</f>
        <v>1</v>
      </c>
      <c r="BP124" s="2578"/>
      <c r="BQ124" s="2562"/>
      <c r="BR124" s="2562"/>
      <c r="BS124" s="2585"/>
      <c r="BT124" s="2585"/>
      <c r="BU124" s="2585"/>
    </row>
    <row r="125" spans="1:73" s="22" customFormat="1" ht="15.75" hidden="1" customHeight="1" outlineLevel="1">
      <c r="A125" s="2585"/>
      <c r="B125" s="44"/>
      <c r="C125" s="45"/>
      <c r="D125" s="46"/>
      <c r="E125" s="46"/>
      <c r="F125" s="45"/>
      <c r="G125" s="46"/>
      <c r="H125" s="45"/>
      <c r="I125" s="45"/>
      <c r="J125" s="47"/>
      <c r="K125" s="48"/>
      <c r="L125" s="47"/>
      <c r="M125" s="1913"/>
      <c r="N125" s="48"/>
      <c r="O125" s="49"/>
      <c r="P125" s="49"/>
      <c r="Q125" s="1884">
        <f t="shared" si="39"/>
        <v>0</v>
      </c>
      <c r="R125" s="1885">
        <f t="shared" si="21"/>
        <v>0</v>
      </c>
      <c r="S125" s="1885">
        <f t="shared" si="22"/>
        <v>0</v>
      </c>
      <c r="T125" s="1914"/>
      <c r="U125" s="1914"/>
      <c r="V125" s="1914"/>
      <c r="W125" s="50"/>
      <c r="X125" s="1891">
        <f t="shared" si="23"/>
        <v>0</v>
      </c>
      <c r="Y125" s="1891">
        <f t="shared" si="24"/>
        <v>0</v>
      </c>
      <c r="Z125" s="50"/>
      <c r="AA125" s="50"/>
      <c r="AB125" s="48"/>
      <c r="AC125" s="48"/>
      <c r="AD125" s="48"/>
      <c r="AE125" s="45"/>
      <c r="AF125" s="51"/>
      <c r="AG125" s="42"/>
      <c r="AH125" s="52" t="s">
        <v>4645</v>
      </c>
      <c r="AI125" s="197"/>
      <c r="AJ125" s="2578"/>
      <c r="AK125" s="2562"/>
      <c r="AL125" s="2578"/>
      <c r="AM125" s="2562"/>
      <c r="AN125" s="2562"/>
      <c r="AO125" s="2562"/>
      <c r="AP125" s="2562"/>
      <c r="AQ125" s="2562"/>
      <c r="AR125" s="2562"/>
      <c r="AS125" s="2562"/>
      <c r="AT125" s="252">
        <f t="shared" si="54"/>
        <v>1</v>
      </c>
      <c r="AU125" s="252">
        <f t="shared" si="55"/>
        <v>1</v>
      </c>
      <c r="AV125" s="252">
        <f t="shared" si="56"/>
        <v>1</v>
      </c>
      <c r="AW125" s="252">
        <f t="shared" si="57"/>
        <v>1</v>
      </c>
      <c r="AX125" s="252">
        <f t="shared" si="58"/>
        <v>1</v>
      </c>
      <c r="AY125" s="252">
        <f t="shared" si="59"/>
        <v>1</v>
      </c>
      <c r="AZ125" s="252">
        <f t="shared" si="60"/>
        <v>1</v>
      </c>
      <c r="BA125" s="237"/>
      <c r="BB125" s="237"/>
      <c r="BC125" s="2562"/>
      <c r="BD125" s="2562"/>
      <c r="BE125" s="2562"/>
      <c r="BF125" s="2562"/>
      <c r="BG125" s="252">
        <f t="shared" si="61"/>
        <v>1</v>
      </c>
      <c r="BH125" s="2562"/>
      <c r="BI125" s="237"/>
      <c r="BJ125" s="252">
        <f t="shared" si="62"/>
        <v>1</v>
      </c>
      <c r="BK125" s="252">
        <f t="shared" si="63"/>
        <v>1</v>
      </c>
      <c r="BL125" s="252">
        <f t="shared" si="64"/>
        <v>1</v>
      </c>
      <c r="BM125" s="252">
        <f t="shared" si="65"/>
        <v>1</v>
      </c>
      <c r="BN125" s="252">
        <f t="shared" si="66"/>
        <v>1</v>
      </c>
      <c r="BO125" s="252">
        <f t="shared" si="67"/>
        <v>1</v>
      </c>
      <c r="BP125" s="2578"/>
      <c r="BQ125" s="2562"/>
      <c r="BR125" s="2562"/>
      <c r="BS125" s="2585"/>
      <c r="BT125" s="2585"/>
      <c r="BU125" s="2585"/>
    </row>
    <row r="126" spans="1:73" s="22" customFormat="1" ht="15.75" hidden="1" customHeight="1" outlineLevel="1">
      <c r="A126" s="2585"/>
      <c r="B126" s="44"/>
      <c r="C126" s="45"/>
      <c r="D126" s="46"/>
      <c r="E126" s="46"/>
      <c r="F126" s="45"/>
      <c r="G126" s="46"/>
      <c r="H126" s="45"/>
      <c r="I126" s="45"/>
      <c r="J126" s="47"/>
      <c r="K126" s="48"/>
      <c r="L126" s="47"/>
      <c r="M126" s="1913"/>
      <c r="N126" s="48"/>
      <c r="O126" s="49"/>
      <c r="P126" s="49"/>
      <c r="Q126" s="1884">
        <f t="shared" si="39"/>
        <v>0</v>
      </c>
      <c r="R126" s="1885">
        <f t="shared" si="21"/>
        <v>0</v>
      </c>
      <c r="S126" s="1885">
        <f t="shared" si="22"/>
        <v>0</v>
      </c>
      <c r="T126" s="1914"/>
      <c r="U126" s="1914"/>
      <c r="V126" s="1914"/>
      <c r="W126" s="50"/>
      <c r="X126" s="1891">
        <f t="shared" si="23"/>
        <v>0</v>
      </c>
      <c r="Y126" s="1891">
        <f t="shared" si="24"/>
        <v>0</v>
      </c>
      <c r="Z126" s="50"/>
      <c r="AA126" s="50"/>
      <c r="AB126" s="48"/>
      <c r="AC126" s="48"/>
      <c r="AD126" s="48"/>
      <c r="AE126" s="45"/>
      <c r="AF126" s="51"/>
      <c r="AG126" s="42"/>
      <c r="AH126" s="52" t="s">
        <v>4646</v>
      </c>
      <c r="AI126" s="197"/>
      <c r="AJ126" s="2578"/>
      <c r="AK126" s="2562"/>
      <c r="AL126" s="2578"/>
      <c r="AM126" s="2562"/>
      <c r="AN126" s="2562"/>
      <c r="AO126" s="2562"/>
      <c r="AP126" s="2562"/>
      <c r="AQ126" s="2562"/>
      <c r="AR126" s="2562"/>
      <c r="AS126" s="2562"/>
      <c r="AT126" s="252">
        <f t="shared" si="54"/>
        <v>1</v>
      </c>
      <c r="AU126" s="252">
        <f t="shared" si="55"/>
        <v>1</v>
      </c>
      <c r="AV126" s="252">
        <f t="shared" si="56"/>
        <v>1</v>
      </c>
      <c r="AW126" s="252">
        <f t="shared" si="57"/>
        <v>1</v>
      </c>
      <c r="AX126" s="252">
        <f t="shared" si="58"/>
        <v>1</v>
      </c>
      <c r="AY126" s="252">
        <f t="shared" si="59"/>
        <v>1</v>
      </c>
      <c r="AZ126" s="252">
        <f t="shared" si="60"/>
        <v>1</v>
      </c>
      <c r="BA126" s="237"/>
      <c r="BB126" s="237"/>
      <c r="BC126" s="2562"/>
      <c r="BD126" s="2562"/>
      <c r="BE126" s="2562"/>
      <c r="BF126" s="2562"/>
      <c r="BG126" s="252">
        <f t="shared" si="61"/>
        <v>1</v>
      </c>
      <c r="BH126" s="2562"/>
      <c r="BI126" s="237"/>
      <c r="BJ126" s="252">
        <f t="shared" si="62"/>
        <v>1</v>
      </c>
      <c r="BK126" s="252">
        <f t="shared" si="63"/>
        <v>1</v>
      </c>
      <c r="BL126" s="252">
        <f t="shared" si="64"/>
        <v>1</v>
      </c>
      <c r="BM126" s="252">
        <f t="shared" si="65"/>
        <v>1</v>
      </c>
      <c r="BN126" s="252">
        <f t="shared" si="66"/>
        <v>1</v>
      </c>
      <c r="BO126" s="252">
        <f t="shared" si="67"/>
        <v>1</v>
      </c>
      <c r="BP126" s="2578"/>
      <c r="BQ126" s="2562"/>
      <c r="BR126" s="2562"/>
      <c r="BS126" s="2585"/>
      <c r="BT126" s="2585"/>
      <c r="BU126" s="2585"/>
    </row>
    <row r="127" spans="1:73" s="22" customFormat="1" ht="15.75" hidden="1" customHeight="1" outlineLevel="1">
      <c r="A127" s="2585"/>
      <c r="B127" s="44"/>
      <c r="C127" s="45"/>
      <c r="D127" s="46"/>
      <c r="E127" s="46"/>
      <c r="F127" s="45"/>
      <c r="G127" s="46"/>
      <c r="H127" s="45"/>
      <c r="I127" s="45"/>
      <c r="J127" s="47"/>
      <c r="K127" s="48"/>
      <c r="L127" s="47"/>
      <c r="M127" s="1913"/>
      <c r="N127" s="48"/>
      <c r="O127" s="49"/>
      <c r="P127" s="49"/>
      <c r="Q127" s="1884">
        <f t="shared" si="39"/>
        <v>0</v>
      </c>
      <c r="R127" s="1885">
        <f t="shared" si="21"/>
        <v>0</v>
      </c>
      <c r="S127" s="1885">
        <f t="shared" si="22"/>
        <v>0</v>
      </c>
      <c r="T127" s="1914"/>
      <c r="U127" s="1914"/>
      <c r="V127" s="1914"/>
      <c r="W127" s="50"/>
      <c r="X127" s="1891">
        <f t="shared" si="23"/>
        <v>0</v>
      </c>
      <c r="Y127" s="1891">
        <f t="shared" si="24"/>
        <v>0</v>
      </c>
      <c r="Z127" s="50"/>
      <c r="AA127" s="50"/>
      <c r="AB127" s="48"/>
      <c r="AC127" s="48"/>
      <c r="AD127" s="48"/>
      <c r="AE127" s="45"/>
      <c r="AF127" s="51"/>
      <c r="AG127" s="42"/>
      <c r="AH127" s="52" t="s">
        <v>4647</v>
      </c>
      <c r="AI127" s="197"/>
      <c r="AJ127" s="2578"/>
      <c r="AK127" s="2562"/>
      <c r="AL127" s="2578"/>
      <c r="AM127" s="2562"/>
      <c r="AN127" s="2562"/>
      <c r="AO127" s="2562"/>
      <c r="AP127" s="2562"/>
      <c r="AQ127" s="2562"/>
      <c r="AR127" s="2562"/>
      <c r="AS127" s="2562"/>
      <c r="AT127" s="252">
        <f t="shared" si="54"/>
        <v>1</v>
      </c>
      <c r="AU127" s="252">
        <f t="shared" si="55"/>
        <v>1</v>
      </c>
      <c r="AV127" s="252">
        <f t="shared" si="56"/>
        <v>1</v>
      </c>
      <c r="AW127" s="252">
        <f t="shared" si="57"/>
        <v>1</v>
      </c>
      <c r="AX127" s="252">
        <f t="shared" si="58"/>
        <v>1</v>
      </c>
      <c r="AY127" s="252">
        <f t="shared" si="59"/>
        <v>1</v>
      </c>
      <c r="AZ127" s="252">
        <f t="shared" si="60"/>
        <v>1</v>
      </c>
      <c r="BA127" s="237"/>
      <c r="BB127" s="237"/>
      <c r="BC127" s="2562"/>
      <c r="BD127" s="2562"/>
      <c r="BE127" s="2562"/>
      <c r="BF127" s="2562"/>
      <c r="BG127" s="252">
        <f t="shared" si="61"/>
        <v>1</v>
      </c>
      <c r="BH127" s="2562"/>
      <c r="BI127" s="237"/>
      <c r="BJ127" s="252">
        <f t="shared" si="62"/>
        <v>1</v>
      </c>
      <c r="BK127" s="252">
        <f t="shared" si="63"/>
        <v>1</v>
      </c>
      <c r="BL127" s="252">
        <f t="shared" si="64"/>
        <v>1</v>
      </c>
      <c r="BM127" s="252">
        <f t="shared" si="65"/>
        <v>1</v>
      </c>
      <c r="BN127" s="252">
        <f t="shared" si="66"/>
        <v>1</v>
      </c>
      <c r="BO127" s="252">
        <f t="shared" si="67"/>
        <v>1</v>
      </c>
      <c r="BP127" s="2578"/>
      <c r="BQ127" s="2562"/>
      <c r="BR127" s="2562"/>
      <c r="BS127" s="2585"/>
      <c r="BT127" s="2585"/>
      <c r="BU127" s="2585"/>
    </row>
    <row r="128" spans="1:73" s="22" customFormat="1" ht="15.75" hidden="1" customHeight="1" outlineLevel="1">
      <c r="A128" s="2585"/>
      <c r="B128" s="44"/>
      <c r="C128" s="45"/>
      <c r="D128" s="46"/>
      <c r="E128" s="46"/>
      <c r="F128" s="45"/>
      <c r="G128" s="46"/>
      <c r="H128" s="45"/>
      <c r="I128" s="45"/>
      <c r="J128" s="47"/>
      <c r="K128" s="48"/>
      <c r="L128" s="47"/>
      <c r="M128" s="1913"/>
      <c r="N128" s="48"/>
      <c r="O128" s="49"/>
      <c r="P128" s="49"/>
      <c r="Q128" s="1884">
        <f t="shared" si="39"/>
        <v>0</v>
      </c>
      <c r="R128" s="1885">
        <f t="shared" si="21"/>
        <v>0</v>
      </c>
      <c r="S128" s="1885">
        <f t="shared" si="22"/>
        <v>0</v>
      </c>
      <c r="T128" s="1914"/>
      <c r="U128" s="1914"/>
      <c r="V128" s="1914"/>
      <c r="W128" s="50"/>
      <c r="X128" s="1891">
        <f t="shared" si="23"/>
        <v>0</v>
      </c>
      <c r="Y128" s="1891">
        <f t="shared" si="24"/>
        <v>0</v>
      </c>
      <c r="Z128" s="50"/>
      <c r="AA128" s="50"/>
      <c r="AB128" s="48"/>
      <c r="AC128" s="48"/>
      <c r="AD128" s="48"/>
      <c r="AE128" s="45"/>
      <c r="AF128" s="51"/>
      <c r="AG128" s="42"/>
      <c r="AH128" s="52" t="s">
        <v>4648</v>
      </c>
      <c r="AI128" s="197"/>
      <c r="AJ128" s="2578"/>
      <c r="AK128" s="2562"/>
      <c r="AL128" s="2578"/>
      <c r="AM128" s="2562"/>
      <c r="AN128" s="2562"/>
      <c r="AO128" s="2562"/>
      <c r="AP128" s="2562"/>
      <c r="AQ128" s="2562"/>
      <c r="AR128" s="2562"/>
      <c r="AS128" s="2562"/>
      <c r="AT128" s="252">
        <f t="shared" si="54"/>
        <v>1</v>
      </c>
      <c r="AU128" s="252">
        <f t="shared" si="55"/>
        <v>1</v>
      </c>
      <c r="AV128" s="252">
        <f t="shared" si="56"/>
        <v>1</v>
      </c>
      <c r="AW128" s="252">
        <f t="shared" si="57"/>
        <v>1</v>
      </c>
      <c r="AX128" s="252">
        <f t="shared" si="58"/>
        <v>1</v>
      </c>
      <c r="AY128" s="252">
        <f t="shared" si="59"/>
        <v>1</v>
      </c>
      <c r="AZ128" s="252">
        <f t="shared" si="60"/>
        <v>1</v>
      </c>
      <c r="BA128" s="237"/>
      <c r="BB128" s="237"/>
      <c r="BC128" s="2562"/>
      <c r="BD128" s="2562"/>
      <c r="BE128" s="2562"/>
      <c r="BF128" s="2562"/>
      <c r="BG128" s="252">
        <f t="shared" si="61"/>
        <v>1</v>
      </c>
      <c r="BH128" s="2562"/>
      <c r="BI128" s="237"/>
      <c r="BJ128" s="252">
        <f t="shared" si="62"/>
        <v>1</v>
      </c>
      <c r="BK128" s="252">
        <f t="shared" si="63"/>
        <v>1</v>
      </c>
      <c r="BL128" s="252">
        <f t="shared" si="64"/>
        <v>1</v>
      </c>
      <c r="BM128" s="252">
        <f t="shared" si="65"/>
        <v>1</v>
      </c>
      <c r="BN128" s="252">
        <f t="shared" si="66"/>
        <v>1</v>
      </c>
      <c r="BO128" s="252">
        <f t="shared" si="67"/>
        <v>1</v>
      </c>
      <c r="BP128" s="2578"/>
      <c r="BQ128" s="2562"/>
      <c r="BR128" s="2562"/>
      <c r="BS128" s="2585"/>
      <c r="BT128" s="2585"/>
      <c r="BU128" s="2585"/>
    </row>
    <row r="129" spans="1:73" s="22" customFormat="1" ht="15.75" hidden="1" customHeight="1" outlineLevel="1">
      <c r="A129" s="2585"/>
      <c r="B129" s="44"/>
      <c r="C129" s="45"/>
      <c r="D129" s="46"/>
      <c r="E129" s="46"/>
      <c r="F129" s="45"/>
      <c r="G129" s="46"/>
      <c r="H129" s="45"/>
      <c r="I129" s="45"/>
      <c r="J129" s="47"/>
      <c r="K129" s="48"/>
      <c r="L129" s="47"/>
      <c r="M129" s="1913"/>
      <c r="N129" s="48"/>
      <c r="O129" s="49"/>
      <c r="P129" s="49"/>
      <c r="Q129" s="1884">
        <f t="shared" si="39"/>
        <v>0</v>
      </c>
      <c r="R129" s="1885">
        <f t="shared" si="21"/>
        <v>0</v>
      </c>
      <c r="S129" s="1885">
        <f t="shared" si="22"/>
        <v>0</v>
      </c>
      <c r="T129" s="1914"/>
      <c r="U129" s="1914"/>
      <c r="V129" s="1914"/>
      <c r="W129" s="50"/>
      <c r="X129" s="1891">
        <f t="shared" si="23"/>
        <v>0</v>
      </c>
      <c r="Y129" s="1891">
        <f t="shared" si="24"/>
        <v>0</v>
      </c>
      <c r="Z129" s="50"/>
      <c r="AA129" s="50"/>
      <c r="AB129" s="48"/>
      <c r="AC129" s="48"/>
      <c r="AD129" s="48"/>
      <c r="AE129" s="45"/>
      <c r="AF129" s="51"/>
      <c r="AG129" s="42"/>
      <c r="AH129" s="52" t="s">
        <v>4649</v>
      </c>
      <c r="AI129" s="197"/>
      <c r="AJ129" s="2578"/>
      <c r="AK129" s="2562"/>
      <c r="AL129" s="2578"/>
      <c r="AM129" s="2562"/>
      <c r="AN129" s="2562"/>
      <c r="AO129" s="2562"/>
      <c r="AP129" s="2562"/>
      <c r="AQ129" s="2562"/>
      <c r="AR129" s="2562"/>
      <c r="AS129" s="2562"/>
      <c r="AT129" s="252">
        <f t="shared" si="54"/>
        <v>1</v>
      </c>
      <c r="AU129" s="252">
        <f t="shared" si="55"/>
        <v>1</v>
      </c>
      <c r="AV129" s="252">
        <f t="shared" si="56"/>
        <v>1</v>
      </c>
      <c r="AW129" s="252">
        <f t="shared" si="57"/>
        <v>1</v>
      </c>
      <c r="AX129" s="252">
        <f t="shared" si="58"/>
        <v>1</v>
      </c>
      <c r="AY129" s="252">
        <f t="shared" si="59"/>
        <v>1</v>
      </c>
      <c r="AZ129" s="252">
        <f t="shared" si="60"/>
        <v>1</v>
      </c>
      <c r="BA129" s="237"/>
      <c r="BB129" s="237"/>
      <c r="BC129" s="2562"/>
      <c r="BD129" s="2562"/>
      <c r="BE129" s="2562"/>
      <c r="BF129" s="2562"/>
      <c r="BG129" s="252">
        <f t="shared" si="61"/>
        <v>1</v>
      </c>
      <c r="BH129" s="2562"/>
      <c r="BI129" s="237"/>
      <c r="BJ129" s="252">
        <f t="shared" si="62"/>
        <v>1</v>
      </c>
      <c r="BK129" s="252">
        <f t="shared" si="63"/>
        <v>1</v>
      </c>
      <c r="BL129" s="252">
        <f t="shared" si="64"/>
        <v>1</v>
      </c>
      <c r="BM129" s="252">
        <f t="shared" si="65"/>
        <v>1</v>
      </c>
      <c r="BN129" s="252">
        <f t="shared" si="66"/>
        <v>1</v>
      </c>
      <c r="BO129" s="252">
        <f t="shared" si="67"/>
        <v>1</v>
      </c>
      <c r="BP129" s="2578"/>
      <c r="BQ129" s="2562"/>
      <c r="BR129" s="2562"/>
      <c r="BS129" s="2585"/>
      <c r="BT129" s="2585"/>
      <c r="BU129" s="2585"/>
    </row>
    <row r="130" spans="1:73" s="22" customFormat="1" ht="15.75" hidden="1" customHeight="1" outlineLevel="1">
      <c r="A130" s="2585"/>
      <c r="B130" s="44"/>
      <c r="C130" s="45"/>
      <c r="D130" s="46"/>
      <c r="E130" s="46"/>
      <c r="F130" s="45"/>
      <c r="G130" s="46"/>
      <c r="H130" s="45"/>
      <c r="I130" s="45"/>
      <c r="J130" s="47"/>
      <c r="K130" s="48"/>
      <c r="L130" s="47"/>
      <c r="M130" s="1913"/>
      <c r="N130" s="48"/>
      <c r="O130" s="49"/>
      <c r="P130" s="49"/>
      <c r="Q130" s="1884">
        <f t="shared" si="39"/>
        <v>0</v>
      </c>
      <c r="R130" s="1885">
        <f t="shared" si="21"/>
        <v>0</v>
      </c>
      <c r="S130" s="1885">
        <f t="shared" si="22"/>
        <v>0</v>
      </c>
      <c r="T130" s="1914"/>
      <c r="U130" s="1914"/>
      <c r="V130" s="1914"/>
      <c r="W130" s="50"/>
      <c r="X130" s="1891">
        <f t="shared" si="23"/>
        <v>0</v>
      </c>
      <c r="Y130" s="1891">
        <f t="shared" si="24"/>
        <v>0</v>
      </c>
      <c r="Z130" s="50"/>
      <c r="AA130" s="50"/>
      <c r="AB130" s="48"/>
      <c r="AC130" s="48"/>
      <c r="AD130" s="48"/>
      <c r="AE130" s="45"/>
      <c r="AF130" s="51"/>
      <c r="AG130" s="42"/>
      <c r="AH130" s="52" t="s">
        <v>4650</v>
      </c>
      <c r="AI130" s="197"/>
      <c r="AJ130" s="2578"/>
      <c r="AK130" s="2562"/>
      <c r="AL130" s="2578"/>
      <c r="AM130" s="2562"/>
      <c r="AN130" s="2562"/>
      <c r="AO130" s="2562"/>
      <c r="AP130" s="2562"/>
      <c r="AQ130" s="2562"/>
      <c r="AR130" s="2562"/>
      <c r="AS130" s="2562"/>
      <c r="AT130" s="252">
        <f t="shared" si="54"/>
        <v>1</v>
      </c>
      <c r="AU130" s="252">
        <f t="shared" si="55"/>
        <v>1</v>
      </c>
      <c r="AV130" s="252">
        <f t="shared" si="56"/>
        <v>1</v>
      </c>
      <c r="AW130" s="252">
        <f t="shared" si="57"/>
        <v>1</v>
      </c>
      <c r="AX130" s="252">
        <f t="shared" si="58"/>
        <v>1</v>
      </c>
      <c r="AY130" s="252">
        <f t="shared" si="59"/>
        <v>1</v>
      </c>
      <c r="AZ130" s="252">
        <f t="shared" si="60"/>
        <v>1</v>
      </c>
      <c r="BA130" s="237"/>
      <c r="BB130" s="237"/>
      <c r="BC130" s="2562"/>
      <c r="BD130" s="2562"/>
      <c r="BE130" s="2562"/>
      <c r="BF130" s="2562"/>
      <c r="BG130" s="252">
        <f t="shared" si="61"/>
        <v>1</v>
      </c>
      <c r="BH130" s="2562"/>
      <c r="BI130" s="237"/>
      <c r="BJ130" s="252">
        <f t="shared" si="62"/>
        <v>1</v>
      </c>
      <c r="BK130" s="252">
        <f t="shared" si="63"/>
        <v>1</v>
      </c>
      <c r="BL130" s="252">
        <f t="shared" si="64"/>
        <v>1</v>
      </c>
      <c r="BM130" s="252">
        <f t="shared" si="65"/>
        <v>1</v>
      </c>
      <c r="BN130" s="252">
        <f t="shared" si="66"/>
        <v>1</v>
      </c>
      <c r="BO130" s="252">
        <f t="shared" si="67"/>
        <v>1</v>
      </c>
      <c r="BP130" s="2578"/>
      <c r="BQ130" s="2562"/>
      <c r="BR130" s="2562"/>
      <c r="BS130" s="2585"/>
      <c r="BT130" s="2585"/>
      <c r="BU130" s="2585"/>
    </row>
    <row r="131" spans="1:73" s="22" customFormat="1" ht="15.75" hidden="1" customHeight="1" outlineLevel="1">
      <c r="A131" s="2585"/>
      <c r="B131" s="44"/>
      <c r="C131" s="45"/>
      <c r="D131" s="46"/>
      <c r="E131" s="46"/>
      <c r="F131" s="45"/>
      <c r="G131" s="46"/>
      <c r="H131" s="45"/>
      <c r="I131" s="45"/>
      <c r="J131" s="47"/>
      <c r="K131" s="48"/>
      <c r="L131" s="47"/>
      <c r="M131" s="1913"/>
      <c r="N131" s="48"/>
      <c r="O131" s="49"/>
      <c r="P131" s="49"/>
      <c r="Q131" s="1884">
        <f t="shared" si="39"/>
        <v>0</v>
      </c>
      <c r="R131" s="1885">
        <f t="shared" si="21"/>
        <v>0</v>
      </c>
      <c r="S131" s="1885">
        <f t="shared" si="22"/>
        <v>0</v>
      </c>
      <c r="T131" s="1914"/>
      <c r="U131" s="1914"/>
      <c r="V131" s="1914"/>
      <c r="W131" s="50"/>
      <c r="X131" s="1891">
        <f t="shared" si="23"/>
        <v>0</v>
      </c>
      <c r="Y131" s="1891">
        <f t="shared" si="24"/>
        <v>0</v>
      </c>
      <c r="Z131" s="50"/>
      <c r="AA131" s="50"/>
      <c r="AB131" s="48"/>
      <c r="AC131" s="48"/>
      <c r="AD131" s="48"/>
      <c r="AE131" s="45"/>
      <c r="AF131" s="51"/>
      <c r="AG131" s="42"/>
      <c r="AH131" s="52" t="s">
        <v>4651</v>
      </c>
      <c r="AI131" s="197"/>
      <c r="AJ131" s="2578"/>
      <c r="AK131" s="2562"/>
      <c r="AL131" s="2578"/>
      <c r="AM131" s="2562"/>
      <c r="AN131" s="2562"/>
      <c r="AO131" s="2562"/>
      <c r="AP131" s="2562"/>
      <c r="AQ131" s="2562"/>
      <c r="AR131" s="2562"/>
      <c r="AS131" s="2562"/>
      <c r="AT131" s="252">
        <f t="shared" si="54"/>
        <v>1</v>
      </c>
      <c r="AU131" s="252">
        <f t="shared" si="55"/>
        <v>1</v>
      </c>
      <c r="AV131" s="252">
        <f t="shared" si="56"/>
        <v>1</v>
      </c>
      <c r="AW131" s="252">
        <f t="shared" si="57"/>
        <v>1</v>
      </c>
      <c r="AX131" s="252">
        <f t="shared" si="58"/>
        <v>1</v>
      </c>
      <c r="AY131" s="252">
        <f t="shared" si="59"/>
        <v>1</v>
      </c>
      <c r="AZ131" s="252">
        <f t="shared" si="60"/>
        <v>1</v>
      </c>
      <c r="BA131" s="237"/>
      <c r="BB131" s="237"/>
      <c r="BC131" s="2562"/>
      <c r="BD131" s="2562"/>
      <c r="BE131" s="2562"/>
      <c r="BF131" s="2562"/>
      <c r="BG131" s="252">
        <f t="shared" si="61"/>
        <v>1</v>
      </c>
      <c r="BH131" s="2562"/>
      <c r="BI131" s="237"/>
      <c r="BJ131" s="252">
        <f t="shared" si="62"/>
        <v>1</v>
      </c>
      <c r="BK131" s="252">
        <f t="shared" si="63"/>
        <v>1</v>
      </c>
      <c r="BL131" s="252">
        <f t="shared" si="64"/>
        <v>1</v>
      </c>
      <c r="BM131" s="252">
        <f t="shared" si="65"/>
        <v>1</v>
      </c>
      <c r="BN131" s="252">
        <f t="shared" si="66"/>
        <v>1</v>
      </c>
      <c r="BO131" s="252">
        <f t="shared" si="67"/>
        <v>1</v>
      </c>
      <c r="BP131" s="2578"/>
      <c r="BQ131" s="2562"/>
      <c r="BR131" s="2562"/>
      <c r="BS131" s="2585"/>
      <c r="BT131" s="2585"/>
      <c r="BU131" s="2585"/>
    </row>
    <row r="132" spans="1:73" s="22" customFormat="1" ht="15.75" hidden="1" customHeight="1" outlineLevel="1">
      <c r="A132" s="2585"/>
      <c r="B132" s="44"/>
      <c r="C132" s="45"/>
      <c r="D132" s="46"/>
      <c r="E132" s="46"/>
      <c r="F132" s="45"/>
      <c r="G132" s="46"/>
      <c r="H132" s="45"/>
      <c r="I132" s="45"/>
      <c r="J132" s="47"/>
      <c r="K132" s="48"/>
      <c r="L132" s="47"/>
      <c r="M132" s="1913"/>
      <c r="N132" s="48"/>
      <c r="O132" s="49"/>
      <c r="P132" s="49"/>
      <c r="Q132" s="1884">
        <f t="shared" si="39"/>
        <v>0</v>
      </c>
      <c r="R132" s="1885">
        <f t="shared" si="21"/>
        <v>0</v>
      </c>
      <c r="S132" s="1885">
        <f t="shared" si="22"/>
        <v>0</v>
      </c>
      <c r="T132" s="1914"/>
      <c r="U132" s="1914"/>
      <c r="V132" s="1914"/>
      <c r="W132" s="50"/>
      <c r="X132" s="1891">
        <f t="shared" si="23"/>
        <v>0</v>
      </c>
      <c r="Y132" s="1891">
        <f t="shared" si="24"/>
        <v>0</v>
      </c>
      <c r="Z132" s="50"/>
      <c r="AA132" s="50"/>
      <c r="AB132" s="48"/>
      <c r="AC132" s="48"/>
      <c r="AD132" s="48"/>
      <c r="AE132" s="45"/>
      <c r="AF132" s="51"/>
      <c r="AG132" s="42"/>
      <c r="AH132" s="52" t="s">
        <v>4652</v>
      </c>
      <c r="AI132" s="197"/>
      <c r="AJ132" s="2578"/>
      <c r="AK132" s="2562"/>
      <c r="AL132" s="2578"/>
      <c r="AM132" s="2562"/>
      <c r="AN132" s="2562"/>
      <c r="AO132" s="2562"/>
      <c r="AP132" s="2562"/>
      <c r="AQ132" s="2562"/>
      <c r="AR132" s="2562"/>
      <c r="AS132" s="2562"/>
      <c r="AT132" s="252">
        <f t="shared" si="54"/>
        <v>1</v>
      </c>
      <c r="AU132" s="252">
        <f t="shared" si="55"/>
        <v>1</v>
      </c>
      <c r="AV132" s="252">
        <f t="shared" si="56"/>
        <v>1</v>
      </c>
      <c r="AW132" s="252">
        <f t="shared" si="57"/>
        <v>1</v>
      </c>
      <c r="AX132" s="252">
        <f t="shared" si="58"/>
        <v>1</v>
      </c>
      <c r="AY132" s="252">
        <f t="shared" si="59"/>
        <v>1</v>
      </c>
      <c r="AZ132" s="252">
        <f t="shared" si="60"/>
        <v>1</v>
      </c>
      <c r="BA132" s="237"/>
      <c r="BB132" s="237"/>
      <c r="BC132" s="2562"/>
      <c r="BD132" s="2562"/>
      <c r="BE132" s="2562"/>
      <c r="BF132" s="2562"/>
      <c r="BG132" s="252">
        <f t="shared" si="61"/>
        <v>1</v>
      </c>
      <c r="BH132" s="2562"/>
      <c r="BI132" s="237"/>
      <c r="BJ132" s="252">
        <f t="shared" si="62"/>
        <v>1</v>
      </c>
      <c r="BK132" s="252">
        <f t="shared" si="63"/>
        <v>1</v>
      </c>
      <c r="BL132" s="252">
        <f t="shared" si="64"/>
        <v>1</v>
      </c>
      <c r="BM132" s="252">
        <f t="shared" si="65"/>
        <v>1</v>
      </c>
      <c r="BN132" s="252">
        <f t="shared" si="66"/>
        <v>1</v>
      </c>
      <c r="BO132" s="252">
        <f t="shared" si="67"/>
        <v>1</v>
      </c>
      <c r="BP132" s="2578"/>
      <c r="BQ132" s="2562"/>
      <c r="BR132" s="2562"/>
      <c r="BS132" s="2585"/>
      <c r="BT132" s="2585"/>
      <c r="BU132" s="2585"/>
    </row>
    <row r="133" spans="1:73" s="22" customFormat="1" ht="15.75" hidden="1" customHeight="1" outlineLevel="1">
      <c r="A133" s="2585"/>
      <c r="B133" s="44"/>
      <c r="C133" s="45"/>
      <c r="D133" s="46"/>
      <c r="E133" s="46"/>
      <c r="F133" s="45"/>
      <c r="G133" s="46"/>
      <c r="H133" s="45"/>
      <c r="I133" s="45"/>
      <c r="J133" s="47"/>
      <c r="K133" s="48"/>
      <c r="L133" s="47"/>
      <c r="M133" s="1913"/>
      <c r="N133" s="48"/>
      <c r="O133" s="49"/>
      <c r="P133" s="49"/>
      <c r="Q133" s="1884">
        <f t="shared" si="39"/>
        <v>0</v>
      </c>
      <c r="R133" s="1885">
        <f t="shared" si="21"/>
        <v>0</v>
      </c>
      <c r="S133" s="1885">
        <f t="shared" si="22"/>
        <v>0</v>
      </c>
      <c r="T133" s="1914"/>
      <c r="U133" s="1914"/>
      <c r="V133" s="1914"/>
      <c r="W133" s="50"/>
      <c r="X133" s="1891">
        <f t="shared" si="23"/>
        <v>0</v>
      </c>
      <c r="Y133" s="1891">
        <f t="shared" si="24"/>
        <v>0</v>
      </c>
      <c r="Z133" s="50"/>
      <c r="AA133" s="50"/>
      <c r="AB133" s="48"/>
      <c r="AC133" s="48"/>
      <c r="AD133" s="48"/>
      <c r="AE133" s="45"/>
      <c r="AF133" s="51"/>
      <c r="AG133" s="42"/>
      <c r="AH133" s="52" t="s">
        <v>4653</v>
      </c>
      <c r="AI133" s="197"/>
      <c r="AJ133" s="2578"/>
      <c r="AK133" s="2562"/>
      <c r="AL133" s="2578"/>
      <c r="AM133" s="2562"/>
      <c r="AN133" s="2562"/>
      <c r="AO133" s="2562"/>
      <c r="AP133" s="2562"/>
      <c r="AQ133" s="2562"/>
      <c r="AR133" s="2562"/>
      <c r="AS133" s="2562"/>
      <c r="AT133" s="252">
        <f t="shared" si="54"/>
        <v>1</v>
      </c>
      <c r="AU133" s="252">
        <f t="shared" si="55"/>
        <v>1</v>
      </c>
      <c r="AV133" s="252">
        <f t="shared" si="56"/>
        <v>1</v>
      </c>
      <c r="AW133" s="252">
        <f t="shared" si="57"/>
        <v>1</v>
      </c>
      <c r="AX133" s="252">
        <f t="shared" si="58"/>
        <v>1</v>
      </c>
      <c r="AY133" s="252">
        <f t="shared" si="59"/>
        <v>1</v>
      </c>
      <c r="AZ133" s="252">
        <f t="shared" si="60"/>
        <v>1</v>
      </c>
      <c r="BA133" s="237"/>
      <c r="BB133" s="237"/>
      <c r="BC133" s="2562"/>
      <c r="BD133" s="2562"/>
      <c r="BE133" s="2562"/>
      <c r="BF133" s="2562"/>
      <c r="BG133" s="252">
        <f t="shared" si="61"/>
        <v>1</v>
      </c>
      <c r="BH133" s="2562"/>
      <c r="BI133" s="237"/>
      <c r="BJ133" s="252">
        <f t="shared" si="62"/>
        <v>1</v>
      </c>
      <c r="BK133" s="252">
        <f t="shared" si="63"/>
        <v>1</v>
      </c>
      <c r="BL133" s="252">
        <f t="shared" si="64"/>
        <v>1</v>
      </c>
      <c r="BM133" s="252">
        <f t="shared" si="65"/>
        <v>1</v>
      </c>
      <c r="BN133" s="252">
        <f t="shared" si="66"/>
        <v>1</v>
      </c>
      <c r="BO133" s="252">
        <f t="shared" si="67"/>
        <v>1</v>
      </c>
      <c r="BP133" s="2578"/>
      <c r="BQ133" s="2562"/>
      <c r="BR133" s="2562"/>
      <c r="BS133" s="2585"/>
      <c r="BT133" s="2585"/>
      <c r="BU133" s="2585"/>
    </row>
    <row r="134" spans="1:73" s="22" customFormat="1" ht="15.75" hidden="1" customHeight="1" outlineLevel="1">
      <c r="A134" s="2585"/>
      <c r="B134" s="44"/>
      <c r="C134" s="45"/>
      <c r="D134" s="46"/>
      <c r="E134" s="46"/>
      <c r="F134" s="45"/>
      <c r="G134" s="46"/>
      <c r="H134" s="45"/>
      <c r="I134" s="45"/>
      <c r="J134" s="47"/>
      <c r="K134" s="48"/>
      <c r="L134" s="47"/>
      <c r="M134" s="1913"/>
      <c r="N134" s="48"/>
      <c r="O134" s="49"/>
      <c r="P134" s="49"/>
      <c r="Q134" s="1884">
        <f t="shared" si="39"/>
        <v>0</v>
      </c>
      <c r="R134" s="1885">
        <f t="shared" si="21"/>
        <v>0</v>
      </c>
      <c r="S134" s="1885">
        <f t="shared" si="22"/>
        <v>0</v>
      </c>
      <c r="T134" s="1914"/>
      <c r="U134" s="1914"/>
      <c r="V134" s="1914"/>
      <c r="W134" s="50"/>
      <c r="X134" s="1891">
        <f t="shared" si="23"/>
        <v>0</v>
      </c>
      <c r="Y134" s="1891">
        <f t="shared" si="24"/>
        <v>0</v>
      </c>
      <c r="Z134" s="50"/>
      <c r="AA134" s="50"/>
      <c r="AB134" s="48"/>
      <c r="AC134" s="48"/>
      <c r="AD134" s="48"/>
      <c r="AE134" s="45"/>
      <c r="AF134" s="51"/>
      <c r="AG134" s="42"/>
      <c r="AH134" s="52" t="s">
        <v>4654</v>
      </c>
      <c r="AI134" s="197"/>
      <c r="AJ134" s="2578"/>
      <c r="AK134" s="2562"/>
      <c r="AL134" s="2578"/>
      <c r="AM134" s="2562"/>
      <c r="AN134" s="2562"/>
      <c r="AO134" s="2562"/>
      <c r="AP134" s="2562"/>
      <c r="AQ134" s="2562"/>
      <c r="AR134" s="2562"/>
      <c r="AS134" s="2562"/>
      <c r="AT134" s="252">
        <f t="shared" si="54"/>
        <v>1</v>
      </c>
      <c r="AU134" s="252">
        <f t="shared" si="55"/>
        <v>1</v>
      </c>
      <c r="AV134" s="252">
        <f t="shared" si="56"/>
        <v>1</v>
      </c>
      <c r="AW134" s="252">
        <f t="shared" si="57"/>
        <v>1</v>
      </c>
      <c r="AX134" s="252">
        <f t="shared" si="58"/>
        <v>1</v>
      </c>
      <c r="AY134" s="252">
        <f t="shared" si="59"/>
        <v>1</v>
      </c>
      <c r="AZ134" s="252">
        <f t="shared" si="60"/>
        <v>1</v>
      </c>
      <c r="BA134" s="237"/>
      <c r="BB134" s="237"/>
      <c r="BC134" s="2562"/>
      <c r="BD134" s="2562"/>
      <c r="BE134" s="2562"/>
      <c r="BF134" s="2562"/>
      <c r="BG134" s="252">
        <f t="shared" si="61"/>
        <v>1</v>
      </c>
      <c r="BH134" s="2562"/>
      <c r="BI134" s="237"/>
      <c r="BJ134" s="252">
        <f t="shared" si="62"/>
        <v>1</v>
      </c>
      <c r="BK134" s="252">
        <f t="shared" si="63"/>
        <v>1</v>
      </c>
      <c r="BL134" s="252">
        <f t="shared" si="64"/>
        <v>1</v>
      </c>
      <c r="BM134" s="252">
        <f t="shared" si="65"/>
        <v>1</v>
      </c>
      <c r="BN134" s="252">
        <f t="shared" si="66"/>
        <v>1</v>
      </c>
      <c r="BO134" s="252">
        <f t="shared" si="67"/>
        <v>1</v>
      </c>
      <c r="BP134" s="2578"/>
      <c r="BQ134" s="2562"/>
      <c r="BR134" s="2562"/>
      <c r="BS134" s="2585"/>
      <c r="BT134" s="2585"/>
      <c r="BU134" s="2585"/>
    </row>
    <row r="135" spans="1:73" s="22" customFormat="1" ht="15.75" hidden="1" customHeight="1" outlineLevel="1">
      <c r="A135" s="2585"/>
      <c r="B135" s="44"/>
      <c r="C135" s="45"/>
      <c r="D135" s="46"/>
      <c r="E135" s="46"/>
      <c r="F135" s="45"/>
      <c r="G135" s="46"/>
      <c r="H135" s="45"/>
      <c r="I135" s="45"/>
      <c r="J135" s="47"/>
      <c r="K135" s="48"/>
      <c r="L135" s="47"/>
      <c r="M135" s="1913"/>
      <c r="N135" s="48"/>
      <c r="O135" s="49"/>
      <c r="P135" s="49"/>
      <c r="Q135" s="1884">
        <f t="shared" si="39"/>
        <v>0</v>
      </c>
      <c r="R135" s="1885">
        <f t="shared" si="21"/>
        <v>0</v>
      </c>
      <c r="S135" s="1885">
        <f t="shared" si="22"/>
        <v>0</v>
      </c>
      <c r="T135" s="1914"/>
      <c r="U135" s="1914"/>
      <c r="V135" s="1914"/>
      <c r="W135" s="50"/>
      <c r="X135" s="1891">
        <f t="shared" si="23"/>
        <v>0</v>
      </c>
      <c r="Y135" s="1891">
        <f t="shared" si="24"/>
        <v>0</v>
      </c>
      <c r="Z135" s="50"/>
      <c r="AA135" s="50"/>
      <c r="AB135" s="48"/>
      <c r="AC135" s="48"/>
      <c r="AD135" s="48"/>
      <c r="AE135" s="45"/>
      <c r="AF135" s="51"/>
      <c r="AG135" s="42"/>
      <c r="AH135" s="52" t="s">
        <v>4655</v>
      </c>
      <c r="AI135" s="197"/>
      <c r="AJ135" s="2578"/>
      <c r="AK135" s="2562"/>
      <c r="AL135" s="2578"/>
      <c r="AM135" s="2562"/>
      <c r="AN135" s="2562"/>
      <c r="AO135" s="2562"/>
      <c r="AP135" s="2562"/>
      <c r="AQ135" s="2562"/>
      <c r="AR135" s="2562"/>
      <c r="AS135" s="2562"/>
      <c r="AT135" s="252">
        <f t="shared" si="54"/>
        <v>1</v>
      </c>
      <c r="AU135" s="252">
        <f t="shared" si="55"/>
        <v>1</v>
      </c>
      <c r="AV135" s="252">
        <f t="shared" si="56"/>
        <v>1</v>
      </c>
      <c r="AW135" s="252">
        <f t="shared" si="57"/>
        <v>1</v>
      </c>
      <c r="AX135" s="252">
        <f t="shared" si="58"/>
        <v>1</v>
      </c>
      <c r="AY135" s="252">
        <f t="shared" si="59"/>
        <v>1</v>
      </c>
      <c r="AZ135" s="252">
        <f t="shared" si="60"/>
        <v>1</v>
      </c>
      <c r="BA135" s="237"/>
      <c r="BB135" s="237"/>
      <c r="BC135" s="2562"/>
      <c r="BD135" s="2562"/>
      <c r="BE135" s="2562"/>
      <c r="BF135" s="2562"/>
      <c r="BG135" s="252">
        <f t="shared" si="61"/>
        <v>1</v>
      </c>
      <c r="BH135" s="2562"/>
      <c r="BI135" s="237"/>
      <c r="BJ135" s="252">
        <f t="shared" si="62"/>
        <v>1</v>
      </c>
      <c r="BK135" s="252">
        <f t="shared" si="63"/>
        <v>1</v>
      </c>
      <c r="BL135" s="252">
        <f t="shared" si="64"/>
        <v>1</v>
      </c>
      <c r="BM135" s="252">
        <f t="shared" si="65"/>
        <v>1</v>
      </c>
      <c r="BN135" s="252">
        <f t="shared" si="66"/>
        <v>1</v>
      </c>
      <c r="BO135" s="252">
        <f t="shared" si="67"/>
        <v>1</v>
      </c>
      <c r="BP135" s="2578"/>
      <c r="BQ135" s="2562"/>
      <c r="BR135" s="2562"/>
      <c r="BS135" s="2585"/>
      <c r="BT135" s="2585"/>
      <c r="BU135" s="2585"/>
    </row>
    <row r="136" spans="1:73" s="22" customFormat="1" ht="15.75" hidden="1" customHeight="1" outlineLevel="1">
      <c r="A136" s="2585"/>
      <c r="B136" s="44"/>
      <c r="C136" s="45"/>
      <c r="D136" s="46"/>
      <c r="E136" s="46"/>
      <c r="F136" s="45"/>
      <c r="G136" s="46"/>
      <c r="H136" s="45"/>
      <c r="I136" s="45"/>
      <c r="J136" s="47"/>
      <c r="K136" s="48"/>
      <c r="L136" s="47"/>
      <c r="M136" s="1913"/>
      <c r="N136" s="48"/>
      <c r="O136" s="49"/>
      <c r="P136" s="49"/>
      <c r="Q136" s="1884">
        <f t="shared" si="39"/>
        <v>0</v>
      </c>
      <c r="R136" s="1885">
        <f t="shared" si="21"/>
        <v>0</v>
      </c>
      <c r="S136" s="1885">
        <f t="shared" si="22"/>
        <v>0</v>
      </c>
      <c r="T136" s="1914"/>
      <c r="U136" s="1914"/>
      <c r="V136" s="1914"/>
      <c r="W136" s="50"/>
      <c r="X136" s="1891">
        <f t="shared" si="23"/>
        <v>0</v>
      </c>
      <c r="Y136" s="1891">
        <f t="shared" si="24"/>
        <v>0</v>
      </c>
      <c r="Z136" s="50"/>
      <c r="AA136" s="50"/>
      <c r="AB136" s="48"/>
      <c r="AC136" s="48"/>
      <c r="AD136" s="48"/>
      <c r="AE136" s="45"/>
      <c r="AF136" s="51"/>
      <c r="AG136" s="42"/>
      <c r="AH136" s="52" t="s">
        <v>4656</v>
      </c>
      <c r="AI136" s="197"/>
      <c r="AJ136" s="2578"/>
      <c r="AK136" s="2562"/>
      <c r="AL136" s="2578"/>
      <c r="AM136" s="2562"/>
      <c r="AN136" s="2562"/>
      <c r="AO136" s="2562"/>
      <c r="AP136" s="2562"/>
      <c r="AQ136" s="2562"/>
      <c r="AR136" s="2562"/>
      <c r="AS136" s="2562"/>
      <c r="AT136" s="252">
        <f t="shared" si="54"/>
        <v>1</v>
      </c>
      <c r="AU136" s="252">
        <f t="shared" si="55"/>
        <v>1</v>
      </c>
      <c r="AV136" s="252">
        <f t="shared" si="56"/>
        <v>1</v>
      </c>
      <c r="AW136" s="252">
        <f t="shared" si="57"/>
        <v>1</v>
      </c>
      <c r="AX136" s="252">
        <f t="shared" si="58"/>
        <v>1</v>
      </c>
      <c r="AY136" s="252">
        <f t="shared" si="59"/>
        <v>1</v>
      </c>
      <c r="AZ136" s="252">
        <f t="shared" si="60"/>
        <v>1</v>
      </c>
      <c r="BA136" s="237"/>
      <c r="BB136" s="237"/>
      <c r="BC136" s="2562"/>
      <c r="BD136" s="2562"/>
      <c r="BE136" s="2562"/>
      <c r="BF136" s="2562"/>
      <c r="BG136" s="252">
        <f t="shared" si="61"/>
        <v>1</v>
      </c>
      <c r="BH136" s="2562"/>
      <c r="BI136" s="237"/>
      <c r="BJ136" s="252">
        <f t="shared" si="62"/>
        <v>1</v>
      </c>
      <c r="BK136" s="252">
        <f t="shared" si="63"/>
        <v>1</v>
      </c>
      <c r="BL136" s="252">
        <f t="shared" si="64"/>
        <v>1</v>
      </c>
      <c r="BM136" s="252">
        <f t="shared" si="65"/>
        <v>1</v>
      </c>
      <c r="BN136" s="252">
        <f t="shared" si="66"/>
        <v>1</v>
      </c>
      <c r="BO136" s="252">
        <f t="shared" si="67"/>
        <v>1</v>
      </c>
      <c r="BP136" s="2578"/>
      <c r="BQ136" s="2562"/>
      <c r="BR136" s="2562"/>
      <c r="BS136" s="2585"/>
      <c r="BT136" s="2585"/>
      <c r="BU136" s="2585"/>
    </row>
    <row r="137" spans="1:73" s="22" customFormat="1" ht="15.75" hidden="1" customHeight="1" outlineLevel="1">
      <c r="A137" s="2585"/>
      <c r="B137" s="44"/>
      <c r="C137" s="45"/>
      <c r="D137" s="46"/>
      <c r="E137" s="46"/>
      <c r="F137" s="45"/>
      <c r="G137" s="46"/>
      <c r="H137" s="45"/>
      <c r="I137" s="45"/>
      <c r="J137" s="47"/>
      <c r="K137" s="48"/>
      <c r="L137" s="47"/>
      <c r="M137" s="1913"/>
      <c r="N137" s="48"/>
      <c r="O137" s="49"/>
      <c r="P137" s="49"/>
      <c r="Q137" s="1884">
        <f t="shared" si="39"/>
        <v>0</v>
      </c>
      <c r="R137" s="1885">
        <f t="shared" ref="R137:R158" si="68">IF(W137=0,0,((1+W137)/(1+$C$626))-1)</f>
        <v>0</v>
      </c>
      <c r="S137" s="1885">
        <f t="shared" ref="S137:S158" si="69">IF(W137=0,0,((1+W137)/(1+$C$627))-1)</f>
        <v>0</v>
      </c>
      <c r="T137" s="1914"/>
      <c r="U137" s="1914"/>
      <c r="V137" s="1914"/>
      <c r="W137" s="50"/>
      <c r="X137" s="1891">
        <f t="shared" ref="X137:X158" si="70">W137*P137</f>
        <v>0</v>
      </c>
      <c r="Y137" s="1891">
        <f t="shared" si="24"/>
        <v>0</v>
      </c>
      <c r="Z137" s="50"/>
      <c r="AA137" s="50"/>
      <c r="AB137" s="48"/>
      <c r="AC137" s="48"/>
      <c r="AD137" s="48"/>
      <c r="AE137" s="45"/>
      <c r="AF137" s="51"/>
      <c r="AG137" s="42"/>
      <c r="AH137" s="52" t="s">
        <v>4657</v>
      </c>
      <c r="AI137" s="197"/>
      <c r="AJ137" s="2578"/>
      <c r="AK137" s="2562"/>
      <c r="AL137" s="2578"/>
      <c r="AM137" s="2562"/>
      <c r="AN137" s="2562"/>
      <c r="AO137" s="2562"/>
      <c r="AP137" s="2562"/>
      <c r="AQ137" s="2562"/>
      <c r="AR137" s="2562"/>
      <c r="AS137" s="2562"/>
      <c r="AT137" s="252">
        <f t="shared" si="54"/>
        <v>1</v>
      </c>
      <c r="AU137" s="252">
        <f t="shared" si="55"/>
        <v>1</v>
      </c>
      <c r="AV137" s="252">
        <f t="shared" si="56"/>
        <v>1</v>
      </c>
      <c r="AW137" s="252">
        <f t="shared" si="57"/>
        <v>1</v>
      </c>
      <c r="AX137" s="252">
        <f t="shared" si="58"/>
        <v>1</v>
      </c>
      <c r="AY137" s="252">
        <f t="shared" si="59"/>
        <v>1</v>
      </c>
      <c r="AZ137" s="252">
        <f t="shared" si="60"/>
        <v>1</v>
      </c>
      <c r="BA137" s="237"/>
      <c r="BB137" s="237"/>
      <c r="BC137" s="2562"/>
      <c r="BD137" s="2562"/>
      <c r="BE137" s="2562"/>
      <c r="BF137" s="2562"/>
      <c r="BG137" s="252">
        <f t="shared" si="61"/>
        <v>1</v>
      </c>
      <c r="BH137" s="2562"/>
      <c r="BI137" s="237"/>
      <c r="BJ137" s="252">
        <f t="shared" si="62"/>
        <v>1</v>
      </c>
      <c r="BK137" s="252">
        <f t="shared" si="63"/>
        <v>1</v>
      </c>
      <c r="BL137" s="252">
        <f t="shared" si="64"/>
        <v>1</v>
      </c>
      <c r="BM137" s="252">
        <f t="shared" si="65"/>
        <v>1</v>
      </c>
      <c r="BN137" s="252">
        <f t="shared" si="66"/>
        <v>1</v>
      </c>
      <c r="BO137" s="252">
        <f t="shared" si="67"/>
        <v>1</v>
      </c>
      <c r="BP137" s="2578"/>
      <c r="BQ137" s="2562"/>
      <c r="BR137" s="2562"/>
      <c r="BS137" s="2585"/>
      <c r="BT137" s="2585"/>
      <c r="BU137" s="2585"/>
    </row>
    <row r="138" spans="1:73" s="22" customFormat="1" ht="15.75" hidden="1" customHeight="1" outlineLevel="1">
      <c r="A138" s="2585"/>
      <c r="B138" s="44"/>
      <c r="C138" s="45"/>
      <c r="D138" s="46"/>
      <c r="E138" s="46"/>
      <c r="F138" s="45"/>
      <c r="G138" s="46"/>
      <c r="H138" s="45"/>
      <c r="I138" s="45"/>
      <c r="J138" s="47"/>
      <c r="K138" s="48"/>
      <c r="L138" s="47"/>
      <c r="M138" s="1913"/>
      <c r="N138" s="48"/>
      <c r="O138" s="49"/>
      <c r="P138" s="49"/>
      <c r="Q138" s="1884">
        <f t="shared" si="39"/>
        <v>0</v>
      </c>
      <c r="R138" s="1885">
        <f t="shared" si="68"/>
        <v>0</v>
      </c>
      <c r="S138" s="1885">
        <f t="shared" si="69"/>
        <v>0</v>
      </c>
      <c r="T138" s="1914"/>
      <c r="U138" s="1914"/>
      <c r="V138" s="1914"/>
      <c r="W138" s="50"/>
      <c r="X138" s="1891">
        <f t="shared" si="70"/>
        <v>0</v>
      </c>
      <c r="Y138" s="1891">
        <f t="shared" ref="Y138:Y158" si="71">X138</f>
        <v>0</v>
      </c>
      <c r="Z138" s="50"/>
      <c r="AA138" s="50"/>
      <c r="AB138" s="48"/>
      <c r="AC138" s="48"/>
      <c r="AD138" s="48"/>
      <c r="AE138" s="45"/>
      <c r="AF138" s="51"/>
      <c r="AG138" s="42"/>
      <c r="AH138" s="52" t="s">
        <v>4658</v>
      </c>
      <c r="AI138" s="197"/>
      <c r="AJ138" s="2578"/>
      <c r="AK138" s="2562"/>
      <c r="AL138" s="2578"/>
      <c r="AM138" s="2562"/>
      <c r="AN138" s="2562"/>
      <c r="AO138" s="2562"/>
      <c r="AP138" s="2562"/>
      <c r="AQ138" s="2562"/>
      <c r="AR138" s="2562"/>
      <c r="AS138" s="2562"/>
      <c r="AT138" s="252">
        <f t="shared" si="54"/>
        <v>1</v>
      </c>
      <c r="AU138" s="252">
        <f t="shared" si="55"/>
        <v>1</v>
      </c>
      <c r="AV138" s="252">
        <f t="shared" si="56"/>
        <v>1</v>
      </c>
      <c r="AW138" s="252">
        <f t="shared" si="57"/>
        <v>1</v>
      </c>
      <c r="AX138" s="252">
        <f t="shared" si="58"/>
        <v>1</v>
      </c>
      <c r="AY138" s="252">
        <f t="shared" si="59"/>
        <v>1</v>
      </c>
      <c r="AZ138" s="252">
        <f t="shared" si="60"/>
        <v>1</v>
      </c>
      <c r="BA138" s="237"/>
      <c r="BB138" s="237"/>
      <c r="BC138" s="2562"/>
      <c r="BD138" s="2562"/>
      <c r="BE138" s="2562"/>
      <c r="BF138" s="2562"/>
      <c r="BG138" s="252">
        <f t="shared" si="61"/>
        <v>1</v>
      </c>
      <c r="BH138" s="2562"/>
      <c r="BI138" s="237"/>
      <c r="BJ138" s="252">
        <f t="shared" si="62"/>
        <v>1</v>
      </c>
      <c r="BK138" s="252">
        <f t="shared" si="63"/>
        <v>1</v>
      </c>
      <c r="BL138" s="252">
        <f t="shared" si="64"/>
        <v>1</v>
      </c>
      <c r="BM138" s="252">
        <f t="shared" si="65"/>
        <v>1</v>
      </c>
      <c r="BN138" s="252">
        <f t="shared" si="66"/>
        <v>1</v>
      </c>
      <c r="BO138" s="252">
        <f t="shared" si="67"/>
        <v>1</v>
      </c>
      <c r="BP138" s="2578"/>
      <c r="BQ138" s="2562"/>
      <c r="BR138" s="2562"/>
      <c r="BS138" s="2585"/>
      <c r="BT138" s="2585"/>
      <c r="BU138" s="2585"/>
    </row>
    <row r="139" spans="1:73" s="22" customFormat="1" ht="15.75" hidden="1" customHeight="1" outlineLevel="1">
      <c r="A139" s="2585"/>
      <c r="B139" s="44"/>
      <c r="C139" s="45"/>
      <c r="D139" s="46"/>
      <c r="E139" s="46"/>
      <c r="F139" s="45"/>
      <c r="G139" s="46"/>
      <c r="H139" s="45"/>
      <c r="I139" s="45"/>
      <c r="J139" s="47"/>
      <c r="K139" s="48"/>
      <c r="L139" s="47"/>
      <c r="M139" s="1913"/>
      <c r="N139" s="48"/>
      <c r="O139" s="49"/>
      <c r="P139" s="49"/>
      <c r="Q139" s="1884">
        <f t="shared" ref="Q139:Q158" si="72">IFERROR(M139*O139,"")</f>
        <v>0</v>
      </c>
      <c r="R139" s="1885">
        <f t="shared" si="68"/>
        <v>0</v>
      </c>
      <c r="S139" s="1885">
        <f t="shared" si="69"/>
        <v>0</v>
      </c>
      <c r="T139" s="1914"/>
      <c r="U139" s="1914"/>
      <c r="V139" s="1914"/>
      <c r="W139" s="50"/>
      <c r="X139" s="1891">
        <f t="shared" si="70"/>
        <v>0</v>
      </c>
      <c r="Y139" s="1891">
        <f t="shared" si="71"/>
        <v>0</v>
      </c>
      <c r="Z139" s="50"/>
      <c r="AA139" s="50"/>
      <c r="AB139" s="48"/>
      <c r="AC139" s="48"/>
      <c r="AD139" s="48"/>
      <c r="AE139" s="45"/>
      <c r="AF139" s="51"/>
      <c r="AG139" s="42"/>
      <c r="AH139" s="52" t="s">
        <v>4659</v>
      </c>
      <c r="AI139" s="197"/>
      <c r="AJ139" s="2578"/>
      <c r="AK139" s="2562"/>
      <c r="AL139" s="2578"/>
      <c r="AM139" s="2562"/>
      <c r="AN139" s="2562"/>
      <c r="AO139" s="2562"/>
      <c r="AP139" s="2562"/>
      <c r="AQ139" s="2562"/>
      <c r="AR139" s="2562"/>
      <c r="AS139" s="2562"/>
      <c r="AT139" s="252">
        <f t="shared" si="54"/>
        <v>1</v>
      </c>
      <c r="AU139" s="252">
        <f t="shared" si="55"/>
        <v>1</v>
      </c>
      <c r="AV139" s="252">
        <f t="shared" si="56"/>
        <v>1</v>
      </c>
      <c r="AW139" s="252">
        <f t="shared" si="57"/>
        <v>1</v>
      </c>
      <c r="AX139" s="252">
        <f t="shared" si="58"/>
        <v>1</v>
      </c>
      <c r="AY139" s="252">
        <f t="shared" si="59"/>
        <v>1</v>
      </c>
      <c r="AZ139" s="252">
        <f t="shared" si="60"/>
        <v>1</v>
      </c>
      <c r="BA139" s="237"/>
      <c r="BB139" s="237"/>
      <c r="BC139" s="2562"/>
      <c r="BD139" s="2562"/>
      <c r="BE139" s="2562"/>
      <c r="BF139" s="2562"/>
      <c r="BG139" s="252">
        <f t="shared" si="61"/>
        <v>1</v>
      </c>
      <c r="BH139" s="2562"/>
      <c r="BI139" s="237"/>
      <c r="BJ139" s="252">
        <f t="shared" si="62"/>
        <v>1</v>
      </c>
      <c r="BK139" s="252">
        <f t="shared" si="63"/>
        <v>1</v>
      </c>
      <c r="BL139" s="252">
        <f t="shared" si="64"/>
        <v>1</v>
      </c>
      <c r="BM139" s="252">
        <f t="shared" si="65"/>
        <v>1</v>
      </c>
      <c r="BN139" s="252">
        <f t="shared" si="66"/>
        <v>1</v>
      </c>
      <c r="BO139" s="252">
        <f t="shared" si="67"/>
        <v>1</v>
      </c>
      <c r="BP139" s="2578"/>
      <c r="BQ139" s="2562"/>
      <c r="BR139" s="2562"/>
      <c r="BS139" s="2585"/>
      <c r="BT139" s="2585"/>
      <c r="BU139" s="2585"/>
    </row>
    <row r="140" spans="1:73" s="22" customFormat="1" ht="15.75" hidden="1" customHeight="1" outlineLevel="1">
      <c r="A140" s="2585"/>
      <c r="B140" s="44"/>
      <c r="C140" s="45"/>
      <c r="D140" s="46"/>
      <c r="E140" s="46"/>
      <c r="F140" s="45"/>
      <c r="G140" s="46"/>
      <c r="H140" s="45"/>
      <c r="I140" s="45"/>
      <c r="J140" s="47"/>
      <c r="K140" s="48"/>
      <c r="L140" s="47"/>
      <c r="M140" s="1913"/>
      <c r="N140" s="48"/>
      <c r="O140" s="49"/>
      <c r="P140" s="49"/>
      <c r="Q140" s="1884">
        <f t="shared" si="72"/>
        <v>0</v>
      </c>
      <c r="R140" s="1885">
        <f t="shared" si="68"/>
        <v>0</v>
      </c>
      <c r="S140" s="1885">
        <f t="shared" si="69"/>
        <v>0</v>
      </c>
      <c r="T140" s="1914"/>
      <c r="U140" s="1914"/>
      <c r="V140" s="1914"/>
      <c r="W140" s="50"/>
      <c r="X140" s="1891">
        <f t="shared" si="70"/>
        <v>0</v>
      </c>
      <c r="Y140" s="1891">
        <f t="shared" si="71"/>
        <v>0</v>
      </c>
      <c r="Z140" s="50"/>
      <c r="AA140" s="50"/>
      <c r="AB140" s="48"/>
      <c r="AC140" s="48"/>
      <c r="AD140" s="48"/>
      <c r="AE140" s="45"/>
      <c r="AF140" s="51"/>
      <c r="AG140" s="42"/>
      <c r="AH140" s="52" t="s">
        <v>4660</v>
      </c>
      <c r="AI140" s="197"/>
      <c r="AJ140" s="2578"/>
      <c r="AK140" s="2562"/>
      <c r="AL140" s="2578"/>
      <c r="AM140" s="2562"/>
      <c r="AN140" s="2562"/>
      <c r="AO140" s="2562"/>
      <c r="AP140" s="2562"/>
      <c r="AQ140" s="2562"/>
      <c r="AR140" s="2562"/>
      <c r="AS140" s="2562"/>
      <c r="AT140" s="252">
        <f t="shared" si="54"/>
        <v>1</v>
      </c>
      <c r="AU140" s="252">
        <f t="shared" si="55"/>
        <v>1</v>
      </c>
      <c r="AV140" s="252">
        <f t="shared" si="56"/>
        <v>1</v>
      </c>
      <c r="AW140" s="252">
        <f t="shared" si="57"/>
        <v>1</v>
      </c>
      <c r="AX140" s="252">
        <f t="shared" si="58"/>
        <v>1</v>
      </c>
      <c r="AY140" s="252">
        <f t="shared" si="59"/>
        <v>1</v>
      </c>
      <c r="AZ140" s="252">
        <f t="shared" si="60"/>
        <v>1</v>
      </c>
      <c r="BA140" s="237"/>
      <c r="BB140" s="237"/>
      <c r="BC140" s="2562"/>
      <c r="BD140" s="2562"/>
      <c r="BE140" s="2562"/>
      <c r="BF140" s="2562"/>
      <c r="BG140" s="252">
        <f t="shared" si="61"/>
        <v>1</v>
      </c>
      <c r="BH140" s="2562"/>
      <c r="BI140" s="237"/>
      <c r="BJ140" s="252">
        <f t="shared" si="62"/>
        <v>1</v>
      </c>
      <c r="BK140" s="252">
        <f t="shared" si="63"/>
        <v>1</v>
      </c>
      <c r="BL140" s="252">
        <f t="shared" si="64"/>
        <v>1</v>
      </c>
      <c r="BM140" s="252">
        <f t="shared" si="65"/>
        <v>1</v>
      </c>
      <c r="BN140" s="252">
        <f t="shared" si="66"/>
        <v>1</v>
      </c>
      <c r="BO140" s="252">
        <f t="shared" si="67"/>
        <v>1</v>
      </c>
      <c r="BP140" s="2578"/>
      <c r="BQ140" s="2562"/>
      <c r="BR140" s="2562"/>
      <c r="BS140" s="2585"/>
      <c r="BT140" s="2585"/>
      <c r="BU140" s="2585"/>
    </row>
    <row r="141" spans="1:73" s="22" customFormat="1" ht="15.75" hidden="1" customHeight="1" outlineLevel="1">
      <c r="A141" s="2585"/>
      <c r="B141" s="44"/>
      <c r="C141" s="45"/>
      <c r="D141" s="46"/>
      <c r="E141" s="46"/>
      <c r="F141" s="45"/>
      <c r="G141" s="46"/>
      <c r="H141" s="45"/>
      <c r="I141" s="45"/>
      <c r="J141" s="47"/>
      <c r="K141" s="48"/>
      <c r="L141" s="47"/>
      <c r="M141" s="1913"/>
      <c r="N141" s="48"/>
      <c r="O141" s="49"/>
      <c r="P141" s="49"/>
      <c r="Q141" s="1884">
        <f t="shared" si="72"/>
        <v>0</v>
      </c>
      <c r="R141" s="1885">
        <f t="shared" si="68"/>
        <v>0</v>
      </c>
      <c r="S141" s="1885">
        <f t="shared" si="69"/>
        <v>0</v>
      </c>
      <c r="T141" s="1914"/>
      <c r="U141" s="1914"/>
      <c r="V141" s="1914"/>
      <c r="W141" s="50"/>
      <c r="X141" s="1891">
        <f t="shared" si="70"/>
        <v>0</v>
      </c>
      <c r="Y141" s="1891">
        <f t="shared" si="71"/>
        <v>0</v>
      </c>
      <c r="Z141" s="50"/>
      <c r="AA141" s="50"/>
      <c r="AB141" s="48"/>
      <c r="AC141" s="48"/>
      <c r="AD141" s="48"/>
      <c r="AE141" s="45"/>
      <c r="AF141" s="51"/>
      <c r="AG141" s="42"/>
      <c r="AH141" s="52" t="s">
        <v>4661</v>
      </c>
      <c r="AI141" s="197"/>
      <c r="AJ141" s="2578"/>
      <c r="AK141" s="2562"/>
      <c r="AL141" s="2578"/>
      <c r="AM141" s="2562"/>
      <c r="AN141" s="2562"/>
      <c r="AO141" s="2562"/>
      <c r="AP141" s="2562"/>
      <c r="AQ141" s="2562"/>
      <c r="AR141" s="2562"/>
      <c r="AS141" s="2562"/>
      <c r="AT141" s="252">
        <f t="shared" si="54"/>
        <v>1</v>
      </c>
      <c r="AU141" s="252">
        <f t="shared" si="55"/>
        <v>1</v>
      </c>
      <c r="AV141" s="252">
        <f t="shared" si="56"/>
        <v>1</v>
      </c>
      <c r="AW141" s="252">
        <f t="shared" si="57"/>
        <v>1</v>
      </c>
      <c r="AX141" s="252">
        <f t="shared" si="58"/>
        <v>1</v>
      </c>
      <c r="AY141" s="252">
        <f t="shared" si="59"/>
        <v>1</v>
      </c>
      <c r="AZ141" s="252">
        <f t="shared" si="60"/>
        <v>1</v>
      </c>
      <c r="BA141" s="237"/>
      <c r="BB141" s="237"/>
      <c r="BC141" s="2562"/>
      <c r="BD141" s="2562"/>
      <c r="BE141" s="2562"/>
      <c r="BF141" s="2562"/>
      <c r="BG141" s="252">
        <f t="shared" si="61"/>
        <v>1</v>
      </c>
      <c r="BH141" s="2562"/>
      <c r="BI141" s="237"/>
      <c r="BJ141" s="252">
        <f t="shared" si="62"/>
        <v>1</v>
      </c>
      <c r="BK141" s="252">
        <f t="shared" si="63"/>
        <v>1</v>
      </c>
      <c r="BL141" s="252">
        <f t="shared" si="64"/>
        <v>1</v>
      </c>
      <c r="BM141" s="252">
        <f t="shared" si="65"/>
        <v>1</v>
      </c>
      <c r="BN141" s="252">
        <f t="shared" si="66"/>
        <v>1</v>
      </c>
      <c r="BO141" s="252">
        <f t="shared" si="67"/>
        <v>1</v>
      </c>
      <c r="BP141" s="2578"/>
      <c r="BQ141" s="2562"/>
      <c r="BR141" s="2562"/>
      <c r="BS141" s="2585"/>
      <c r="BT141" s="2585"/>
      <c r="BU141" s="2585"/>
    </row>
    <row r="142" spans="1:73" s="22" customFormat="1" ht="15.75" hidden="1" customHeight="1" outlineLevel="1">
      <c r="A142" s="2585"/>
      <c r="B142" s="44"/>
      <c r="C142" s="45"/>
      <c r="D142" s="46"/>
      <c r="E142" s="46"/>
      <c r="F142" s="45"/>
      <c r="G142" s="46"/>
      <c r="H142" s="45"/>
      <c r="I142" s="45"/>
      <c r="J142" s="47"/>
      <c r="K142" s="48"/>
      <c r="L142" s="47"/>
      <c r="M142" s="1913"/>
      <c r="N142" s="48"/>
      <c r="O142" s="49"/>
      <c r="P142" s="49"/>
      <c r="Q142" s="1884">
        <f t="shared" si="72"/>
        <v>0</v>
      </c>
      <c r="R142" s="1885">
        <f t="shared" si="68"/>
        <v>0</v>
      </c>
      <c r="S142" s="1885">
        <f t="shared" si="69"/>
        <v>0</v>
      </c>
      <c r="T142" s="1914"/>
      <c r="U142" s="1914"/>
      <c r="V142" s="1914"/>
      <c r="W142" s="50"/>
      <c r="X142" s="1891">
        <f t="shared" si="70"/>
        <v>0</v>
      </c>
      <c r="Y142" s="1891">
        <f t="shared" si="71"/>
        <v>0</v>
      </c>
      <c r="Z142" s="50"/>
      <c r="AA142" s="50"/>
      <c r="AB142" s="48"/>
      <c r="AC142" s="48"/>
      <c r="AD142" s="48"/>
      <c r="AE142" s="45"/>
      <c r="AF142" s="51"/>
      <c r="AG142" s="42"/>
      <c r="AH142" s="52" t="s">
        <v>4662</v>
      </c>
      <c r="AI142" s="197"/>
      <c r="AJ142" s="2578"/>
      <c r="AK142" s="2562"/>
      <c r="AL142" s="2578"/>
      <c r="AM142" s="2562"/>
      <c r="AN142" s="2562"/>
      <c r="AO142" s="2562"/>
      <c r="AP142" s="2562"/>
      <c r="AQ142" s="2562"/>
      <c r="AR142" s="2562"/>
      <c r="AS142" s="2562"/>
      <c r="AT142" s="252">
        <f t="shared" si="54"/>
        <v>1</v>
      </c>
      <c r="AU142" s="252">
        <f t="shared" si="55"/>
        <v>1</v>
      </c>
      <c r="AV142" s="252">
        <f t="shared" si="56"/>
        <v>1</v>
      </c>
      <c r="AW142" s="252">
        <f t="shared" si="57"/>
        <v>1</v>
      </c>
      <c r="AX142" s="252">
        <f t="shared" si="58"/>
        <v>1</v>
      </c>
      <c r="AY142" s="252">
        <f t="shared" si="59"/>
        <v>1</v>
      </c>
      <c r="AZ142" s="252">
        <f t="shared" si="60"/>
        <v>1</v>
      </c>
      <c r="BA142" s="237"/>
      <c r="BB142" s="237"/>
      <c r="BC142" s="2562"/>
      <c r="BD142" s="2562"/>
      <c r="BE142" s="2562"/>
      <c r="BF142" s="2562"/>
      <c r="BG142" s="252">
        <f t="shared" si="61"/>
        <v>1</v>
      </c>
      <c r="BH142" s="2562"/>
      <c r="BI142" s="237"/>
      <c r="BJ142" s="252">
        <f t="shared" si="62"/>
        <v>1</v>
      </c>
      <c r="BK142" s="252">
        <f t="shared" si="63"/>
        <v>1</v>
      </c>
      <c r="BL142" s="252">
        <f t="shared" si="64"/>
        <v>1</v>
      </c>
      <c r="BM142" s="252">
        <f t="shared" si="65"/>
        <v>1</v>
      </c>
      <c r="BN142" s="252">
        <f t="shared" si="66"/>
        <v>1</v>
      </c>
      <c r="BO142" s="252">
        <f t="shared" si="67"/>
        <v>1</v>
      </c>
      <c r="BP142" s="2578"/>
      <c r="BQ142" s="2562"/>
      <c r="BR142" s="2562"/>
      <c r="BS142" s="2585"/>
      <c r="BT142" s="2585"/>
      <c r="BU142" s="2585"/>
    </row>
    <row r="143" spans="1:73" s="22" customFormat="1" ht="15.75" hidden="1" customHeight="1" outlineLevel="1">
      <c r="A143" s="2585"/>
      <c r="B143" s="44"/>
      <c r="C143" s="45"/>
      <c r="D143" s="46"/>
      <c r="E143" s="46"/>
      <c r="F143" s="45"/>
      <c r="G143" s="46"/>
      <c r="H143" s="45"/>
      <c r="I143" s="45"/>
      <c r="J143" s="47"/>
      <c r="K143" s="48"/>
      <c r="L143" s="47"/>
      <c r="M143" s="1913"/>
      <c r="N143" s="48"/>
      <c r="O143" s="49"/>
      <c r="P143" s="49"/>
      <c r="Q143" s="1884">
        <f t="shared" si="72"/>
        <v>0</v>
      </c>
      <c r="R143" s="1885">
        <f t="shared" si="68"/>
        <v>0</v>
      </c>
      <c r="S143" s="1885">
        <f t="shared" si="69"/>
        <v>0</v>
      </c>
      <c r="T143" s="1914"/>
      <c r="U143" s="1914"/>
      <c r="V143" s="1914"/>
      <c r="W143" s="50"/>
      <c r="X143" s="1891">
        <f t="shared" si="70"/>
        <v>0</v>
      </c>
      <c r="Y143" s="1891">
        <f t="shared" si="71"/>
        <v>0</v>
      </c>
      <c r="Z143" s="50"/>
      <c r="AA143" s="50"/>
      <c r="AB143" s="48"/>
      <c r="AC143" s="48"/>
      <c r="AD143" s="48"/>
      <c r="AE143" s="45"/>
      <c r="AF143" s="51"/>
      <c r="AG143" s="42"/>
      <c r="AH143" s="52" t="s">
        <v>4663</v>
      </c>
      <c r="AI143" s="197"/>
      <c r="AJ143" s="2578"/>
      <c r="AK143" s="2562"/>
      <c r="AL143" s="2578"/>
      <c r="AM143" s="2562"/>
      <c r="AN143" s="2562"/>
      <c r="AO143" s="2562"/>
      <c r="AP143" s="2562"/>
      <c r="AQ143" s="2562"/>
      <c r="AR143" s="2562"/>
      <c r="AS143" s="2562"/>
      <c r="AT143" s="252">
        <f t="shared" si="54"/>
        <v>1</v>
      </c>
      <c r="AU143" s="252">
        <f t="shared" si="55"/>
        <v>1</v>
      </c>
      <c r="AV143" s="252">
        <f t="shared" si="56"/>
        <v>1</v>
      </c>
      <c r="AW143" s="252">
        <f t="shared" si="57"/>
        <v>1</v>
      </c>
      <c r="AX143" s="252">
        <f t="shared" si="58"/>
        <v>1</v>
      </c>
      <c r="AY143" s="252">
        <f t="shared" si="59"/>
        <v>1</v>
      </c>
      <c r="AZ143" s="252">
        <f t="shared" si="60"/>
        <v>1</v>
      </c>
      <c r="BA143" s="237"/>
      <c r="BB143" s="237"/>
      <c r="BC143" s="2562"/>
      <c r="BD143" s="2562"/>
      <c r="BE143" s="2562"/>
      <c r="BF143" s="2562"/>
      <c r="BG143" s="252">
        <f t="shared" si="61"/>
        <v>1</v>
      </c>
      <c r="BH143" s="2562"/>
      <c r="BI143" s="237"/>
      <c r="BJ143" s="252">
        <f t="shared" si="62"/>
        <v>1</v>
      </c>
      <c r="BK143" s="252">
        <f t="shared" si="63"/>
        <v>1</v>
      </c>
      <c r="BL143" s="252">
        <f t="shared" si="64"/>
        <v>1</v>
      </c>
      <c r="BM143" s="252">
        <f t="shared" si="65"/>
        <v>1</v>
      </c>
      <c r="BN143" s="252">
        <f t="shared" si="66"/>
        <v>1</v>
      </c>
      <c r="BO143" s="252">
        <f t="shared" si="67"/>
        <v>1</v>
      </c>
      <c r="BP143" s="2578"/>
      <c r="BQ143" s="2562"/>
      <c r="BR143" s="2562"/>
      <c r="BS143" s="2585"/>
      <c r="BT143" s="2585"/>
      <c r="BU143" s="2585"/>
    </row>
    <row r="144" spans="1:73" s="22" customFormat="1" ht="15.75" hidden="1" customHeight="1" outlineLevel="1">
      <c r="A144" s="2585"/>
      <c r="B144" s="44"/>
      <c r="C144" s="45"/>
      <c r="D144" s="46"/>
      <c r="E144" s="46"/>
      <c r="F144" s="45"/>
      <c r="G144" s="46"/>
      <c r="H144" s="45"/>
      <c r="I144" s="45"/>
      <c r="J144" s="47"/>
      <c r="K144" s="48"/>
      <c r="L144" s="47"/>
      <c r="M144" s="1913"/>
      <c r="N144" s="48"/>
      <c r="O144" s="49"/>
      <c r="P144" s="49"/>
      <c r="Q144" s="1884">
        <f t="shared" si="72"/>
        <v>0</v>
      </c>
      <c r="R144" s="1885">
        <f t="shared" si="68"/>
        <v>0</v>
      </c>
      <c r="S144" s="1885">
        <f t="shared" si="69"/>
        <v>0</v>
      </c>
      <c r="T144" s="1914"/>
      <c r="U144" s="1914"/>
      <c r="V144" s="1914"/>
      <c r="W144" s="50"/>
      <c r="X144" s="1891">
        <f t="shared" si="70"/>
        <v>0</v>
      </c>
      <c r="Y144" s="1891">
        <f t="shared" si="71"/>
        <v>0</v>
      </c>
      <c r="Z144" s="50"/>
      <c r="AA144" s="50"/>
      <c r="AB144" s="48"/>
      <c r="AC144" s="48"/>
      <c r="AD144" s="48"/>
      <c r="AE144" s="45"/>
      <c r="AF144" s="51"/>
      <c r="AG144" s="42"/>
      <c r="AH144" s="52" t="s">
        <v>4664</v>
      </c>
      <c r="AI144" s="197"/>
      <c r="AJ144" s="2578"/>
      <c r="AK144" s="2562"/>
      <c r="AL144" s="2578"/>
      <c r="AM144" s="2562"/>
      <c r="AN144" s="2562"/>
      <c r="AO144" s="2562"/>
      <c r="AP144" s="2562"/>
      <c r="AQ144" s="2562"/>
      <c r="AR144" s="2562"/>
      <c r="AS144" s="2562"/>
      <c r="AT144" s="252">
        <f t="shared" si="54"/>
        <v>1</v>
      </c>
      <c r="AU144" s="252">
        <f t="shared" si="55"/>
        <v>1</v>
      </c>
      <c r="AV144" s="252">
        <f t="shared" si="56"/>
        <v>1</v>
      </c>
      <c r="AW144" s="252">
        <f t="shared" si="57"/>
        <v>1</v>
      </c>
      <c r="AX144" s="252">
        <f t="shared" si="58"/>
        <v>1</v>
      </c>
      <c r="AY144" s="252">
        <f t="shared" si="59"/>
        <v>1</v>
      </c>
      <c r="AZ144" s="252">
        <f t="shared" si="60"/>
        <v>1</v>
      </c>
      <c r="BA144" s="237"/>
      <c r="BB144" s="237"/>
      <c r="BC144" s="2562"/>
      <c r="BD144" s="2562"/>
      <c r="BE144" s="2562"/>
      <c r="BF144" s="2562"/>
      <c r="BG144" s="252">
        <f t="shared" si="61"/>
        <v>1</v>
      </c>
      <c r="BH144" s="2562"/>
      <c r="BI144" s="237"/>
      <c r="BJ144" s="252">
        <f t="shared" si="62"/>
        <v>1</v>
      </c>
      <c r="BK144" s="252">
        <f t="shared" si="63"/>
        <v>1</v>
      </c>
      <c r="BL144" s="252">
        <f t="shared" si="64"/>
        <v>1</v>
      </c>
      <c r="BM144" s="252">
        <f t="shared" si="65"/>
        <v>1</v>
      </c>
      <c r="BN144" s="252">
        <f t="shared" si="66"/>
        <v>1</v>
      </c>
      <c r="BO144" s="252">
        <f t="shared" si="67"/>
        <v>1</v>
      </c>
      <c r="BP144" s="2578"/>
      <c r="BQ144" s="2562"/>
      <c r="BR144" s="2562"/>
      <c r="BS144" s="2585"/>
      <c r="BT144" s="2585"/>
      <c r="BU144" s="2585"/>
    </row>
    <row r="145" spans="1:73" s="22" customFormat="1" ht="15.75" hidden="1" customHeight="1" outlineLevel="1">
      <c r="A145" s="2585"/>
      <c r="B145" s="44"/>
      <c r="C145" s="45"/>
      <c r="D145" s="46"/>
      <c r="E145" s="46"/>
      <c r="F145" s="45"/>
      <c r="G145" s="46"/>
      <c r="H145" s="45"/>
      <c r="I145" s="45"/>
      <c r="J145" s="47"/>
      <c r="K145" s="48"/>
      <c r="L145" s="47"/>
      <c r="M145" s="1913"/>
      <c r="N145" s="48"/>
      <c r="O145" s="49"/>
      <c r="P145" s="49"/>
      <c r="Q145" s="1884">
        <f t="shared" si="72"/>
        <v>0</v>
      </c>
      <c r="R145" s="1885">
        <f t="shared" si="68"/>
        <v>0</v>
      </c>
      <c r="S145" s="1885">
        <f t="shared" si="69"/>
        <v>0</v>
      </c>
      <c r="T145" s="1914"/>
      <c r="U145" s="1914"/>
      <c r="V145" s="1914"/>
      <c r="W145" s="50"/>
      <c r="X145" s="1891">
        <f t="shared" si="70"/>
        <v>0</v>
      </c>
      <c r="Y145" s="1891">
        <f t="shared" si="71"/>
        <v>0</v>
      </c>
      <c r="Z145" s="50"/>
      <c r="AA145" s="50"/>
      <c r="AB145" s="48"/>
      <c r="AC145" s="48"/>
      <c r="AD145" s="48"/>
      <c r="AE145" s="45"/>
      <c r="AF145" s="51"/>
      <c r="AG145" s="42"/>
      <c r="AH145" s="52" t="s">
        <v>4665</v>
      </c>
      <c r="AI145" s="197"/>
      <c r="AJ145" s="2578"/>
      <c r="AK145" s="2562"/>
      <c r="AL145" s="2578"/>
      <c r="AM145" s="2562"/>
      <c r="AN145" s="2562"/>
      <c r="AO145" s="2562"/>
      <c r="AP145" s="2562"/>
      <c r="AQ145" s="2562"/>
      <c r="AR145" s="2562"/>
      <c r="AS145" s="2562"/>
      <c r="AT145" s="252">
        <f t="shared" si="54"/>
        <v>1</v>
      </c>
      <c r="AU145" s="252">
        <f t="shared" si="55"/>
        <v>1</v>
      </c>
      <c r="AV145" s="252">
        <f t="shared" si="56"/>
        <v>1</v>
      </c>
      <c r="AW145" s="252">
        <f t="shared" si="57"/>
        <v>1</v>
      </c>
      <c r="AX145" s="252">
        <f t="shared" si="58"/>
        <v>1</v>
      </c>
      <c r="AY145" s="252">
        <f t="shared" si="59"/>
        <v>1</v>
      </c>
      <c r="AZ145" s="252">
        <f t="shared" si="60"/>
        <v>1</v>
      </c>
      <c r="BA145" s="237"/>
      <c r="BB145" s="237"/>
      <c r="BC145" s="2562"/>
      <c r="BD145" s="2562"/>
      <c r="BE145" s="2562"/>
      <c r="BF145" s="2562"/>
      <c r="BG145" s="252">
        <f t="shared" si="61"/>
        <v>1</v>
      </c>
      <c r="BH145" s="2562"/>
      <c r="BI145" s="237"/>
      <c r="BJ145" s="252">
        <f t="shared" si="62"/>
        <v>1</v>
      </c>
      <c r="BK145" s="252">
        <f t="shared" si="63"/>
        <v>1</v>
      </c>
      <c r="BL145" s="252">
        <f t="shared" si="64"/>
        <v>1</v>
      </c>
      <c r="BM145" s="252">
        <f t="shared" si="65"/>
        <v>1</v>
      </c>
      <c r="BN145" s="252">
        <f t="shared" si="66"/>
        <v>1</v>
      </c>
      <c r="BO145" s="252">
        <f t="shared" si="67"/>
        <v>1</v>
      </c>
      <c r="BP145" s="2578"/>
      <c r="BQ145" s="2562"/>
      <c r="BR145" s="2562"/>
      <c r="BS145" s="2585"/>
      <c r="BT145" s="2585"/>
      <c r="BU145" s="2585"/>
    </row>
    <row r="146" spans="1:73" s="22" customFormat="1" ht="15.75" hidden="1" customHeight="1" outlineLevel="1">
      <c r="A146" s="2585"/>
      <c r="B146" s="44"/>
      <c r="C146" s="45"/>
      <c r="D146" s="46"/>
      <c r="E146" s="46"/>
      <c r="F146" s="45"/>
      <c r="G146" s="46"/>
      <c r="H146" s="45"/>
      <c r="I146" s="45"/>
      <c r="J146" s="47"/>
      <c r="K146" s="48"/>
      <c r="L146" s="47"/>
      <c r="M146" s="1913"/>
      <c r="N146" s="48"/>
      <c r="O146" s="49"/>
      <c r="P146" s="49"/>
      <c r="Q146" s="1884">
        <f t="shared" si="72"/>
        <v>0</v>
      </c>
      <c r="R146" s="1885">
        <f t="shared" si="68"/>
        <v>0</v>
      </c>
      <c r="S146" s="1885">
        <f t="shared" si="69"/>
        <v>0</v>
      </c>
      <c r="T146" s="1914"/>
      <c r="U146" s="1914"/>
      <c r="V146" s="1914"/>
      <c r="W146" s="50"/>
      <c r="X146" s="1891">
        <f t="shared" si="70"/>
        <v>0</v>
      </c>
      <c r="Y146" s="1891">
        <f t="shared" si="71"/>
        <v>0</v>
      </c>
      <c r="Z146" s="50"/>
      <c r="AA146" s="50"/>
      <c r="AB146" s="48"/>
      <c r="AC146" s="48"/>
      <c r="AD146" s="48"/>
      <c r="AE146" s="45"/>
      <c r="AF146" s="51"/>
      <c r="AG146" s="42"/>
      <c r="AH146" s="52" t="s">
        <v>4666</v>
      </c>
      <c r="AI146" s="197"/>
      <c r="AJ146" s="2578"/>
      <c r="AK146" s="2562"/>
      <c r="AL146" s="2578"/>
      <c r="AM146" s="2562"/>
      <c r="AN146" s="2562"/>
      <c r="AO146" s="2562"/>
      <c r="AP146" s="2562"/>
      <c r="AQ146" s="2562"/>
      <c r="AR146" s="2562"/>
      <c r="AS146" s="2562"/>
      <c r="AT146" s="252">
        <f t="shared" si="54"/>
        <v>1</v>
      </c>
      <c r="AU146" s="252">
        <f t="shared" si="55"/>
        <v>1</v>
      </c>
      <c r="AV146" s="252">
        <f t="shared" si="56"/>
        <v>1</v>
      </c>
      <c r="AW146" s="252">
        <f t="shared" si="57"/>
        <v>1</v>
      </c>
      <c r="AX146" s="252">
        <f t="shared" si="58"/>
        <v>1</v>
      </c>
      <c r="AY146" s="252">
        <f t="shared" si="59"/>
        <v>1</v>
      </c>
      <c r="AZ146" s="252">
        <f t="shared" si="60"/>
        <v>1</v>
      </c>
      <c r="BA146" s="237"/>
      <c r="BB146" s="237"/>
      <c r="BC146" s="2562"/>
      <c r="BD146" s="2562"/>
      <c r="BE146" s="2562"/>
      <c r="BF146" s="2562"/>
      <c r="BG146" s="252">
        <f t="shared" si="61"/>
        <v>1</v>
      </c>
      <c r="BH146" s="2562"/>
      <c r="BI146" s="237"/>
      <c r="BJ146" s="252">
        <f t="shared" si="62"/>
        <v>1</v>
      </c>
      <c r="BK146" s="252">
        <f t="shared" si="63"/>
        <v>1</v>
      </c>
      <c r="BL146" s="252">
        <f t="shared" si="64"/>
        <v>1</v>
      </c>
      <c r="BM146" s="252">
        <f t="shared" si="65"/>
        <v>1</v>
      </c>
      <c r="BN146" s="252">
        <f t="shared" si="66"/>
        <v>1</v>
      </c>
      <c r="BO146" s="252">
        <f t="shared" si="67"/>
        <v>1</v>
      </c>
      <c r="BP146" s="2578"/>
      <c r="BQ146" s="2562"/>
      <c r="BR146" s="2562"/>
      <c r="BS146" s="2585"/>
      <c r="BT146" s="2585"/>
      <c r="BU146" s="2585"/>
    </row>
    <row r="147" spans="1:73" s="22" customFormat="1" ht="15.75" hidden="1" customHeight="1" outlineLevel="1">
      <c r="A147" s="2585"/>
      <c r="B147" s="44"/>
      <c r="C147" s="45"/>
      <c r="D147" s="46"/>
      <c r="E147" s="46"/>
      <c r="F147" s="45"/>
      <c r="G147" s="46"/>
      <c r="H147" s="45"/>
      <c r="I147" s="45"/>
      <c r="J147" s="47"/>
      <c r="K147" s="48"/>
      <c r="L147" s="47"/>
      <c r="M147" s="1913"/>
      <c r="N147" s="48"/>
      <c r="O147" s="49"/>
      <c r="P147" s="49"/>
      <c r="Q147" s="1884">
        <f t="shared" si="72"/>
        <v>0</v>
      </c>
      <c r="R147" s="1885">
        <f t="shared" si="68"/>
        <v>0</v>
      </c>
      <c r="S147" s="1885">
        <f t="shared" si="69"/>
        <v>0</v>
      </c>
      <c r="T147" s="1914"/>
      <c r="U147" s="1914"/>
      <c r="V147" s="1914"/>
      <c r="W147" s="50"/>
      <c r="X147" s="1891">
        <f t="shared" si="70"/>
        <v>0</v>
      </c>
      <c r="Y147" s="1891">
        <f t="shared" si="71"/>
        <v>0</v>
      </c>
      <c r="Z147" s="50"/>
      <c r="AA147" s="50"/>
      <c r="AB147" s="48"/>
      <c r="AC147" s="48"/>
      <c r="AD147" s="48"/>
      <c r="AE147" s="45"/>
      <c r="AF147" s="51"/>
      <c r="AG147" s="42"/>
      <c r="AH147" s="52" t="s">
        <v>4667</v>
      </c>
      <c r="AI147" s="197"/>
      <c r="AJ147" s="2578"/>
      <c r="AK147" s="2562"/>
      <c r="AL147" s="2578"/>
      <c r="AM147" s="2562"/>
      <c r="AN147" s="2562"/>
      <c r="AO147" s="2562"/>
      <c r="AP147" s="2562"/>
      <c r="AQ147" s="2562"/>
      <c r="AR147" s="2562"/>
      <c r="AS147" s="2562"/>
      <c r="AT147" s="252">
        <f t="shared" si="54"/>
        <v>1</v>
      </c>
      <c r="AU147" s="252">
        <f t="shared" si="55"/>
        <v>1</v>
      </c>
      <c r="AV147" s="252">
        <f t="shared" si="56"/>
        <v>1</v>
      </c>
      <c r="AW147" s="252">
        <f t="shared" si="57"/>
        <v>1</v>
      </c>
      <c r="AX147" s="252">
        <f t="shared" si="58"/>
        <v>1</v>
      </c>
      <c r="AY147" s="252">
        <f t="shared" si="59"/>
        <v>1</v>
      </c>
      <c r="AZ147" s="252">
        <f t="shared" si="60"/>
        <v>1</v>
      </c>
      <c r="BA147" s="237"/>
      <c r="BB147" s="237"/>
      <c r="BC147" s="2562"/>
      <c r="BD147" s="2562"/>
      <c r="BE147" s="2562"/>
      <c r="BF147" s="2562"/>
      <c r="BG147" s="252">
        <f t="shared" si="61"/>
        <v>1</v>
      </c>
      <c r="BH147" s="2562"/>
      <c r="BI147" s="237"/>
      <c r="BJ147" s="252">
        <f t="shared" si="62"/>
        <v>1</v>
      </c>
      <c r="BK147" s="252">
        <f t="shared" si="63"/>
        <v>1</v>
      </c>
      <c r="BL147" s="252">
        <f t="shared" si="64"/>
        <v>1</v>
      </c>
      <c r="BM147" s="252">
        <f t="shared" si="65"/>
        <v>1</v>
      </c>
      <c r="BN147" s="252">
        <f t="shared" si="66"/>
        <v>1</v>
      </c>
      <c r="BO147" s="252">
        <f t="shared" si="67"/>
        <v>1</v>
      </c>
      <c r="BP147" s="2578"/>
      <c r="BQ147" s="2562"/>
      <c r="BR147" s="2562"/>
      <c r="BS147" s="2585"/>
      <c r="BT147" s="2585"/>
      <c r="BU147" s="2585"/>
    </row>
    <row r="148" spans="1:73" s="22" customFormat="1" ht="15.75" hidden="1" customHeight="1" outlineLevel="1">
      <c r="A148" s="2585"/>
      <c r="B148" s="44"/>
      <c r="C148" s="45"/>
      <c r="D148" s="46"/>
      <c r="E148" s="46"/>
      <c r="F148" s="45"/>
      <c r="G148" s="46"/>
      <c r="H148" s="45"/>
      <c r="I148" s="45"/>
      <c r="J148" s="47"/>
      <c r="K148" s="48"/>
      <c r="L148" s="47"/>
      <c r="M148" s="1913"/>
      <c r="N148" s="48"/>
      <c r="O148" s="49"/>
      <c r="P148" s="49"/>
      <c r="Q148" s="1884">
        <f t="shared" si="72"/>
        <v>0</v>
      </c>
      <c r="R148" s="1885">
        <f t="shared" si="68"/>
        <v>0</v>
      </c>
      <c r="S148" s="1885">
        <f t="shared" si="69"/>
        <v>0</v>
      </c>
      <c r="T148" s="1914"/>
      <c r="U148" s="1914"/>
      <c r="V148" s="1914"/>
      <c r="W148" s="50"/>
      <c r="X148" s="1891">
        <f t="shared" si="70"/>
        <v>0</v>
      </c>
      <c r="Y148" s="1891">
        <f t="shared" si="71"/>
        <v>0</v>
      </c>
      <c r="Z148" s="50"/>
      <c r="AA148" s="50"/>
      <c r="AB148" s="48"/>
      <c r="AC148" s="48"/>
      <c r="AD148" s="48"/>
      <c r="AE148" s="45"/>
      <c r="AF148" s="51"/>
      <c r="AG148" s="42"/>
      <c r="AH148" s="52" t="s">
        <v>4668</v>
      </c>
      <c r="AI148" s="197"/>
      <c r="AJ148" s="2578"/>
      <c r="AK148" s="2562"/>
      <c r="AL148" s="2578"/>
      <c r="AM148" s="2562"/>
      <c r="AN148" s="2562"/>
      <c r="AO148" s="2562"/>
      <c r="AP148" s="2562"/>
      <c r="AQ148" s="2562"/>
      <c r="AR148" s="2562"/>
      <c r="AS148" s="2562"/>
      <c r="AT148" s="252">
        <f t="shared" si="54"/>
        <v>1</v>
      </c>
      <c r="AU148" s="252">
        <f t="shared" si="55"/>
        <v>1</v>
      </c>
      <c r="AV148" s="252">
        <f t="shared" si="56"/>
        <v>1</v>
      </c>
      <c r="AW148" s="252">
        <f t="shared" si="57"/>
        <v>1</v>
      </c>
      <c r="AX148" s="252">
        <f t="shared" si="58"/>
        <v>1</v>
      </c>
      <c r="AY148" s="252">
        <f t="shared" si="59"/>
        <v>1</v>
      </c>
      <c r="AZ148" s="252">
        <f t="shared" si="60"/>
        <v>1</v>
      </c>
      <c r="BA148" s="237"/>
      <c r="BB148" s="237"/>
      <c r="BC148" s="2562"/>
      <c r="BD148" s="2562"/>
      <c r="BE148" s="2562"/>
      <c r="BF148" s="2562"/>
      <c r="BG148" s="252">
        <f t="shared" si="61"/>
        <v>1</v>
      </c>
      <c r="BH148" s="2562"/>
      <c r="BI148" s="237"/>
      <c r="BJ148" s="252">
        <f t="shared" si="62"/>
        <v>1</v>
      </c>
      <c r="BK148" s="252">
        <f t="shared" si="63"/>
        <v>1</v>
      </c>
      <c r="BL148" s="252">
        <f t="shared" si="64"/>
        <v>1</v>
      </c>
      <c r="BM148" s="252">
        <f t="shared" si="65"/>
        <v>1</v>
      </c>
      <c r="BN148" s="252">
        <f t="shared" si="66"/>
        <v>1</v>
      </c>
      <c r="BO148" s="252">
        <f t="shared" si="67"/>
        <v>1</v>
      </c>
      <c r="BP148" s="2578"/>
      <c r="BQ148" s="2562"/>
      <c r="BR148" s="2562"/>
      <c r="BS148" s="2585"/>
      <c r="BT148" s="2585"/>
      <c r="BU148" s="2585"/>
    </row>
    <row r="149" spans="1:73" s="22" customFormat="1" ht="15.75" hidden="1" customHeight="1" outlineLevel="1">
      <c r="A149" s="2585"/>
      <c r="B149" s="44"/>
      <c r="C149" s="45"/>
      <c r="D149" s="46"/>
      <c r="E149" s="46"/>
      <c r="F149" s="45"/>
      <c r="G149" s="46"/>
      <c r="H149" s="45"/>
      <c r="I149" s="45"/>
      <c r="J149" s="47"/>
      <c r="K149" s="48"/>
      <c r="L149" s="47"/>
      <c r="M149" s="1913"/>
      <c r="N149" s="48"/>
      <c r="O149" s="49"/>
      <c r="P149" s="49"/>
      <c r="Q149" s="1884">
        <f t="shared" si="72"/>
        <v>0</v>
      </c>
      <c r="R149" s="1885">
        <f t="shared" si="68"/>
        <v>0</v>
      </c>
      <c r="S149" s="1885">
        <f t="shared" si="69"/>
        <v>0</v>
      </c>
      <c r="T149" s="1914"/>
      <c r="U149" s="1914"/>
      <c r="V149" s="1914"/>
      <c r="W149" s="50"/>
      <c r="X149" s="1891">
        <f t="shared" si="70"/>
        <v>0</v>
      </c>
      <c r="Y149" s="1891">
        <f t="shared" si="71"/>
        <v>0</v>
      </c>
      <c r="Z149" s="50"/>
      <c r="AA149" s="50"/>
      <c r="AB149" s="48"/>
      <c r="AC149" s="48"/>
      <c r="AD149" s="48"/>
      <c r="AE149" s="45"/>
      <c r="AF149" s="51"/>
      <c r="AG149" s="42"/>
      <c r="AH149" s="52" t="s">
        <v>4669</v>
      </c>
      <c r="AI149" s="197"/>
      <c r="AJ149" s="2578"/>
      <c r="AK149" s="2562"/>
      <c r="AL149" s="2578"/>
      <c r="AM149" s="2562"/>
      <c r="AN149" s="2562"/>
      <c r="AO149" s="2562"/>
      <c r="AP149" s="2562"/>
      <c r="AQ149" s="2562"/>
      <c r="AR149" s="2562"/>
      <c r="AS149" s="2562"/>
      <c r="AT149" s="252">
        <f t="shared" si="54"/>
        <v>1</v>
      </c>
      <c r="AU149" s="252">
        <f t="shared" si="55"/>
        <v>1</v>
      </c>
      <c r="AV149" s="252">
        <f t="shared" si="56"/>
        <v>1</v>
      </c>
      <c r="AW149" s="252">
        <f t="shared" si="57"/>
        <v>1</v>
      </c>
      <c r="AX149" s="252">
        <f t="shared" si="58"/>
        <v>1</v>
      </c>
      <c r="AY149" s="252">
        <f t="shared" si="59"/>
        <v>1</v>
      </c>
      <c r="AZ149" s="252">
        <f t="shared" si="60"/>
        <v>1</v>
      </c>
      <c r="BA149" s="237"/>
      <c r="BB149" s="237"/>
      <c r="BC149" s="2562"/>
      <c r="BD149" s="2562"/>
      <c r="BE149" s="2562"/>
      <c r="BF149" s="2562"/>
      <c r="BG149" s="252">
        <f t="shared" si="61"/>
        <v>1</v>
      </c>
      <c r="BH149" s="2562"/>
      <c r="BI149" s="237"/>
      <c r="BJ149" s="252">
        <f t="shared" si="62"/>
        <v>1</v>
      </c>
      <c r="BK149" s="252">
        <f t="shared" si="63"/>
        <v>1</v>
      </c>
      <c r="BL149" s="252">
        <f t="shared" si="64"/>
        <v>1</v>
      </c>
      <c r="BM149" s="252">
        <f t="shared" si="65"/>
        <v>1</v>
      </c>
      <c r="BN149" s="252">
        <f t="shared" si="66"/>
        <v>1</v>
      </c>
      <c r="BO149" s="252">
        <f t="shared" si="67"/>
        <v>1</v>
      </c>
      <c r="BP149" s="2578"/>
      <c r="BQ149" s="2562"/>
      <c r="BR149" s="2562"/>
      <c r="BS149" s="2585"/>
      <c r="BT149" s="2585"/>
      <c r="BU149" s="2585"/>
    </row>
    <row r="150" spans="1:73" s="22" customFormat="1" ht="15.75" hidden="1" customHeight="1" outlineLevel="1">
      <c r="A150" s="2585"/>
      <c r="B150" s="44"/>
      <c r="C150" s="45"/>
      <c r="D150" s="46"/>
      <c r="E150" s="46"/>
      <c r="F150" s="45"/>
      <c r="G150" s="46"/>
      <c r="H150" s="45"/>
      <c r="I150" s="45"/>
      <c r="J150" s="47"/>
      <c r="K150" s="48"/>
      <c r="L150" s="47"/>
      <c r="M150" s="1913"/>
      <c r="N150" s="48"/>
      <c r="O150" s="49"/>
      <c r="P150" s="49"/>
      <c r="Q150" s="1884">
        <f t="shared" si="72"/>
        <v>0</v>
      </c>
      <c r="R150" s="1885">
        <f t="shared" si="68"/>
        <v>0</v>
      </c>
      <c r="S150" s="1885">
        <f t="shared" si="69"/>
        <v>0</v>
      </c>
      <c r="T150" s="1914"/>
      <c r="U150" s="1914"/>
      <c r="V150" s="1914"/>
      <c r="W150" s="50"/>
      <c r="X150" s="1891">
        <f t="shared" si="70"/>
        <v>0</v>
      </c>
      <c r="Y150" s="1891">
        <f t="shared" si="71"/>
        <v>0</v>
      </c>
      <c r="Z150" s="50"/>
      <c r="AA150" s="50"/>
      <c r="AB150" s="48"/>
      <c r="AC150" s="48"/>
      <c r="AD150" s="48"/>
      <c r="AE150" s="45"/>
      <c r="AF150" s="51"/>
      <c r="AG150" s="42"/>
      <c r="AH150" s="52" t="s">
        <v>4670</v>
      </c>
      <c r="AI150" s="197"/>
      <c r="AJ150" s="2578"/>
      <c r="AK150" s="2562"/>
      <c r="AL150" s="2578"/>
      <c r="AM150" s="2562"/>
      <c r="AN150" s="2562"/>
      <c r="AO150" s="2562"/>
      <c r="AP150" s="2562"/>
      <c r="AQ150" s="2562"/>
      <c r="AR150" s="2562"/>
      <c r="AS150" s="2562"/>
      <c r="AT150" s="252">
        <f t="shared" si="54"/>
        <v>1</v>
      </c>
      <c r="AU150" s="252">
        <f t="shared" si="55"/>
        <v>1</v>
      </c>
      <c r="AV150" s="252">
        <f t="shared" si="56"/>
        <v>1</v>
      </c>
      <c r="AW150" s="252">
        <f t="shared" si="57"/>
        <v>1</v>
      </c>
      <c r="AX150" s="252">
        <f t="shared" si="58"/>
        <v>1</v>
      </c>
      <c r="AY150" s="252">
        <f t="shared" si="59"/>
        <v>1</v>
      </c>
      <c r="AZ150" s="252">
        <f t="shared" si="60"/>
        <v>1</v>
      </c>
      <c r="BA150" s="237"/>
      <c r="BB150" s="237"/>
      <c r="BC150" s="2562"/>
      <c r="BD150" s="2562"/>
      <c r="BE150" s="2562"/>
      <c r="BF150" s="2562"/>
      <c r="BG150" s="252">
        <f t="shared" si="61"/>
        <v>1</v>
      </c>
      <c r="BH150" s="2562"/>
      <c r="BI150" s="237"/>
      <c r="BJ150" s="252">
        <f t="shared" si="62"/>
        <v>1</v>
      </c>
      <c r="BK150" s="252">
        <f t="shared" si="63"/>
        <v>1</v>
      </c>
      <c r="BL150" s="252">
        <f t="shared" si="64"/>
        <v>1</v>
      </c>
      <c r="BM150" s="252">
        <f t="shared" si="65"/>
        <v>1</v>
      </c>
      <c r="BN150" s="252">
        <f t="shared" si="66"/>
        <v>1</v>
      </c>
      <c r="BO150" s="252">
        <f t="shared" si="67"/>
        <v>1</v>
      </c>
      <c r="BP150" s="2578"/>
      <c r="BQ150" s="2562"/>
      <c r="BR150" s="2562"/>
      <c r="BS150" s="2585"/>
      <c r="BT150" s="2585"/>
      <c r="BU150" s="2585"/>
    </row>
    <row r="151" spans="1:73" s="22" customFormat="1" ht="15.75" hidden="1" customHeight="1" outlineLevel="1">
      <c r="A151" s="2585"/>
      <c r="B151" s="44"/>
      <c r="C151" s="45"/>
      <c r="D151" s="46"/>
      <c r="E151" s="46"/>
      <c r="F151" s="45"/>
      <c r="G151" s="46"/>
      <c r="H151" s="45"/>
      <c r="I151" s="45"/>
      <c r="J151" s="47"/>
      <c r="K151" s="48"/>
      <c r="L151" s="47"/>
      <c r="M151" s="1913"/>
      <c r="N151" s="48"/>
      <c r="O151" s="49"/>
      <c r="P151" s="49"/>
      <c r="Q151" s="1884">
        <f t="shared" si="72"/>
        <v>0</v>
      </c>
      <c r="R151" s="1885">
        <f t="shared" si="68"/>
        <v>0</v>
      </c>
      <c r="S151" s="1885">
        <f t="shared" si="69"/>
        <v>0</v>
      </c>
      <c r="T151" s="1914"/>
      <c r="U151" s="1914"/>
      <c r="V151" s="1914"/>
      <c r="W151" s="50"/>
      <c r="X151" s="1891">
        <f t="shared" si="70"/>
        <v>0</v>
      </c>
      <c r="Y151" s="1891">
        <f t="shared" si="71"/>
        <v>0</v>
      </c>
      <c r="Z151" s="50"/>
      <c r="AA151" s="50"/>
      <c r="AB151" s="48"/>
      <c r="AC151" s="48"/>
      <c r="AD151" s="48"/>
      <c r="AE151" s="45"/>
      <c r="AF151" s="51"/>
      <c r="AG151" s="42"/>
      <c r="AH151" s="52" t="s">
        <v>4671</v>
      </c>
      <c r="AI151" s="197"/>
      <c r="AJ151" s="2578"/>
      <c r="AK151" s="2562"/>
      <c r="AL151" s="2578"/>
      <c r="AM151" s="2562"/>
      <c r="AN151" s="2562"/>
      <c r="AO151" s="2562"/>
      <c r="AP151" s="2562"/>
      <c r="AQ151" s="2562"/>
      <c r="AR151" s="2562"/>
      <c r="AS151" s="2562"/>
      <c r="AT151" s="252">
        <f t="shared" si="54"/>
        <v>1</v>
      </c>
      <c r="AU151" s="252">
        <f t="shared" si="55"/>
        <v>1</v>
      </c>
      <c r="AV151" s="252">
        <f t="shared" si="56"/>
        <v>1</v>
      </c>
      <c r="AW151" s="252">
        <f t="shared" si="57"/>
        <v>1</v>
      </c>
      <c r="AX151" s="252">
        <f t="shared" si="58"/>
        <v>1</v>
      </c>
      <c r="AY151" s="252">
        <f t="shared" si="59"/>
        <v>1</v>
      </c>
      <c r="AZ151" s="252">
        <f t="shared" si="60"/>
        <v>1</v>
      </c>
      <c r="BA151" s="237"/>
      <c r="BB151" s="237"/>
      <c r="BC151" s="2562"/>
      <c r="BD151" s="2562"/>
      <c r="BE151" s="2562"/>
      <c r="BF151" s="2562"/>
      <c r="BG151" s="252">
        <f t="shared" si="61"/>
        <v>1</v>
      </c>
      <c r="BH151" s="2562"/>
      <c r="BI151" s="237"/>
      <c r="BJ151" s="252">
        <f t="shared" si="62"/>
        <v>1</v>
      </c>
      <c r="BK151" s="252">
        <f t="shared" si="63"/>
        <v>1</v>
      </c>
      <c r="BL151" s="252">
        <f t="shared" si="64"/>
        <v>1</v>
      </c>
      <c r="BM151" s="252">
        <f t="shared" si="65"/>
        <v>1</v>
      </c>
      <c r="BN151" s="252">
        <f t="shared" si="66"/>
        <v>1</v>
      </c>
      <c r="BO151" s="252">
        <f t="shared" si="67"/>
        <v>1</v>
      </c>
      <c r="BP151" s="2578"/>
      <c r="BQ151" s="2562"/>
      <c r="BR151" s="2562"/>
      <c r="BS151" s="2585"/>
      <c r="BT151" s="2585"/>
      <c r="BU151" s="2585"/>
    </row>
    <row r="152" spans="1:73" s="22" customFormat="1" ht="15.75" hidden="1" customHeight="1" outlineLevel="1">
      <c r="A152" s="2585"/>
      <c r="B152" s="44"/>
      <c r="C152" s="45"/>
      <c r="D152" s="46"/>
      <c r="E152" s="46"/>
      <c r="F152" s="45"/>
      <c r="G152" s="46"/>
      <c r="H152" s="45"/>
      <c r="I152" s="45"/>
      <c r="J152" s="47"/>
      <c r="K152" s="48"/>
      <c r="L152" s="47"/>
      <c r="M152" s="1913"/>
      <c r="N152" s="48"/>
      <c r="O152" s="49"/>
      <c r="P152" s="49"/>
      <c r="Q152" s="1884">
        <f t="shared" si="72"/>
        <v>0</v>
      </c>
      <c r="R152" s="1885">
        <f t="shared" si="68"/>
        <v>0</v>
      </c>
      <c r="S152" s="1885">
        <f t="shared" si="69"/>
        <v>0</v>
      </c>
      <c r="T152" s="1914"/>
      <c r="U152" s="1914"/>
      <c r="V152" s="1914"/>
      <c r="W152" s="50"/>
      <c r="X152" s="1891">
        <f t="shared" si="70"/>
        <v>0</v>
      </c>
      <c r="Y152" s="1891">
        <f t="shared" si="71"/>
        <v>0</v>
      </c>
      <c r="Z152" s="50"/>
      <c r="AA152" s="50"/>
      <c r="AB152" s="48"/>
      <c r="AC152" s="48"/>
      <c r="AD152" s="48"/>
      <c r="AE152" s="45"/>
      <c r="AF152" s="51"/>
      <c r="AG152" s="42"/>
      <c r="AH152" s="52" t="s">
        <v>4672</v>
      </c>
      <c r="AI152" s="197"/>
      <c r="AJ152" s="2578"/>
      <c r="AK152" s="2562"/>
      <c r="AL152" s="2578"/>
      <c r="AM152" s="2562"/>
      <c r="AN152" s="2562"/>
      <c r="AO152" s="2562"/>
      <c r="AP152" s="2562"/>
      <c r="AQ152" s="2562"/>
      <c r="AR152" s="2562"/>
      <c r="AS152" s="2562"/>
      <c r="AT152" s="252">
        <f t="shared" si="54"/>
        <v>1</v>
      </c>
      <c r="AU152" s="252">
        <f t="shared" si="55"/>
        <v>1</v>
      </c>
      <c r="AV152" s="252">
        <f t="shared" si="56"/>
        <v>1</v>
      </c>
      <c r="AW152" s="252">
        <f t="shared" si="57"/>
        <v>1</v>
      </c>
      <c r="AX152" s="252">
        <f t="shared" si="58"/>
        <v>1</v>
      </c>
      <c r="AY152" s="252">
        <f t="shared" si="59"/>
        <v>1</v>
      </c>
      <c r="AZ152" s="252">
        <f t="shared" si="60"/>
        <v>1</v>
      </c>
      <c r="BA152" s="237"/>
      <c r="BB152" s="237"/>
      <c r="BC152" s="2562"/>
      <c r="BD152" s="2562"/>
      <c r="BE152" s="2562"/>
      <c r="BF152" s="2562"/>
      <c r="BG152" s="252">
        <f t="shared" si="61"/>
        <v>1</v>
      </c>
      <c r="BH152" s="2562"/>
      <c r="BI152" s="237"/>
      <c r="BJ152" s="252">
        <f t="shared" si="62"/>
        <v>1</v>
      </c>
      <c r="BK152" s="252">
        <f t="shared" si="63"/>
        <v>1</v>
      </c>
      <c r="BL152" s="252">
        <f t="shared" si="64"/>
        <v>1</v>
      </c>
      <c r="BM152" s="252">
        <f t="shared" si="65"/>
        <v>1</v>
      </c>
      <c r="BN152" s="252">
        <f t="shared" si="66"/>
        <v>1</v>
      </c>
      <c r="BO152" s="252">
        <f t="shared" si="67"/>
        <v>1</v>
      </c>
      <c r="BP152" s="2578"/>
      <c r="BQ152" s="2562"/>
      <c r="BR152" s="2562"/>
      <c r="BS152" s="2585"/>
      <c r="BT152" s="2585"/>
      <c r="BU152" s="2585"/>
    </row>
    <row r="153" spans="1:73" s="22" customFormat="1" ht="15.75" hidden="1" customHeight="1" outlineLevel="1">
      <c r="A153" s="2585"/>
      <c r="B153" s="44"/>
      <c r="C153" s="45"/>
      <c r="D153" s="46"/>
      <c r="E153" s="46"/>
      <c r="F153" s="45"/>
      <c r="G153" s="46"/>
      <c r="H153" s="45"/>
      <c r="I153" s="45"/>
      <c r="J153" s="47"/>
      <c r="K153" s="48"/>
      <c r="L153" s="47"/>
      <c r="M153" s="1913"/>
      <c r="N153" s="48"/>
      <c r="O153" s="49"/>
      <c r="P153" s="49"/>
      <c r="Q153" s="1884">
        <f t="shared" si="72"/>
        <v>0</v>
      </c>
      <c r="R153" s="1885">
        <f t="shared" si="68"/>
        <v>0</v>
      </c>
      <c r="S153" s="1885">
        <f t="shared" si="69"/>
        <v>0</v>
      </c>
      <c r="T153" s="1914"/>
      <c r="U153" s="1914"/>
      <c r="V153" s="1914"/>
      <c r="W153" s="50"/>
      <c r="X153" s="1891">
        <f t="shared" si="70"/>
        <v>0</v>
      </c>
      <c r="Y153" s="1891">
        <f t="shared" si="71"/>
        <v>0</v>
      </c>
      <c r="Z153" s="50"/>
      <c r="AA153" s="50"/>
      <c r="AB153" s="48"/>
      <c r="AC153" s="48"/>
      <c r="AD153" s="48"/>
      <c r="AE153" s="45"/>
      <c r="AF153" s="51"/>
      <c r="AG153" s="42"/>
      <c r="AH153" s="52" t="s">
        <v>4673</v>
      </c>
      <c r="AI153" s="197"/>
      <c r="AJ153" s="2578"/>
      <c r="AK153" s="2562"/>
      <c r="AL153" s="2578"/>
      <c r="AM153" s="2562"/>
      <c r="AN153" s="2562"/>
      <c r="AO153" s="2562"/>
      <c r="AP153" s="2562"/>
      <c r="AQ153" s="2562"/>
      <c r="AR153" s="2562"/>
      <c r="AS153" s="2562"/>
      <c r="AT153" s="252">
        <f t="shared" si="54"/>
        <v>1</v>
      </c>
      <c r="AU153" s="252">
        <f t="shared" si="55"/>
        <v>1</v>
      </c>
      <c r="AV153" s="252">
        <f t="shared" si="56"/>
        <v>1</v>
      </c>
      <c r="AW153" s="252">
        <f t="shared" si="57"/>
        <v>1</v>
      </c>
      <c r="AX153" s="252">
        <f t="shared" si="58"/>
        <v>1</v>
      </c>
      <c r="AY153" s="252">
        <f t="shared" si="59"/>
        <v>1</v>
      </c>
      <c r="AZ153" s="252">
        <f t="shared" si="60"/>
        <v>1</v>
      </c>
      <c r="BA153" s="237"/>
      <c r="BB153" s="237"/>
      <c r="BC153" s="2562"/>
      <c r="BD153" s="2562"/>
      <c r="BE153" s="2562"/>
      <c r="BF153" s="2562"/>
      <c r="BG153" s="252">
        <f t="shared" si="61"/>
        <v>1</v>
      </c>
      <c r="BH153" s="2562"/>
      <c r="BI153" s="237"/>
      <c r="BJ153" s="252">
        <f t="shared" si="62"/>
        <v>1</v>
      </c>
      <c r="BK153" s="252">
        <f t="shared" si="63"/>
        <v>1</v>
      </c>
      <c r="BL153" s="252">
        <f t="shared" si="64"/>
        <v>1</v>
      </c>
      <c r="BM153" s="252">
        <f t="shared" si="65"/>
        <v>1</v>
      </c>
      <c r="BN153" s="252">
        <f t="shared" si="66"/>
        <v>1</v>
      </c>
      <c r="BO153" s="252">
        <f t="shared" si="67"/>
        <v>1</v>
      </c>
      <c r="BP153" s="2578"/>
      <c r="BQ153" s="2562"/>
      <c r="BR153" s="2562"/>
      <c r="BS153" s="2585"/>
      <c r="BT153" s="2585"/>
      <c r="BU153" s="2585"/>
    </row>
    <row r="154" spans="1:73" s="22" customFormat="1" ht="15.75" hidden="1" customHeight="1" outlineLevel="1">
      <c r="A154" s="2585"/>
      <c r="B154" s="44"/>
      <c r="C154" s="45"/>
      <c r="D154" s="46"/>
      <c r="E154" s="46"/>
      <c r="F154" s="45"/>
      <c r="G154" s="46"/>
      <c r="H154" s="45"/>
      <c r="I154" s="45"/>
      <c r="J154" s="47"/>
      <c r="K154" s="48"/>
      <c r="L154" s="47"/>
      <c r="M154" s="1913"/>
      <c r="N154" s="48"/>
      <c r="O154" s="49"/>
      <c r="P154" s="49"/>
      <c r="Q154" s="1884">
        <f t="shared" si="72"/>
        <v>0</v>
      </c>
      <c r="R154" s="1885">
        <f t="shared" si="68"/>
        <v>0</v>
      </c>
      <c r="S154" s="1885">
        <f t="shared" si="69"/>
        <v>0</v>
      </c>
      <c r="T154" s="1914"/>
      <c r="U154" s="1914"/>
      <c r="V154" s="1914"/>
      <c r="W154" s="50"/>
      <c r="X154" s="1891">
        <f t="shared" si="70"/>
        <v>0</v>
      </c>
      <c r="Y154" s="1891">
        <f t="shared" si="71"/>
        <v>0</v>
      </c>
      <c r="Z154" s="50"/>
      <c r="AA154" s="50"/>
      <c r="AB154" s="48"/>
      <c r="AC154" s="48"/>
      <c r="AD154" s="48"/>
      <c r="AE154" s="45"/>
      <c r="AF154" s="51"/>
      <c r="AG154" s="42"/>
      <c r="AH154" s="52" t="s">
        <v>4674</v>
      </c>
      <c r="AI154" s="197"/>
      <c r="AJ154" s="2578"/>
      <c r="AK154" s="2562"/>
      <c r="AL154" s="2578"/>
      <c r="AM154" s="2562"/>
      <c r="AN154" s="2562"/>
      <c r="AO154" s="2562"/>
      <c r="AP154" s="2562"/>
      <c r="AQ154" s="2562"/>
      <c r="AR154" s="2562"/>
      <c r="AS154" s="2562"/>
      <c r="AT154" s="252">
        <f t="shared" si="54"/>
        <v>1</v>
      </c>
      <c r="AU154" s="252">
        <f t="shared" si="55"/>
        <v>1</v>
      </c>
      <c r="AV154" s="252">
        <f t="shared" si="56"/>
        <v>1</v>
      </c>
      <c r="AW154" s="252">
        <f t="shared" si="57"/>
        <v>1</v>
      </c>
      <c r="AX154" s="252">
        <f t="shared" si="58"/>
        <v>1</v>
      </c>
      <c r="AY154" s="252">
        <f t="shared" si="59"/>
        <v>1</v>
      </c>
      <c r="AZ154" s="252">
        <f t="shared" si="60"/>
        <v>1</v>
      </c>
      <c r="BA154" s="237"/>
      <c r="BB154" s="237"/>
      <c r="BC154" s="2562"/>
      <c r="BD154" s="2562"/>
      <c r="BE154" s="2562"/>
      <c r="BF154" s="2562"/>
      <c r="BG154" s="252">
        <f t="shared" si="61"/>
        <v>1</v>
      </c>
      <c r="BH154" s="2562"/>
      <c r="BI154" s="237"/>
      <c r="BJ154" s="252">
        <f t="shared" si="62"/>
        <v>1</v>
      </c>
      <c r="BK154" s="252">
        <f t="shared" si="63"/>
        <v>1</v>
      </c>
      <c r="BL154" s="252">
        <f t="shared" si="64"/>
        <v>1</v>
      </c>
      <c r="BM154" s="252">
        <f t="shared" si="65"/>
        <v>1</v>
      </c>
      <c r="BN154" s="252">
        <f t="shared" si="66"/>
        <v>1</v>
      </c>
      <c r="BO154" s="252">
        <f t="shared" si="67"/>
        <v>1</v>
      </c>
      <c r="BP154" s="2578"/>
      <c r="BQ154" s="2562"/>
      <c r="BR154" s="2562"/>
      <c r="BS154" s="2585"/>
      <c r="BT154" s="2585"/>
      <c r="BU154" s="2585"/>
    </row>
    <row r="155" spans="1:73" s="22" customFormat="1" ht="15.75" hidden="1" customHeight="1" outlineLevel="1">
      <c r="A155" s="2585"/>
      <c r="B155" s="44"/>
      <c r="C155" s="45"/>
      <c r="D155" s="46"/>
      <c r="E155" s="46"/>
      <c r="F155" s="45"/>
      <c r="G155" s="46"/>
      <c r="H155" s="45"/>
      <c r="I155" s="45"/>
      <c r="J155" s="47"/>
      <c r="K155" s="48"/>
      <c r="L155" s="47"/>
      <c r="M155" s="1913"/>
      <c r="N155" s="48"/>
      <c r="O155" s="49"/>
      <c r="P155" s="49"/>
      <c r="Q155" s="1884">
        <f t="shared" si="72"/>
        <v>0</v>
      </c>
      <c r="R155" s="1885">
        <f t="shared" si="68"/>
        <v>0</v>
      </c>
      <c r="S155" s="1885">
        <f t="shared" si="69"/>
        <v>0</v>
      </c>
      <c r="T155" s="1914"/>
      <c r="U155" s="1914"/>
      <c r="V155" s="1914"/>
      <c r="W155" s="50"/>
      <c r="X155" s="1891">
        <f t="shared" si="70"/>
        <v>0</v>
      </c>
      <c r="Y155" s="1891">
        <f t="shared" si="71"/>
        <v>0</v>
      </c>
      <c r="Z155" s="50"/>
      <c r="AA155" s="50"/>
      <c r="AB155" s="48"/>
      <c r="AC155" s="48"/>
      <c r="AD155" s="48"/>
      <c r="AE155" s="45"/>
      <c r="AF155" s="51"/>
      <c r="AG155" s="42"/>
      <c r="AH155" s="52" t="s">
        <v>4675</v>
      </c>
      <c r="AI155" s="197"/>
      <c r="AJ155" s="2578"/>
      <c r="AK155" s="2562"/>
      <c r="AL155" s="2578"/>
      <c r="AM155" s="2562"/>
      <c r="AN155" s="2562"/>
      <c r="AO155" s="2562"/>
      <c r="AP155" s="2562"/>
      <c r="AQ155" s="2562"/>
      <c r="AR155" s="2562"/>
      <c r="AS155" s="2562"/>
      <c r="AT155" s="252">
        <f t="shared" si="54"/>
        <v>1</v>
      </c>
      <c r="AU155" s="252">
        <f t="shared" si="55"/>
        <v>1</v>
      </c>
      <c r="AV155" s="252">
        <f t="shared" si="56"/>
        <v>1</v>
      </c>
      <c r="AW155" s="252">
        <f t="shared" si="57"/>
        <v>1</v>
      </c>
      <c r="AX155" s="252">
        <f t="shared" si="58"/>
        <v>1</v>
      </c>
      <c r="AY155" s="252">
        <f t="shared" si="59"/>
        <v>1</v>
      </c>
      <c r="AZ155" s="252">
        <f t="shared" si="60"/>
        <v>1</v>
      </c>
      <c r="BA155" s="237"/>
      <c r="BB155" s="237"/>
      <c r="BC155" s="2562"/>
      <c r="BD155" s="2562"/>
      <c r="BE155" s="2562"/>
      <c r="BF155" s="2562"/>
      <c r="BG155" s="252">
        <f t="shared" si="61"/>
        <v>1</v>
      </c>
      <c r="BH155" s="2562"/>
      <c r="BI155" s="237"/>
      <c r="BJ155" s="252">
        <f t="shared" si="62"/>
        <v>1</v>
      </c>
      <c r="BK155" s="252">
        <f t="shared" si="63"/>
        <v>1</v>
      </c>
      <c r="BL155" s="252">
        <f t="shared" si="64"/>
        <v>1</v>
      </c>
      <c r="BM155" s="252">
        <f t="shared" si="65"/>
        <v>1</v>
      </c>
      <c r="BN155" s="252">
        <f t="shared" si="66"/>
        <v>1</v>
      </c>
      <c r="BO155" s="252">
        <f t="shared" si="67"/>
        <v>1</v>
      </c>
      <c r="BP155" s="2578"/>
      <c r="BQ155" s="2562"/>
      <c r="BR155" s="2562"/>
      <c r="BS155" s="2585"/>
      <c r="BT155" s="2585"/>
      <c r="BU155" s="2585"/>
    </row>
    <row r="156" spans="1:73" s="22" customFormat="1" ht="15.75" hidden="1" customHeight="1" outlineLevel="1">
      <c r="A156" s="2585"/>
      <c r="B156" s="44"/>
      <c r="C156" s="45"/>
      <c r="D156" s="46"/>
      <c r="E156" s="46"/>
      <c r="F156" s="45"/>
      <c r="G156" s="46"/>
      <c r="H156" s="45"/>
      <c r="I156" s="45"/>
      <c r="J156" s="47"/>
      <c r="K156" s="48"/>
      <c r="L156" s="47"/>
      <c r="M156" s="1913"/>
      <c r="N156" s="48"/>
      <c r="O156" s="49"/>
      <c r="P156" s="49"/>
      <c r="Q156" s="1884">
        <f t="shared" si="72"/>
        <v>0</v>
      </c>
      <c r="R156" s="1885">
        <f t="shared" si="68"/>
        <v>0</v>
      </c>
      <c r="S156" s="1885">
        <f t="shared" si="69"/>
        <v>0</v>
      </c>
      <c r="T156" s="1914"/>
      <c r="U156" s="1914"/>
      <c r="V156" s="1914"/>
      <c r="W156" s="50"/>
      <c r="X156" s="1891">
        <f t="shared" si="70"/>
        <v>0</v>
      </c>
      <c r="Y156" s="1891">
        <f t="shared" si="71"/>
        <v>0</v>
      </c>
      <c r="Z156" s="50"/>
      <c r="AA156" s="50"/>
      <c r="AB156" s="48"/>
      <c r="AC156" s="48"/>
      <c r="AD156" s="48"/>
      <c r="AE156" s="45"/>
      <c r="AF156" s="51"/>
      <c r="AG156" s="42"/>
      <c r="AH156" s="52" t="s">
        <v>4676</v>
      </c>
      <c r="AI156" s="197"/>
      <c r="AJ156" s="2578"/>
      <c r="AK156" s="2562"/>
      <c r="AL156" s="2578"/>
      <c r="AM156" s="2562"/>
      <c r="AN156" s="2562"/>
      <c r="AO156" s="2562"/>
      <c r="AP156" s="2562"/>
      <c r="AQ156" s="2562"/>
      <c r="AR156" s="2562"/>
      <c r="AS156" s="2562"/>
      <c r="AT156" s="252">
        <f t="shared" si="54"/>
        <v>1</v>
      </c>
      <c r="AU156" s="252">
        <f t="shared" si="55"/>
        <v>1</v>
      </c>
      <c r="AV156" s="252">
        <f t="shared" si="56"/>
        <v>1</v>
      </c>
      <c r="AW156" s="252">
        <f t="shared" si="57"/>
        <v>1</v>
      </c>
      <c r="AX156" s="252">
        <f t="shared" si="58"/>
        <v>1</v>
      </c>
      <c r="AY156" s="252">
        <f t="shared" si="59"/>
        <v>1</v>
      </c>
      <c r="AZ156" s="252">
        <f t="shared" si="60"/>
        <v>1</v>
      </c>
      <c r="BA156" s="237"/>
      <c r="BB156" s="237"/>
      <c r="BC156" s="2562"/>
      <c r="BD156" s="2562"/>
      <c r="BE156" s="2562"/>
      <c r="BF156" s="2562"/>
      <c r="BG156" s="252">
        <f t="shared" si="61"/>
        <v>1</v>
      </c>
      <c r="BH156" s="2562"/>
      <c r="BI156" s="237"/>
      <c r="BJ156" s="252">
        <f t="shared" si="62"/>
        <v>1</v>
      </c>
      <c r="BK156" s="252">
        <f t="shared" si="63"/>
        <v>1</v>
      </c>
      <c r="BL156" s="252">
        <f t="shared" si="64"/>
        <v>1</v>
      </c>
      <c r="BM156" s="252">
        <f t="shared" si="65"/>
        <v>1</v>
      </c>
      <c r="BN156" s="252">
        <f t="shared" si="66"/>
        <v>1</v>
      </c>
      <c r="BO156" s="252">
        <f t="shared" si="67"/>
        <v>1</v>
      </c>
      <c r="BP156" s="2578"/>
      <c r="BQ156" s="2562"/>
      <c r="BR156" s="2562"/>
      <c r="BS156" s="2585"/>
      <c r="BT156" s="2585"/>
      <c r="BU156" s="2585"/>
    </row>
    <row r="157" spans="1:73" s="22" customFormat="1" ht="15.75" hidden="1" customHeight="1" outlineLevel="1">
      <c r="A157" s="2585"/>
      <c r="B157" s="44"/>
      <c r="C157" s="45"/>
      <c r="D157" s="46"/>
      <c r="E157" s="46"/>
      <c r="F157" s="45"/>
      <c r="G157" s="46"/>
      <c r="H157" s="45"/>
      <c r="I157" s="45"/>
      <c r="J157" s="47"/>
      <c r="K157" s="48"/>
      <c r="L157" s="47"/>
      <c r="M157" s="1913"/>
      <c r="N157" s="48"/>
      <c r="O157" s="49"/>
      <c r="P157" s="49"/>
      <c r="Q157" s="1884">
        <f t="shared" si="72"/>
        <v>0</v>
      </c>
      <c r="R157" s="1885">
        <f t="shared" si="68"/>
        <v>0</v>
      </c>
      <c r="S157" s="1885">
        <f t="shared" si="69"/>
        <v>0</v>
      </c>
      <c r="T157" s="1914"/>
      <c r="U157" s="1914"/>
      <c r="V157" s="1914"/>
      <c r="W157" s="50"/>
      <c r="X157" s="1891">
        <f t="shared" si="70"/>
        <v>0</v>
      </c>
      <c r="Y157" s="1891">
        <f t="shared" si="71"/>
        <v>0</v>
      </c>
      <c r="Z157" s="50"/>
      <c r="AA157" s="50"/>
      <c r="AB157" s="48"/>
      <c r="AC157" s="48"/>
      <c r="AD157" s="48"/>
      <c r="AE157" s="45"/>
      <c r="AF157" s="51"/>
      <c r="AG157" s="42"/>
      <c r="AH157" s="52" t="s">
        <v>4677</v>
      </c>
      <c r="AI157" s="197"/>
      <c r="AJ157" s="2578"/>
      <c r="AK157" s="2562"/>
      <c r="AL157" s="2578"/>
      <c r="AM157" s="2562"/>
      <c r="AN157" s="2562"/>
      <c r="AO157" s="2562"/>
      <c r="AP157" s="2562"/>
      <c r="AQ157" s="2562"/>
      <c r="AR157" s="2562"/>
      <c r="AS157" s="2562"/>
      <c r="AT157" s="252">
        <f t="shared" si="54"/>
        <v>1</v>
      </c>
      <c r="AU157" s="252">
        <f t="shared" si="55"/>
        <v>1</v>
      </c>
      <c r="AV157" s="252">
        <f t="shared" si="56"/>
        <v>1</v>
      </c>
      <c r="AW157" s="252">
        <f t="shared" si="57"/>
        <v>1</v>
      </c>
      <c r="AX157" s="252">
        <f t="shared" si="58"/>
        <v>1</v>
      </c>
      <c r="AY157" s="252">
        <f t="shared" si="59"/>
        <v>1</v>
      </c>
      <c r="AZ157" s="252">
        <f t="shared" si="60"/>
        <v>1</v>
      </c>
      <c r="BA157" s="237"/>
      <c r="BB157" s="237"/>
      <c r="BC157" s="2562"/>
      <c r="BD157" s="2562"/>
      <c r="BE157" s="2562"/>
      <c r="BF157" s="2562"/>
      <c r="BG157" s="252">
        <f t="shared" si="61"/>
        <v>1</v>
      </c>
      <c r="BH157" s="2562"/>
      <c r="BI157" s="237"/>
      <c r="BJ157" s="252">
        <f t="shared" si="62"/>
        <v>1</v>
      </c>
      <c r="BK157" s="252">
        <f t="shared" si="63"/>
        <v>1</v>
      </c>
      <c r="BL157" s="252">
        <f t="shared" si="64"/>
        <v>1</v>
      </c>
      <c r="BM157" s="252">
        <f t="shared" si="65"/>
        <v>1</v>
      </c>
      <c r="BN157" s="252">
        <f t="shared" si="66"/>
        <v>1</v>
      </c>
      <c r="BO157" s="252">
        <f t="shared" si="67"/>
        <v>1</v>
      </c>
      <c r="BP157" s="2578"/>
      <c r="BQ157" s="2562"/>
      <c r="BR157" s="2562"/>
      <c r="BS157" s="2585"/>
      <c r="BT157" s="2585"/>
      <c r="BU157" s="2585"/>
    </row>
    <row r="158" spans="1:73" s="22" customFormat="1" ht="15.75" hidden="1" customHeight="1" outlineLevel="1">
      <c r="A158" s="2585"/>
      <c r="B158" s="44"/>
      <c r="C158" s="45"/>
      <c r="D158" s="46"/>
      <c r="E158" s="46"/>
      <c r="F158" s="45"/>
      <c r="G158" s="46"/>
      <c r="H158" s="45"/>
      <c r="I158" s="45"/>
      <c r="J158" s="47"/>
      <c r="K158" s="48"/>
      <c r="L158" s="47"/>
      <c r="M158" s="1913"/>
      <c r="N158" s="48"/>
      <c r="O158" s="49"/>
      <c r="P158" s="49"/>
      <c r="Q158" s="1884">
        <f t="shared" si="72"/>
        <v>0</v>
      </c>
      <c r="R158" s="1885">
        <f t="shared" si="68"/>
        <v>0</v>
      </c>
      <c r="S158" s="1885">
        <f t="shared" si="69"/>
        <v>0</v>
      </c>
      <c r="T158" s="1914"/>
      <c r="U158" s="1914"/>
      <c r="V158" s="1914"/>
      <c r="W158" s="50"/>
      <c r="X158" s="1891">
        <f t="shared" si="70"/>
        <v>0</v>
      </c>
      <c r="Y158" s="1891">
        <f t="shared" si="71"/>
        <v>0</v>
      </c>
      <c r="Z158" s="50"/>
      <c r="AA158" s="50"/>
      <c r="AB158" s="48"/>
      <c r="AC158" s="48"/>
      <c r="AD158" s="48"/>
      <c r="AE158" s="45"/>
      <c r="AF158" s="51"/>
      <c r="AG158" s="42"/>
      <c r="AH158" s="52" t="s">
        <v>4678</v>
      </c>
      <c r="AI158" s="197"/>
      <c r="AJ158" s="2578"/>
      <c r="AK158" s="2562"/>
      <c r="AL158" s="2578"/>
      <c r="AM158" s="2562"/>
      <c r="AN158" s="2562"/>
      <c r="AO158" s="2562"/>
      <c r="AP158" s="2562"/>
      <c r="AQ158" s="2562"/>
      <c r="AR158" s="2562"/>
      <c r="AS158" s="2562"/>
      <c r="AT158" s="252">
        <f t="shared" si="54"/>
        <v>1</v>
      </c>
      <c r="AU158" s="252">
        <f t="shared" si="55"/>
        <v>1</v>
      </c>
      <c r="AV158" s="252">
        <f t="shared" si="56"/>
        <v>1</v>
      </c>
      <c r="AW158" s="252">
        <f t="shared" si="57"/>
        <v>1</v>
      </c>
      <c r="AX158" s="252">
        <f t="shared" si="58"/>
        <v>1</v>
      </c>
      <c r="AY158" s="252">
        <f t="shared" si="59"/>
        <v>1</v>
      </c>
      <c r="AZ158" s="252">
        <f t="shared" si="60"/>
        <v>1</v>
      </c>
      <c r="BA158" s="237"/>
      <c r="BB158" s="237"/>
      <c r="BC158" s="2562"/>
      <c r="BD158" s="2562"/>
      <c r="BE158" s="2562"/>
      <c r="BF158" s="2562"/>
      <c r="BG158" s="252">
        <f t="shared" si="61"/>
        <v>1</v>
      </c>
      <c r="BH158" s="2562"/>
      <c r="BI158" s="237"/>
      <c r="BJ158" s="252">
        <f t="shared" si="62"/>
        <v>1</v>
      </c>
      <c r="BK158" s="252">
        <f t="shared" si="63"/>
        <v>1</v>
      </c>
      <c r="BL158" s="252">
        <f t="shared" si="64"/>
        <v>1</v>
      </c>
      <c r="BM158" s="252">
        <f t="shared" si="65"/>
        <v>1</v>
      </c>
      <c r="BN158" s="252">
        <f t="shared" si="66"/>
        <v>1</v>
      </c>
      <c r="BO158" s="252">
        <f t="shared" si="67"/>
        <v>1</v>
      </c>
      <c r="BP158" s="2578"/>
      <c r="BQ158" s="2562"/>
      <c r="BR158" s="2562"/>
      <c r="BS158" s="2585"/>
      <c r="BT158" s="2585"/>
      <c r="BU158" s="2585"/>
    </row>
    <row r="159" spans="1:73" s="22" customFormat="1" ht="15.75" customHeight="1" collapsed="1" thickBot="1">
      <c r="A159" s="2585"/>
      <c r="B159" s="53" t="s">
        <v>4679</v>
      </c>
      <c r="C159" s="1915"/>
      <c r="D159" s="1915"/>
      <c r="E159" s="1915"/>
      <c r="F159" s="1916"/>
      <c r="G159" s="1916"/>
      <c r="H159" s="1917"/>
      <c r="I159" s="1917"/>
      <c r="J159" s="1918"/>
      <c r="K159" s="1919"/>
      <c r="L159" s="1918"/>
      <c r="M159" s="1920"/>
      <c r="N159" s="1887">
        <f>SUM(N9:N158)</f>
        <v>3085.45</v>
      </c>
      <c r="O159" s="1887">
        <f>SUM(O9:O158)</f>
        <v>2957.5349999999999</v>
      </c>
      <c r="P159" s="1887">
        <f>SUM(P9:P158)</f>
        <v>1900.9459999999995</v>
      </c>
      <c r="Q159" s="1886">
        <f>SUM(Q9:Q158)</f>
        <v>33016.022614894253</v>
      </c>
      <c r="R159" s="1920"/>
      <c r="S159" s="1920"/>
      <c r="T159" s="1920"/>
      <c r="U159" s="1920"/>
      <c r="V159" s="1920"/>
      <c r="W159" s="1920"/>
      <c r="X159" s="1887">
        <f>SUM(X9:X158)</f>
        <v>64.383602313999972</v>
      </c>
      <c r="Y159" s="1887">
        <f>SUM(Y9:Y158)</f>
        <v>64.383602313999972</v>
      </c>
      <c r="Z159" s="1921"/>
      <c r="AA159" s="1921"/>
      <c r="AB159" s="1887">
        <f>SUM(AB9:AB158)</f>
        <v>-19.662154121714728</v>
      </c>
      <c r="AC159" s="1887">
        <f>SUM(AC9:AC158)</f>
        <v>3293.1634249433641</v>
      </c>
      <c r="AD159" s="1887">
        <f>SUM(AD9:AD158)</f>
        <v>3069.379817187466</v>
      </c>
      <c r="AE159" s="1917"/>
      <c r="AF159" s="1922"/>
      <c r="AG159" s="42"/>
      <c r="AH159" s="54" t="s">
        <v>4680</v>
      </c>
      <c r="AI159" s="197"/>
      <c r="AJ159" s="2578"/>
      <c r="AK159" s="251"/>
      <c r="AL159" s="2578"/>
      <c r="AM159" s="2562"/>
      <c r="AN159" s="2562"/>
      <c r="AO159" s="2562"/>
      <c r="AP159" s="2562"/>
      <c r="AQ159" s="2562"/>
      <c r="AR159" s="2562"/>
      <c r="AS159" s="2562"/>
      <c r="AT159" s="2562"/>
      <c r="AU159" s="2562"/>
      <c r="AV159" s="2562"/>
      <c r="AW159" s="2562"/>
      <c r="AX159" s="2562"/>
      <c r="AY159" s="2562"/>
      <c r="AZ159" s="2562"/>
      <c r="BA159" s="2562"/>
      <c r="BB159" s="2562"/>
      <c r="BC159" s="2562"/>
      <c r="BD159" s="2562"/>
      <c r="BE159" s="2562"/>
      <c r="BF159" s="2562"/>
      <c r="BG159" s="2562"/>
      <c r="BH159" s="2562"/>
      <c r="BI159" s="2562"/>
      <c r="BJ159" s="2562"/>
      <c r="BK159" s="2562"/>
      <c r="BL159" s="2562"/>
      <c r="BM159" s="2562"/>
      <c r="BN159" s="2562"/>
      <c r="BO159" s="252">
        <f t="shared" ref="BO159" si="73" xml:space="preserve"> IF( ISNUMBER(AF159 ), 0, 1 )</f>
        <v>1</v>
      </c>
      <c r="BP159" s="2578"/>
      <c r="BQ159" s="2562"/>
      <c r="BR159" s="2562"/>
      <c r="BS159" s="2585"/>
      <c r="BT159" s="2585"/>
      <c r="BU159" s="2585"/>
    </row>
    <row r="160" spans="1:73" s="22" customFormat="1" ht="15.75" customHeight="1" thickTop="1" thickBot="1">
      <c r="A160" s="2585"/>
      <c r="B160" s="55"/>
      <c r="C160" s="1923"/>
      <c r="D160" s="1923"/>
      <c r="E160" s="1923"/>
      <c r="F160" s="1924"/>
      <c r="G160" s="1924"/>
      <c r="H160" s="1924"/>
      <c r="I160" s="1924"/>
      <c r="J160" s="1925"/>
      <c r="K160" s="1926"/>
      <c r="L160" s="1925"/>
      <c r="M160" s="1926"/>
      <c r="N160" s="1926"/>
      <c r="O160" s="1927"/>
      <c r="P160" s="1927"/>
      <c r="Q160" s="1927"/>
      <c r="R160" s="1926"/>
      <c r="S160" s="1926"/>
      <c r="T160" s="1926"/>
      <c r="U160" s="1926"/>
      <c r="V160" s="1926"/>
      <c r="W160" s="1926"/>
      <c r="X160" s="1927"/>
      <c r="Y160" s="1927"/>
      <c r="Z160" s="1927"/>
      <c r="AA160" s="1927"/>
      <c r="AB160" s="1926"/>
      <c r="AC160" s="1926"/>
      <c r="AD160" s="1926"/>
      <c r="AE160" s="1924"/>
      <c r="AF160" s="1926"/>
      <c r="AG160" s="42"/>
      <c r="AH160" s="28"/>
      <c r="AI160" s="197"/>
      <c r="AJ160" s="2578"/>
      <c r="AK160" s="2562"/>
      <c r="AL160" s="2578"/>
      <c r="AM160" s="2562"/>
      <c r="AN160" s="2562"/>
      <c r="AO160" s="2562"/>
      <c r="AP160" s="2562"/>
      <c r="AQ160" s="2562"/>
      <c r="AR160" s="2562"/>
      <c r="AS160" s="2562"/>
      <c r="AT160" s="2562"/>
      <c r="AU160" s="2562"/>
      <c r="AV160" s="2562"/>
      <c r="AW160" s="2562"/>
      <c r="AX160" s="2562"/>
      <c r="AY160" s="2562"/>
      <c r="AZ160" s="2562"/>
      <c r="BA160" s="2562"/>
      <c r="BB160" s="2562"/>
      <c r="BC160" s="2562"/>
      <c r="BD160" s="2562"/>
      <c r="BE160" s="2562"/>
      <c r="BF160" s="2562"/>
      <c r="BG160" s="2562"/>
      <c r="BH160" s="2562"/>
      <c r="BI160" s="2562"/>
      <c r="BJ160" s="2562"/>
      <c r="BK160" s="2562"/>
      <c r="BL160" s="2562"/>
      <c r="BM160" s="2562"/>
      <c r="BN160" s="2562"/>
      <c r="BO160" s="2562"/>
      <c r="BP160" s="2578"/>
      <c r="BQ160" s="2562"/>
      <c r="BR160" s="2562"/>
      <c r="BS160" s="2585"/>
      <c r="BT160" s="2585"/>
      <c r="BU160" s="2585"/>
    </row>
    <row r="161" spans="1:73" s="22" customFormat="1" ht="15.75" customHeight="1" thickTop="1" thickBot="1">
      <c r="A161" s="2585"/>
      <c r="B161" s="33" t="s">
        <v>4681</v>
      </c>
      <c r="C161" s="1924"/>
      <c r="D161" s="1924"/>
      <c r="E161" s="1924"/>
      <c r="F161" s="1924"/>
      <c r="G161" s="1924"/>
      <c r="H161" s="1924"/>
      <c r="I161" s="1924"/>
      <c r="J161" s="1925"/>
      <c r="K161" s="1926"/>
      <c r="L161" s="1925"/>
      <c r="M161" s="1926"/>
      <c r="N161" s="1926"/>
      <c r="O161" s="1927"/>
      <c r="P161" s="1927"/>
      <c r="Q161" s="1927"/>
      <c r="R161" s="1926"/>
      <c r="S161" s="1926"/>
      <c r="T161" s="1926"/>
      <c r="U161" s="1926"/>
      <c r="V161" s="1926"/>
      <c r="W161" s="1926"/>
      <c r="X161" s="1927"/>
      <c r="Y161" s="1927"/>
      <c r="Z161" s="1927"/>
      <c r="AA161" s="1927"/>
      <c r="AB161" s="1926"/>
      <c r="AC161" s="1926"/>
      <c r="AD161" s="1926"/>
      <c r="AE161" s="1924"/>
      <c r="AF161" s="1926"/>
      <c r="AG161" s="42"/>
      <c r="AH161" s="28"/>
      <c r="AI161" s="197"/>
      <c r="AJ161" s="2578"/>
      <c r="AK161" s="2562"/>
      <c r="AL161" s="2578"/>
      <c r="AM161" s="2562"/>
      <c r="AN161" s="2562"/>
      <c r="AO161" s="2562"/>
      <c r="AP161" s="2562"/>
      <c r="AQ161" s="2562"/>
      <c r="AR161" s="2562"/>
      <c r="AS161" s="2562"/>
      <c r="AT161" s="2562"/>
      <c r="AU161" s="2562"/>
      <c r="AV161" s="2562"/>
      <c r="AW161" s="2562"/>
      <c r="AX161" s="2562"/>
      <c r="AY161" s="2562"/>
      <c r="AZ161" s="2562"/>
      <c r="BA161" s="2562"/>
      <c r="BB161" s="2562"/>
      <c r="BC161" s="2562"/>
      <c r="BD161" s="2562"/>
      <c r="BE161" s="2562"/>
      <c r="BF161" s="2562"/>
      <c r="BG161" s="2562"/>
      <c r="BH161" s="2562"/>
      <c r="BI161" s="2562"/>
      <c r="BJ161" s="2562"/>
      <c r="BK161" s="2562"/>
      <c r="BL161" s="2562"/>
      <c r="BM161" s="2562"/>
      <c r="BN161" s="2562"/>
      <c r="BO161" s="2562"/>
      <c r="BP161" s="2578"/>
      <c r="BQ161" s="2562"/>
      <c r="BR161" s="2562"/>
      <c r="BS161" s="2585"/>
      <c r="BT161" s="2585"/>
      <c r="BU161" s="2585"/>
    </row>
    <row r="162" spans="1:73" s="22" customFormat="1" ht="15.75" customHeight="1" thickTop="1">
      <c r="A162" s="2585"/>
      <c r="B162" s="35" t="s">
        <v>4682</v>
      </c>
      <c r="C162" s="36" t="s">
        <v>4438</v>
      </c>
      <c r="D162" s="37" t="s">
        <v>4457</v>
      </c>
      <c r="E162" s="37" t="s">
        <v>4429</v>
      </c>
      <c r="F162" s="36" t="s">
        <v>4683</v>
      </c>
      <c r="G162" s="36" t="s">
        <v>4431</v>
      </c>
      <c r="H162" s="36" t="s">
        <v>4459</v>
      </c>
      <c r="I162" s="36" t="s">
        <v>4433</v>
      </c>
      <c r="J162" s="38" t="s">
        <v>4684</v>
      </c>
      <c r="K162" s="39">
        <v>100</v>
      </c>
      <c r="L162" s="38" t="s">
        <v>4685</v>
      </c>
      <c r="M162" s="1911">
        <v>0.70277777777777772</v>
      </c>
      <c r="N162" s="39">
        <v>15.723269999999999</v>
      </c>
      <c r="O162" s="39">
        <v>15.723000000000001</v>
      </c>
      <c r="P162" s="39">
        <v>15.723000000000001</v>
      </c>
      <c r="Q162" s="1882">
        <f>IFERROR(M162*O162,"")</f>
        <v>11.049775</v>
      </c>
      <c r="R162" s="1883">
        <f t="shared" ref="R162:R225" si="74">IF(W162=0,0,((1+W162)/(1+$C$626))-1)</f>
        <v>-7.5108037854030529E-2</v>
      </c>
      <c r="S162" s="1883">
        <f t="shared" ref="S162:S225" si="75">IF(W162=0,0,((1+W162)/(1+$C$627))-1)</f>
        <v>-4.6274553141970598E-2</v>
      </c>
      <c r="T162" s="40" t="s">
        <v>4686</v>
      </c>
      <c r="U162" s="40">
        <v>3.2124E-2</v>
      </c>
      <c r="V162" s="40">
        <v>1.7707000000000001E-2</v>
      </c>
      <c r="W162" s="1883">
        <f t="shared" ref="W162:W225" si="76">V162+U162</f>
        <v>4.9831E-2</v>
      </c>
      <c r="X162" s="1890">
        <f t="shared" ref="X162:X225" si="77">W162*P162</f>
        <v>0.78349281300000007</v>
      </c>
      <c r="Y162" s="1890">
        <f t="shared" ref="Y162:Y225" si="78">X162</f>
        <v>0.78349281300000007</v>
      </c>
      <c r="Z162" s="40">
        <v>0</v>
      </c>
      <c r="AA162" s="40">
        <v>0</v>
      </c>
      <c r="AB162" s="39">
        <v>-0.50687115999999999</v>
      </c>
      <c r="AC162" s="39">
        <v>119.09220475877122</v>
      </c>
      <c r="AD162" s="39">
        <v>119.09220475877122</v>
      </c>
      <c r="AE162" s="36" t="s">
        <v>4435</v>
      </c>
      <c r="AF162" s="41" t="s">
        <v>4687</v>
      </c>
      <c r="AG162" s="42"/>
      <c r="AH162" s="43" t="s">
        <v>4688</v>
      </c>
      <c r="AI162" s="197"/>
      <c r="AJ162" s="2578"/>
      <c r="AK162" s="251"/>
      <c r="AL162" s="2578"/>
      <c r="AM162" s="2562"/>
      <c r="AN162" s="2562"/>
      <c r="AO162" s="2562"/>
      <c r="AP162" s="2562"/>
      <c r="AQ162" s="2562"/>
      <c r="AR162" s="2562"/>
      <c r="AS162" s="2562"/>
      <c r="AT162" s="252">
        <f t="shared" ref="AT162:AT225" si="79" xml:space="preserve"> IF( ISNUMBER(J162 ), 0, 1 )</f>
        <v>1</v>
      </c>
      <c r="AU162" s="252">
        <f t="shared" ref="AU162:AU225" si="80" xml:space="preserve"> IF( ISNUMBER(K162 ), 0, 1 )</f>
        <v>0</v>
      </c>
      <c r="AV162" s="252">
        <f t="shared" ref="AV162:AV225" si="81" xml:space="preserve"> IF( ISNUMBER(L162 ), 0, 1 )</f>
        <v>1</v>
      </c>
      <c r="AW162" s="252">
        <f t="shared" ref="AW162:AW225" si="82" xml:space="preserve"> IF( ISNUMBER(M162 ), 0, 1 )</f>
        <v>0</v>
      </c>
      <c r="AX162" s="252">
        <f t="shared" ref="AX162:AX225" si="83" xml:space="preserve"> IF( ISNUMBER(N162 ), 0, 1 )</f>
        <v>0</v>
      </c>
      <c r="AY162" s="252">
        <f t="shared" ref="AY162:AY225" si="84" xml:space="preserve"> IF( ISNUMBER(O162 ), 0, 1 )</f>
        <v>0</v>
      </c>
      <c r="AZ162" s="252">
        <f t="shared" ref="AZ162:AZ225" si="85" xml:space="preserve"> IF( ISNUMBER(P162 ), 0, 1 )</f>
        <v>0</v>
      </c>
      <c r="BA162" s="237"/>
      <c r="BB162" s="237"/>
      <c r="BC162" s="237"/>
      <c r="BD162" s="2562"/>
      <c r="BE162" s="252">
        <f t="shared" ref="BE162:BE225" si="86" xml:space="preserve"> IF( ISNUMBER(U162 ), 0, 1 )</f>
        <v>0</v>
      </c>
      <c r="BF162" s="252">
        <f t="shared" ref="BF162:BF225" si="87" xml:space="preserve"> IF( ISNUMBER(V162 ), 0, 1 )</f>
        <v>0</v>
      </c>
      <c r="BG162" s="2562"/>
      <c r="BH162" s="237"/>
      <c r="BI162" s="237"/>
      <c r="BJ162" s="252">
        <f t="shared" ref="BJ162:BJ225" si="88" xml:space="preserve"> IF( ISNUMBER(Z162 ), 0, 1 )</f>
        <v>0</v>
      </c>
      <c r="BK162" s="252">
        <f t="shared" ref="BK162:BK225" si="89" xml:space="preserve"> IF( ISNUMBER(AA162 ), 0, 1 )</f>
        <v>0</v>
      </c>
      <c r="BL162" s="252">
        <f t="shared" ref="BL162:BL225" si="90" xml:space="preserve"> IF( ISNUMBER(AB162 ), 0, 1 )</f>
        <v>0</v>
      </c>
      <c r="BM162" s="252">
        <f t="shared" ref="BM162:BM225" si="91" xml:space="preserve"> IF( ISNUMBER(AC162 ), 0, 1 )</f>
        <v>0</v>
      </c>
      <c r="BN162" s="252">
        <f t="shared" ref="BN162:BN225" si="92" xml:space="preserve"> IF( ISNUMBER(AD162 ), 0, 1 )</f>
        <v>0</v>
      </c>
      <c r="BO162" s="252">
        <f t="shared" ref="BO162:BO225" si="93" xml:space="preserve"> IF( ISNUMBER(AF162 ), 0, 1 )</f>
        <v>1</v>
      </c>
      <c r="BP162" s="2578"/>
      <c r="BQ162" s="2562"/>
      <c r="BR162" s="2562"/>
      <c r="BS162" s="2585"/>
      <c r="BT162" s="2585"/>
      <c r="BU162" s="2585"/>
    </row>
    <row r="163" spans="1:73" s="22" customFormat="1" ht="15.75" customHeight="1" outlineLevel="1">
      <c r="A163" s="2585"/>
      <c r="B163" s="44" t="s">
        <v>4689</v>
      </c>
      <c r="C163" s="45" t="s">
        <v>4438</v>
      </c>
      <c r="D163" s="46" t="s">
        <v>4457</v>
      </c>
      <c r="E163" s="46" t="s">
        <v>4429</v>
      </c>
      <c r="F163" s="45" t="s">
        <v>4683</v>
      </c>
      <c r="G163" s="46" t="s">
        <v>4431</v>
      </c>
      <c r="H163" s="45" t="s">
        <v>4459</v>
      </c>
      <c r="I163" s="45" t="s">
        <v>4433</v>
      </c>
      <c r="J163" s="47" t="s">
        <v>4684</v>
      </c>
      <c r="K163" s="48">
        <v>100</v>
      </c>
      <c r="L163" s="47" t="s">
        <v>4685</v>
      </c>
      <c r="M163" s="1913">
        <v>0.70277777777777772</v>
      </c>
      <c r="N163" s="48">
        <v>47.089847429999999</v>
      </c>
      <c r="O163" s="49">
        <v>47.09</v>
      </c>
      <c r="P163" s="49">
        <v>47.09</v>
      </c>
      <c r="Q163" s="1884">
        <f>IFERROR(M163*O163,"")</f>
        <v>33.093805555555555</v>
      </c>
      <c r="R163" s="1885">
        <f t="shared" si="74"/>
        <v>-7.6693822167755998E-2</v>
      </c>
      <c r="S163" s="1885">
        <f t="shared" si="75"/>
        <v>-4.7909774243599768E-2</v>
      </c>
      <c r="T163" s="50" t="s">
        <v>4686</v>
      </c>
      <c r="U163" s="50">
        <v>3.2124E-2</v>
      </c>
      <c r="V163" s="50">
        <v>1.5907000000000001E-2</v>
      </c>
      <c r="W163" s="1885">
        <f t="shared" si="76"/>
        <v>4.8031000000000004E-2</v>
      </c>
      <c r="X163" s="1891">
        <f t="shared" si="77"/>
        <v>2.2617797900000003</v>
      </c>
      <c r="Y163" s="1891">
        <f t="shared" si="78"/>
        <v>2.2617797900000003</v>
      </c>
      <c r="Z163" s="50">
        <v>0</v>
      </c>
      <c r="AA163" s="50">
        <v>0</v>
      </c>
      <c r="AB163" s="48">
        <v>0</v>
      </c>
      <c r="AC163" s="48">
        <v>0</v>
      </c>
      <c r="AD163" s="48">
        <v>0</v>
      </c>
      <c r="AE163" s="45" t="s">
        <v>4435</v>
      </c>
      <c r="AF163" s="51" t="s">
        <v>4690</v>
      </c>
      <c r="AG163" s="42"/>
      <c r="AH163" s="52" t="s">
        <v>4691</v>
      </c>
      <c r="AI163" s="197"/>
      <c r="AJ163" s="2578"/>
      <c r="AK163" s="251"/>
      <c r="AL163" s="2578"/>
      <c r="AM163" s="2562"/>
      <c r="AN163" s="2562"/>
      <c r="AO163" s="2562"/>
      <c r="AP163" s="2562"/>
      <c r="AQ163" s="2562"/>
      <c r="AR163" s="2562"/>
      <c r="AS163" s="2562"/>
      <c r="AT163" s="252">
        <f t="shared" si="79"/>
        <v>1</v>
      </c>
      <c r="AU163" s="252">
        <f t="shared" si="80"/>
        <v>0</v>
      </c>
      <c r="AV163" s="252">
        <f t="shared" si="81"/>
        <v>1</v>
      </c>
      <c r="AW163" s="252">
        <f t="shared" si="82"/>
        <v>0</v>
      </c>
      <c r="AX163" s="252">
        <f t="shared" si="83"/>
        <v>0</v>
      </c>
      <c r="AY163" s="252">
        <f t="shared" si="84"/>
        <v>0</v>
      </c>
      <c r="AZ163" s="252">
        <f t="shared" si="85"/>
        <v>0</v>
      </c>
      <c r="BA163" s="237"/>
      <c r="BB163" s="237"/>
      <c r="BC163" s="237"/>
      <c r="BD163" s="2562"/>
      <c r="BE163" s="252">
        <f t="shared" si="86"/>
        <v>0</v>
      </c>
      <c r="BF163" s="252">
        <f t="shared" si="87"/>
        <v>0</v>
      </c>
      <c r="BG163" s="2562"/>
      <c r="BH163" s="237"/>
      <c r="BI163" s="237"/>
      <c r="BJ163" s="252">
        <f t="shared" si="88"/>
        <v>0</v>
      </c>
      <c r="BK163" s="252">
        <f t="shared" si="89"/>
        <v>0</v>
      </c>
      <c r="BL163" s="252">
        <f t="shared" si="90"/>
        <v>0</v>
      </c>
      <c r="BM163" s="252">
        <f t="shared" si="91"/>
        <v>0</v>
      </c>
      <c r="BN163" s="252">
        <f t="shared" si="92"/>
        <v>0</v>
      </c>
      <c r="BO163" s="252">
        <f t="shared" si="93"/>
        <v>1</v>
      </c>
      <c r="BP163" s="2578"/>
      <c r="BQ163" s="2562"/>
      <c r="BR163" s="2562"/>
      <c r="BS163" s="2585"/>
      <c r="BT163" s="2585"/>
      <c r="BU163" s="2585"/>
    </row>
    <row r="164" spans="1:73" s="22" customFormat="1" ht="15.75" customHeight="1" outlineLevel="1">
      <c r="A164" s="2585"/>
      <c r="B164" s="44" t="s">
        <v>4689</v>
      </c>
      <c r="C164" s="45" t="s">
        <v>4438</v>
      </c>
      <c r="D164" s="46" t="s">
        <v>4457</v>
      </c>
      <c r="E164" s="46" t="s">
        <v>4429</v>
      </c>
      <c r="F164" s="45" t="s">
        <v>4683</v>
      </c>
      <c r="G164" s="46" t="s">
        <v>4431</v>
      </c>
      <c r="H164" s="45" t="s">
        <v>4459</v>
      </c>
      <c r="I164" s="45" t="s">
        <v>4433</v>
      </c>
      <c r="J164" s="47" t="s">
        <v>4684</v>
      </c>
      <c r="K164" s="48">
        <v>100</v>
      </c>
      <c r="L164" s="47" t="s">
        <v>4685</v>
      </c>
      <c r="M164" s="1913">
        <v>0.70277777777777772</v>
      </c>
      <c r="N164" s="48">
        <v>31.446540880000001</v>
      </c>
      <c r="O164" s="49">
        <v>31.446999999999999</v>
      </c>
      <c r="P164" s="49">
        <v>31.446999999999999</v>
      </c>
      <c r="Q164" s="1884">
        <f t="shared" ref="Q164:Q227" si="94">IFERROR(M164*O164,"")</f>
        <v>22.100252777777776</v>
      </c>
      <c r="R164" s="1885">
        <f t="shared" si="74"/>
        <v>-7.6693822167755998E-2</v>
      </c>
      <c r="S164" s="1885">
        <f t="shared" si="75"/>
        <v>-4.7909774243599768E-2</v>
      </c>
      <c r="T164" s="50" t="s">
        <v>4686</v>
      </c>
      <c r="U164" s="50">
        <v>3.2124E-2</v>
      </c>
      <c r="V164" s="50">
        <v>1.5907000000000001E-2</v>
      </c>
      <c r="W164" s="1885">
        <f t="shared" si="76"/>
        <v>4.8031000000000004E-2</v>
      </c>
      <c r="X164" s="1891">
        <f t="shared" si="77"/>
        <v>1.510430857</v>
      </c>
      <c r="Y164" s="1891">
        <f t="shared" si="78"/>
        <v>1.510430857</v>
      </c>
      <c r="Z164" s="50">
        <v>0</v>
      </c>
      <c r="AA164" s="50">
        <v>0</v>
      </c>
      <c r="AB164" s="48">
        <v>0</v>
      </c>
      <c r="AC164" s="48">
        <v>0</v>
      </c>
      <c r="AD164" s="48">
        <v>0</v>
      </c>
      <c r="AE164" s="45" t="s">
        <v>4435</v>
      </c>
      <c r="AF164" s="51" t="s">
        <v>4692</v>
      </c>
      <c r="AG164" s="42"/>
      <c r="AH164" s="52" t="s">
        <v>4693</v>
      </c>
      <c r="AI164" s="197"/>
      <c r="AJ164" s="2578"/>
      <c r="AK164" s="251"/>
      <c r="AL164" s="2578"/>
      <c r="AM164" s="2562"/>
      <c r="AN164" s="2562"/>
      <c r="AO164" s="2562"/>
      <c r="AP164" s="2562"/>
      <c r="AQ164" s="2562"/>
      <c r="AR164" s="2562"/>
      <c r="AS164" s="2562"/>
      <c r="AT164" s="252">
        <f t="shared" si="79"/>
        <v>1</v>
      </c>
      <c r="AU164" s="252">
        <f t="shared" si="80"/>
        <v>0</v>
      </c>
      <c r="AV164" s="252">
        <f t="shared" si="81"/>
        <v>1</v>
      </c>
      <c r="AW164" s="252">
        <f t="shared" si="82"/>
        <v>0</v>
      </c>
      <c r="AX164" s="252">
        <f t="shared" si="83"/>
        <v>0</v>
      </c>
      <c r="AY164" s="252">
        <f t="shared" si="84"/>
        <v>0</v>
      </c>
      <c r="AZ164" s="252">
        <f t="shared" si="85"/>
        <v>0</v>
      </c>
      <c r="BA164" s="237"/>
      <c r="BB164" s="237"/>
      <c r="BC164" s="237"/>
      <c r="BD164" s="2562"/>
      <c r="BE164" s="252">
        <f t="shared" si="86"/>
        <v>0</v>
      </c>
      <c r="BF164" s="252">
        <f t="shared" si="87"/>
        <v>0</v>
      </c>
      <c r="BG164" s="2562"/>
      <c r="BH164" s="237"/>
      <c r="BI164" s="237"/>
      <c r="BJ164" s="252">
        <f t="shared" si="88"/>
        <v>0</v>
      </c>
      <c r="BK164" s="252">
        <f t="shared" si="89"/>
        <v>0</v>
      </c>
      <c r="BL164" s="252">
        <f t="shared" si="90"/>
        <v>0</v>
      </c>
      <c r="BM164" s="252">
        <f t="shared" si="91"/>
        <v>0</v>
      </c>
      <c r="BN164" s="252">
        <f t="shared" si="92"/>
        <v>0</v>
      </c>
      <c r="BO164" s="252">
        <f t="shared" si="93"/>
        <v>1</v>
      </c>
      <c r="BP164" s="2578"/>
      <c r="BQ164" s="2562"/>
      <c r="BR164" s="2562"/>
      <c r="BS164" s="2585"/>
      <c r="BT164" s="2585"/>
      <c r="BU164" s="2585"/>
    </row>
    <row r="165" spans="1:73" s="22" customFormat="1" ht="15.75" customHeight="1" outlineLevel="1">
      <c r="A165" s="2585"/>
      <c r="B165" s="44" t="s">
        <v>4694</v>
      </c>
      <c r="C165" s="45" t="s">
        <v>4438</v>
      </c>
      <c r="D165" s="46" t="s">
        <v>4457</v>
      </c>
      <c r="E165" s="46" t="s">
        <v>4429</v>
      </c>
      <c r="F165" s="45" t="s">
        <v>4695</v>
      </c>
      <c r="G165" s="46" t="s">
        <v>4431</v>
      </c>
      <c r="H165" s="45" t="s">
        <v>4459</v>
      </c>
      <c r="I165" s="45" t="s">
        <v>4433</v>
      </c>
      <c r="J165" s="47" t="s">
        <v>4696</v>
      </c>
      <c r="K165" s="48">
        <v>100</v>
      </c>
      <c r="L165" s="47" t="s">
        <v>4697</v>
      </c>
      <c r="M165" s="1913">
        <v>0.76388888888888884</v>
      </c>
      <c r="N165" s="48">
        <v>9.4339622599999995</v>
      </c>
      <c r="O165" s="49">
        <v>9.4339999999999993</v>
      </c>
      <c r="P165" s="49">
        <v>9.4339999999999993</v>
      </c>
      <c r="Q165" s="1884">
        <f t="shared" si="94"/>
        <v>7.2065277777777768</v>
      </c>
      <c r="R165" s="1885">
        <f t="shared" si="74"/>
        <v>-7.6833899782135173E-2</v>
      </c>
      <c r="S165" s="1885">
        <f t="shared" si="75"/>
        <v>-4.8054218774243651E-2</v>
      </c>
      <c r="T165" s="50" t="s">
        <v>4686</v>
      </c>
      <c r="U165" s="50">
        <v>3.2124E-2</v>
      </c>
      <c r="V165" s="50">
        <v>1.5748000000000002E-2</v>
      </c>
      <c r="W165" s="1885">
        <f t="shared" si="76"/>
        <v>4.7871999999999998E-2</v>
      </c>
      <c r="X165" s="1891">
        <f t="shared" si="77"/>
        <v>0.45162444799999996</v>
      </c>
      <c r="Y165" s="1891">
        <f t="shared" si="78"/>
        <v>0.45162444799999996</v>
      </c>
      <c r="Z165" s="50">
        <v>0</v>
      </c>
      <c r="AA165" s="50">
        <v>0</v>
      </c>
      <c r="AB165" s="48">
        <v>-0.10137421000000001</v>
      </c>
      <c r="AC165" s="48">
        <v>23.775123841671117</v>
      </c>
      <c r="AD165" s="48">
        <v>23.775123841671117</v>
      </c>
      <c r="AE165" s="45" t="s">
        <v>4435</v>
      </c>
      <c r="AF165" s="51" t="s">
        <v>4687</v>
      </c>
      <c r="AG165" s="42"/>
      <c r="AH165" s="52" t="s">
        <v>4698</v>
      </c>
      <c r="AI165" s="197"/>
      <c r="AJ165" s="2578"/>
      <c r="AK165" s="251"/>
      <c r="AL165" s="2578"/>
      <c r="AM165" s="2562"/>
      <c r="AN165" s="2562"/>
      <c r="AO165" s="2562"/>
      <c r="AP165" s="2562"/>
      <c r="AQ165" s="2562"/>
      <c r="AR165" s="2562"/>
      <c r="AS165" s="2562"/>
      <c r="AT165" s="252">
        <f t="shared" si="79"/>
        <v>1</v>
      </c>
      <c r="AU165" s="252">
        <f t="shared" si="80"/>
        <v>0</v>
      </c>
      <c r="AV165" s="252">
        <f t="shared" si="81"/>
        <v>1</v>
      </c>
      <c r="AW165" s="252">
        <f t="shared" si="82"/>
        <v>0</v>
      </c>
      <c r="AX165" s="252">
        <f t="shared" si="83"/>
        <v>0</v>
      </c>
      <c r="AY165" s="252">
        <f t="shared" si="84"/>
        <v>0</v>
      </c>
      <c r="AZ165" s="252">
        <f t="shared" si="85"/>
        <v>0</v>
      </c>
      <c r="BA165" s="237"/>
      <c r="BB165" s="237"/>
      <c r="BC165" s="237"/>
      <c r="BD165" s="2562"/>
      <c r="BE165" s="252">
        <f t="shared" si="86"/>
        <v>0</v>
      </c>
      <c r="BF165" s="252">
        <f t="shared" si="87"/>
        <v>0</v>
      </c>
      <c r="BG165" s="2562"/>
      <c r="BH165" s="237"/>
      <c r="BI165" s="237"/>
      <c r="BJ165" s="252">
        <f t="shared" si="88"/>
        <v>0</v>
      </c>
      <c r="BK165" s="252">
        <f t="shared" si="89"/>
        <v>0</v>
      </c>
      <c r="BL165" s="252">
        <f t="shared" si="90"/>
        <v>0</v>
      </c>
      <c r="BM165" s="252">
        <f t="shared" si="91"/>
        <v>0</v>
      </c>
      <c r="BN165" s="252">
        <f t="shared" si="92"/>
        <v>0</v>
      </c>
      <c r="BO165" s="252">
        <f t="shared" si="93"/>
        <v>1</v>
      </c>
      <c r="BP165" s="2578"/>
      <c r="BQ165" s="2562"/>
      <c r="BR165" s="2562"/>
      <c r="BS165" s="2585"/>
      <c r="BT165" s="2585"/>
      <c r="BU165" s="2585"/>
    </row>
    <row r="166" spans="1:73" s="22" customFormat="1" ht="15.75" customHeight="1" outlineLevel="1">
      <c r="A166" s="2585"/>
      <c r="B166" s="44" t="s">
        <v>4694</v>
      </c>
      <c r="C166" s="45" t="s">
        <v>4438</v>
      </c>
      <c r="D166" s="46" t="s">
        <v>4457</v>
      </c>
      <c r="E166" s="46" t="s">
        <v>4429</v>
      </c>
      <c r="F166" s="45" t="s">
        <v>4695</v>
      </c>
      <c r="G166" s="46" t="s">
        <v>4431</v>
      </c>
      <c r="H166" s="45" t="s">
        <v>4459</v>
      </c>
      <c r="I166" s="45" t="s">
        <v>4433</v>
      </c>
      <c r="J166" s="47" t="s">
        <v>4696</v>
      </c>
      <c r="K166" s="48">
        <v>100</v>
      </c>
      <c r="L166" s="47" t="s">
        <v>4697</v>
      </c>
      <c r="M166" s="1913">
        <v>0.76388888888888884</v>
      </c>
      <c r="N166" s="48">
        <v>9.4179694900000008</v>
      </c>
      <c r="O166" s="49">
        <v>9.4179999999999993</v>
      </c>
      <c r="P166" s="49">
        <v>9.4179999999999993</v>
      </c>
      <c r="Q166" s="1884">
        <f t="shared" si="94"/>
        <v>7.1943055555555544</v>
      </c>
      <c r="R166" s="1885">
        <f t="shared" si="74"/>
        <v>-7.6833899782135173E-2</v>
      </c>
      <c r="S166" s="1885">
        <f t="shared" si="75"/>
        <v>-4.8054218774243651E-2</v>
      </c>
      <c r="T166" s="50" t="s">
        <v>4686</v>
      </c>
      <c r="U166" s="50">
        <v>3.2124E-2</v>
      </c>
      <c r="V166" s="50">
        <v>1.5748000000000002E-2</v>
      </c>
      <c r="W166" s="1885">
        <f t="shared" si="76"/>
        <v>4.7871999999999998E-2</v>
      </c>
      <c r="X166" s="1891">
        <f t="shared" si="77"/>
        <v>0.45085849599999994</v>
      </c>
      <c r="Y166" s="1891">
        <f t="shared" si="78"/>
        <v>0.45085849599999994</v>
      </c>
      <c r="Z166" s="50">
        <v>0</v>
      </c>
      <c r="AA166" s="50">
        <v>0</v>
      </c>
      <c r="AB166" s="48">
        <v>0</v>
      </c>
      <c r="AC166" s="48">
        <v>0</v>
      </c>
      <c r="AD166" s="48">
        <v>0</v>
      </c>
      <c r="AE166" s="45" t="s">
        <v>4435</v>
      </c>
      <c r="AF166" s="51" t="s">
        <v>4690</v>
      </c>
      <c r="AG166" s="42"/>
      <c r="AH166" s="52" t="s">
        <v>4699</v>
      </c>
      <c r="AI166" s="197"/>
      <c r="AJ166" s="2578"/>
      <c r="AK166" s="251"/>
      <c r="AL166" s="2578"/>
      <c r="AM166" s="2562"/>
      <c r="AN166" s="2562"/>
      <c r="AO166" s="2562"/>
      <c r="AP166" s="2562"/>
      <c r="AQ166" s="2562"/>
      <c r="AR166" s="2562"/>
      <c r="AS166" s="2562"/>
      <c r="AT166" s="252">
        <f t="shared" si="79"/>
        <v>1</v>
      </c>
      <c r="AU166" s="252">
        <f t="shared" si="80"/>
        <v>0</v>
      </c>
      <c r="AV166" s="252">
        <f t="shared" si="81"/>
        <v>1</v>
      </c>
      <c r="AW166" s="252">
        <f t="shared" si="82"/>
        <v>0</v>
      </c>
      <c r="AX166" s="252">
        <f t="shared" si="83"/>
        <v>0</v>
      </c>
      <c r="AY166" s="252">
        <f t="shared" si="84"/>
        <v>0</v>
      </c>
      <c r="AZ166" s="252">
        <f t="shared" si="85"/>
        <v>0</v>
      </c>
      <c r="BA166" s="237"/>
      <c r="BB166" s="237"/>
      <c r="BC166" s="237"/>
      <c r="BD166" s="2562"/>
      <c r="BE166" s="252">
        <f t="shared" si="86"/>
        <v>0</v>
      </c>
      <c r="BF166" s="252">
        <f t="shared" si="87"/>
        <v>0</v>
      </c>
      <c r="BG166" s="2562"/>
      <c r="BH166" s="237"/>
      <c r="BI166" s="237"/>
      <c r="BJ166" s="252">
        <f t="shared" si="88"/>
        <v>0</v>
      </c>
      <c r="BK166" s="252">
        <f t="shared" si="89"/>
        <v>0</v>
      </c>
      <c r="BL166" s="252">
        <f t="shared" si="90"/>
        <v>0</v>
      </c>
      <c r="BM166" s="252">
        <f t="shared" si="91"/>
        <v>0</v>
      </c>
      <c r="BN166" s="252">
        <f t="shared" si="92"/>
        <v>0</v>
      </c>
      <c r="BO166" s="252">
        <f t="shared" si="93"/>
        <v>1</v>
      </c>
      <c r="BP166" s="2578"/>
      <c r="BQ166" s="2562"/>
      <c r="BR166" s="2562"/>
      <c r="BS166" s="2585"/>
      <c r="BT166" s="2585"/>
      <c r="BU166" s="2585"/>
    </row>
    <row r="167" spans="1:73" s="22" customFormat="1" ht="15.75" customHeight="1" outlineLevel="1">
      <c r="A167" s="2585"/>
      <c r="B167" s="44" t="s">
        <v>4700</v>
      </c>
      <c r="C167" s="45" t="s">
        <v>4438</v>
      </c>
      <c r="D167" s="46" t="s">
        <v>4428</v>
      </c>
      <c r="E167" s="46" t="s">
        <v>4429</v>
      </c>
      <c r="F167" s="45" t="s">
        <v>4701</v>
      </c>
      <c r="G167" s="46" t="s">
        <v>4431</v>
      </c>
      <c r="H167" s="45" t="s">
        <v>4459</v>
      </c>
      <c r="I167" s="45" t="s">
        <v>4433</v>
      </c>
      <c r="J167" s="47" t="s">
        <v>4702</v>
      </c>
      <c r="K167" s="48">
        <v>99.747</v>
      </c>
      <c r="L167" s="47">
        <v>45042</v>
      </c>
      <c r="M167" s="1913">
        <v>7.2222222222222215E-2</v>
      </c>
      <c r="N167" s="48">
        <v>33.799999999999997</v>
      </c>
      <c r="O167" s="49">
        <v>33.799999999999997</v>
      </c>
      <c r="P167" s="49">
        <v>33.799999999999997</v>
      </c>
      <c r="Q167" s="1884">
        <f t="shared" si="94"/>
        <v>2.4411111111111108</v>
      </c>
      <c r="R167" s="1885">
        <f t="shared" si="74"/>
        <v>-7.5496555010893251E-2</v>
      </c>
      <c r="S167" s="1885">
        <f t="shared" si="75"/>
        <v>-4.6675182311869623E-2</v>
      </c>
      <c r="T167" s="50" t="s">
        <v>4686</v>
      </c>
      <c r="U167" s="50">
        <v>3.2124E-2</v>
      </c>
      <c r="V167" s="50">
        <v>1.7266E-2</v>
      </c>
      <c r="W167" s="1885">
        <f t="shared" si="76"/>
        <v>4.9390000000000003E-2</v>
      </c>
      <c r="X167" s="1891">
        <f t="shared" si="77"/>
        <v>1.6693819999999999</v>
      </c>
      <c r="Y167" s="1891">
        <f t="shared" si="78"/>
        <v>1.6693819999999999</v>
      </c>
      <c r="Z167" s="50">
        <v>0</v>
      </c>
      <c r="AA167" s="50">
        <v>0</v>
      </c>
      <c r="AB167" s="48">
        <v>-0.15457313</v>
      </c>
      <c r="AC167" s="48">
        <v>27.082104970472184</v>
      </c>
      <c r="AD167" s="48">
        <v>27.082104970472184</v>
      </c>
      <c r="AE167" s="45" t="s">
        <v>4435</v>
      </c>
      <c r="AF167" s="51" t="s">
        <v>4703</v>
      </c>
      <c r="AG167" s="42"/>
      <c r="AH167" s="52" t="s">
        <v>4704</v>
      </c>
      <c r="AI167" s="197"/>
      <c r="AJ167" s="2578"/>
      <c r="AK167" s="251"/>
      <c r="AL167" s="2578"/>
      <c r="AM167" s="2562"/>
      <c r="AN167" s="2562"/>
      <c r="AO167" s="2562"/>
      <c r="AP167" s="2562"/>
      <c r="AQ167" s="2562"/>
      <c r="AR167" s="2562"/>
      <c r="AS167" s="2562"/>
      <c r="AT167" s="252">
        <f t="shared" si="79"/>
        <v>1</v>
      </c>
      <c r="AU167" s="252">
        <f t="shared" si="80"/>
        <v>0</v>
      </c>
      <c r="AV167" s="252">
        <f t="shared" si="81"/>
        <v>0</v>
      </c>
      <c r="AW167" s="252">
        <f t="shared" si="82"/>
        <v>0</v>
      </c>
      <c r="AX167" s="252">
        <f t="shared" si="83"/>
        <v>0</v>
      </c>
      <c r="AY167" s="252">
        <f t="shared" si="84"/>
        <v>0</v>
      </c>
      <c r="AZ167" s="252">
        <f t="shared" si="85"/>
        <v>0</v>
      </c>
      <c r="BA167" s="237"/>
      <c r="BB167" s="237"/>
      <c r="BC167" s="237"/>
      <c r="BD167" s="2562"/>
      <c r="BE167" s="252">
        <f t="shared" si="86"/>
        <v>0</v>
      </c>
      <c r="BF167" s="252">
        <f t="shared" si="87"/>
        <v>0</v>
      </c>
      <c r="BG167" s="2562"/>
      <c r="BH167" s="237"/>
      <c r="BI167" s="237"/>
      <c r="BJ167" s="252">
        <f t="shared" si="88"/>
        <v>0</v>
      </c>
      <c r="BK167" s="252">
        <f t="shared" si="89"/>
        <v>0</v>
      </c>
      <c r="BL167" s="252">
        <f t="shared" si="90"/>
        <v>0</v>
      </c>
      <c r="BM167" s="252">
        <f t="shared" si="91"/>
        <v>0</v>
      </c>
      <c r="BN167" s="252">
        <f t="shared" si="92"/>
        <v>0</v>
      </c>
      <c r="BO167" s="252">
        <f t="shared" si="93"/>
        <v>1</v>
      </c>
      <c r="BP167" s="2578"/>
      <c r="BQ167" s="2562"/>
      <c r="BR167" s="2562"/>
      <c r="BS167" s="2585"/>
      <c r="BT167" s="2585"/>
      <c r="BU167" s="2585"/>
    </row>
    <row r="168" spans="1:73" s="22" customFormat="1" ht="15.75" customHeight="1" outlineLevel="1">
      <c r="A168" s="2585"/>
      <c r="B168" s="44" t="s">
        <v>4555</v>
      </c>
      <c r="C168" s="45" t="s">
        <v>50</v>
      </c>
      <c r="D168" s="46" t="s">
        <v>4505</v>
      </c>
      <c r="E168" s="46" t="s">
        <v>4429</v>
      </c>
      <c r="F168" s="45" t="s">
        <v>4459</v>
      </c>
      <c r="G168" s="46" t="s">
        <v>4431</v>
      </c>
      <c r="H168" s="45" t="s">
        <v>4459</v>
      </c>
      <c r="I168" s="45" t="s">
        <v>4433</v>
      </c>
      <c r="J168" s="47" t="s">
        <v>4540</v>
      </c>
      <c r="K168" s="48">
        <v>100</v>
      </c>
      <c r="L168" s="47">
        <v>47331</v>
      </c>
      <c r="M168" s="1913">
        <v>6.3361111111111112</v>
      </c>
      <c r="N168" s="48">
        <v>250</v>
      </c>
      <c r="O168" s="49">
        <v>250</v>
      </c>
      <c r="P168" s="49">
        <v>250</v>
      </c>
      <c r="Q168" s="1884">
        <f t="shared" si="94"/>
        <v>1584.0277777777778</v>
      </c>
      <c r="R168" s="1885">
        <f t="shared" si="74"/>
        <v>-7.6858567538126366E-2</v>
      </c>
      <c r="S168" s="1885">
        <f t="shared" si="75"/>
        <v>-4.8079655546935607E-2</v>
      </c>
      <c r="T168" s="50" t="s">
        <v>4686</v>
      </c>
      <c r="U168" s="50">
        <v>3.2124E-2</v>
      </c>
      <c r="V168" s="50">
        <v>1.5720000000000001E-2</v>
      </c>
      <c r="W168" s="1885">
        <f t="shared" si="76"/>
        <v>4.7843999999999998E-2</v>
      </c>
      <c r="X168" s="1891">
        <f t="shared" si="77"/>
        <v>11.960999999999999</v>
      </c>
      <c r="Y168" s="1891">
        <f t="shared" si="78"/>
        <v>11.960999999999999</v>
      </c>
      <c r="Z168" s="50">
        <v>0</v>
      </c>
      <c r="AA168" s="50">
        <v>0</v>
      </c>
      <c r="AB168" s="48">
        <v>0</v>
      </c>
      <c r="AC168" s="48">
        <v>20.447227098827423</v>
      </c>
      <c r="AD168" s="48">
        <v>20.447227098827423</v>
      </c>
      <c r="AE168" s="45" t="s">
        <v>4507</v>
      </c>
      <c r="AF168" s="51" t="s">
        <v>4705</v>
      </c>
      <c r="AG168" s="42"/>
      <c r="AH168" s="52" t="s">
        <v>4706</v>
      </c>
      <c r="AI168" s="197"/>
      <c r="AJ168" s="2578"/>
      <c r="AK168" s="251"/>
      <c r="AL168" s="2578"/>
      <c r="AM168" s="2562"/>
      <c r="AN168" s="2562"/>
      <c r="AO168" s="2562"/>
      <c r="AP168" s="2562"/>
      <c r="AQ168" s="2562"/>
      <c r="AR168" s="2562"/>
      <c r="AS168" s="2562"/>
      <c r="AT168" s="252">
        <f t="shared" si="79"/>
        <v>1</v>
      </c>
      <c r="AU168" s="252">
        <f t="shared" si="80"/>
        <v>0</v>
      </c>
      <c r="AV168" s="252">
        <f t="shared" si="81"/>
        <v>0</v>
      </c>
      <c r="AW168" s="252">
        <f t="shared" si="82"/>
        <v>0</v>
      </c>
      <c r="AX168" s="252">
        <f t="shared" si="83"/>
        <v>0</v>
      </c>
      <c r="AY168" s="252">
        <f t="shared" si="84"/>
        <v>0</v>
      </c>
      <c r="AZ168" s="252">
        <f t="shared" si="85"/>
        <v>0</v>
      </c>
      <c r="BA168" s="237"/>
      <c r="BB168" s="237"/>
      <c r="BC168" s="237"/>
      <c r="BD168" s="2562"/>
      <c r="BE168" s="252">
        <f t="shared" si="86"/>
        <v>0</v>
      </c>
      <c r="BF168" s="252">
        <f t="shared" si="87"/>
        <v>0</v>
      </c>
      <c r="BG168" s="2562"/>
      <c r="BH168" s="237"/>
      <c r="BI168" s="237"/>
      <c r="BJ168" s="252">
        <f t="shared" si="88"/>
        <v>0</v>
      </c>
      <c r="BK168" s="252">
        <f t="shared" si="89"/>
        <v>0</v>
      </c>
      <c r="BL168" s="252">
        <f t="shared" si="90"/>
        <v>0</v>
      </c>
      <c r="BM168" s="252">
        <f t="shared" si="91"/>
        <v>0</v>
      </c>
      <c r="BN168" s="252">
        <f t="shared" si="92"/>
        <v>0</v>
      </c>
      <c r="BO168" s="252">
        <f t="shared" si="93"/>
        <v>1</v>
      </c>
      <c r="BP168" s="2578"/>
      <c r="BQ168" s="2562"/>
      <c r="BR168" s="2562"/>
      <c r="BS168" s="2585"/>
      <c r="BT168" s="2585"/>
      <c r="BU168" s="2585"/>
    </row>
    <row r="169" spans="1:73" s="22" customFormat="1" ht="15.75" customHeight="1" outlineLevel="1">
      <c r="A169" s="2585"/>
      <c r="B169" s="44" t="s">
        <v>4558</v>
      </c>
      <c r="C169" s="45" t="s">
        <v>50</v>
      </c>
      <c r="D169" s="46" t="s">
        <v>4505</v>
      </c>
      <c r="E169" s="46" t="s">
        <v>4429</v>
      </c>
      <c r="F169" s="45" t="s">
        <v>4459</v>
      </c>
      <c r="G169" s="46" t="s">
        <v>4431</v>
      </c>
      <c r="H169" s="45" t="s">
        <v>4459</v>
      </c>
      <c r="I169" s="45" t="s">
        <v>4433</v>
      </c>
      <c r="J169" s="47" t="s">
        <v>4707</v>
      </c>
      <c r="K169" s="48">
        <v>100</v>
      </c>
      <c r="L169" s="47">
        <v>47421</v>
      </c>
      <c r="M169" s="1913">
        <v>6.583333333333333</v>
      </c>
      <c r="N169" s="48">
        <v>90</v>
      </c>
      <c r="O169" s="49">
        <v>90</v>
      </c>
      <c r="P169" s="49">
        <v>90</v>
      </c>
      <c r="Q169" s="1884">
        <f t="shared" si="94"/>
        <v>592.5</v>
      </c>
      <c r="R169" s="1885">
        <f t="shared" si="74"/>
        <v>-8.0090924564270138E-2</v>
      </c>
      <c r="S169" s="1885">
        <f t="shared" si="75"/>
        <v>-5.1412781225756321E-2</v>
      </c>
      <c r="T169" s="50" t="s">
        <v>4686</v>
      </c>
      <c r="U169" s="50">
        <v>3.2124E-2</v>
      </c>
      <c r="V169" s="50">
        <v>1.2050999999999999E-2</v>
      </c>
      <c r="W169" s="1885">
        <f t="shared" si="76"/>
        <v>4.4174999999999999E-2</v>
      </c>
      <c r="X169" s="1891">
        <f t="shared" si="77"/>
        <v>3.9757500000000001</v>
      </c>
      <c r="Y169" s="1891">
        <f t="shared" si="78"/>
        <v>3.9757500000000001</v>
      </c>
      <c r="Z169" s="50">
        <v>0</v>
      </c>
      <c r="AA169" s="50">
        <v>0</v>
      </c>
      <c r="AB169" s="48">
        <v>0</v>
      </c>
      <c r="AC169" s="48">
        <v>5.6770317232749425</v>
      </c>
      <c r="AD169" s="48">
        <v>5.6770317232749425</v>
      </c>
      <c r="AE169" s="45" t="s">
        <v>4507</v>
      </c>
      <c r="AF169" s="51" t="s">
        <v>4705</v>
      </c>
      <c r="AG169" s="42"/>
      <c r="AH169" s="52" t="s">
        <v>4708</v>
      </c>
      <c r="AI169" s="197"/>
      <c r="AJ169" s="2578"/>
      <c r="AK169" s="251"/>
      <c r="AL169" s="2578"/>
      <c r="AM169" s="2562"/>
      <c r="AN169" s="2562"/>
      <c r="AO169" s="2562"/>
      <c r="AP169" s="2562"/>
      <c r="AQ169" s="2562"/>
      <c r="AR169" s="2562"/>
      <c r="AS169" s="2562"/>
      <c r="AT169" s="252">
        <f t="shared" si="79"/>
        <v>1</v>
      </c>
      <c r="AU169" s="252">
        <f t="shared" si="80"/>
        <v>0</v>
      </c>
      <c r="AV169" s="252">
        <f t="shared" si="81"/>
        <v>0</v>
      </c>
      <c r="AW169" s="252">
        <f t="shared" si="82"/>
        <v>0</v>
      </c>
      <c r="AX169" s="252">
        <f t="shared" si="83"/>
        <v>0</v>
      </c>
      <c r="AY169" s="252">
        <f t="shared" si="84"/>
        <v>0</v>
      </c>
      <c r="AZ169" s="252">
        <f t="shared" si="85"/>
        <v>0</v>
      </c>
      <c r="BA169" s="237"/>
      <c r="BB169" s="237"/>
      <c r="BC169" s="237"/>
      <c r="BD169" s="2562"/>
      <c r="BE169" s="252">
        <f t="shared" si="86"/>
        <v>0</v>
      </c>
      <c r="BF169" s="252">
        <f t="shared" si="87"/>
        <v>0</v>
      </c>
      <c r="BG169" s="2562"/>
      <c r="BH169" s="237"/>
      <c r="BI169" s="237"/>
      <c r="BJ169" s="252">
        <f t="shared" si="88"/>
        <v>0</v>
      </c>
      <c r="BK169" s="252">
        <f t="shared" si="89"/>
        <v>0</v>
      </c>
      <c r="BL169" s="252">
        <f t="shared" si="90"/>
        <v>0</v>
      </c>
      <c r="BM169" s="252">
        <f t="shared" si="91"/>
        <v>0</v>
      </c>
      <c r="BN169" s="252">
        <f t="shared" si="92"/>
        <v>0</v>
      </c>
      <c r="BO169" s="252">
        <f t="shared" si="93"/>
        <v>1</v>
      </c>
      <c r="BP169" s="2578"/>
      <c r="BQ169" s="2562"/>
      <c r="BR169" s="2562"/>
      <c r="BS169" s="2585"/>
      <c r="BT169" s="2585"/>
      <c r="BU169" s="2585"/>
    </row>
    <row r="170" spans="1:73" s="22" customFormat="1" ht="15.75" customHeight="1" outlineLevel="1">
      <c r="A170" s="2585"/>
      <c r="B170" s="44" t="s">
        <v>4560</v>
      </c>
      <c r="C170" s="45" t="s">
        <v>50</v>
      </c>
      <c r="D170" s="46" t="s">
        <v>4505</v>
      </c>
      <c r="E170" s="46" t="s">
        <v>4429</v>
      </c>
      <c r="F170" s="45" t="s">
        <v>4459</v>
      </c>
      <c r="G170" s="46" t="s">
        <v>4431</v>
      </c>
      <c r="H170" s="45" t="s">
        <v>4459</v>
      </c>
      <c r="I170" s="45" t="s">
        <v>4433</v>
      </c>
      <c r="J170" s="47" t="s">
        <v>4553</v>
      </c>
      <c r="K170" s="48">
        <v>100</v>
      </c>
      <c r="L170" s="47">
        <v>48743</v>
      </c>
      <c r="M170" s="1913">
        <v>10.202777777777778</v>
      </c>
      <c r="N170" s="48">
        <v>90</v>
      </c>
      <c r="O170" s="49">
        <v>90</v>
      </c>
      <c r="P170" s="49">
        <v>90</v>
      </c>
      <c r="Q170" s="1884">
        <f t="shared" si="94"/>
        <v>918.25</v>
      </c>
      <c r="R170" s="1885">
        <f t="shared" si="74"/>
        <v>-6.8272426470588177E-2</v>
      </c>
      <c r="S170" s="1885">
        <f t="shared" si="75"/>
        <v>-3.9225841737781209E-2</v>
      </c>
      <c r="T170" s="50" t="s">
        <v>4686</v>
      </c>
      <c r="U170" s="50">
        <v>3.2124E-2</v>
      </c>
      <c r="V170" s="50">
        <v>2.5465999999999999E-2</v>
      </c>
      <c r="W170" s="1885">
        <f t="shared" si="76"/>
        <v>5.7590000000000002E-2</v>
      </c>
      <c r="X170" s="1891">
        <f t="shared" si="77"/>
        <v>5.1831000000000005</v>
      </c>
      <c r="Y170" s="1891">
        <f t="shared" si="78"/>
        <v>5.1831000000000005</v>
      </c>
      <c r="Z170" s="50">
        <v>0</v>
      </c>
      <c r="AA170" s="50">
        <v>0</v>
      </c>
      <c r="AB170" s="48">
        <v>0</v>
      </c>
      <c r="AC170" s="48">
        <v>5.1709538566113054</v>
      </c>
      <c r="AD170" s="48">
        <v>5.1709538566113054</v>
      </c>
      <c r="AE170" s="45" t="s">
        <v>4507</v>
      </c>
      <c r="AF170" s="51" t="s">
        <v>4705</v>
      </c>
      <c r="AG170" s="42"/>
      <c r="AH170" s="52" t="s">
        <v>4709</v>
      </c>
      <c r="AI170" s="197"/>
      <c r="AJ170" s="2578"/>
      <c r="AK170" s="251"/>
      <c r="AL170" s="2578"/>
      <c r="AM170" s="2562"/>
      <c r="AN170" s="2562"/>
      <c r="AO170" s="2562"/>
      <c r="AP170" s="2562"/>
      <c r="AQ170" s="2562"/>
      <c r="AR170" s="2562"/>
      <c r="AS170" s="2562"/>
      <c r="AT170" s="252">
        <f t="shared" si="79"/>
        <v>1</v>
      </c>
      <c r="AU170" s="252">
        <f t="shared" si="80"/>
        <v>0</v>
      </c>
      <c r="AV170" s="252">
        <f t="shared" si="81"/>
        <v>0</v>
      </c>
      <c r="AW170" s="252">
        <f t="shared" si="82"/>
        <v>0</v>
      </c>
      <c r="AX170" s="252">
        <f t="shared" si="83"/>
        <v>0</v>
      </c>
      <c r="AY170" s="252">
        <f t="shared" si="84"/>
        <v>0</v>
      </c>
      <c r="AZ170" s="252">
        <f t="shared" si="85"/>
        <v>0</v>
      </c>
      <c r="BA170" s="237"/>
      <c r="BB170" s="237"/>
      <c r="BC170" s="237"/>
      <c r="BD170" s="2562"/>
      <c r="BE170" s="252">
        <f t="shared" si="86"/>
        <v>0</v>
      </c>
      <c r="BF170" s="252">
        <f t="shared" si="87"/>
        <v>0</v>
      </c>
      <c r="BG170" s="2562"/>
      <c r="BH170" s="237"/>
      <c r="BI170" s="237"/>
      <c r="BJ170" s="252">
        <f t="shared" si="88"/>
        <v>0</v>
      </c>
      <c r="BK170" s="252">
        <f t="shared" si="89"/>
        <v>0</v>
      </c>
      <c r="BL170" s="252">
        <f t="shared" si="90"/>
        <v>0</v>
      </c>
      <c r="BM170" s="252">
        <f t="shared" si="91"/>
        <v>0</v>
      </c>
      <c r="BN170" s="252">
        <f t="shared" si="92"/>
        <v>0</v>
      </c>
      <c r="BO170" s="252">
        <f t="shared" si="93"/>
        <v>1</v>
      </c>
      <c r="BP170" s="2578"/>
      <c r="BQ170" s="2562"/>
      <c r="BR170" s="2562"/>
      <c r="BS170" s="2585"/>
      <c r="BT170" s="2585"/>
      <c r="BU170" s="2585"/>
    </row>
    <row r="171" spans="1:73" s="22" customFormat="1" ht="15.75" customHeight="1" outlineLevel="1">
      <c r="A171" s="2585"/>
      <c r="B171" s="44" t="s">
        <v>4710</v>
      </c>
      <c r="C171" s="45" t="s">
        <v>50</v>
      </c>
      <c r="D171" s="46" t="s">
        <v>4474</v>
      </c>
      <c r="E171" s="46" t="s">
        <v>4429</v>
      </c>
      <c r="F171" s="45" t="s">
        <v>4459</v>
      </c>
      <c r="G171" s="46" t="s">
        <v>4551</v>
      </c>
      <c r="H171" s="45" t="s">
        <v>4459</v>
      </c>
      <c r="I171" s="45" t="s">
        <v>4433</v>
      </c>
      <c r="J171" s="47" t="s">
        <v>4711</v>
      </c>
      <c r="K171" s="48">
        <v>100</v>
      </c>
      <c r="L171" s="47">
        <v>50115</v>
      </c>
      <c r="M171" s="1913">
        <v>13.96111111111111</v>
      </c>
      <c r="N171" s="48">
        <v>75</v>
      </c>
      <c r="O171" s="49">
        <v>75</v>
      </c>
      <c r="P171" s="49">
        <v>75</v>
      </c>
      <c r="Q171" s="1884">
        <f t="shared" si="94"/>
        <v>1047.0833333333333</v>
      </c>
      <c r="R171" s="1885">
        <f t="shared" si="74"/>
        <v>-6.8889120370370316E-2</v>
      </c>
      <c r="S171" s="1885">
        <f t="shared" si="75"/>
        <v>-3.9861761055081324E-2</v>
      </c>
      <c r="T171" s="50" t="s">
        <v>4686</v>
      </c>
      <c r="U171" s="50">
        <v>3.2124E-2</v>
      </c>
      <c r="V171" s="50">
        <v>2.4766E-2</v>
      </c>
      <c r="W171" s="1885">
        <f t="shared" si="76"/>
        <v>5.6889999999999996E-2</v>
      </c>
      <c r="X171" s="1891">
        <f t="shared" si="77"/>
        <v>4.26675</v>
      </c>
      <c r="Y171" s="1891">
        <f t="shared" si="78"/>
        <v>4.26675</v>
      </c>
      <c r="Z171" s="50">
        <v>0</v>
      </c>
      <c r="AA171" s="50">
        <v>0</v>
      </c>
      <c r="AB171" s="48">
        <v>-0.69397200000000003</v>
      </c>
      <c r="AC171" s="48">
        <v>74.417973767428862</v>
      </c>
      <c r="AD171" s="48">
        <v>76.232447318251317</v>
      </c>
      <c r="AE171" s="45" t="s">
        <v>4435</v>
      </c>
      <c r="AF171" s="51" t="s">
        <v>4712</v>
      </c>
      <c r="AG171" s="42"/>
      <c r="AH171" s="52" t="s">
        <v>4713</v>
      </c>
      <c r="AI171" s="197"/>
      <c r="AJ171" s="2578"/>
      <c r="AK171" s="251"/>
      <c r="AL171" s="2578"/>
      <c r="AM171" s="2562"/>
      <c r="AN171" s="2562"/>
      <c r="AO171" s="2562"/>
      <c r="AP171" s="2562"/>
      <c r="AQ171" s="2562"/>
      <c r="AR171" s="2562"/>
      <c r="AS171" s="2562"/>
      <c r="AT171" s="252">
        <f t="shared" si="79"/>
        <v>1</v>
      </c>
      <c r="AU171" s="252">
        <f t="shared" si="80"/>
        <v>0</v>
      </c>
      <c r="AV171" s="252">
        <f t="shared" si="81"/>
        <v>0</v>
      </c>
      <c r="AW171" s="252">
        <f t="shared" si="82"/>
        <v>0</v>
      </c>
      <c r="AX171" s="252">
        <f t="shared" si="83"/>
        <v>0</v>
      </c>
      <c r="AY171" s="252">
        <f t="shared" si="84"/>
        <v>0</v>
      </c>
      <c r="AZ171" s="252">
        <f t="shared" si="85"/>
        <v>0</v>
      </c>
      <c r="BA171" s="237"/>
      <c r="BB171" s="237"/>
      <c r="BC171" s="237"/>
      <c r="BD171" s="2562"/>
      <c r="BE171" s="252">
        <f t="shared" si="86"/>
        <v>0</v>
      </c>
      <c r="BF171" s="252">
        <f t="shared" si="87"/>
        <v>0</v>
      </c>
      <c r="BG171" s="2562"/>
      <c r="BH171" s="237"/>
      <c r="BI171" s="237"/>
      <c r="BJ171" s="252">
        <f t="shared" si="88"/>
        <v>0</v>
      </c>
      <c r="BK171" s="252">
        <f t="shared" si="89"/>
        <v>0</v>
      </c>
      <c r="BL171" s="252">
        <f t="shared" si="90"/>
        <v>0</v>
      </c>
      <c r="BM171" s="252">
        <f t="shared" si="91"/>
        <v>0</v>
      </c>
      <c r="BN171" s="252">
        <f t="shared" si="92"/>
        <v>0</v>
      </c>
      <c r="BO171" s="252">
        <f t="shared" si="93"/>
        <v>1</v>
      </c>
      <c r="BP171" s="2578"/>
      <c r="BQ171" s="2562"/>
      <c r="BR171" s="2562"/>
      <c r="BS171" s="2585"/>
      <c r="BT171" s="2585"/>
      <c r="BU171" s="2585"/>
    </row>
    <row r="172" spans="1:73" s="22" customFormat="1" ht="15.75" customHeight="1" outlineLevel="1">
      <c r="A172" s="2585"/>
      <c r="B172" s="44" t="s">
        <v>4714</v>
      </c>
      <c r="C172" s="45" t="s">
        <v>50</v>
      </c>
      <c r="D172" s="46" t="s">
        <v>4715</v>
      </c>
      <c r="E172" s="46" t="s">
        <v>4716</v>
      </c>
      <c r="F172" s="45" t="s">
        <v>4459</v>
      </c>
      <c r="G172" s="46" t="s">
        <v>4431</v>
      </c>
      <c r="H172" s="45" t="s">
        <v>4459</v>
      </c>
      <c r="I172" s="45" t="s">
        <v>4433</v>
      </c>
      <c r="J172" s="47" t="s">
        <v>4717</v>
      </c>
      <c r="K172" s="48">
        <v>100</v>
      </c>
      <c r="L172" s="47">
        <v>46720</v>
      </c>
      <c r="M172" s="1913">
        <v>4.6638888888888888</v>
      </c>
      <c r="N172" s="48">
        <v>480</v>
      </c>
      <c r="O172" s="49">
        <v>393</v>
      </c>
      <c r="P172" s="49">
        <v>393</v>
      </c>
      <c r="Q172" s="1884">
        <f t="shared" si="94"/>
        <v>1832.9083333333333</v>
      </c>
      <c r="R172" s="1885">
        <f t="shared" si="74"/>
        <v>-7.64929561546841E-2</v>
      </c>
      <c r="S172" s="1885">
        <f t="shared" si="75"/>
        <v>-4.7702646237393287E-2</v>
      </c>
      <c r="T172" s="50" t="s">
        <v>4718</v>
      </c>
      <c r="U172" s="50">
        <v>4.1758999999999998E-2</v>
      </c>
      <c r="V172" s="50">
        <v>6.4999999999999997E-3</v>
      </c>
      <c r="W172" s="1885">
        <f t="shared" si="76"/>
        <v>4.8258999999999996E-2</v>
      </c>
      <c r="X172" s="1891">
        <f t="shared" si="77"/>
        <v>18.965786999999999</v>
      </c>
      <c r="Y172" s="1891">
        <f t="shared" si="78"/>
        <v>18.965786999999999</v>
      </c>
      <c r="Z172" s="50">
        <v>3.0000000000000001E-3</v>
      </c>
      <c r="AA172" s="50">
        <v>2.2750000000000001E-3</v>
      </c>
      <c r="AB172" s="48">
        <v>-1.44</v>
      </c>
      <c r="AC172" s="48">
        <v>393</v>
      </c>
      <c r="AD172" s="48">
        <v>393</v>
      </c>
      <c r="AE172" s="45" t="s">
        <v>4435</v>
      </c>
      <c r="AF172" s="51" t="s">
        <v>4719</v>
      </c>
      <c r="AG172" s="42"/>
      <c r="AH172" s="52" t="s">
        <v>4720</v>
      </c>
      <c r="AI172" s="197"/>
      <c r="AJ172" s="2578"/>
      <c r="AK172" s="251"/>
      <c r="AL172" s="2578"/>
      <c r="AM172" s="2562"/>
      <c r="AN172" s="2562"/>
      <c r="AO172" s="2562"/>
      <c r="AP172" s="2562"/>
      <c r="AQ172" s="2562"/>
      <c r="AR172" s="2562"/>
      <c r="AS172" s="2562"/>
      <c r="AT172" s="252">
        <f t="shared" si="79"/>
        <v>1</v>
      </c>
      <c r="AU172" s="252">
        <f t="shared" si="80"/>
        <v>0</v>
      </c>
      <c r="AV172" s="252">
        <f t="shared" si="81"/>
        <v>0</v>
      </c>
      <c r="AW172" s="252">
        <f t="shared" si="82"/>
        <v>0</v>
      </c>
      <c r="AX172" s="252">
        <f t="shared" si="83"/>
        <v>0</v>
      </c>
      <c r="AY172" s="252">
        <f t="shared" si="84"/>
        <v>0</v>
      </c>
      <c r="AZ172" s="252">
        <f t="shared" si="85"/>
        <v>0</v>
      </c>
      <c r="BA172" s="237"/>
      <c r="BB172" s="237"/>
      <c r="BC172" s="237"/>
      <c r="BD172" s="2562"/>
      <c r="BE172" s="252">
        <f t="shared" si="86"/>
        <v>0</v>
      </c>
      <c r="BF172" s="252">
        <f t="shared" si="87"/>
        <v>0</v>
      </c>
      <c r="BG172" s="2562"/>
      <c r="BH172" s="237"/>
      <c r="BI172" s="237"/>
      <c r="BJ172" s="252">
        <f t="shared" si="88"/>
        <v>0</v>
      </c>
      <c r="BK172" s="252">
        <f t="shared" si="89"/>
        <v>0</v>
      </c>
      <c r="BL172" s="252">
        <f t="shared" si="90"/>
        <v>0</v>
      </c>
      <c r="BM172" s="252">
        <f t="shared" si="91"/>
        <v>0</v>
      </c>
      <c r="BN172" s="252">
        <f t="shared" si="92"/>
        <v>0</v>
      </c>
      <c r="BO172" s="252">
        <f t="shared" si="93"/>
        <v>1</v>
      </c>
      <c r="BP172" s="2578"/>
      <c r="BQ172" s="2562"/>
      <c r="BR172" s="2562"/>
      <c r="BS172" s="2585"/>
      <c r="BT172" s="2585"/>
      <c r="BU172" s="2585"/>
    </row>
    <row r="173" spans="1:73" s="22" customFormat="1" ht="15.75" customHeight="1" outlineLevel="1">
      <c r="A173" s="2585"/>
      <c r="B173" s="44" t="s">
        <v>4721</v>
      </c>
      <c r="C173" s="45" t="s">
        <v>50</v>
      </c>
      <c r="D173" s="46" t="s">
        <v>4722</v>
      </c>
      <c r="E173" s="46" t="s">
        <v>4716</v>
      </c>
      <c r="F173" s="45" t="s">
        <v>4459</v>
      </c>
      <c r="G173" s="46" t="s">
        <v>4431</v>
      </c>
      <c r="H173" s="45" t="s">
        <v>4459</v>
      </c>
      <c r="I173" s="45" t="s">
        <v>4433</v>
      </c>
      <c r="J173" s="47" t="s">
        <v>4723</v>
      </c>
      <c r="K173" s="48">
        <v>100</v>
      </c>
      <c r="L173" s="47">
        <v>45372</v>
      </c>
      <c r="M173" s="1913">
        <v>0.97499999999999998</v>
      </c>
      <c r="N173" s="48">
        <v>120</v>
      </c>
      <c r="O173" s="49">
        <v>0</v>
      </c>
      <c r="P173" s="49">
        <v>0</v>
      </c>
      <c r="Q173" s="1884">
        <f t="shared" si="94"/>
        <v>0</v>
      </c>
      <c r="R173" s="1885">
        <f t="shared" si="74"/>
        <v>-6.8770186546840861E-2</v>
      </c>
      <c r="S173" s="1885">
        <f t="shared" si="75"/>
        <v>-3.9739119472459228E-2</v>
      </c>
      <c r="T173" s="50" t="s">
        <v>4718</v>
      </c>
      <c r="U173" s="50">
        <v>4.1758999999999998E-2</v>
      </c>
      <c r="V173" s="50">
        <v>1.5266E-2</v>
      </c>
      <c r="W173" s="1885">
        <f t="shared" si="76"/>
        <v>5.7024999999999999E-2</v>
      </c>
      <c r="X173" s="1891">
        <f t="shared" si="77"/>
        <v>0</v>
      </c>
      <c r="Y173" s="1891">
        <f t="shared" si="78"/>
        <v>0</v>
      </c>
      <c r="Z173" s="50">
        <v>0</v>
      </c>
      <c r="AA173" s="50">
        <v>5.0000000000000001E-3</v>
      </c>
      <c r="AB173" s="48">
        <v>-0.14199999999999999</v>
      </c>
      <c r="AC173" s="48">
        <v>0</v>
      </c>
      <c r="AD173" s="48">
        <v>0</v>
      </c>
      <c r="AE173" s="45" t="s">
        <v>4435</v>
      </c>
      <c r="AF173" s="51" t="s">
        <v>4724</v>
      </c>
      <c r="AG173" s="42"/>
      <c r="AH173" s="52" t="s">
        <v>4725</v>
      </c>
      <c r="AI173" s="197"/>
      <c r="AJ173" s="2578"/>
      <c r="AK173" s="251"/>
      <c r="AL173" s="2578"/>
      <c r="AM173" s="2562"/>
      <c r="AN173" s="2562"/>
      <c r="AO173" s="2562"/>
      <c r="AP173" s="2562"/>
      <c r="AQ173" s="2562"/>
      <c r="AR173" s="2562"/>
      <c r="AS173" s="2562"/>
      <c r="AT173" s="252">
        <f t="shared" si="79"/>
        <v>1</v>
      </c>
      <c r="AU173" s="252">
        <f t="shared" si="80"/>
        <v>0</v>
      </c>
      <c r="AV173" s="252">
        <f t="shared" si="81"/>
        <v>0</v>
      </c>
      <c r="AW173" s="252">
        <f t="shared" si="82"/>
        <v>0</v>
      </c>
      <c r="AX173" s="252">
        <f t="shared" si="83"/>
        <v>0</v>
      </c>
      <c r="AY173" s="252">
        <f t="shared" si="84"/>
        <v>0</v>
      </c>
      <c r="AZ173" s="252">
        <f t="shared" si="85"/>
        <v>0</v>
      </c>
      <c r="BA173" s="237"/>
      <c r="BB173" s="237"/>
      <c r="BC173" s="237"/>
      <c r="BD173" s="2562"/>
      <c r="BE173" s="252">
        <f t="shared" si="86"/>
        <v>0</v>
      </c>
      <c r="BF173" s="252">
        <f t="shared" si="87"/>
        <v>0</v>
      </c>
      <c r="BG173" s="2562"/>
      <c r="BH173" s="237"/>
      <c r="BI173" s="237"/>
      <c r="BJ173" s="252">
        <f t="shared" si="88"/>
        <v>0</v>
      </c>
      <c r="BK173" s="252">
        <f t="shared" si="89"/>
        <v>0</v>
      </c>
      <c r="BL173" s="252">
        <f t="shared" si="90"/>
        <v>0</v>
      </c>
      <c r="BM173" s="252">
        <f t="shared" si="91"/>
        <v>0</v>
      </c>
      <c r="BN173" s="252">
        <f t="shared" si="92"/>
        <v>0</v>
      </c>
      <c r="BO173" s="252">
        <f t="shared" si="93"/>
        <v>1</v>
      </c>
      <c r="BP173" s="2578"/>
      <c r="BQ173" s="2562"/>
      <c r="BR173" s="2562"/>
      <c r="BS173" s="2585"/>
      <c r="BT173" s="2585"/>
      <c r="BU173" s="2585"/>
    </row>
    <row r="174" spans="1:73" s="22" customFormat="1" ht="15.75" customHeight="1" outlineLevel="1">
      <c r="A174" s="2585"/>
      <c r="B174" s="44" t="s">
        <v>4726</v>
      </c>
      <c r="C174" s="45" t="s">
        <v>4727</v>
      </c>
      <c r="D174" s="46" t="s">
        <v>4722</v>
      </c>
      <c r="E174" s="46" t="s">
        <v>4716</v>
      </c>
      <c r="F174" s="45" t="s">
        <v>4459</v>
      </c>
      <c r="G174" s="46" t="s">
        <v>4431</v>
      </c>
      <c r="H174" s="45" t="s">
        <v>4459</v>
      </c>
      <c r="I174" s="45" t="s">
        <v>4433</v>
      </c>
      <c r="J174" s="47" t="s">
        <v>4723</v>
      </c>
      <c r="K174" s="48">
        <v>100</v>
      </c>
      <c r="L174" s="47">
        <v>46837</v>
      </c>
      <c r="M174" s="1913">
        <v>4.9861111111111107</v>
      </c>
      <c r="N174" s="48">
        <v>182</v>
      </c>
      <c r="O174" s="49">
        <v>0</v>
      </c>
      <c r="P174" s="49">
        <v>0</v>
      </c>
      <c r="Q174" s="1884">
        <f t="shared" si="94"/>
        <v>0</v>
      </c>
      <c r="R174" s="1885">
        <f t="shared" si="74"/>
        <v>-5.9541802832244084E-2</v>
      </c>
      <c r="S174" s="1885">
        <f t="shared" si="75"/>
        <v>-3.0223041117145133E-2</v>
      </c>
      <c r="T174" s="50" t="s">
        <v>4728</v>
      </c>
      <c r="U174" s="50">
        <v>4.2500000000000003E-2</v>
      </c>
      <c r="V174" s="50">
        <v>2.5000000000000001E-2</v>
      </c>
      <c r="W174" s="1885">
        <f t="shared" si="76"/>
        <v>6.7500000000000004E-2</v>
      </c>
      <c r="X174" s="1891">
        <f t="shared" si="77"/>
        <v>0</v>
      </c>
      <c r="Y174" s="1891">
        <f t="shared" si="78"/>
        <v>0</v>
      </c>
      <c r="Z174" s="50">
        <v>0</v>
      </c>
      <c r="AA174" s="50">
        <v>5.0000000000000001E-3</v>
      </c>
      <c r="AB174" s="48">
        <v>-0.29588199999999998</v>
      </c>
      <c r="AC174" s="48">
        <v>0</v>
      </c>
      <c r="AD174" s="48">
        <v>0</v>
      </c>
      <c r="AE174" s="45" t="s">
        <v>4435</v>
      </c>
      <c r="AF174" s="51" t="s">
        <v>4729</v>
      </c>
      <c r="AG174" s="42"/>
      <c r="AH174" s="52" t="s">
        <v>4730</v>
      </c>
      <c r="AI174" s="197"/>
      <c r="AJ174" s="2578"/>
      <c r="AK174" s="251"/>
      <c r="AL174" s="2578"/>
      <c r="AM174" s="2562"/>
      <c r="AN174" s="2562"/>
      <c r="AO174" s="2562"/>
      <c r="AP174" s="2562"/>
      <c r="AQ174" s="2562"/>
      <c r="AR174" s="2562"/>
      <c r="AS174" s="2562"/>
      <c r="AT174" s="252">
        <f t="shared" si="79"/>
        <v>1</v>
      </c>
      <c r="AU174" s="252">
        <f t="shared" si="80"/>
        <v>0</v>
      </c>
      <c r="AV174" s="252">
        <f t="shared" si="81"/>
        <v>0</v>
      </c>
      <c r="AW174" s="252">
        <f t="shared" si="82"/>
        <v>0</v>
      </c>
      <c r="AX174" s="252">
        <f t="shared" si="83"/>
        <v>0</v>
      </c>
      <c r="AY174" s="252">
        <f t="shared" si="84"/>
        <v>0</v>
      </c>
      <c r="AZ174" s="252">
        <f t="shared" si="85"/>
        <v>0</v>
      </c>
      <c r="BA174" s="237"/>
      <c r="BB174" s="237"/>
      <c r="BC174" s="237"/>
      <c r="BD174" s="2562"/>
      <c r="BE174" s="252">
        <f t="shared" si="86"/>
        <v>0</v>
      </c>
      <c r="BF174" s="252">
        <f t="shared" si="87"/>
        <v>0</v>
      </c>
      <c r="BG174" s="2562"/>
      <c r="BH174" s="237"/>
      <c r="BI174" s="237"/>
      <c r="BJ174" s="252">
        <f t="shared" si="88"/>
        <v>0</v>
      </c>
      <c r="BK174" s="252">
        <f t="shared" si="89"/>
        <v>0</v>
      </c>
      <c r="BL174" s="252">
        <f t="shared" si="90"/>
        <v>0</v>
      </c>
      <c r="BM174" s="252">
        <f t="shared" si="91"/>
        <v>0</v>
      </c>
      <c r="BN174" s="252">
        <f t="shared" si="92"/>
        <v>0</v>
      </c>
      <c r="BO174" s="252">
        <f t="shared" si="93"/>
        <v>1</v>
      </c>
      <c r="BP174" s="2578"/>
      <c r="BQ174" s="2562"/>
      <c r="BR174" s="2562"/>
      <c r="BS174" s="2585"/>
      <c r="BT174" s="2585"/>
      <c r="BU174" s="2585"/>
    </row>
    <row r="175" spans="1:73" s="22" customFormat="1" ht="15.75" customHeight="1" outlineLevel="1">
      <c r="A175" s="2585"/>
      <c r="B175" s="44" t="s">
        <v>4731</v>
      </c>
      <c r="C175" s="45" t="s">
        <v>50</v>
      </c>
      <c r="D175" s="46" t="s">
        <v>4732</v>
      </c>
      <c r="E175" s="46" t="s">
        <v>4733</v>
      </c>
      <c r="F175" s="45" t="s">
        <v>4459</v>
      </c>
      <c r="G175" s="46" t="s">
        <v>4431</v>
      </c>
      <c r="H175" s="45" t="s">
        <v>4459</v>
      </c>
      <c r="I175" s="45" t="s">
        <v>4433</v>
      </c>
      <c r="J175" s="47" t="s">
        <v>4734</v>
      </c>
      <c r="K175" s="48">
        <v>100</v>
      </c>
      <c r="L175" s="47" t="s">
        <v>4733</v>
      </c>
      <c r="M175" s="1913">
        <v>10.193253977502689</v>
      </c>
      <c r="N175" s="48">
        <v>70.028000000000006</v>
      </c>
      <c r="O175" s="49">
        <v>39.228000000000002</v>
      </c>
      <c r="P175" s="49">
        <v>39.228000000000002</v>
      </c>
      <c r="Q175" s="1884">
        <f t="shared" si="94"/>
        <v>399.86096702947549</v>
      </c>
      <c r="R175" s="1885">
        <f t="shared" si="74"/>
        <v>-8.4306467864923684E-2</v>
      </c>
      <c r="S175" s="1885">
        <f t="shared" si="75"/>
        <v>-5.5759743987587207E-2</v>
      </c>
      <c r="T175" s="50" t="s">
        <v>4686</v>
      </c>
      <c r="U175" s="50">
        <v>3.2124E-2</v>
      </c>
      <c r="V175" s="50">
        <v>7.2659999999999999E-3</v>
      </c>
      <c r="W175" s="1885">
        <f t="shared" si="76"/>
        <v>3.9390000000000001E-2</v>
      </c>
      <c r="X175" s="1891">
        <f t="shared" si="77"/>
        <v>1.54519092</v>
      </c>
      <c r="Y175" s="1891">
        <f t="shared" si="78"/>
        <v>1.54519092</v>
      </c>
      <c r="Z175" s="50">
        <v>0</v>
      </c>
      <c r="AA175" s="50">
        <v>0</v>
      </c>
      <c r="AB175" s="48">
        <v>0</v>
      </c>
      <c r="AC175" s="48">
        <v>39.200292273951561</v>
      </c>
      <c r="AD175" s="48">
        <v>39.200292273951561</v>
      </c>
      <c r="AE175" s="45" t="s">
        <v>4435</v>
      </c>
      <c r="AF175" s="51" t="s">
        <v>4735</v>
      </c>
      <c r="AG175" s="42"/>
      <c r="AH175" s="52" t="s">
        <v>4736</v>
      </c>
      <c r="AI175" s="197"/>
      <c r="AJ175" s="2578"/>
      <c r="AK175" s="251"/>
      <c r="AL175" s="2578"/>
      <c r="AM175" s="2562"/>
      <c r="AN175" s="2562"/>
      <c r="AO175" s="2562"/>
      <c r="AP175" s="2562"/>
      <c r="AQ175" s="2562"/>
      <c r="AR175" s="2562"/>
      <c r="AS175" s="2562"/>
      <c r="AT175" s="252">
        <f t="shared" si="79"/>
        <v>1</v>
      </c>
      <c r="AU175" s="252">
        <f t="shared" si="80"/>
        <v>0</v>
      </c>
      <c r="AV175" s="252">
        <f t="shared" si="81"/>
        <v>1</v>
      </c>
      <c r="AW175" s="252">
        <f t="shared" si="82"/>
        <v>0</v>
      </c>
      <c r="AX175" s="252">
        <f t="shared" si="83"/>
        <v>0</v>
      </c>
      <c r="AY175" s="252">
        <f t="shared" si="84"/>
        <v>0</v>
      </c>
      <c r="AZ175" s="252">
        <f t="shared" si="85"/>
        <v>0</v>
      </c>
      <c r="BA175" s="237"/>
      <c r="BB175" s="237"/>
      <c r="BC175" s="237"/>
      <c r="BD175" s="2562"/>
      <c r="BE175" s="252">
        <f t="shared" si="86"/>
        <v>0</v>
      </c>
      <c r="BF175" s="252">
        <f t="shared" si="87"/>
        <v>0</v>
      </c>
      <c r="BG175" s="2562"/>
      <c r="BH175" s="237"/>
      <c r="BI175" s="237"/>
      <c r="BJ175" s="252">
        <f t="shared" si="88"/>
        <v>0</v>
      </c>
      <c r="BK175" s="252">
        <f t="shared" si="89"/>
        <v>0</v>
      </c>
      <c r="BL175" s="252">
        <f t="shared" si="90"/>
        <v>0</v>
      </c>
      <c r="BM175" s="252">
        <f t="shared" si="91"/>
        <v>0</v>
      </c>
      <c r="BN175" s="252">
        <f t="shared" si="92"/>
        <v>0</v>
      </c>
      <c r="BO175" s="252">
        <f t="shared" si="93"/>
        <v>1</v>
      </c>
      <c r="BP175" s="2578"/>
      <c r="BQ175" s="2562"/>
      <c r="BR175" s="2562"/>
      <c r="BS175" s="2585"/>
      <c r="BT175" s="2585"/>
      <c r="BU175" s="2585"/>
    </row>
    <row r="176" spans="1:73" s="22" customFormat="1" ht="15.75" customHeight="1" outlineLevel="1">
      <c r="A176" s="2585"/>
      <c r="B176" s="44" t="s">
        <v>4737</v>
      </c>
      <c r="C176" s="45" t="s">
        <v>50</v>
      </c>
      <c r="D176" s="46" t="s">
        <v>4514</v>
      </c>
      <c r="E176" s="46" t="s">
        <v>4429</v>
      </c>
      <c r="F176" s="45" t="s">
        <v>4459</v>
      </c>
      <c r="G176" s="46" t="s">
        <v>4431</v>
      </c>
      <c r="H176" s="45" t="s">
        <v>4459</v>
      </c>
      <c r="I176" s="45" t="s">
        <v>4433</v>
      </c>
      <c r="J176" s="47" t="s">
        <v>4506</v>
      </c>
      <c r="K176" s="48">
        <v>100</v>
      </c>
      <c r="L176" s="47">
        <v>47569</v>
      </c>
      <c r="M176" s="1913">
        <v>6.9916666666666663</v>
      </c>
      <c r="N176" s="48">
        <v>-20</v>
      </c>
      <c r="O176" s="49">
        <v>-20</v>
      </c>
      <c r="P176" s="49">
        <v>-20</v>
      </c>
      <c r="Q176" s="1884">
        <f t="shared" si="94"/>
        <v>-139.83333333333331</v>
      </c>
      <c r="R176" s="1885">
        <f t="shared" si="74"/>
        <v>-9.5668612472766812E-2</v>
      </c>
      <c r="S176" s="1885">
        <f t="shared" si="75"/>
        <v>-6.7476103180760139E-2</v>
      </c>
      <c r="T176" s="50" t="s">
        <v>4738</v>
      </c>
      <c r="U176" s="50">
        <v>2.1849E-2</v>
      </c>
      <c r="V176" s="50">
        <v>4.6439999999999997E-3</v>
      </c>
      <c r="W176" s="1885">
        <f t="shared" si="76"/>
        <v>2.6492999999999999E-2</v>
      </c>
      <c r="X176" s="1891">
        <f t="shared" si="77"/>
        <v>-0.52986</v>
      </c>
      <c r="Y176" s="1891">
        <f t="shared" si="78"/>
        <v>-0.52986</v>
      </c>
      <c r="Z176" s="50">
        <v>0</v>
      </c>
      <c r="AA176" s="50">
        <v>0</v>
      </c>
      <c r="AB176" s="48">
        <v>0</v>
      </c>
      <c r="AC176" s="48">
        <v>0</v>
      </c>
      <c r="AD176" s="48">
        <v>0</v>
      </c>
      <c r="AE176" s="45" t="s">
        <v>4507</v>
      </c>
      <c r="AF176" s="51" t="s">
        <v>4739</v>
      </c>
      <c r="AG176" s="42"/>
      <c r="AH176" s="52" t="s">
        <v>4740</v>
      </c>
      <c r="AI176" s="197"/>
      <c r="AJ176" s="2578"/>
      <c r="AK176" s="251"/>
      <c r="AL176" s="2578"/>
      <c r="AM176" s="2562"/>
      <c r="AN176" s="2562"/>
      <c r="AO176" s="2562"/>
      <c r="AP176" s="2562"/>
      <c r="AQ176" s="2562"/>
      <c r="AR176" s="2562"/>
      <c r="AS176" s="2562"/>
      <c r="AT176" s="252">
        <f t="shared" si="79"/>
        <v>1</v>
      </c>
      <c r="AU176" s="252">
        <f t="shared" si="80"/>
        <v>0</v>
      </c>
      <c r="AV176" s="252">
        <f t="shared" si="81"/>
        <v>0</v>
      </c>
      <c r="AW176" s="252">
        <f t="shared" si="82"/>
        <v>0</v>
      </c>
      <c r="AX176" s="252">
        <f t="shared" si="83"/>
        <v>0</v>
      </c>
      <c r="AY176" s="252">
        <f t="shared" si="84"/>
        <v>0</v>
      </c>
      <c r="AZ176" s="252">
        <f t="shared" si="85"/>
        <v>0</v>
      </c>
      <c r="BA176" s="237"/>
      <c r="BB176" s="237"/>
      <c r="BC176" s="237"/>
      <c r="BD176" s="2562"/>
      <c r="BE176" s="252">
        <f t="shared" si="86"/>
        <v>0</v>
      </c>
      <c r="BF176" s="252">
        <f t="shared" si="87"/>
        <v>0</v>
      </c>
      <c r="BG176" s="2562"/>
      <c r="BH176" s="237"/>
      <c r="BI176" s="237"/>
      <c r="BJ176" s="252">
        <f t="shared" si="88"/>
        <v>0</v>
      </c>
      <c r="BK176" s="252">
        <f t="shared" si="89"/>
        <v>0</v>
      </c>
      <c r="BL176" s="252">
        <f t="shared" si="90"/>
        <v>0</v>
      </c>
      <c r="BM176" s="252">
        <f t="shared" si="91"/>
        <v>0</v>
      </c>
      <c r="BN176" s="252">
        <f t="shared" si="92"/>
        <v>0</v>
      </c>
      <c r="BO176" s="252">
        <f t="shared" si="93"/>
        <v>1</v>
      </c>
      <c r="BP176" s="2578"/>
      <c r="BQ176" s="2562"/>
      <c r="BR176" s="2562"/>
      <c r="BS176" s="2585"/>
      <c r="BT176" s="2585"/>
      <c r="BU176" s="2585"/>
    </row>
    <row r="177" spans="1:73" s="22" customFormat="1" ht="15.75" customHeight="1" outlineLevel="1">
      <c r="A177" s="2585"/>
      <c r="B177" s="44" t="s">
        <v>4741</v>
      </c>
      <c r="C177" s="45" t="s">
        <v>50</v>
      </c>
      <c r="D177" s="46" t="s">
        <v>4514</v>
      </c>
      <c r="E177" s="46" t="s">
        <v>4429</v>
      </c>
      <c r="F177" s="45" t="s">
        <v>4459</v>
      </c>
      <c r="G177" s="46" t="s">
        <v>4431</v>
      </c>
      <c r="H177" s="45" t="s">
        <v>4459</v>
      </c>
      <c r="I177" s="45" t="s">
        <v>4433</v>
      </c>
      <c r="J177" s="47" t="s">
        <v>4511</v>
      </c>
      <c r="K177" s="48">
        <v>100</v>
      </c>
      <c r="L177" s="47">
        <v>48305</v>
      </c>
      <c r="M177" s="1913">
        <v>9.0027777777777782</v>
      </c>
      <c r="N177" s="48">
        <v>-25</v>
      </c>
      <c r="O177" s="49">
        <v>-25</v>
      </c>
      <c r="P177" s="49">
        <v>-25</v>
      </c>
      <c r="Q177" s="1884">
        <f t="shared" si="94"/>
        <v>-225.06944444444446</v>
      </c>
      <c r="R177" s="1885">
        <f t="shared" si="74"/>
        <v>-9.5668612472766812E-2</v>
      </c>
      <c r="S177" s="1885">
        <f t="shared" si="75"/>
        <v>-6.7476103180760139E-2</v>
      </c>
      <c r="T177" s="50" t="s">
        <v>4738</v>
      </c>
      <c r="U177" s="50">
        <v>2.1849E-2</v>
      </c>
      <c r="V177" s="50">
        <v>4.6439999999999997E-3</v>
      </c>
      <c r="W177" s="1885">
        <f t="shared" si="76"/>
        <v>2.6492999999999999E-2</v>
      </c>
      <c r="X177" s="1891">
        <f t="shared" si="77"/>
        <v>-0.66232499999999994</v>
      </c>
      <c r="Y177" s="1891">
        <f t="shared" si="78"/>
        <v>-0.66232499999999994</v>
      </c>
      <c r="Z177" s="50">
        <v>0</v>
      </c>
      <c r="AA177" s="50">
        <v>0</v>
      </c>
      <c r="AB177" s="48">
        <v>0</v>
      </c>
      <c r="AC177" s="48">
        <v>0</v>
      </c>
      <c r="AD177" s="48">
        <v>0</v>
      </c>
      <c r="AE177" s="45" t="s">
        <v>4507</v>
      </c>
      <c r="AF177" s="51" t="s">
        <v>4739</v>
      </c>
      <c r="AG177" s="42"/>
      <c r="AH177" s="52" t="s">
        <v>4742</v>
      </c>
      <c r="AI177" s="197"/>
      <c r="AJ177" s="2578"/>
      <c r="AK177" s="251"/>
      <c r="AL177" s="2578"/>
      <c r="AM177" s="2562"/>
      <c r="AN177" s="2562"/>
      <c r="AO177" s="2562"/>
      <c r="AP177" s="2562"/>
      <c r="AQ177" s="2562"/>
      <c r="AR177" s="2562"/>
      <c r="AS177" s="2562"/>
      <c r="AT177" s="252">
        <f t="shared" si="79"/>
        <v>1</v>
      </c>
      <c r="AU177" s="252">
        <f t="shared" si="80"/>
        <v>0</v>
      </c>
      <c r="AV177" s="252">
        <f t="shared" si="81"/>
        <v>0</v>
      </c>
      <c r="AW177" s="252">
        <f t="shared" si="82"/>
        <v>0</v>
      </c>
      <c r="AX177" s="252">
        <f t="shared" si="83"/>
        <v>0</v>
      </c>
      <c r="AY177" s="252">
        <f t="shared" si="84"/>
        <v>0</v>
      </c>
      <c r="AZ177" s="252">
        <f t="shared" si="85"/>
        <v>0</v>
      </c>
      <c r="BA177" s="237"/>
      <c r="BB177" s="237"/>
      <c r="BC177" s="237"/>
      <c r="BD177" s="2562"/>
      <c r="BE177" s="252">
        <f t="shared" si="86"/>
        <v>0</v>
      </c>
      <c r="BF177" s="252">
        <f t="shared" si="87"/>
        <v>0</v>
      </c>
      <c r="BG177" s="2562"/>
      <c r="BH177" s="237"/>
      <c r="BI177" s="237"/>
      <c r="BJ177" s="252">
        <f t="shared" si="88"/>
        <v>0</v>
      </c>
      <c r="BK177" s="252">
        <f t="shared" si="89"/>
        <v>0</v>
      </c>
      <c r="BL177" s="252">
        <f t="shared" si="90"/>
        <v>0</v>
      </c>
      <c r="BM177" s="252">
        <f t="shared" si="91"/>
        <v>0</v>
      </c>
      <c r="BN177" s="252">
        <f t="shared" si="92"/>
        <v>0</v>
      </c>
      <c r="BO177" s="252">
        <f t="shared" si="93"/>
        <v>1</v>
      </c>
      <c r="BP177" s="2578"/>
      <c r="BQ177" s="2562"/>
      <c r="BR177" s="2562"/>
      <c r="BS177" s="2585"/>
      <c r="BT177" s="2585"/>
      <c r="BU177" s="2585"/>
    </row>
    <row r="178" spans="1:73" s="22" customFormat="1" ht="15.75" customHeight="1" outlineLevel="1">
      <c r="A178" s="2585"/>
      <c r="B178" s="44" t="s">
        <v>4743</v>
      </c>
      <c r="C178" s="45" t="s">
        <v>50</v>
      </c>
      <c r="D178" s="46" t="s">
        <v>4514</v>
      </c>
      <c r="E178" s="46" t="s">
        <v>4429</v>
      </c>
      <c r="F178" s="45" t="s">
        <v>4459</v>
      </c>
      <c r="G178" s="46" t="s">
        <v>4515</v>
      </c>
      <c r="H178" s="45" t="s">
        <v>4459</v>
      </c>
      <c r="I178" s="45" t="s">
        <v>4433</v>
      </c>
      <c r="J178" s="47" t="s">
        <v>4744</v>
      </c>
      <c r="K178" s="48">
        <v>100</v>
      </c>
      <c r="L178" s="47">
        <v>50457</v>
      </c>
      <c r="M178" s="1913">
        <v>14.891666666666667</v>
      </c>
      <c r="N178" s="48">
        <v>-7.71</v>
      </c>
      <c r="O178" s="49">
        <v>-7.71</v>
      </c>
      <c r="P178" s="49">
        <v>-7.71</v>
      </c>
      <c r="Q178" s="1884">
        <f t="shared" si="94"/>
        <v>-114.81475</v>
      </c>
      <c r="R178" s="1885">
        <f t="shared" si="74"/>
        <v>-8.8270928649237357E-2</v>
      </c>
      <c r="S178" s="1885">
        <f t="shared" si="75"/>
        <v>-5.9847796741660075E-2</v>
      </c>
      <c r="T178" s="50" t="s">
        <v>4686</v>
      </c>
      <c r="U178" s="50">
        <v>3.2124E-2</v>
      </c>
      <c r="V178" s="50">
        <v>2.7659999999999998E-3</v>
      </c>
      <c r="W178" s="1885">
        <f t="shared" si="76"/>
        <v>3.4889999999999997E-2</v>
      </c>
      <c r="X178" s="1891">
        <f t="shared" si="77"/>
        <v>-0.26900189999999996</v>
      </c>
      <c r="Y178" s="1891">
        <f t="shared" si="78"/>
        <v>-0.26900189999999996</v>
      </c>
      <c r="Z178" s="50">
        <v>0</v>
      </c>
      <c r="AA178" s="50">
        <v>0</v>
      </c>
      <c r="AB178" s="48">
        <v>0</v>
      </c>
      <c r="AC178" s="48">
        <v>0</v>
      </c>
      <c r="AD178" s="48">
        <v>0</v>
      </c>
      <c r="AE178" s="45" t="s">
        <v>4517</v>
      </c>
      <c r="AF178" s="51" t="s">
        <v>4745</v>
      </c>
      <c r="AG178" s="42"/>
      <c r="AH178" s="52" t="s">
        <v>4746</v>
      </c>
      <c r="AI178" s="197"/>
      <c r="AJ178" s="2578"/>
      <c r="AK178" s="251"/>
      <c r="AL178" s="2578"/>
      <c r="AM178" s="2562"/>
      <c r="AN178" s="2562"/>
      <c r="AO178" s="2562"/>
      <c r="AP178" s="2562"/>
      <c r="AQ178" s="2562"/>
      <c r="AR178" s="2562"/>
      <c r="AS178" s="2562"/>
      <c r="AT178" s="252">
        <f t="shared" si="79"/>
        <v>1</v>
      </c>
      <c r="AU178" s="252">
        <f t="shared" si="80"/>
        <v>0</v>
      </c>
      <c r="AV178" s="252">
        <f t="shared" si="81"/>
        <v>0</v>
      </c>
      <c r="AW178" s="252">
        <f t="shared" si="82"/>
        <v>0</v>
      </c>
      <c r="AX178" s="252">
        <f t="shared" si="83"/>
        <v>0</v>
      </c>
      <c r="AY178" s="252">
        <f t="shared" si="84"/>
        <v>0</v>
      </c>
      <c r="AZ178" s="252">
        <f t="shared" si="85"/>
        <v>0</v>
      </c>
      <c r="BA178" s="237"/>
      <c r="BB178" s="237"/>
      <c r="BC178" s="237"/>
      <c r="BD178" s="2562"/>
      <c r="BE178" s="252">
        <f t="shared" si="86"/>
        <v>0</v>
      </c>
      <c r="BF178" s="252">
        <f t="shared" si="87"/>
        <v>0</v>
      </c>
      <c r="BG178" s="2562"/>
      <c r="BH178" s="237"/>
      <c r="BI178" s="237"/>
      <c r="BJ178" s="252">
        <f t="shared" si="88"/>
        <v>0</v>
      </c>
      <c r="BK178" s="252">
        <f t="shared" si="89"/>
        <v>0</v>
      </c>
      <c r="BL178" s="252">
        <f t="shared" si="90"/>
        <v>0</v>
      </c>
      <c r="BM178" s="252">
        <f t="shared" si="91"/>
        <v>0</v>
      </c>
      <c r="BN178" s="252">
        <f t="shared" si="92"/>
        <v>0</v>
      </c>
      <c r="BO178" s="252">
        <f t="shared" si="93"/>
        <v>1</v>
      </c>
      <c r="BP178" s="2578"/>
      <c r="BQ178" s="2562"/>
      <c r="BR178" s="2562"/>
      <c r="BS178" s="2585"/>
      <c r="BT178" s="2585"/>
      <c r="BU178" s="2585"/>
    </row>
    <row r="179" spans="1:73" s="22" customFormat="1" ht="15.75" customHeight="1" outlineLevel="1">
      <c r="A179" s="2585"/>
      <c r="B179" s="44" t="s">
        <v>4747</v>
      </c>
      <c r="C179" s="45" t="s">
        <v>50</v>
      </c>
      <c r="D179" s="46" t="s">
        <v>4514</v>
      </c>
      <c r="E179" s="46" t="s">
        <v>4429</v>
      </c>
      <c r="F179" s="45" t="s">
        <v>4459</v>
      </c>
      <c r="G179" s="46" t="s">
        <v>4515</v>
      </c>
      <c r="H179" s="45" t="s">
        <v>4459</v>
      </c>
      <c r="I179" s="45" t="s">
        <v>4433</v>
      </c>
      <c r="J179" s="47" t="s">
        <v>4744</v>
      </c>
      <c r="K179" s="48">
        <v>100</v>
      </c>
      <c r="L179" s="47">
        <v>50457</v>
      </c>
      <c r="M179" s="1913">
        <v>14.891666666666667</v>
      </c>
      <c r="N179" s="48">
        <v>-7.71</v>
      </c>
      <c r="O179" s="49">
        <v>-7.71</v>
      </c>
      <c r="P179" s="49">
        <v>-7.71</v>
      </c>
      <c r="Q179" s="1884">
        <f t="shared" si="94"/>
        <v>-114.81475</v>
      </c>
      <c r="R179" s="1885">
        <f t="shared" si="74"/>
        <v>-8.8270928649237357E-2</v>
      </c>
      <c r="S179" s="1885">
        <f t="shared" si="75"/>
        <v>-5.9847796741660075E-2</v>
      </c>
      <c r="T179" s="50" t="s">
        <v>4686</v>
      </c>
      <c r="U179" s="50">
        <v>3.2124E-2</v>
      </c>
      <c r="V179" s="50">
        <v>2.7659999999999998E-3</v>
      </c>
      <c r="W179" s="1885">
        <f t="shared" si="76"/>
        <v>3.4889999999999997E-2</v>
      </c>
      <c r="X179" s="1891">
        <f t="shared" si="77"/>
        <v>-0.26900189999999996</v>
      </c>
      <c r="Y179" s="1891">
        <f t="shared" si="78"/>
        <v>-0.26900189999999996</v>
      </c>
      <c r="Z179" s="50">
        <v>0</v>
      </c>
      <c r="AA179" s="50">
        <v>0</v>
      </c>
      <c r="AB179" s="48">
        <v>0</v>
      </c>
      <c r="AC179" s="48">
        <v>0</v>
      </c>
      <c r="AD179" s="48">
        <v>0</v>
      </c>
      <c r="AE179" s="45" t="s">
        <v>4517</v>
      </c>
      <c r="AF179" s="51" t="s">
        <v>4745</v>
      </c>
      <c r="AG179" s="42"/>
      <c r="AH179" s="52" t="s">
        <v>4748</v>
      </c>
      <c r="AI179" s="197"/>
      <c r="AJ179" s="2578"/>
      <c r="AK179" s="251"/>
      <c r="AL179" s="2578"/>
      <c r="AM179" s="2562"/>
      <c r="AN179" s="2562"/>
      <c r="AO179" s="2562"/>
      <c r="AP179" s="2562"/>
      <c r="AQ179" s="2562"/>
      <c r="AR179" s="2562"/>
      <c r="AS179" s="2562"/>
      <c r="AT179" s="252">
        <f t="shared" si="79"/>
        <v>1</v>
      </c>
      <c r="AU179" s="252">
        <f t="shared" si="80"/>
        <v>0</v>
      </c>
      <c r="AV179" s="252">
        <f t="shared" si="81"/>
        <v>0</v>
      </c>
      <c r="AW179" s="252">
        <f t="shared" si="82"/>
        <v>0</v>
      </c>
      <c r="AX179" s="252">
        <f t="shared" si="83"/>
        <v>0</v>
      </c>
      <c r="AY179" s="252">
        <f t="shared" si="84"/>
        <v>0</v>
      </c>
      <c r="AZ179" s="252">
        <f t="shared" si="85"/>
        <v>0</v>
      </c>
      <c r="BA179" s="237"/>
      <c r="BB179" s="237"/>
      <c r="BC179" s="237"/>
      <c r="BD179" s="2562"/>
      <c r="BE179" s="252">
        <f t="shared" si="86"/>
        <v>0</v>
      </c>
      <c r="BF179" s="252">
        <f t="shared" si="87"/>
        <v>0</v>
      </c>
      <c r="BG179" s="2562"/>
      <c r="BH179" s="237"/>
      <c r="BI179" s="237"/>
      <c r="BJ179" s="252">
        <f t="shared" si="88"/>
        <v>0</v>
      </c>
      <c r="BK179" s="252">
        <f t="shared" si="89"/>
        <v>0</v>
      </c>
      <c r="BL179" s="252">
        <f t="shared" si="90"/>
        <v>0</v>
      </c>
      <c r="BM179" s="252">
        <f t="shared" si="91"/>
        <v>0</v>
      </c>
      <c r="BN179" s="252">
        <f t="shared" si="92"/>
        <v>0</v>
      </c>
      <c r="BO179" s="252">
        <f t="shared" si="93"/>
        <v>1</v>
      </c>
      <c r="BP179" s="2578"/>
      <c r="BQ179" s="2562"/>
      <c r="BR179" s="2562"/>
      <c r="BS179" s="2585"/>
      <c r="BT179" s="2585"/>
      <c r="BU179" s="2585"/>
    </row>
    <row r="180" spans="1:73" s="22" customFormat="1" ht="15.75" customHeight="1" outlineLevel="1">
      <c r="A180" s="2585"/>
      <c r="B180" s="44" t="s">
        <v>4749</v>
      </c>
      <c r="C180" s="45" t="s">
        <v>50</v>
      </c>
      <c r="D180" s="46" t="s">
        <v>4514</v>
      </c>
      <c r="E180" s="46" t="s">
        <v>4429</v>
      </c>
      <c r="F180" s="45" t="s">
        <v>4459</v>
      </c>
      <c r="G180" s="46" t="s">
        <v>4515</v>
      </c>
      <c r="H180" s="45" t="s">
        <v>4459</v>
      </c>
      <c r="I180" s="45" t="s">
        <v>4433</v>
      </c>
      <c r="J180" s="47" t="s">
        <v>4744</v>
      </c>
      <c r="K180" s="48">
        <v>100</v>
      </c>
      <c r="L180" s="47">
        <v>50457</v>
      </c>
      <c r="M180" s="1913">
        <v>14.891666666666667</v>
      </c>
      <c r="N180" s="48">
        <v>-3.25</v>
      </c>
      <c r="O180" s="49">
        <v>-3.25</v>
      </c>
      <c r="P180" s="49">
        <v>-3.25</v>
      </c>
      <c r="Q180" s="1884">
        <f t="shared" si="94"/>
        <v>-48.397916666666667</v>
      </c>
      <c r="R180" s="1885">
        <f t="shared" si="74"/>
        <v>-8.8270928649237357E-2</v>
      </c>
      <c r="S180" s="1885">
        <f t="shared" si="75"/>
        <v>-5.9847796741660075E-2</v>
      </c>
      <c r="T180" s="50" t="s">
        <v>4686</v>
      </c>
      <c r="U180" s="50">
        <v>3.2124E-2</v>
      </c>
      <c r="V180" s="50">
        <v>2.7659999999999998E-3</v>
      </c>
      <c r="W180" s="1885">
        <f t="shared" si="76"/>
        <v>3.4889999999999997E-2</v>
      </c>
      <c r="X180" s="1891">
        <f t="shared" si="77"/>
        <v>-0.11339249999999999</v>
      </c>
      <c r="Y180" s="1891">
        <f t="shared" si="78"/>
        <v>-0.11339249999999999</v>
      </c>
      <c r="Z180" s="50">
        <v>0</v>
      </c>
      <c r="AA180" s="50">
        <v>0</v>
      </c>
      <c r="AB180" s="48">
        <v>0</v>
      </c>
      <c r="AC180" s="48">
        <v>0</v>
      </c>
      <c r="AD180" s="48">
        <v>0</v>
      </c>
      <c r="AE180" s="45" t="s">
        <v>4517</v>
      </c>
      <c r="AF180" s="51" t="s">
        <v>4745</v>
      </c>
      <c r="AG180" s="42"/>
      <c r="AH180" s="52" t="s">
        <v>4750</v>
      </c>
      <c r="AI180" s="197"/>
      <c r="AJ180" s="2578"/>
      <c r="AK180" s="251"/>
      <c r="AL180" s="2578"/>
      <c r="AM180" s="2562"/>
      <c r="AN180" s="2562"/>
      <c r="AO180" s="2562"/>
      <c r="AP180" s="2562"/>
      <c r="AQ180" s="2562"/>
      <c r="AR180" s="2562"/>
      <c r="AS180" s="2562"/>
      <c r="AT180" s="252">
        <f t="shared" si="79"/>
        <v>1</v>
      </c>
      <c r="AU180" s="252">
        <f t="shared" si="80"/>
        <v>0</v>
      </c>
      <c r="AV180" s="252">
        <f t="shared" si="81"/>
        <v>0</v>
      </c>
      <c r="AW180" s="252">
        <f t="shared" si="82"/>
        <v>0</v>
      </c>
      <c r="AX180" s="252">
        <f t="shared" si="83"/>
        <v>0</v>
      </c>
      <c r="AY180" s="252">
        <f t="shared" si="84"/>
        <v>0</v>
      </c>
      <c r="AZ180" s="252">
        <f t="shared" si="85"/>
        <v>0</v>
      </c>
      <c r="BA180" s="237"/>
      <c r="BB180" s="237"/>
      <c r="BC180" s="237"/>
      <c r="BD180" s="2562"/>
      <c r="BE180" s="252">
        <f t="shared" si="86"/>
        <v>0</v>
      </c>
      <c r="BF180" s="252">
        <f t="shared" si="87"/>
        <v>0</v>
      </c>
      <c r="BG180" s="2562"/>
      <c r="BH180" s="237"/>
      <c r="BI180" s="237"/>
      <c r="BJ180" s="252">
        <f t="shared" si="88"/>
        <v>0</v>
      </c>
      <c r="BK180" s="252">
        <f t="shared" si="89"/>
        <v>0</v>
      </c>
      <c r="BL180" s="252">
        <f t="shared" si="90"/>
        <v>0</v>
      </c>
      <c r="BM180" s="252">
        <f t="shared" si="91"/>
        <v>0</v>
      </c>
      <c r="BN180" s="252">
        <f t="shared" si="92"/>
        <v>0</v>
      </c>
      <c r="BO180" s="252">
        <f t="shared" si="93"/>
        <v>1</v>
      </c>
      <c r="BP180" s="2578"/>
      <c r="BQ180" s="2562"/>
      <c r="BR180" s="2562"/>
      <c r="BS180" s="2585"/>
      <c r="BT180" s="2585"/>
      <c r="BU180" s="2585"/>
    </row>
    <row r="181" spans="1:73" s="22" customFormat="1" ht="15.75" customHeight="1" outlineLevel="1">
      <c r="A181" s="2585"/>
      <c r="B181" s="44" t="s">
        <v>4751</v>
      </c>
      <c r="C181" s="45" t="s">
        <v>50</v>
      </c>
      <c r="D181" s="46" t="s">
        <v>4514</v>
      </c>
      <c r="E181" s="46" t="s">
        <v>4429</v>
      </c>
      <c r="F181" s="45" t="s">
        <v>4459</v>
      </c>
      <c r="G181" s="46" t="s">
        <v>4515</v>
      </c>
      <c r="H181" s="45" t="s">
        <v>4459</v>
      </c>
      <c r="I181" s="45" t="s">
        <v>4433</v>
      </c>
      <c r="J181" s="47" t="s">
        <v>4744</v>
      </c>
      <c r="K181" s="48">
        <v>100</v>
      </c>
      <c r="L181" s="47">
        <v>52283</v>
      </c>
      <c r="M181" s="1913">
        <v>19.891666666666666</v>
      </c>
      <c r="N181" s="48">
        <v>-7.71</v>
      </c>
      <c r="O181" s="49">
        <v>-7.71</v>
      </c>
      <c r="P181" s="49">
        <v>-7.71</v>
      </c>
      <c r="Q181" s="1884">
        <f t="shared" si="94"/>
        <v>-153.36474999999999</v>
      </c>
      <c r="R181" s="1885">
        <f t="shared" si="74"/>
        <v>-8.8270928649237357E-2</v>
      </c>
      <c r="S181" s="1885">
        <f t="shared" si="75"/>
        <v>-5.9847796741660075E-2</v>
      </c>
      <c r="T181" s="50" t="s">
        <v>4686</v>
      </c>
      <c r="U181" s="50">
        <v>3.2124E-2</v>
      </c>
      <c r="V181" s="50">
        <v>2.7659999999999998E-3</v>
      </c>
      <c r="W181" s="1885">
        <f t="shared" si="76"/>
        <v>3.4889999999999997E-2</v>
      </c>
      <c r="X181" s="1891">
        <f t="shared" si="77"/>
        <v>-0.26900189999999996</v>
      </c>
      <c r="Y181" s="1891">
        <f t="shared" si="78"/>
        <v>-0.26900189999999996</v>
      </c>
      <c r="Z181" s="50">
        <v>0</v>
      </c>
      <c r="AA181" s="50">
        <v>0</v>
      </c>
      <c r="AB181" s="48">
        <v>0</v>
      </c>
      <c r="AC181" s="48">
        <v>0</v>
      </c>
      <c r="AD181" s="48">
        <v>0</v>
      </c>
      <c r="AE181" s="45" t="s">
        <v>4517</v>
      </c>
      <c r="AF181" s="51" t="s">
        <v>4745</v>
      </c>
      <c r="AG181" s="42"/>
      <c r="AH181" s="52" t="s">
        <v>4752</v>
      </c>
      <c r="AI181" s="197"/>
      <c r="AJ181" s="2578"/>
      <c r="AK181" s="251"/>
      <c r="AL181" s="2578"/>
      <c r="AM181" s="2562"/>
      <c r="AN181" s="2562"/>
      <c r="AO181" s="2562"/>
      <c r="AP181" s="2562"/>
      <c r="AQ181" s="2562"/>
      <c r="AR181" s="2562"/>
      <c r="AS181" s="2562"/>
      <c r="AT181" s="252">
        <f t="shared" si="79"/>
        <v>1</v>
      </c>
      <c r="AU181" s="252">
        <f t="shared" si="80"/>
        <v>0</v>
      </c>
      <c r="AV181" s="252">
        <f t="shared" si="81"/>
        <v>0</v>
      </c>
      <c r="AW181" s="252">
        <f t="shared" si="82"/>
        <v>0</v>
      </c>
      <c r="AX181" s="252">
        <f t="shared" si="83"/>
        <v>0</v>
      </c>
      <c r="AY181" s="252">
        <f t="shared" si="84"/>
        <v>0</v>
      </c>
      <c r="AZ181" s="252">
        <f t="shared" si="85"/>
        <v>0</v>
      </c>
      <c r="BA181" s="237"/>
      <c r="BB181" s="237"/>
      <c r="BC181" s="237"/>
      <c r="BD181" s="2562"/>
      <c r="BE181" s="252">
        <f t="shared" si="86"/>
        <v>0</v>
      </c>
      <c r="BF181" s="252">
        <f t="shared" si="87"/>
        <v>0</v>
      </c>
      <c r="BG181" s="2562"/>
      <c r="BH181" s="237"/>
      <c r="BI181" s="237"/>
      <c r="BJ181" s="252">
        <f t="shared" si="88"/>
        <v>0</v>
      </c>
      <c r="BK181" s="252">
        <f t="shared" si="89"/>
        <v>0</v>
      </c>
      <c r="BL181" s="252">
        <f t="shared" si="90"/>
        <v>0</v>
      </c>
      <c r="BM181" s="252">
        <f t="shared" si="91"/>
        <v>0</v>
      </c>
      <c r="BN181" s="252">
        <f t="shared" si="92"/>
        <v>0</v>
      </c>
      <c r="BO181" s="252">
        <f t="shared" si="93"/>
        <v>1</v>
      </c>
      <c r="BP181" s="2578"/>
      <c r="BQ181" s="2562"/>
      <c r="BR181" s="2562"/>
      <c r="BS181" s="2585"/>
      <c r="BT181" s="2585"/>
      <c r="BU181" s="2585"/>
    </row>
    <row r="182" spans="1:73" s="22" customFormat="1" ht="15.75" customHeight="1" outlineLevel="1">
      <c r="A182" s="2585"/>
      <c r="B182" s="44" t="s">
        <v>4753</v>
      </c>
      <c r="C182" s="45" t="s">
        <v>50</v>
      </c>
      <c r="D182" s="46" t="s">
        <v>4514</v>
      </c>
      <c r="E182" s="46" t="s">
        <v>4429</v>
      </c>
      <c r="F182" s="45" t="s">
        <v>4459</v>
      </c>
      <c r="G182" s="46" t="s">
        <v>4515</v>
      </c>
      <c r="H182" s="45" t="s">
        <v>4459</v>
      </c>
      <c r="I182" s="45" t="s">
        <v>4433</v>
      </c>
      <c r="J182" s="47" t="s">
        <v>4744</v>
      </c>
      <c r="K182" s="48">
        <v>100</v>
      </c>
      <c r="L182" s="47">
        <v>52283</v>
      </c>
      <c r="M182" s="1913">
        <v>19.891666666666666</v>
      </c>
      <c r="N182" s="48">
        <v>-7.71</v>
      </c>
      <c r="O182" s="49">
        <v>-7.71</v>
      </c>
      <c r="P182" s="49">
        <v>-7.71</v>
      </c>
      <c r="Q182" s="1884">
        <f t="shared" si="94"/>
        <v>-153.36474999999999</v>
      </c>
      <c r="R182" s="1885">
        <f t="shared" si="74"/>
        <v>-8.8270928649237357E-2</v>
      </c>
      <c r="S182" s="1885">
        <f t="shared" si="75"/>
        <v>-5.9847796741660075E-2</v>
      </c>
      <c r="T182" s="50" t="s">
        <v>4686</v>
      </c>
      <c r="U182" s="50">
        <v>3.2124E-2</v>
      </c>
      <c r="V182" s="50">
        <v>2.7659999999999998E-3</v>
      </c>
      <c r="W182" s="1885">
        <f t="shared" si="76"/>
        <v>3.4889999999999997E-2</v>
      </c>
      <c r="X182" s="1891">
        <f t="shared" si="77"/>
        <v>-0.26900189999999996</v>
      </c>
      <c r="Y182" s="1891">
        <f t="shared" si="78"/>
        <v>-0.26900189999999996</v>
      </c>
      <c r="Z182" s="50">
        <v>0</v>
      </c>
      <c r="AA182" s="50">
        <v>0</v>
      </c>
      <c r="AB182" s="48">
        <v>0</v>
      </c>
      <c r="AC182" s="48">
        <v>0</v>
      </c>
      <c r="AD182" s="48">
        <v>0</v>
      </c>
      <c r="AE182" s="45" t="s">
        <v>4517</v>
      </c>
      <c r="AF182" s="51" t="s">
        <v>4745</v>
      </c>
      <c r="AG182" s="42"/>
      <c r="AH182" s="52" t="s">
        <v>4754</v>
      </c>
      <c r="AI182" s="197"/>
      <c r="AJ182" s="2578"/>
      <c r="AK182" s="251"/>
      <c r="AL182" s="2578"/>
      <c r="AM182" s="2562"/>
      <c r="AN182" s="2562"/>
      <c r="AO182" s="2562"/>
      <c r="AP182" s="2562"/>
      <c r="AQ182" s="2562"/>
      <c r="AR182" s="2562"/>
      <c r="AS182" s="2562"/>
      <c r="AT182" s="252">
        <f t="shared" si="79"/>
        <v>1</v>
      </c>
      <c r="AU182" s="252">
        <f t="shared" si="80"/>
        <v>0</v>
      </c>
      <c r="AV182" s="252">
        <f t="shared" si="81"/>
        <v>0</v>
      </c>
      <c r="AW182" s="252">
        <f t="shared" si="82"/>
        <v>0</v>
      </c>
      <c r="AX182" s="252">
        <f t="shared" si="83"/>
        <v>0</v>
      </c>
      <c r="AY182" s="252">
        <f t="shared" si="84"/>
        <v>0</v>
      </c>
      <c r="AZ182" s="252">
        <f t="shared" si="85"/>
        <v>0</v>
      </c>
      <c r="BA182" s="237"/>
      <c r="BB182" s="237"/>
      <c r="BC182" s="237"/>
      <c r="BD182" s="2562"/>
      <c r="BE182" s="252">
        <f t="shared" si="86"/>
        <v>0</v>
      </c>
      <c r="BF182" s="252">
        <f t="shared" si="87"/>
        <v>0</v>
      </c>
      <c r="BG182" s="2562"/>
      <c r="BH182" s="237"/>
      <c r="BI182" s="237"/>
      <c r="BJ182" s="252">
        <f t="shared" si="88"/>
        <v>0</v>
      </c>
      <c r="BK182" s="252">
        <f t="shared" si="89"/>
        <v>0</v>
      </c>
      <c r="BL182" s="252">
        <f t="shared" si="90"/>
        <v>0</v>
      </c>
      <c r="BM182" s="252">
        <f t="shared" si="91"/>
        <v>0</v>
      </c>
      <c r="BN182" s="252">
        <f t="shared" si="92"/>
        <v>0</v>
      </c>
      <c r="BO182" s="252">
        <f t="shared" si="93"/>
        <v>1</v>
      </c>
      <c r="BP182" s="2578"/>
      <c r="BQ182" s="2562"/>
      <c r="BR182" s="2562"/>
      <c r="BS182" s="2585"/>
      <c r="BT182" s="2585"/>
      <c r="BU182" s="2585"/>
    </row>
    <row r="183" spans="1:73" s="22" customFormat="1" ht="15.75" customHeight="1" outlineLevel="1">
      <c r="A183" s="2585"/>
      <c r="B183" s="44" t="s">
        <v>4755</v>
      </c>
      <c r="C183" s="45" t="s">
        <v>50</v>
      </c>
      <c r="D183" s="46" t="s">
        <v>4514</v>
      </c>
      <c r="E183" s="46" t="s">
        <v>4429</v>
      </c>
      <c r="F183" s="45" t="s">
        <v>4459</v>
      </c>
      <c r="G183" s="46" t="s">
        <v>4515</v>
      </c>
      <c r="H183" s="45" t="s">
        <v>4459</v>
      </c>
      <c r="I183" s="45" t="s">
        <v>4433</v>
      </c>
      <c r="J183" s="47" t="s">
        <v>4744</v>
      </c>
      <c r="K183" s="48">
        <v>100</v>
      </c>
      <c r="L183" s="47">
        <v>46074</v>
      </c>
      <c r="M183" s="1913">
        <v>2.8916666666666666</v>
      </c>
      <c r="N183" s="48">
        <v>-98.971433000000005</v>
      </c>
      <c r="O183" s="49">
        <v>-98.971000000000004</v>
      </c>
      <c r="P183" s="49">
        <v>-98.971000000000004</v>
      </c>
      <c r="Q183" s="1884">
        <f t="shared" si="94"/>
        <v>-286.19114166666668</v>
      </c>
      <c r="R183" s="1885">
        <f t="shared" si="74"/>
        <v>-8.8270928649237357E-2</v>
      </c>
      <c r="S183" s="1885">
        <f t="shared" si="75"/>
        <v>-5.9847796741660075E-2</v>
      </c>
      <c r="T183" s="50" t="s">
        <v>4686</v>
      </c>
      <c r="U183" s="50">
        <v>3.2124E-2</v>
      </c>
      <c r="V183" s="50">
        <v>2.7659999999999998E-3</v>
      </c>
      <c r="W183" s="1885">
        <f t="shared" si="76"/>
        <v>3.4889999999999997E-2</v>
      </c>
      <c r="X183" s="1891">
        <f t="shared" si="77"/>
        <v>-3.45309819</v>
      </c>
      <c r="Y183" s="1891">
        <f t="shared" si="78"/>
        <v>-3.45309819</v>
      </c>
      <c r="Z183" s="50">
        <v>0</v>
      </c>
      <c r="AA183" s="50">
        <v>0</v>
      </c>
      <c r="AB183" s="48">
        <v>0</v>
      </c>
      <c r="AC183" s="48">
        <v>0</v>
      </c>
      <c r="AD183" s="48">
        <v>0</v>
      </c>
      <c r="AE183" s="45" t="s">
        <v>4756</v>
      </c>
      <c r="AF183" s="51" t="s">
        <v>4757</v>
      </c>
      <c r="AG183" s="42"/>
      <c r="AH183" s="52" t="s">
        <v>4758</v>
      </c>
      <c r="AI183" s="197"/>
      <c r="AJ183" s="2578"/>
      <c r="AK183" s="251"/>
      <c r="AL183" s="2578"/>
      <c r="AM183" s="2562"/>
      <c r="AN183" s="2562"/>
      <c r="AO183" s="2562"/>
      <c r="AP183" s="2562"/>
      <c r="AQ183" s="2562"/>
      <c r="AR183" s="2562"/>
      <c r="AS183" s="2562"/>
      <c r="AT183" s="252">
        <f t="shared" si="79"/>
        <v>1</v>
      </c>
      <c r="AU183" s="252">
        <f t="shared" si="80"/>
        <v>0</v>
      </c>
      <c r="AV183" s="252">
        <f t="shared" si="81"/>
        <v>0</v>
      </c>
      <c r="AW183" s="252">
        <f t="shared" si="82"/>
        <v>0</v>
      </c>
      <c r="AX183" s="252">
        <f t="shared" si="83"/>
        <v>0</v>
      </c>
      <c r="AY183" s="252">
        <f t="shared" si="84"/>
        <v>0</v>
      </c>
      <c r="AZ183" s="252">
        <f t="shared" si="85"/>
        <v>0</v>
      </c>
      <c r="BA183" s="237"/>
      <c r="BB183" s="237"/>
      <c r="BC183" s="237"/>
      <c r="BD183" s="2562"/>
      <c r="BE183" s="252">
        <f t="shared" si="86"/>
        <v>0</v>
      </c>
      <c r="BF183" s="252">
        <f t="shared" si="87"/>
        <v>0</v>
      </c>
      <c r="BG183" s="2562"/>
      <c r="BH183" s="237"/>
      <c r="BI183" s="237"/>
      <c r="BJ183" s="252">
        <f t="shared" si="88"/>
        <v>0</v>
      </c>
      <c r="BK183" s="252">
        <f t="shared" si="89"/>
        <v>0</v>
      </c>
      <c r="BL183" s="252">
        <f t="shared" si="90"/>
        <v>0</v>
      </c>
      <c r="BM183" s="252">
        <f t="shared" si="91"/>
        <v>0</v>
      </c>
      <c r="BN183" s="252">
        <f t="shared" si="92"/>
        <v>0</v>
      </c>
      <c r="BO183" s="252">
        <f t="shared" si="93"/>
        <v>1</v>
      </c>
      <c r="BP183" s="2578"/>
      <c r="BQ183" s="2562"/>
      <c r="BR183" s="2562"/>
      <c r="BS183" s="2585"/>
      <c r="BT183" s="2585"/>
      <c r="BU183" s="2585"/>
    </row>
    <row r="184" spans="1:73" s="22" customFormat="1" ht="15.75" customHeight="1" outlineLevel="1">
      <c r="A184" s="2585"/>
      <c r="B184" s="44" t="s">
        <v>4759</v>
      </c>
      <c r="C184" s="45" t="s">
        <v>50</v>
      </c>
      <c r="D184" s="46" t="s">
        <v>4514</v>
      </c>
      <c r="E184" s="46" t="s">
        <v>4429</v>
      </c>
      <c r="F184" s="45" t="s">
        <v>4459</v>
      </c>
      <c r="G184" s="46" t="s">
        <v>4515</v>
      </c>
      <c r="H184" s="45" t="s">
        <v>4459</v>
      </c>
      <c r="I184" s="45" t="s">
        <v>4433</v>
      </c>
      <c r="J184" s="47" t="s">
        <v>4744</v>
      </c>
      <c r="K184" s="48">
        <v>100</v>
      </c>
      <c r="L184" s="47">
        <v>46074</v>
      </c>
      <c r="M184" s="1913">
        <v>2.8916666666666666</v>
      </c>
      <c r="N184" s="48">
        <v>-77.975696999999997</v>
      </c>
      <c r="O184" s="49">
        <v>-77.975999999999999</v>
      </c>
      <c r="P184" s="49">
        <v>-77.975999999999999</v>
      </c>
      <c r="Q184" s="1884">
        <f t="shared" si="94"/>
        <v>-225.48059999999998</v>
      </c>
      <c r="R184" s="1885">
        <f t="shared" si="74"/>
        <v>-8.8270928649237357E-2</v>
      </c>
      <c r="S184" s="1885">
        <f t="shared" si="75"/>
        <v>-5.9847796741660075E-2</v>
      </c>
      <c r="T184" s="50" t="s">
        <v>4686</v>
      </c>
      <c r="U184" s="50">
        <v>3.2124E-2</v>
      </c>
      <c r="V184" s="50">
        <v>2.7659999999999998E-3</v>
      </c>
      <c r="W184" s="1885">
        <f t="shared" si="76"/>
        <v>3.4889999999999997E-2</v>
      </c>
      <c r="X184" s="1891">
        <f t="shared" si="77"/>
        <v>-2.7205826399999999</v>
      </c>
      <c r="Y184" s="1891">
        <f t="shared" si="78"/>
        <v>-2.7205826399999999</v>
      </c>
      <c r="Z184" s="50">
        <v>0</v>
      </c>
      <c r="AA184" s="50">
        <v>0</v>
      </c>
      <c r="AB184" s="48">
        <v>0</v>
      </c>
      <c r="AC184" s="48">
        <v>0</v>
      </c>
      <c r="AD184" s="48">
        <v>0</v>
      </c>
      <c r="AE184" s="45" t="s">
        <v>4517</v>
      </c>
      <c r="AF184" s="51" t="s">
        <v>4745</v>
      </c>
      <c r="AG184" s="42"/>
      <c r="AH184" s="52" t="s">
        <v>4760</v>
      </c>
      <c r="AI184" s="197"/>
      <c r="AJ184" s="2578"/>
      <c r="AK184" s="251"/>
      <c r="AL184" s="2578"/>
      <c r="AM184" s="2562"/>
      <c r="AN184" s="2562"/>
      <c r="AO184" s="2562"/>
      <c r="AP184" s="2562"/>
      <c r="AQ184" s="2562"/>
      <c r="AR184" s="2562"/>
      <c r="AS184" s="2562"/>
      <c r="AT184" s="252">
        <f t="shared" si="79"/>
        <v>1</v>
      </c>
      <c r="AU184" s="252">
        <f t="shared" si="80"/>
        <v>0</v>
      </c>
      <c r="AV184" s="252">
        <f t="shared" si="81"/>
        <v>0</v>
      </c>
      <c r="AW184" s="252">
        <f t="shared" si="82"/>
        <v>0</v>
      </c>
      <c r="AX184" s="252">
        <f t="shared" si="83"/>
        <v>0</v>
      </c>
      <c r="AY184" s="252">
        <f t="shared" si="84"/>
        <v>0</v>
      </c>
      <c r="AZ184" s="252">
        <f t="shared" si="85"/>
        <v>0</v>
      </c>
      <c r="BA184" s="237"/>
      <c r="BB184" s="237"/>
      <c r="BC184" s="237"/>
      <c r="BD184" s="2562"/>
      <c r="BE184" s="252">
        <f t="shared" si="86"/>
        <v>0</v>
      </c>
      <c r="BF184" s="252">
        <f t="shared" si="87"/>
        <v>0</v>
      </c>
      <c r="BG184" s="2562"/>
      <c r="BH184" s="237"/>
      <c r="BI184" s="237"/>
      <c r="BJ184" s="252">
        <f t="shared" si="88"/>
        <v>0</v>
      </c>
      <c r="BK184" s="252">
        <f t="shared" si="89"/>
        <v>0</v>
      </c>
      <c r="BL184" s="252">
        <f t="shared" si="90"/>
        <v>0</v>
      </c>
      <c r="BM184" s="252">
        <f t="shared" si="91"/>
        <v>0</v>
      </c>
      <c r="BN184" s="252">
        <f t="shared" si="92"/>
        <v>0</v>
      </c>
      <c r="BO184" s="252">
        <f t="shared" si="93"/>
        <v>1</v>
      </c>
      <c r="BP184" s="2578"/>
      <c r="BQ184" s="2562"/>
      <c r="BR184" s="2562"/>
      <c r="BS184" s="2585"/>
      <c r="BT184" s="2585"/>
      <c r="BU184" s="2585"/>
    </row>
    <row r="185" spans="1:73" s="22" customFormat="1" ht="15.75" customHeight="1" outlineLevel="1">
      <c r="A185" s="2585"/>
      <c r="B185" s="44" t="s">
        <v>4761</v>
      </c>
      <c r="C185" s="45" t="s">
        <v>50</v>
      </c>
      <c r="D185" s="46" t="s">
        <v>4514</v>
      </c>
      <c r="E185" s="46" t="s">
        <v>4429</v>
      </c>
      <c r="F185" s="45" t="s">
        <v>4459</v>
      </c>
      <c r="G185" s="46" t="s">
        <v>4515</v>
      </c>
      <c r="H185" s="45" t="s">
        <v>4459</v>
      </c>
      <c r="I185" s="45" t="s">
        <v>4433</v>
      </c>
      <c r="J185" s="47" t="s">
        <v>4744</v>
      </c>
      <c r="K185" s="48">
        <v>100</v>
      </c>
      <c r="L185" s="47">
        <v>50457</v>
      </c>
      <c r="M185" s="1913">
        <v>14.891666666666667</v>
      </c>
      <c r="N185" s="48">
        <v>-4.8936000000000002</v>
      </c>
      <c r="O185" s="49">
        <v>-4.8940000000000001</v>
      </c>
      <c r="P185" s="49">
        <v>-4.8940000000000001</v>
      </c>
      <c r="Q185" s="1884">
        <f t="shared" si="94"/>
        <v>-72.87981666666667</v>
      </c>
      <c r="R185" s="1885">
        <f t="shared" si="74"/>
        <v>-8.8270928649237357E-2</v>
      </c>
      <c r="S185" s="1885">
        <f t="shared" si="75"/>
        <v>-5.9847796741660075E-2</v>
      </c>
      <c r="T185" s="50" t="s">
        <v>4686</v>
      </c>
      <c r="U185" s="50">
        <v>3.2124E-2</v>
      </c>
      <c r="V185" s="50">
        <v>2.7659999999999998E-3</v>
      </c>
      <c r="W185" s="1885">
        <f t="shared" si="76"/>
        <v>3.4889999999999997E-2</v>
      </c>
      <c r="X185" s="1891">
        <f t="shared" si="77"/>
        <v>-0.17075166</v>
      </c>
      <c r="Y185" s="1891">
        <f t="shared" si="78"/>
        <v>-0.17075166</v>
      </c>
      <c r="Z185" s="50">
        <v>0</v>
      </c>
      <c r="AA185" s="50">
        <v>0</v>
      </c>
      <c r="AB185" s="48">
        <v>0</v>
      </c>
      <c r="AC185" s="48">
        <v>0</v>
      </c>
      <c r="AD185" s="48">
        <v>0</v>
      </c>
      <c r="AE185" s="45" t="s">
        <v>4517</v>
      </c>
      <c r="AF185" s="51" t="s">
        <v>4745</v>
      </c>
      <c r="AG185" s="42"/>
      <c r="AH185" s="52" t="s">
        <v>4762</v>
      </c>
      <c r="AI185" s="197"/>
      <c r="AJ185" s="2578"/>
      <c r="AK185" s="251"/>
      <c r="AL185" s="2578"/>
      <c r="AM185" s="2562"/>
      <c r="AN185" s="2562"/>
      <c r="AO185" s="2562"/>
      <c r="AP185" s="2562"/>
      <c r="AQ185" s="2562"/>
      <c r="AR185" s="2562"/>
      <c r="AS185" s="2562"/>
      <c r="AT185" s="252">
        <f t="shared" si="79"/>
        <v>1</v>
      </c>
      <c r="AU185" s="252">
        <f t="shared" si="80"/>
        <v>0</v>
      </c>
      <c r="AV185" s="252">
        <f t="shared" si="81"/>
        <v>0</v>
      </c>
      <c r="AW185" s="252">
        <f t="shared" si="82"/>
        <v>0</v>
      </c>
      <c r="AX185" s="252">
        <f t="shared" si="83"/>
        <v>0</v>
      </c>
      <c r="AY185" s="252">
        <f t="shared" si="84"/>
        <v>0</v>
      </c>
      <c r="AZ185" s="252">
        <f t="shared" si="85"/>
        <v>0</v>
      </c>
      <c r="BA185" s="237"/>
      <c r="BB185" s="237"/>
      <c r="BC185" s="237"/>
      <c r="BD185" s="2562"/>
      <c r="BE185" s="252">
        <f t="shared" si="86"/>
        <v>0</v>
      </c>
      <c r="BF185" s="252">
        <f t="shared" si="87"/>
        <v>0</v>
      </c>
      <c r="BG185" s="2562"/>
      <c r="BH185" s="237"/>
      <c r="BI185" s="237"/>
      <c r="BJ185" s="252">
        <f t="shared" si="88"/>
        <v>0</v>
      </c>
      <c r="BK185" s="252">
        <f t="shared" si="89"/>
        <v>0</v>
      </c>
      <c r="BL185" s="252">
        <f t="shared" si="90"/>
        <v>0</v>
      </c>
      <c r="BM185" s="252">
        <f t="shared" si="91"/>
        <v>0</v>
      </c>
      <c r="BN185" s="252">
        <f t="shared" si="92"/>
        <v>0</v>
      </c>
      <c r="BO185" s="252">
        <f t="shared" si="93"/>
        <v>1</v>
      </c>
      <c r="BP185" s="2578"/>
      <c r="BQ185" s="2562"/>
      <c r="BR185" s="2562"/>
      <c r="BS185" s="2585"/>
      <c r="BT185" s="2585"/>
      <c r="BU185" s="2585"/>
    </row>
    <row r="186" spans="1:73" s="22" customFormat="1" ht="15.75" customHeight="1" outlineLevel="1">
      <c r="A186" s="2585"/>
      <c r="B186" s="44" t="s">
        <v>4763</v>
      </c>
      <c r="C186" s="45" t="s">
        <v>50</v>
      </c>
      <c r="D186" s="46" t="s">
        <v>4514</v>
      </c>
      <c r="E186" s="46" t="s">
        <v>4429</v>
      </c>
      <c r="F186" s="45" t="s">
        <v>4459</v>
      </c>
      <c r="G186" s="46" t="s">
        <v>4515</v>
      </c>
      <c r="H186" s="45" t="s">
        <v>4459</v>
      </c>
      <c r="I186" s="45" t="s">
        <v>4433</v>
      </c>
      <c r="J186" s="47" t="s">
        <v>4744</v>
      </c>
      <c r="K186" s="48">
        <v>100</v>
      </c>
      <c r="L186" s="47">
        <v>50457</v>
      </c>
      <c r="M186" s="1913">
        <v>14.891666666666667</v>
      </c>
      <c r="N186" s="48">
        <v>-10.268000000000001</v>
      </c>
      <c r="O186" s="49">
        <v>-10.268000000000001</v>
      </c>
      <c r="P186" s="49">
        <v>-10.268000000000001</v>
      </c>
      <c r="Q186" s="1884">
        <f t="shared" si="94"/>
        <v>-152.90763333333337</v>
      </c>
      <c r="R186" s="1885">
        <f t="shared" si="74"/>
        <v>-8.8270928649237357E-2</v>
      </c>
      <c r="S186" s="1885">
        <f t="shared" si="75"/>
        <v>-5.9847796741660075E-2</v>
      </c>
      <c r="T186" s="50" t="s">
        <v>4686</v>
      </c>
      <c r="U186" s="50">
        <v>3.2124E-2</v>
      </c>
      <c r="V186" s="50">
        <v>2.7659999999999998E-3</v>
      </c>
      <c r="W186" s="1885">
        <f t="shared" si="76"/>
        <v>3.4889999999999997E-2</v>
      </c>
      <c r="X186" s="1891">
        <f t="shared" si="77"/>
        <v>-0.35825052000000002</v>
      </c>
      <c r="Y186" s="1891">
        <f t="shared" si="78"/>
        <v>-0.35825052000000002</v>
      </c>
      <c r="Z186" s="50">
        <v>0</v>
      </c>
      <c r="AA186" s="50">
        <v>0</v>
      </c>
      <c r="AB186" s="48">
        <v>0</v>
      </c>
      <c r="AC186" s="48">
        <v>0</v>
      </c>
      <c r="AD186" s="48">
        <v>0</v>
      </c>
      <c r="AE186" s="45" t="s">
        <v>4517</v>
      </c>
      <c r="AF186" s="51" t="s">
        <v>4745</v>
      </c>
      <c r="AG186" s="42"/>
      <c r="AH186" s="52" t="s">
        <v>4764</v>
      </c>
      <c r="AI186" s="197"/>
      <c r="AJ186" s="2578"/>
      <c r="AK186" s="251"/>
      <c r="AL186" s="2578"/>
      <c r="AM186" s="2562"/>
      <c r="AN186" s="2562"/>
      <c r="AO186" s="2562"/>
      <c r="AP186" s="2562"/>
      <c r="AQ186" s="2562"/>
      <c r="AR186" s="2562"/>
      <c r="AS186" s="2562"/>
      <c r="AT186" s="252">
        <f t="shared" si="79"/>
        <v>1</v>
      </c>
      <c r="AU186" s="252">
        <f t="shared" si="80"/>
        <v>0</v>
      </c>
      <c r="AV186" s="252">
        <f t="shared" si="81"/>
        <v>0</v>
      </c>
      <c r="AW186" s="252">
        <f t="shared" si="82"/>
        <v>0</v>
      </c>
      <c r="AX186" s="252">
        <f t="shared" si="83"/>
        <v>0</v>
      </c>
      <c r="AY186" s="252">
        <f t="shared" si="84"/>
        <v>0</v>
      </c>
      <c r="AZ186" s="252">
        <f t="shared" si="85"/>
        <v>0</v>
      </c>
      <c r="BA186" s="237"/>
      <c r="BB186" s="237"/>
      <c r="BC186" s="237"/>
      <c r="BD186" s="2562"/>
      <c r="BE186" s="252">
        <f t="shared" si="86"/>
        <v>0</v>
      </c>
      <c r="BF186" s="252">
        <f t="shared" si="87"/>
        <v>0</v>
      </c>
      <c r="BG186" s="2562"/>
      <c r="BH186" s="237"/>
      <c r="BI186" s="237"/>
      <c r="BJ186" s="252">
        <f t="shared" si="88"/>
        <v>0</v>
      </c>
      <c r="BK186" s="252">
        <f t="shared" si="89"/>
        <v>0</v>
      </c>
      <c r="BL186" s="252">
        <f t="shared" si="90"/>
        <v>0</v>
      </c>
      <c r="BM186" s="252">
        <f t="shared" si="91"/>
        <v>0</v>
      </c>
      <c r="BN186" s="252">
        <f t="shared" si="92"/>
        <v>0</v>
      </c>
      <c r="BO186" s="252">
        <f t="shared" si="93"/>
        <v>1</v>
      </c>
      <c r="BP186" s="2578"/>
      <c r="BQ186" s="2562"/>
      <c r="BR186" s="2562"/>
      <c r="BS186" s="2585"/>
      <c r="BT186" s="2585"/>
      <c r="BU186" s="2585"/>
    </row>
    <row r="187" spans="1:73" s="22" customFormat="1" ht="15.75" customHeight="1" outlineLevel="1">
      <c r="A187" s="2585"/>
      <c r="B187" s="44" t="s">
        <v>4765</v>
      </c>
      <c r="C187" s="45" t="s">
        <v>50</v>
      </c>
      <c r="D187" s="46" t="s">
        <v>4514</v>
      </c>
      <c r="E187" s="46" t="s">
        <v>4429</v>
      </c>
      <c r="F187" s="45" t="s">
        <v>4459</v>
      </c>
      <c r="G187" s="46" t="s">
        <v>4515</v>
      </c>
      <c r="H187" s="45" t="s">
        <v>4459</v>
      </c>
      <c r="I187" s="45" t="s">
        <v>4433</v>
      </c>
      <c r="J187" s="47" t="s">
        <v>4744</v>
      </c>
      <c r="K187" s="48">
        <v>100</v>
      </c>
      <c r="L187" s="47">
        <v>50457</v>
      </c>
      <c r="M187" s="1913">
        <v>14.891666666666667</v>
      </c>
      <c r="N187" s="48">
        <v>-42.90164</v>
      </c>
      <c r="O187" s="49">
        <v>-42.902000000000001</v>
      </c>
      <c r="P187" s="49">
        <v>-42.902000000000001</v>
      </c>
      <c r="Q187" s="1884">
        <f t="shared" si="94"/>
        <v>-638.88228333333336</v>
      </c>
      <c r="R187" s="1885">
        <f t="shared" si="74"/>
        <v>-8.8270928649237357E-2</v>
      </c>
      <c r="S187" s="1885">
        <f t="shared" si="75"/>
        <v>-5.9847796741660075E-2</v>
      </c>
      <c r="T187" s="50" t="s">
        <v>4686</v>
      </c>
      <c r="U187" s="50">
        <v>3.2124E-2</v>
      </c>
      <c r="V187" s="50">
        <v>2.7659999999999998E-3</v>
      </c>
      <c r="W187" s="1885">
        <f t="shared" si="76"/>
        <v>3.4889999999999997E-2</v>
      </c>
      <c r="X187" s="1891">
        <f t="shared" si="77"/>
        <v>-1.4968507799999999</v>
      </c>
      <c r="Y187" s="1891">
        <f t="shared" si="78"/>
        <v>-1.4968507799999999</v>
      </c>
      <c r="Z187" s="50">
        <v>0</v>
      </c>
      <c r="AA187" s="50">
        <v>0</v>
      </c>
      <c r="AB187" s="48">
        <v>0</v>
      </c>
      <c r="AC187" s="48">
        <v>0</v>
      </c>
      <c r="AD187" s="48">
        <v>0</v>
      </c>
      <c r="AE187" s="45" t="s">
        <v>4517</v>
      </c>
      <c r="AF187" s="51" t="s">
        <v>4745</v>
      </c>
      <c r="AG187" s="42"/>
      <c r="AH187" s="52" t="s">
        <v>4766</v>
      </c>
      <c r="AI187" s="197"/>
      <c r="AJ187" s="2578"/>
      <c r="AK187" s="251"/>
      <c r="AL187" s="2578"/>
      <c r="AM187" s="2562"/>
      <c r="AN187" s="2562"/>
      <c r="AO187" s="2562"/>
      <c r="AP187" s="2562"/>
      <c r="AQ187" s="2562"/>
      <c r="AR187" s="2562"/>
      <c r="AS187" s="2562"/>
      <c r="AT187" s="252">
        <f t="shared" si="79"/>
        <v>1</v>
      </c>
      <c r="AU187" s="252">
        <f t="shared" si="80"/>
        <v>0</v>
      </c>
      <c r="AV187" s="252">
        <f t="shared" si="81"/>
        <v>0</v>
      </c>
      <c r="AW187" s="252">
        <f t="shared" si="82"/>
        <v>0</v>
      </c>
      <c r="AX187" s="252">
        <f t="shared" si="83"/>
        <v>0</v>
      </c>
      <c r="AY187" s="252">
        <f t="shared" si="84"/>
        <v>0</v>
      </c>
      <c r="AZ187" s="252">
        <f t="shared" si="85"/>
        <v>0</v>
      </c>
      <c r="BA187" s="237"/>
      <c r="BB187" s="237"/>
      <c r="BC187" s="237"/>
      <c r="BD187" s="2562"/>
      <c r="BE187" s="252">
        <f t="shared" si="86"/>
        <v>0</v>
      </c>
      <c r="BF187" s="252">
        <f t="shared" si="87"/>
        <v>0</v>
      </c>
      <c r="BG187" s="2562"/>
      <c r="BH187" s="237"/>
      <c r="BI187" s="237"/>
      <c r="BJ187" s="252">
        <f t="shared" si="88"/>
        <v>0</v>
      </c>
      <c r="BK187" s="252">
        <f t="shared" si="89"/>
        <v>0</v>
      </c>
      <c r="BL187" s="252">
        <f t="shared" si="90"/>
        <v>0</v>
      </c>
      <c r="BM187" s="252">
        <f t="shared" si="91"/>
        <v>0</v>
      </c>
      <c r="BN187" s="252">
        <f t="shared" si="92"/>
        <v>0</v>
      </c>
      <c r="BO187" s="252">
        <f t="shared" si="93"/>
        <v>1</v>
      </c>
      <c r="BP187" s="2578"/>
      <c r="BQ187" s="2562"/>
      <c r="BR187" s="2562"/>
      <c r="BS187" s="2585"/>
      <c r="BT187" s="2585"/>
      <c r="BU187" s="2585"/>
    </row>
    <row r="188" spans="1:73" s="22" customFormat="1" ht="15.75" customHeight="1" outlineLevel="1">
      <c r="A188" s="2585"/>
      <c r="B188" s="44" t="s">
        <v>4767</v>
      </c>
      <c r="C188" s="45" t="s">
        <v>50</v>
      </c>
      <c r="D188" s="46" t="s">
        <v>4514</v>
      </c>
      <c r="E188" s="46" t="s">
        <v>4429</v>
      </c>
      <c r="F188" s="45" t="s">
        <v>4459</v>
      </c>
      <c r="G188" s="46" t="s">
        <v>4515</v>
      </c>
      <c r="H188" s="45" t="s">
        <v>4459</v>
      </c>
      <c r="I188" s="45" t="s">
        <v>4433</v>
      </c>
      <c r="J188" s="47" t="s">
        <v>4744</v>
      </c>
      <c r="K188" s="48">
        <v>100</v>
      </c>
      <c r="L188" s="47">
        <v>50457</v>
      </c>
      <c r="M188" s="1913">
        <v>14.891666666666667</v>
      </c>
      <c r="N188" s="48">
        <v>-1.2829120000000001</v>
      </c>
      <c r="O188" s="49">
        <v>-1.2829999999999999</v>
      </c>
      <c r="P188" s="49">
        <v>-1.2829999999999999</v>
      </c>
      <c r="Q188" s="1884">
        <f t="shared" si="94"/>
        <v>-19.106008333333332</v>
      </c>
      <c r="R188" s="1885">
        <f t="shared" si="74"/>
        <v>-8.8270928649237357E-2</v>
      </c>
      <c r="S188" s="1885">
        <f t="shared" si="75"/>
        <v>-5.9847796741660075E-2</v>
      </c>
      <c r="T188" s="50" t="s">
        <v>4686</v>
      </c>
      <c r="U188" s="50">
        <v>3.2124E-2</v>
      </c>
      <c r="V188" s="50">
        <v>2.7659999999999998E-3</v>
      </c>
      <c r="W188" s="1885">
        <f t="shared" si="76"/>
        <v>3.4889999999999997E-2</v>
      </c>
      <c r="X188" s="1891">
        <f t="shared" si="77"/>
        <v>-4.4763869999999997E-2</v>
      </c>
      <c r="Y188" s="1891">
        <f t="shared" si="78"/>
        <v>-4.4763869999999997E-2</v>
      </c>
      <c r="Z188" s="50">
        <v>0</v>
      </c>
      <c r="AA188" s="50">
        <v>0</v>
      </c>
      <c r="AB188" s="48">
        <v>0</v>
      </c>
      <c r="AC188" s="48">
        <v>0</v>
      </c>
      <c r="AD188" s="48">
        <v>0</v>
      </c>
      <c r="AE188" s="45" t="s">
        <v>4517</v>
      </c>
      <c r="AF188" s="51" t="s">
        <v>4745</v>
      </c>
      <c r="AG188" s="42"/>
      <c r="AH188" s="52" t="s">
        <v>4768</v>
      </c>
      <c r="AI188" s="197"/>
      <c r="AJ188" s="2578"/>
      <c r="AK188" s="251"/>
      <c r="AL188" s="2578"/>
      <c r="AM188" s="2562"/>
      <c r="AN188" s="2562"/>
      <c r="AO188" s="2562"/>
      <c r="AP188" s="2562"/>
      <c r="AQ188" s="2562"/>
      <c r="AR188" s="2562"/>
      <c r="AS188" s="2562"/>
      <c r="AT188" s="252">
        <f t="shared" si="79"/>
        <v>1</v>
      </c>
      <c r="AU188" s="252">
        <f t="shared" si="80"/>
        <v>0</v>
      </c>
      <c r="AV188" s="252">
        <f t="shared" si="81"/>
        <v>0</v>
      </c>
      <c r="AW188" s="252">
        <f t="shared" si="82"/>
        <v>0</v>
      </c>
      <c r="AX188" s="252">
        <f t="shared" si="83"/>
        <v>0</v>
      </c>
      <c r="AY188" s="252">
        <f t="shared" si="84"/>
        <v>0</v>
      </c>
      <c r="AZ188" s="252">
        <f t="shared" si="85"/>
        <v>0</v>
      </c>
      <c r="BA188" s="237"/>
      <c r="BB188" s="237"/>
      <c r="BC188" s="237"/>
      <c r="BD188" s="2562"/>
      <c r="BE188" s="252">
        <f t="shared" si="86"/>
        <v>0</v>
      </c>
      <c r="BF188" s="252">
        <f t="shared" si="87"/>
        <v>0</v>
      </c>
      <c r="BG188" s="2562"/>
      <c r="BH188" s="237"/>
      <c r="BI188" s="237"/>
      <c r="BJ188" s="252">
        <f t="shared" si="88"/>
        <v>0</v>
      </c>
      <c r="BK188" s="252">
        <f t="shared" si="89"/>
        <v>0</v>
      </c>
      <c r="BL188" s="252">
        <f t="shared" si="90"/>
        <v>0</v>
      </c>
      <c r="BM188" s="252">
        <f t="shared" si="91"/>
        <v>0</v>
      </c>
      <c r="BN188" s="252">
        <f t="shared" si="92"/>
        <v>0</v>
      </c>
      <c r="BO188" s="252">
        <f t="shared" si="93"/>
        <v>1</v>
      </c>
      <c r="BP188" s="2578"/>
      <c r="BQ188" s="2562"/>
      <c r="BR188" s="2562"/>
      <c r="BS188" s="2585"/>
      <c r="BT188" s="2585"/>
      <c r="BU188" s="2585"/>
    </row>
    <row r="189" spans="1:73" s="22" customFormat="1" ht="15.75" customHeight="1" outlineLevel="1">
      <c r="A189" s="2585"/>
      <c r="B189" s="44" t="s">
        <v>4769</v>
      </c>
      <c r="C189" s="45" t="s">
        <v>50</v>
      </c>
      <c r="D189" s="46" t="s">
        <v>4514</v>
      </c>
      <c r="E189" s="46" t="s">
        <v>4429</v>
      </c>
      <c r="F189" s="45" t="s">
        <v>4459</v>
      </c>
      <c r="G189" s="46" t="s">
        <v>4515</v>
      </c>
      <c r="H189" s="45" t="s">
        <v>4459</v>
      </c>
      <c r="I189" s="45" t="s">
        <v>4433</v>
      </c>
      <c r="J189" s="47" t="s">
        <v>4744</v>
      </c>
      <c r="K189" s="48">
        <v>100</v>
      </c>
      <c r="L189" s="47">
        <v>50457</v>
      </c>
      <c r="M189" s="1913">
        <v>14.891666666666667</v>
      </c>
      <c r="N189" s="48">
        <v>-7.1959999999999997</v>
      </c>
      <c r="O189" s="49">
        <v>-7.1959999999999997</v>
      </c>
      <c r="P189" s="49">
        <v>-7.1959999999999997</v>
      </c>
      <c r="Q189" s="1884">
        <f t="shared" si="94"/>
        <v>-107.16043333333333</v>
      </c>
      <c r="R189" s="1885">
        <f t="shared" si="74"/>
        <v>-8.8270928649237357E-2</v>
      </c>
      <c r="S189" s="1885">
        <f t="shared" si="75"/>
        <v>-5.9847796741660075E-2</v>
      </c>
      <c r="T189" s="50" t="s">
        <v>4686</v>
      </c>
      <c r="U189" s="50">
        <v>3.2124E-2</v>
      </c>
      <c r="V189" s="50">
        <v>2.7659999999999998E-3</v>
      </c>
      <c r="W189" s="1885">
        <f t="shared" si="76"/>
        <v>3.4889999999999997E-2</v>
      </c>
      <c r="X189" s="1891">
        <f t="shared" si="77"/>
        <v>-0.25106843999999995</v>
      </c>
      <c r="Y189" s="1891">
        <f t="shared" si="78"/>
        <v>-0.25106843999999995</v>
      </c>
      <c r="Z189" s="50">
        <v>0</v>
      </c>
      <c r="AA189" s="50">
        <v>0</v>
      </c>
      <c r="AB189" s="48">
        <v>0</v>
      </c>
      <c r="AC189" s="48">
        <v>0</v>
      </c>
      <c r="AD189" s="48">
        <v>0</v>
      </c>
      <c r="AE189" s="45" t="s">
        <v>4517</v>
      </c>
      <c r="AF189" s="51" t="s">
        <v>4745</v>
      </c>
      <c r="AG189" s="42"/>
      <c r="AH189" s="52" t="s">
        <v>4770</v>
      </c>
      <c r="AI189" s="197"/>
      <c r="AJ189" s="2578"/>
      <c r="AK189" s="251"/>
      <c r="AL189" s="2578"/>
      <c r="AM189" s="2562"/>
      <c r="AN189" s="2562"/>
      <c r="AO189" s="2562"/>
      <c r="AP189" s="2562"/>
      <c r="AQ189" s="2562"/>
      <c r="AR189" s="2562"/>
      <c r="AS189" s="2562"/>
      <c r="AT189" s="252">
        <f t="shared" si="79"/>
        <v>1</v>
      </c>
      <c r="AU189" s="252">
        <f t="shared" si="80"/>
        <v>0</v>
      </c>
      <c r="AV189" s="252">
        <f t="shared" si="81"/>
        <v>0</v>
      </c>
      <c r="AW189" s="252">
        <f t="shared" si="82"/>
        <v>0</v>
      </c>
      <c r="AX189" s="252">
        <f t="shared" si="83"/>
        <v>0</v>
      </c>
      <c r="AY189" s="252">
        <f t="shared" si="84"/>
        <v>0</v>
      </c>
      <c r="AZ189" s="252">
        <f t="shared" si="85"/>
        <v>0</v>
      </c>
      <c r="BA189" s="237"/>
      <c r="BB189" s="237"/>
      <c r="BC189" s="237"/>
      <c r="BD189" s="2562"/>
      <c r="BE189" s="252">
        <f t="shared" si="86"/>
        <v>0</v>
      </c>
      <c r="BF189" s="252">
        <f t="shared" si="87"/>
        <v>0</v>
      </c>
      <c r="BG189" s="2562"/>
      <c r="BH189" s="237"/>
      <c r="BI189" s="237"/>
      <c r="BJ189" s="252">
        <f t="shared" si="88"/>
        <v>0</v>
      </c>
      <c r="BK189" s="252">
        <f t="shared" si="89"/>
        <v>0</v>
      </c>
      <c r="BL189" s="252">
        <f t="shared" si="90"/>
        <v>0</v>
      </c>
      <c r="BM189" s="252">
        <f t="shared" si="91"/>
        <v>0</v>
      </c>
      <c r="BN189" s="252">
        <f t="shared" si="92"/>
        <v>0</v>
      </c>
      <c r="BO189" s="252">
        <f t="shared" si="93"/>
        <v>1</v>
      </c>
      <c r="BP189" s="2578"/>
      <c r="BQ189" s="2562"/>
      <c r="BR189" s="2562"/>
      <c r="BS189" s="2585"/>
      <c r="BT189" s="2585"/>
      <c r="BU189" s="2585"/>
    </row>
    <row r="190" spans="1:73" s="22" customFormat="1" ht="15.75" customHeight="1" outlineLevel="1">
      <c r="A190" s="2585"/>
      <c r="B190" s="44" t="s">
        <v>4771</v>
      </c>
      <c r="C190" s="45" t="s">
        <v>50</v>
      </c>
      <c r="D190" s="46" t="s">
        <v>4514</v>
      </c>
      <c r="E190" s="46" t="s">
        <v>4429</v>
      </c>
      <c r="F190" s="45" t="s">
        <v>4459</v>
      </c>
      <c r="G190" s="46" t="s">
        <v>4515</v>
      </c>
      <c r="H190" s="45" t="s">
        <v>4459</v>
      </c>
      <c r="I190" s="45" t="s">
        <v>4433</v>
      </c>
      <c r="J190" s="47" t="s">
        <v>4744</v>
      </c>
      <c r="K190" s="48">
        <v>100</v>
      </c>
      <c r="L190" s="47">
        <v>50457</v>
      </c>
      <c r="M190" s="1913">
        <v>14.891666666666667</v>
      </c>
      <c r="N190" s="48">
        <v>-8.0470299999999995</v>
      </c>
      <c r="O190" s="49">
        <v>-8.0470000000000006</v>
      </c>
      <c r="P190" s="49">
        <v>-8.0470000000000006</v>
      </c>
      <c r="Q190" s="1884">
        <f t="shared" si="94"/>
        <v>-119.83324166666668</v>
      </c>
      <c r="R190" s="1885">
        <f t="shared" si="74"/>
        <v>-8.8270928649237357E-2</v>
      </c>
      <c r="S190" s="1885">
        <f t="shared" si="75"/>
        <v>-5.9847796741660075E-2</v>
      </c>
      <c r="T190" s="50" t="s">
        <v>4686</v>
      </c>
      <c r="U190" s="50">
        <v>3.2124E-2</v>
      </c>
      <c r="V190" s="50">
        <v>2.7659999999999998E-3</v>
      </c>
      <c r="W190" s="1885">
        <f t="shared" si="76"/>
        <v>3.4889999999999997E-2</v>
      </c>
      <c r="X190" s="1891">
        <f t="shared" si="77"/>
        <v>-0.28075982999999999</v>
      </c>
      <c r="Y190" s="1891">
        <f t="shared" si="78"/>
        <v>-0.28075982999999999</v>
      </c>
      <c r="Z190" s="50">
        <v>0</v>
      </c>
      <c r="AA190" s="50">
        <v>0</v>
      </c>
      <c r="AB190" s="48">
        <v>0</v>
      </c>
      <c r="AC190" s="48">
        <v>0</v>
      </c>
      <c r="AD190" s="48">
        <v>0</v>
      </c>
      <c r="AE190" s="45" t="s">
        <v>4517</v>
      </c>
      <c r="AF190" s="51" t="s">
        <v>4745</v>
      </c>
      <c r="AG190" s="42"/>
      <c r="AH190" s="52" t="s">
        <v>4772</v>
      </c>
      <c r="AI190" s="197"/>
      <c r="AJ190" s="2578"/>
      <c r="AK190" s="251"/>
      <c r="AL190" s="2578"/>
      <c r="AM190" s="2562"/>
      <c r="AN190" s="2562"/>
      <c r="AO190" s="2562"/>
      <c r="AP190" s="2562"/>
      <c r="AQ190" s="2562"/>
      <c r="AR190" s="2562"/>
      <c r="AS190" s="2562"/>
      <c r="AT190" s="252">
        <f t="shared" si="79"/>
        <v>1</v>
      </c>
      <c r="AU190" s="252">
        <f t="shared" si="80"/>
        <v>0</v>
      </c>
      <c r="AV190" s="252">
        <f t="shared" si="81"/>
        <v>0</v>
      </c>
      <c r="AW190" s="252">
        <f t="shared" si="82"/>
        <v>0</v>
      </c>
      <c r="AX190" s="252">
        <f t="shared" si="83"/>
        <v>0</v>
      </c>
      <c r="AY190" s="252">
        <f t="shared" si="84"/>
        <v>0</v>
      </c>
      <c r="AZ190" s="252">
        <f t="shared" si="85"/>
        <v>0</v>
      </c>
      <c r="BA190" s="237"/>
      <c r="BB190" s="237"/>
      <c r="BC190" s="237"/>
      <c r="BD190" s="2562"/>
      <c r="BE190" s="252">
        <f t="shared" si="86"/>
        <v>0</v>
      </c>
      <c r="BF190" s="252">
        <f t="shared" si="87"/>
        <v>0</v>
      </c>
      <c r="BG190" s="2562"/>
      <c r="BH190" s="237"/>
      <c r="BI190" s="237"/>
      <c r="BJ190" s="252">
        <f t="shared" si="88"/>
        <v>0</v>
      </c>
      <c r="BK190" s="252">
        <f t="shared" si="89"/>
        <v>0</v>
      </c>
      <c r="BL190" s="252">
        <f t="shared" si="90"/>
        <v>0</v>
      </c>
      <c r="BM190" s="252">
        <f t="shared" si="91"/>
        <v>0</v>
      </c>
      <c r="BN190" s="252">
        <f t="shared" si="92"/>
        <v>0</v>
      </c>
      <c r="BO190" s="252">
        <f t="shared" si="93"/>
        <v>1</v>
      </c>
      <c r="BP190" s="2578"/>
      <c r="BQ190" s="2562"/>
      <c r="BR190" s="2562"/>
      <c r="BS190" s="2585"/>
      <c r="BT190" s="2585"/>
      <c r="BU190" s="2585"/>
    </row>
    <row r="191" spans="1:73" s="22" customFormat="1" ht="15.75" customHeight="1" outlineLevel="1">
      <c r="A191" s="2585"/>
      <c r="B191" s="44" t="s">
        <v>4773</v>
      </c>
      <c r="C191" s="45" t="s">
        <v>50</v>
      </c>
      <c r="D191" s="46" t="s">
        <v>4514</v>
      </c>
      <c r="E191" s="46" t="s">
        <v>4429</v>
      </c>
      <c r="F191" s="45" t="s">
        <v>4459</v>
      </c>
      <c r="G191" s="46" t="s">
        <v>4515</v>
      </c>
      <c r="H191" s="45" t="s">
        <v>4459</v>
      </c>
      <c r="I191" s="45" t="s">
        <v>4433</v>
      </c>
      <c r="J191" s="47" t="s">
        <v>4744</v>
      </c>
      <c r="K191" s="48">
        <v>100</v>
      </c>
      <c r="L191" s="47">
        <v>50457</v>
      </c>
      <c r="M191" s="1913">
        <v>14.891666666666667</v>
      </c>
      <c r="N191" s="48">
        <v>-28.459337999999999</v>
      </c>
      <c r="O191" s="49">
        <v>-28.459</v>
      </c>
      <c r="P191" s="49">
        <v>-28.459</v>
      </c>
      <c r="Q191" s="1884">
        <f t="shared" si="94"/>
        <v>-423.80194166666666</v>
      </c>
      <c r="R191" s="1885">
        <f t="shared" si="74"/>
        <v>-8.8270928649237357E-2</v>
      </c>
      <c r="S191" s="1885">
        <f t="shared" si="75"/>
        <v>-5.9847796741660075E-2</v>
      </c>
      <c r="T191" s="50" t="s">
        <v>4686</v>
      </c>
      <c r="U191" s="50">
        <v>3.2124E-2</v>
      </c>
      <c r="V191" s="50">
        <v>2.7659999999999998E-3</v>
      </c>
      <c r="W191" s="1885">
        <f t="shared" si="76"/>
        <v>3.4889999999999997E-2</v>
      </c>
      <c r="X191" s="1891">
        <f t="shared" si="77"/>
        <v>-0.99293450999999988</v>
      </c>
      <c r="Y191" s="1891">
        <f t="shared" si="78"/>
        <v>-0.99293450999999988</v>
      </c>
      <c r="Z191" s="50">
        <v>0</v>
      </c>
      <c r="AA191" s="50">
        <v>0</v>
      </c>
      <c r="AB191" s="48">
        <v>0</v>
      </c>
      <c r="AC191" s="48">
        <v>0</v>
      </c>
      <c r="AD191" s="48">
        <v>0</v>
      </c>
      <c r="AE191" s="45" t="s">
        <v>4517</v>
      </c>
      <c r="AF191" s="51" t="s">
        <v>4745</v>
      </c>
      <c r="AG191" s="42"/>
      <c r="AH191" s="52" t="s">
        <v>4774</v>
      </c>
      <c r="AI191" s="197"/>
      <c r="AJ191" s="2578"/>
      <c r="AK191" s="251"/>
      <c r="AL191" s="2578"/>
      <c r="AM191" s="2562"/>
      <c r="AN191" s="2562"/>
      <c r="AO191" s="2562"/>
      <c r="AP191" s="2562"/>
      <c r="AQ191" s="2562"/>
      <c r="AR191" s="2562"/>
      <c r="AS191" s="2562"/>
      <c r="AT191" s="252">
        <f t="shared" si="79"/>
        <v>1</v>
      </c>
      <c r="AU191" s="252">
        <f t="shared" si="80"/>
        <v>0</v>
      </c>
      <c r="AV191" s="252">
        <f t="shared" si="81"/>
        <v>0</v>
      </c>
      <c r="AW191" s="252">
        <f t="shared" si="82"/>
        <v>0</v>
      </c>
      <c r="AX191" s="252">
        <f t="shared" si="83"/>
        <v>0</v>
      </c>
      <c r="AY191" s="252">
        <f t="shared" si="84"/>
        <v>0</v>
      </c>
      <c r="AZ191" s="252">
        <f t="shared" si="85"/>
        <v>0</v>
      </c>
      <c r="BA191" s="237"/>
      <c r="BB191" s="237"/>
      <c r="BC191" s="237"/>
      <c r="BD191" s="2562"/>
      <c r="BE191" s="252">
        <f t="shared" si="86"/>
        <v>0</v>
      </c>
      <c r="BF191" s="252">
        <f t="shared" si="87"/>
        <v>0</v>
      </c>
      <c r="BG191" s="2562"/>
      <c r="BH191" s="237"/>
      <c r="BI191" s="237"/>
      <c r="BJ191" s="252">
        <f t="shared" si="88"/>
        <v>0</v>
      </c>
      <c r="BK191" s="252">
        <f t="shared" si="89"/>
        <v>0</v>
      </c>
      <c r="BL191" s="252">
        <f t="shared" si="90"/>
        <v>0</v>
      </c>
      <c r="BM191" s="252">
        <f t="shared" si="91"/>
        <v>0</v>
      </c>
      <c r="BN191" s="252">
        <f t="shared" si="92"/>
        <v>0</v>
      </c>
      <c r="BO191" s="252">
        <f t="shared" si="93"/>
        <v>1</v>
      </c>
      <c r="BP191" s="2578"/>
      <c r="BQ191" s="2562"/>
      <c r="BR191" s="2562"/>
      <c r="BS191" s="2585"/>
      <c r="BT191" s="2585"/>
      <c r="BU191" s="2585"/>
    </row>
    <row r="192" spans="1:73" s="22" customFormat="1" ht="15.75" customHeight="1" outlineLevel="1">
      <c r="A192" s="2585"/>
      <c r="B192" s="44" t="s">
        <v>4775</v>
      </c>
      <c r="C192" s="45" t="s">
        <v>50</v>
      </c>
      <c r="D192" s="46" t="s">
        <v>4514</v>
      </c>
      <c r="E192" s="46" t="s">
        <v>4429</v>
      </c>
      <c r="F192" s="45" t="s">
        <v>4459</v>
      </c>
      <c r="G192" s="46" t="s">
        <v>4515</v>
      </c>
      <c r="H192" s="45" t="s">
        <v>4459</v>
      </c>
      <c r="I192" s="45" t="s">
        <v>4433</v>
      </c>
      <c r="J192" s="47" t="s">
        <v>4744</v>
      </c>
      <c r="K192" s="48">
        <v>100</v>
      </c>
      <c r="L192" s="47">
        <v>51553</v>
      </c>
      <c r="M192" s="1913">
        <v>17.891666666666666</v>
      </c>
      <c r="N192" s="48">
        <v>-15.42</v>
      </c>
      <c r="O192" s="49">
        <v>-15.42</v>
      </c>
      <c r="P192" s="49">
        <v>-15.42</v>
      </c>
      <c r="Q192" s="1884">
        <f t="shared" si="94"/>
        <v>-275.8895</v>
      </c>
      <c r="R192" s="1885">
        <f t="shared" si="74"/>
        <v>-8.8270928649237357E-2</v>
      </c>
      <c r="S192" s="1885">
        <f t="shared" si="75"/>
        <v>-5.9847796741660075E-2</v>
      </c>
      <c r="T192" s="50" t="s">
        <v>4686</v>
      </c>
      <c r="U192" s="50">
        <v>3.2124E-2</v>
      </c>
      <c r="V192" s="50">
        <v>2.7659999999999998E-3</v>
      </c>
      <c r="W192" s="1885">
        <f t="shared" si="76"/>
        <v>3.4889999999999997E-2</v>
      </c>
      <c r="X192" s="1891">
        <f t="shared" si="77"/>
        <v>-0.53800379999999992</v>
      </c>
      <c r="Y192" s="1891">
        <f t="shared" si="78"/>
        <v>-0.53800379999999992</v>
      </c>
      <c r="Z192" s="50">
        <v>0</v>
      </c>
      <c r="AA192" s="50">
        <v>0</v>
      </c>
      <c r="AB192" s="48">
        <v>0</v>
      </c>
      <c r="AC192" s="48">
        <v>0</v>
      </c>
      <c r="AD192" s="48">
        <v>0</v>
      </c>
      <c r="AE192" s="45" t="s">
        <v>4517</v>
      </c>
      <c r="AF192" s="51" t="s">
        <v>4757</v>
      </c>
      <c r="AG192" s="42"/>
      <c r="AH192" s="52" t="s">
        <v>4776</v>
      </c>
      <c r="AI192" s="197"/>
      <c r="AJ192" s="2578"/>
      <c r="AK192" s="251"/>
      <c r="AL192" s="2578"/>
      <c r="AM192" s="2562"/>
      <c r="AN192" s="2562"/>
      <c r="AO192" s="2562"/>
      <c r="AP192" s="2562"/>
      <c r="AQ192" s="2562"/>
      <c r="AR192" s="2562"/>
      <c r="AS192" s="2562"/>
      <c r="AT192" s="252">
        <f t="shared" si="79"/>
        <v>1</v>
      </c>
      <c r="AU192" s="252">
        <f t="shared" si="80"/>
        <v>0</v>
      </c>
      <c r="AV192" s="252">
        <f t="shared" si="81"/>
        <v>0</v>
      </c>
      <c r="AW192" s="252">
        <f t="shared" si="82"/>
        <v>0</v>
      </c>
      <c r="AX192" s="252">
        <f t="shared" si="83"/>
        <v>0</v>
      </c>
      <c r="AY192" s="252">
        <f t="shared" si="84"/>
        <v>0</v>
      </c>
      <c r="AZ192" s="252">
        <f t="shared" si="85"/>
        <v>0</v>
      </c>
      <c r="BA192" s="237"/>
      <c r="BB192" s="237"/>
      <c r="BC192" s="237"/>
      <c r="BD192" s="2562"/>
      <c r="BE192" s="252">
        <f t="shared" si="86"/>
        <v>0</v>
      </c>
      <c r="BF192" s="252">
        <f t="shared" si="87"/>
        <v>0</v>
      </c>
      <c r="BG192" s="2562"/>
      <c r="BH192" s="237"/>
      <c r="BI192" s="237"/>
      <c r="BJ192" s="252">
        <f t="shared" si="88"/>
        <v>0</v>
      </c>
      <c r="BK192" s="252">
        <f t="shared" si="89"/>
        <v>0</v>
      </c>
      <c r="BL192" s="252">
        <f t="shared" si="90"/>
        <v>0</v>
      </c>
      <c r="BM192" s="252">
        <f t="shared" si="91"/>
        <v>0</v>
      </c>
      <c r="BN192" s="252">
        <f t="shared" si="92"/>
        <v>0</v>
      </c>
      <c r="BO192" s="252">
        <f t="shared" si="93"/>
        <v>1</v>
      </c>
      <c r="BP192" s="2578"/>
      <c r="BQ192" s="2562"/>
      <c r="BR192" s="2562"/>
      <c r="BS192" s="2585"/>
      <c r="BT192" s="2585"/>
      <c r="BU192" s="2585"/>
    </row>
    <row r="193" spans="1:73" s="22" customFormat="1" ht="15.75" customHeight="1" outlineLevel="1">
      <c r="A193" s="2585"/>
      <c r="B193" s="44" t="s">
        <v>4777</v>
      </c>
      <c r="C193" s="45" t="s">
        <v>50</v>
      </c>
      <c r="D193" s="46" t="s">
        <v>4514</v>
      </c>
      <c r="E193" s="46" t="s">
        <v>4429</v>
      </c>
      <c r="F193" s="45" t="s">
        <v>4459</v>
      </c>
      <c r="G193" s="46" t="s">
        <v>4515</v>
      </c>
      <c r="H193" s="45" t="s">
        <v>4459</v>
      </c>
      <c r="I193" s="45" t="s">
        <v>4433</v>
      </c>
      <c r="J193" s="47" t="s">
        <v>4744</v>
      </c>
      <c r="K193" s="48">
        <v>100</v>
      </c>
      <c r="L193" s="47">
        <v>52283</v>
      </c>
      <c r="M193" s="1913">
        <v>19.891666666666666</v>
      </c>
      <c r="N193" s="48">
        <v>-7.1959999999999997</v>
      </c>
      <c r="O193" s="49">
        <v>-7.1959999999999997</v>
      </c>
      <c r="P193" s="49">
        <v>-7.1959999999999997</v>
      </c>
      <c r="Q193" s="1884">
        <f t="shared" si="94"/>
        <v>-143.14043333333333</v>
      </c>
      <c r="R193" s="1885">
        <f t="shared" si="74"/>
        <v>-8.8270928649237357E-2</v>
      </c>
      <c r="S193" s="1885">
        <f t="shared" si="75"/>
        <v>-5.9847796741660075E-2</v>
      </c>
      <c r="T193" s="50" t="s">
        <v>4686</v>
      </c>
      <c r="U193" s="50">
        <v>3.2124E-2</v>
      </c>
      <c r="V193" s="50">
        <v>2.7659999999999998E-3</v>
      </c>
      <c r="W193" s="1885">
        <f t="shared" si="76"/>
        <v>3.4889999999999997E-2</v>
      </c>
      <c r="X193" s="1891">
        <f t="shared" si="77"/>
        <v>-0.25106843999999995</v>
      </c>
      <c r="Y193" s="1891">
        <f t="shared" si="78"/>
        <v>-0.25106843999999995</v>
      </c>
      <c r="Z193" s="50">
        <v>0</v>
      </c>
      <c r="AA193" s="50">
        <v>0</v>
      </c>
      <c r="AB193" s="48">
        <v>0</v>
      </c>
      <c r="AC193" s="48">
        <v>0</v>
      </c>
      <c r="AD193" s="48">
        <v>0</v>
      </c>
      <c r="AE193" s="45" t="s">
        <v>4517</v>
      </c>
      <c r="AF193" s="51" t="s">
        <v>4745</v>
      </c>
      <c r="AG193" s="42"/>
      <c r="AH193" s="52" t="s">
        <v>4778</v>
      </c>
      <c r="AI193" s="197"/>
      <c r="AJ193" s="2578"/>
      <c r="AK193" s="251"/>
      <c r="AL193" s="2578"/>
      <c r="AM193" s="2562"/>
      <c r="AN193" s="2562"/>
      <c r="AO193" s="2562"/>
      <c r="AP193" s="2562"/>
      <c r="AQ193" s="2562"/>
      <c r="AR193" s="2562"/>
      <c r="AS193" s="2562"/>
      <c r="AT193" s="252">
        <f t="shared" si="79"/>
        <v>1</v>
      </c>
      <c r="AU193" s="252">
        <f t="shared" si="80"/>
        <v>0</v>
      </c>
      <c r="AV193" s="252">
        <f t="shared" si="81"/>
        <v>0</v>
      </c>
      <c r="AW193" s="252">
        <f t="shared" si="82"/>
        <v>0</v>
      </c>
      <c r="AX193" s="252">
        <f t="shared" si="83"/>
        <v>0</v>
      </c>
      <c r="AY193" s="252">
        <f t="shared" si="84"/>
        <v>0</v>
      </c>
      <c r="AZ193" s="252">
        <f t="shared" si="85"/>
        <v>0</v>
      </c>
      <c r="BA193" s="237"/>
      <c r="BB193" s="237"/>
      <c r="BC193" s="237"/>
      <c r="BD193" s="2562"/>
      <c r="BE193" s="252">
        <f t="shared" si="86"/>
        <v>0</v>
      </c>
      <c r="BF193" s="252">
        <f t="shared" si="87"/>
        <v>0</v>
      </c>
      <c r="BG193" s="2562"/>
      <c r="BH193" s="237"/>
      <c r="BI193" s="237"/>
      <c r="BJ193" s="252">
        <f t="shared" si="88"/>
        <v>0</v>
      </c>
      <c r="BK193" s="252">
        <f t="shared" si="89"/>
        <v>0</v>
      </c>
      <c r="BL193" s="252">
        <f t="shared" si="90"/>
        <v>0</v>
      </c>
      <c r="BM193" s="252">
        <f t="shared" si="91"/>
        <v>0</v>
      </c>
      <c r="BN193" s="252">
        <f t="shared" si="92"/>
        <v>0</v>
      </c>
      <c r="BO193" s="252">
        <f t="shared" si="93"/>
        <v>1</v>
      </c>
      <c r="BP193" s="2578"/>
      <c r="BQ193" s="2562"/>
      <c r="BR193" s="2562"/>
      <c r="BS193" s="2585"/>
      <c r="BT193" s="2585"/>
      <c r="BU193" s="2585"/>
    </row>
    <row r="194" spans="1:73" s="22" customFormat="1" ht="15.75" customHeight="1" outlineLevel="1">
      <c r="A194" s="2585"/>
      <c r="B194" s="44" t="s">
        <v>4779</v>
      </c>
      <c r="C194" s="45" t="s">
        <v>50</v>
      </c>
      <c r="D194" s="46" t="s">
        <v>4514</v>
      </c>
      <c r="E194" s="46" t="s">
        <v>4429</v>
      </c>
      <c r="F194" s="45" t="s">
        <v>4459</v>
      </c>
      <c r="G194" s="46" t="s">
        <v>4515</v>
      </c>
      <c r="H194" s="45" t="s">
        <v>4459</v>
      </c>
      <c r="I194" s="45" t="s">
        <v>4433</v>
      </c>
      <c r="J194" s="47" t="s">
        <v>4744</v>
      </c>
      <c r="K194" s="48">
        <v>100</v>
      </c>
      <c r="L194" s="47">
        <v>52283</v>
      </c>
      <c r="M194" s="1913">
        <v>19.891666666666666</v>
      </c>
      <c r="N194" s="48">
        <v>-26.490995000000002</v>
      </c>
      <c r="O194" s="49">
        <v>-26.491</v>
      </c>
      <c r="P194" s="49">
        <v>-26.491</v>
      </c>
      <c r="Q194" s="1884">
        <f t="shared" si="94"/>
        <v>-526.95014166666658</v>
      </c>
      <c r="R194" s="1885">
        <f t="shared" si="74"/>
        <v>-8.8270928649237357E-2</v>
      </c>
      <c r="S194" s="1885">
        <f t="shared" si="75"/>
        <v>-5.9847796741660075E-2</v>
      </c>
      <c r="T194" s="50" t="s">
        <v>4686</v>
      </c>
      <c r="U194" s="50">
        <v>3.2124E-2</v>
      </c>
      <c r="V194" s="50">
        <v>2.7659999999999998E-3</v>
      </c>
      <c r="W194" s="1885">
        <f t="shared" si="76"/>
        <v>3.4889999999999997E-2</v>
      </c>
      <c r="X194" s="1891">
        <f t="shared" si="77"/>
        <v>-0.9242709899999999</v>
      </c>
      <c r="Y194" s="1891">
        <f t="shared" si="78"/>
        <v>-0.9242709899999999</v>
      </c>
      <c r="Z194" s="50">
        <v>0</v>
      </c>
      <c r="AA194" s="50">
        <v>0</v>
      </c>
      <c r="AB194" s="48">
        <v>0</v>
      </c>
      <c r="AC194" s="48">
        <v>0</v>
      </c>
      <c r="AD194" s="48">
        <v>0</v>
      </c>
      <c r="AE194" s="45" t="s">
        <v>4517</v>
      </c>
      <c r="AF194" s="51" t="s">
        <v>4745</v>
      </c>
      <c r="AG194" s="42"/>
      <c r="AH194" s="52" t="s">
        <v>4780</v>
      </c>
      <c r="AI194" s="197"/>
      <c r="AJ194" s="2578"/>
      <c r="AK194" s="251"/>
      <c r="AL194" s="2578"/>
      <c r="AM194" s="2562"/>
      <c r="AN194" s="2562"/>
      <c r="AO194" s="2562"/>
      <c r="AP194" s="2562"/>
      <c r="AQ194" s="2562"/>
      <c r="AR194" s="2562"/>
      <c r="AS194" s="2562"/>
      <c r="AT194" s="252">
        <f t="shared" si="79"/>
        <v>1</v>
      </c>
      <c r="AU194" s="252">
        <f t="shared" si="80"/>
        <v>0</v>
      </c>
      <c r="AV194" s="252">
        <f t="shared" si="81"/>
        <v>0</v>
      </c>
      <c r="AW194" s="252">
        <f t="shared" si="82"/>
        <v>0</v>
      </c>
      <c r="AX194" s="252">
        <f t="shared" si="83"/>
        <v>0</v>
      </c>
      <c r="AY194" s="252">
        <f t="shared" si="84"/>
        <v>0</v>
      </c>
      <c r="AZ194" s="252">
        <f t="shared" si="85"/>
        <v>0</v>
      </c>
      <c r="BA194" s="237"/>
      <c r="BB194" s="237"/>
      <c r="BC194" s="237"/>
      <c r="BD194" s="2562"/>
      <c r="BE194" s="252">
        <f t="shared" si="86"/>
        <v>0</v>
      </c>
      <c r="BF194" s="252">
        <f t="shared" si="87"/>
        <v>0</v>
      </c>
      <c r="BG194" s="2562"/>
      <c r="BH194" s="237"/>
      <c r="BI194" s="237"/>
      <c r="BJ194" s="252">
        <f t="shared" si="88"/>
        <v>0</v>
      </c>
      <c r="BK194" s="252">
        <f t="shared" si="89"/>
        <v>0</v>
      </c>
      <c r="BL194" s="252">
        <f t="shared" si="90"/>
        <v>0</v>
      </c>
      <c r="BM194" s="252">
        <f t="shared" si="91"/>
        <v>0</v>
      </c>
      <c r="BN194" s="252">
        <f t="shared" si="92"/>
        <v>0</v>
      </c>
      <c r="BO194" s="252">
        <f t="shared" si="93"/>
        <v>1</v>
      </c>
      <c r="BP194" s="2578"/>
      <c r="BQ194" s="2562"/>
      <c r="BR194" s="2562"/>
      <c r="BS194" s="2585"/>
      <c r="BT194" s="2585"/>
      <c r="BU194" s="2585"/>
    </row>
    <row r="195" spans="1:73" s="22" customFormat="1" ht="15.75" customHeight="1" outlineLevel="1">
      <c r="A195" s="2585"/>
      <c r="B195" s="44" t="s">
        <v>4781</v>
      </c>
      <c r="C195" s="45" t="s">
        <v>50</v>
      </c>
      <c r="D195" s="46" t="s">
        <v>4514</v>
      </c>
      <c r="E195" s="46" t="s">
        <v>4429</v>
      </c>
      <c r="F195" s="45" t="s">
        <v>4459</v>
      </c>
      <c r="G195" s="46" t="s">
        <v>4515</v>
      </c>
      <c r="H195" s="45" t="s">
        <v>4459</v>
      </c>
      <c r="I195" s="45" t="s">
        <v>4433</v>
      </c>
      <c r="J195" s="47" t="s">
        <v>4744</v>
      </c>
      <c r="K195" s="48">
        <v>100</v>
      </c>
      <c r="L195" s="47">
        <v>50457</v>
      </c>
      <c r="M195" s="1913">
        <v>14.891666666666667</v>
      </c>
      <c r="N195" s="48">
        <v>-1.736035</v>
      </c>
      <c r="O195" s="49">
        <v>-1.736</v>
      </c>
      <c r="P195" s="49">
        <v>-1.736</v>
      </c>
      <c r="Q195" s="1884">
        <f t="shared" si="94"/>
        <v>-25.851933333333335</v>
      </c>
      <c r="R195" s="1885">
        <f t="shared" si="74"/>
        <v>-8.8270928649237357E-2</v>
      </c>
      <c r="S195" s="1885">
        <f t="shared" si="75"/>
        <v>-5.9847796741660075E-2</v>
      </c>
      <c r="T195" s="50" t="s">
        <v>4686</v>
      </c>
      <c r="U195" s="50">
        <v>3.2124E-2</v>
      </c>
      <c r="V195" s="50">
        <v>2.7659999999999998E-3</v>
      </c>
      <c r="W195" s="1885">
        <f t="shared" si="76"/>
        <v>3.4889999999999997E-2</v>
      </c>
      <c r="X195" s="1891">
        <f t="shared" si="77"/>
        <v>-6.0569039999999998E-2</v>
      </c>
      <c r="Y195" s="1891">
        <f t="shared" si="78"/>
        <v>-6.0569039999999998E-2</v>
      </c>
      <c r="Z195" s="50">
        <v>0</v>
      </c>
      <c r="AA195" s="50">
        <v>0</v>
      </c>
      <c r="AB195" s="48">
        <v>0</v>
      </c>
      <c r="AC195" s="48">
        <v>0</v>
      </c>
      <c r="AD195" s="48">
        <v>0</v>
      </c>
      <c r="AE195" s="45" t="s">
        <v>4517</v>
      </c>
      <c r="AF195" s="51" t="s">
        <v>4782</v>
      </c>
      <c r="AG195" s="42"/>
      <c r="AH195" s="52" t="s">
        <v>4783</v>
      </c>
      <c r="AI195" s="197"/>
      <c r="AJ195" s="2578"/>
      <c r="AK195" s="251"/>
      <c r="AL195" s="2578"/>
      <c r="AM195" s="2562"/>
      <c r="AN195" s="2562"/>
      <c r="AO195" s="2562"/>
      <c r="AP195" s="2562"/>
      <c r="AQ195" s="2562"/>
      <c r="AR195" s="2562"/>
      <c r="AS195" s="2562"/>
      <c r="AT195" s="252">
        <f t="shared" si="79"/>
        <v>1</v>
      </c>
      <c r="AU195" s="252">
        <f t="shared" si="80"/>
        <v>0</v>
      </c>
      <c r="AV195" s="252">
        <f t="shared" si="81"/>
        <v>0</v>
      </c>
      <c r="AW195" s="252">
        <f t="shared" si="82"/>
        <v>0</v>
      </c>
      <c r="AX195" s="252">
        <f t="shared" si="83"/>
        <v>0</v>
      </c>
      <c r="AY195" s="252">
        <f t="shared" si="84"/>
        <v>0</v>
      </c>
      <c r="AZ195" s="252">
        <f t="shared" si="85"/>
        <v>0</v>
      </c>
      <c r="BA195" s="237"/>
      <c r="BB195" s="237"/>
      <c r="BC195" s="237"/>
      <c r="BD195" s="2562"/>
      <c r="BE195" s="252">
        <f t="shared" si="86"/>
        <v>0</v>
      </c>
      <c r="BF195" s="252">
        <f t="shared" si="87"/>
        <v>0</v>
      </c>
      <c r="BG195" s="2562"/>
      <c r="BH195" s="237"/>
      <c r="BI195" s="237"/>
      <c r="BJ195" s="252">
        <f t="shared" si="88"/>
        <v>0</v>
      </c>
      <c r="BK195" s="252">
        <f t="shared" si="89"/>
        <v>0</v>
      </c>
      <c r="BL195" s="252">
        <f t="shared" si="90"/>
        <v>0</v>
      </c>
      <c r="BM195" s="252">
        <f t="shared" si="91"/>
        <v>0</v>
      </c>
      <c r="BN195" s="252">
        <f t="shared" si="92"/>
        <v>0</v>
      </c>
      <c r="BO195" s="252">
        <f t="shared" si="93"/>
        <v>1</v>
      </c>
      <c r="BP195" s="2578"/>
      <c r="BQ195" s="2562"/>
      <c r="BR195" s="2562"/>
      <c r="BS195" s="2585"/>
      <c r="BT195" s="2585"/>
      <c r="BU195" s="2585"/>
    </row>
    <row r="196" spans="1:73" s="22" customFormat="1" ht="15.75" customHeight="1" outlineLevel="1">
      <c r="A196" s="2585"/>
      <c r="B196" s="44" t="s">
        <v>4784</v>
      </c>
      <c r="C196" s="45" t="s">
        <v>50</v>
      </c>
      <c r="D196" s="46" t="s">
        <v>4514</v>
      </c>
      <c r="E196" s="46" t="s">
        <v>4429</v>
      </c>
      <c r="F196" s="45" t="s">
        <v>4459</v>
      </c>
      <c r="G196" s="46" t="s">
        <v>4515</v>
      </c>
      <c r="H196" s="45" t="s">
        <v>4459</v>
      </c>
      <c r="I196" s="45" t="s">
        <v>4433</v>
      </c>
      <c r="J196" s="47" t="s">
        <v>4744</v>
      </c>
      <c r="K196" s="48">
        <v>100</v>
      </c>
      <c r="L196" s="47">
        <v>50457</v>
      </c>
      <c r="M196" s="1913">
        <v>14.891666666666667</v>
      </c>
      <c r="N196" s="48">
        <v>-6.248526</v>
      </c>
      <c r="O196" s="49">
        <v>-6.2489999999999997</v>
      </c>
      <c r="P196" s="49">
        <v>-6.2489999999999997</v>
      </c>
      <c r="Q196" s="1884">
        <f t="shared" si="94"/>
        <v>-93.058025000000001</v>
      </c>
      <c r="R196" s="1885">
        <f t="shared" si="74"/>
        <v>-8.8270928649237357E-2</v>
      </c>
      <c r="S196" s="1885">
        <f t="shared" si="75"/>
        <v>-5.9847796741660075E-2</v>
      </c>
      <c r="T196" s="50" t="s">
        <v>4686</v>
      </c>
      <c r="U196" s="50">
        <v>3.2124E-2</v>
      </c>
      <c r="V196" s="50">
        <v>2.7659999999999998E-3</v>
      </c>
      <c r="W196" s="1885">
        <f t="shared" si="76"/>
        <v>3.4889999999999997E-2</v>
      </c>
      <c r="X196" s="1891">
        <f t="shared" si="77"/>
        <v>-0.21802760999999998</v>
      </c>
      <c r="Y196" s="1891">
        <f t="shared" si="78"/>
        <v>-0.21802760999999998</v>
      </c>
      <c r="Z196" s="50">
        <v>0</v>
      </c>
      <c r="AA196" s="50">
        <v>0</v>
      </c>
      <c r="AB196" s="48">
        <v>0</v>
      </c>
      <c r="AC196" s="48">
        <v>0</v>
      </c>
      <c r="AD196" s="48">
        <v>0</v>
      </c>
      <c r="AE196" s="45" t="s">
        <v>4517</v>
      </c>
      <c r="AF196" s="51" t="s">
        <v>4782</v>
      </c>
      <c r="AG196" s="42"/>
      <c r="AH196" s="52" t="s">
        <v>4785</v>
      </c>
      <c r="AI196" s="197"/>
      <c r="AJ196" s="2578"/>
      <c r="AK196" s="251"/>
      <c r="AL196" s="2578"/>
      <c r="AM196" s="2562"/>
      <c r="AN196" s="2562"/>
      <c r="AO196" s="2562"/>
      <c r="AP196" s="2562"/>
      <c r="AQ196" s="2562"/>
      <c r="AR196" s="2562"/>
      <c r="AS196" s="2562"/>
      <c r="AT196" s="252">
        <f t="shared" si="79"/>
        <v>1</v>
      </c>
      <c r="AU196" s="252">
        <f t="shared" si="80"/>
        <v>0</v>
      </c>
      <c r="AV196" s="252">
        <f t="shared" si="81"/>
        <v>0</v>
      </c>
      <c r="AW196" s="252">
        <f t="shared" si="82"/>
        <v>0</v>
      </c>
      <c r="AX196" s="252">
        <f t="shared" si="83"/>
        <v>0</v>
      </c>
      <c r="AY196" s="252">
        <f t="shared" si="84"/>
        <v>0</v>
      </c>
      <c r="AZ196" s="252">
        <f t="shared" si="85"/>
        <v>0</v>
      </c>
      <c r="BA196" s="237"/>
      <c r="BB196" s="237"/>
      <c r="BC196" s="237"/>
      <c r="BD196" s="2562"/>
      <c r="BE196" s="252">
        <f t="shared" si="86"/>
        <v>0</v>
      </c>
      <c r="BF196" s="252">
        <f t="shared" si="87"/>
        <v>0</v>
      </c>
      <c r="BG196" s="2562"/>
      <c r="BH196" s="237"/>
      <c r="BI196" s="237"/>
      <c r="BJ196" s="252">
        <f t="shared" si="88"/>
        <v>0</v>
      </c>
      <c r="BK196" s="252">
        <f t="shared" si="89"/>
        <v>0</v>
      </c>
      <c r="BL196" s="252">
        <f t="shared" si="90"/>
        <v>0</v>
      </c>
      <c r="BM196" s="252">
        <f t="shared" si="91"/>
        <v>0</v>
      </c>
      <c r="BN196" s="252">
        <f t="shared" si="92"/>
        <v>0</v>
      </c>
      <c r="BO196" s="252">
        <f t="shared" si="93"/>
        <v>1</v>
      </c>
      <c r="BP196" s="2578"/>
      <c r="BQ196" s="2562"/>
      <c r="BR196" s="2562"/>
      <c r="BS196" s="2585"/>
      <c r="BT196" s="2585"/>
      <c r="BU196" s="2585"/>
    </row>
    <row r="197" spans="1:73" s="22" customFormat="1" ht="15.75" customHeight="1" outlineLevel="1">
      <c r="A197" s="2585"/>
      <c r="B197" s="44" t="s">
        <v>4786</v>
      </c>
      <c r="C197" s="45" t="s">
        <v>50</v>
      </c>
      <c r="D197" s="46" t="s">
        <v>4514</v>
      </c>
      <c r="E197" s="46" t="s">
        <v>4429</v>
      </c>
      <c r="F197" s="45" t="s">
        <v>4459</v>
      </c>
      <c r="G197" s="46" t="s">
        <v>4515</v>
      </c>
      <c r="H197" s="45" t="s">
        <v>4459</v>
      </c>
      <c r="I197" s="45" t="s">
        <v>4433</v>
      </c>
      <c r="J197" s="47" t="s">
        <v>4744</v>
      </c>
      <c r="K197" s="48">
        <v>100</v>
      </c>
      <c r="L197" s="47">
        <v>52283</v>
      </c>
      <c r="M197" s="1913">
        <v>19.891666666666666</v>
      </c>
      <c r="N197" s="48">
        <v>-1.736035</v>
      </c>
      <c r="O197" s="49">
        <v>-1.736</v>
      </c>
      <c r="P197" s="49">
        <v>-1.736</v>
      </c>
      <c r="Q197" s="1884">
        <f t="shared" si="94"/>
        <v>-34.531933333333335</v>
      </c>
      <c r="R197" s="1885">
        <f t="shared" si="74"/>
        <v>-8.8270928649237357E-2</v>
      </c>
      <c r="S197" s="1885">
        <f t="shared" si="75"/>
        <v>-5.9847796741660075E-2</v>
      </c>
      <c r="T197" s="50" t="s">
        <v>4686</v>
      </c>
      <c r="U197" s="50">
        <v>3.2124E-2</v>
      </c>
      <c r="V197" s="50">
        <v>2.7659999999999998E-3</v>
      </c>
      <c r="W197" s="1885">
        <f t="shared" si="76"/>
        <v>3.4889999999999997E-2</v>
      </c>
      <c r="X197" s="1891">
        <f t="shared" si="77"/>
        <v>-6.0569039999999998E-2</v>
      </c>
      <c r="Y197" s="1891">
        <f t="shared" si="78"/>
        <v>-6.0569039999999998E-2</v>
      </c>
      <c r="Z197" s="50">
        <v>0</v>
      </c>
      <c r="AA197" s="50">
        <v>0</v>
      </c>
      <c r="AB197" s="48">
        <v>0</v>
      </c>
      <c r="AC197" s="48">
        <v>0</v>
      </c>
      <c r="AD197" s="48">
        <v>0</v>
      </c>
      <c r="AE197" s="45" t="s">
        <v>4517</v>
      </c>
      <c r="AF197" s="51" t="s">
        <v>4782</v>
      </c>
      <c r="AG197" s="42"/>
      <c r="AH197" s="52" t="s">
        <v>4787</v>
      </c>
      <c r="AI197" s="197"/>
      <c r="AJ197" s="2578"/>
      <c r="AK197" s="251"/>
      <c r="AL197" s="2578"/>
      <c r="AM197" s="2562"/>
      <c r="AN197" s="2562"/>
      <c r="AO197" s="2562"/>
      <c r="AP197" s="2562"/>
      <c r="AQ197" s="2562"/>
      <c r="AR197" s="2562"/>
      <c r="AS197" s="2562"/>
      <c r="AT197" s="252">
        <f t="shared" si="79"/>
        <v>1</v>
      </c>
      <c r="AU197" s="252">
        <f t="shared" si="80"/>
        <v>0</v>
      </c>
      <c r="AV197" s="252">
        <f t="shared" si="81"/>
        <v>0</v>
      </c>
      <c r="AW197" s="252">
        <f t="shared" si="82"/>
        <v>0</v>
      </c>
      <c r="AX197" s="252">
        <f t="shared" si="83"/>
        <v>0</v>
      </c>
      <c r="AY197" s="252">
        <f t="shared" si="84"/>
        <v>0</v>
      </c>
      <c r="AZ197" s="252">
        <f t="shared" si="85"/>
        <v>0</v>
      </c>
      <c r="BA197" s="237"/>
      <c r="BB197" s="237"/>
      <c r="BC197" s="237"/>
      <c r="BD197" s="2562"/>
      <c r="BE197" s="252">
        <f t="shared" si="86"/>
        <v>0</v>
      </c>
      <c r="BF197" s="252">
        <f t="shared" si="87"/>
        <v>0</v>
      </c>
      <c r="BG197" s="2562"/>
      <c r="BH197" s="237"/>
      <c r="BI197" s="237"/>
      <c r="BJ197" s="252">
        <f t="shared" si="88"/>
        <v>0</v>
      </c>
      <c r="BK197" s="252">
        <f t="shared" si="89"/>
        <v>0</v>
      </c>
      <c r="BL197" s="252">
        <f t="shared" si="90"/>
        <v>0</v>
      </c>
      <c r="BM197" s="252">
        <f t="shared" si="91"/>
        <v>0</v>
      </c>
      <c r="BN197" s="252">
        <f t="shared" si="92"/>
        <v>0</v>
      </c>
      <c r="BO197" s="252">
        <f t="shared" si="93"/>
        <v>1</v>
      </c>
      <c r="BP197" s="2578"/>
      <c r="BQ197" s="2562"/>
      <c r="BR197" s="2562"/>
      <c r="BS197" s="2585"/>
      <c r="BT197" s="2585"/>
      <c r="BU197" s="2585"/>
    </row>
    <row r="198" spans="1:73" s="22" customFormat="1" ht="15.75" customHeight="1" outlineLevel="1">
      <c r="A198" s="2585"/>
      <c r="B198" s="44" t="s">
        <v>4788</v>
      </c>
      <c r="C198" s="45" t="s">
        <v>50</v>
      </c>
      <c r="D198" s="46" t="s">
        <v>4514</v>
      </c>
      <c r="E198" s="46" t="s">
        <v>4429</v>
      </c>
      <c r="F198" s="45" t="s">
        <v>4459</v>
      </c>
      <c r="G198" s="46" t="s">
        <v>4515</v>
      </c>
      <c r="H198" s="45" t="s">
        <v>4459</v>
      </c>
      <c r="I198" s="45" t="s">
        <v>4433</v>
      </c>
      <c r="J198" s="47" t="s">
        <v>4744</v>
      </c>
      <c r="K198" s="48">
        <v>100</v>
      </c>
      <c r="L198" s="47">
        <v>52283</v>
      </c>
      <c r="M198" s="1913">
        <v>19.891666666666666</v>
      </c>
      <c r="N198" s="48">
        <v>-13.683964</v>
      </c>
      <c r="O198" s="49">
        <v>-13.683999999999999</v>
      </c>
      <c r="P198" s="49">
        <v>-13.683999999999999</v>
      </c>
      <c r="Q198" s="1884">
        <f t="shared" si="94"/>
        <v>-272.19756666666666</v>
      </c>
      <c r="R198" s="1885">
        <f t="shared" si="74"/>
        <v>-8.8270928649237357E-2</v>
      </c>
      <c r="S198" s="1885">
        <f t="shared" si="75"/>
        <v>-5.9847796741660075E-2</v>
      </c>
      <c r="T198" s="50" t="s">
        <v>4686</v>
      </c>
      <c r="U198" s="50">
        <v>3.2124E-2</v>
      </c>
      <c r="V198" s="50">
        <v>2.7659999999999998E-3</v>
      </c>
      <c r="W198" s="1885">
        <f t="shared" si="76"/>
        <v>3.4889999999999997E-2</v>
      </c>
      <c r="X198" s="1891">
        <f t="shared" si="77"/>
        <v>-0.47743475999999996</v>
      </c>
      <c r="Y198" s="1891">
        <f t="shared" si="78"/>
        <v>-0.47743475999999996</v>
      </c>
      <c r="Z198" s="50">
        <v>0</v>
      </c>
      <c r="AA198" s="50">
        <v>0</v>
      </c>
      <c r="AB198" s="48">
        <v>0</v>
      </c>
      <c r="AC198" s="48">
        <v>0</v>
      </c>
      <c r="AD198" s="48">
        <v>0</v>
      </c>
      <c r="AE198" s="45" t="s">
        <v>4517</v>
      </c>
      <c r="AF198" s="51" t="s">
        <v>4782</v>
      </c>
      <c r="AG198" s="42"/>
      <c r="AH198" s="52" t="s">
        <v>4789</v>
      </c>
      <c r="AI198" s="197"/>
      <c r="AJ198" s="2578"/>
      <c r="AK198" s="251"/>
      <c r="AL198" s="2578"/>
      <c r="AM198" s="2562"/>
      <c r="AN198" s="2562"/>
      <c r="AO198" s="2562"/>
      <c r="AP198" s="2562"/>
      <c r="AQ198" s="2562"/>
      <c r="AR198" s="2562"/>
      <c r="AS198" s="2562"/>
      <c r="AT198" s="252">
        <f t="shared" si="79"/>
        <v>1</v>
      </c>
      <c r="AU198" s="252">
        <f t="shared" si="80"/>
        <v>0</v>
      </c>
      <c r="AV198" s="252">
        <f t="shared" si="81"/>
        <v>0</v>
      </c>
      <c r="AW198" s="252">
        <f t="shared" si="82"/>
        <v>0</v>
      </c>
      <c r="AX198" s="252">
        <f t="shared" si="83"/>
        <v>0</v>
      </c>
      <c r="AY198" s="252">
        <f t="shared" si="84"/>
        <v>0</v>
      </c>
      <c r="AZ198" s="252">
        <f t="shared" si="85"/>
        <v>0</v>
      </c>
      <c r="BA198" s="237"/>
      <c r="BB198" s="237"/>
      <c r="BC198" s="237"/>
      <c r="BD198" s="2562"/>
      <c r="BE198" s="252">
        <f t="shared" si="86"/>
        <v>0</v>
      </c>
      <c r="BF198" s="252">
        <f t="shared" si="87"/>
        <v>0</v>
      </c>
      <c r="BG198" s="2562"/>
      <c r="BH198" s="237"/>
      <c r="BI198" s="237"/>
      <c r="BJ198" s="252">
        <f t="shared" si="88"/>
        <v>0</v>
      </c>
      <c r="BK198" s="252">
        <f t="shared" si="89"/>
        <v>0</v>
      </c>
      <c r="BL198" s="252">
        <f t="shared" si="90"/>
        <v>0</v>
      </c>
      <c r="BM198" s="252">
        <f t="shared" si="91"/>
        <v>0</v>
      </c>
      <c r="BN198" s="252">
        <f t="shared" si="92"/>
        <v>0</v>
      </c>
      <c r="BO198" s="252">
        <f t="shared" si="93"/>
        <v>1</v>
      </c>
      <c r="BP198" s="2578"/>
      <c r="BQ198" s="2562"/>
      <c r="BR198" s="2562"/>
      <c r="BS198" s="2585"/>
      <c r="BT198" s="2585"/>
      <c r="BU198" s="2585"/>
    </row>
    <row r="199" spans="1:73" s="22" customFormat="1" ht="15.75" customHeight="1" outlineLevel="1">
      <c r="A199" s="2585"/>
      <c r="B199" s="44" t="s">
        <v>4790</v>
      </c>
      <c r="C199" s="45" t="s">
        <v>50</v>
      </c>
      <c r="D199" s="46" t="s">
        <v>4514</v>
      </c>
      <c r="E199" s="46" t="s">
        <v>4429</v>
      </c>
      <c r="F199" s="45" t="s">
        <v>4459</v>
      </c>
      <c r="G199" s="46" t="s">
        <v>4515</v>
      </c>
      <c r="H199" s="45" t="s">
        <v>4459</v>
      </c>
      <c r="I199" s="45" t="s">
        <v>4433</v>
      </c>
      <c r="J199" s="47" t="s">
        <v>4744</v>
      </c>
      <c r="K199" s="48">
        <v>100</v>
      </c>
      <c r="L199" s="47">
        <v>52283</v>
      </c>
      <c r="M199" s="1913">
        <v>19.891666666666666</v>
      </c>
      <c r="N199" s="48">
        <v>-18.494285000000001</v>
      </c>
      <c r="O199" s="49">
        <v>-18.494</v>
      </c>
      <c r="P199" s="49">
        <v>-18.494</v>
      </c>
      <c r="Q199" s="1884">
        <f t="shared" si="94"/>
        <v>-367.87648333333328</v>
      </c>
      <c r="R199" s="1885">
        <f t="shared" si="74"/>
        <v>-8.8270928649237357E-2</v>
      </c>
      <c r="S199" s="1885">
        <f t="shared" si="75"/>
        <v>-5.9847796741660075E-2</v>
      </c>
      <c r="T199" s="50" t="s">
        <v>4686</v>
      </c>
      <c r="U199" s="50">
        <v>3.2124E-2</v>
      </c>
      <c r="V199" s="50">
        <v>2.7659999999999998E-3</v>
      </c>
      <c r="W199" s="1885">
        <f t="shared" si="76"/>
        <v>3.4889999999999997E-2</v>
      </c>
      <c r="X199" s="1891">
        <f t="shared" si="77"/>
        <v>-0.6452556599999999</v>
      </c>
      <c r="Y199" s="1891">
        <f t="shared" si="78"/>
        <v>-0.6452556599999999</v>
      </c>
      <c r="Z199" s="50">
        <v>0</v>
      </c>
      <c r="AA199" s="50">
        <v>0</v>
      </c>
      <c r="AB199" s="48">
        <v>0</v>
      </c>
      <c r="AC199" s="48">
        <v>0</v>
      </c>
      <c r="AD199" s="48">
        <v>0</v>
      </c>
      <c r="AE199" s="45" t="s">
        <v>4517</v>
      </c>
      <c r="AF199" s="51" t="s">
        <v>4791</v>
      </c>
      <c r="AG199" s="42"/>
      <c r="AH199" s="52" t="s">
        <v>4792</v>
      </c>
      <c r="AI199" s="197"/>
      <c r="AJ199" s="2578"/>
      <c r="AK199" s="251"/>
      <c r="AL199" s="2578"/>
      <c r="AM199" s="2562"/>
      <c r="AN199" s="2562"/>
      <c r="AO199" s="2562"/>
      <c r="AP199" s="2562"/>
      <c r="AQ199" s="2562"/>
      <c r="AR199" s="2562"/>
      <c r="AS199" s="2562"/>
      <c r="AT199" s="252">
        <f t="shared" si="79"/>
        <v>1</v>
      </c>
      <c r="AU199" s="252">
        <f t="shared" si="80"/>
        <v>0</v>
      </c>
      <c r="AV199" s="252">
        <f t="shared" si="81"/>
        <v>0</v>
      </c>
      <c r="AW199" s="252">
        <f t="shared" si="82"/>
        <v>0</v>
      </c>
      <c r="AX199" s="252">
        <f t="shared" si="83"/>
        <v>0</v>
      </c>
      <c r="AY199" s="252">
        <f t="shared" si="84"/>
        <v>0</v>
      </c>
      <c r="AZ199" s="252">
        <f t="shared" si="85"/>
        <v>0</v>
      </c>
      <c r="BA199" s="237"/>
      <c r="BB199" s="237"/>
      <c r="BC199" s="237"/>
      <c r="BD199" s="2562"/>
      <c r="BE199" s="252">
        <f t="shared" si="86"/>
        <v>0</v>
      </c>
      <c r="BF199" s="252">
        <f t="shared" si="87"/>
        <v>0</v>
      </c>
      <c r="BG199" s="2562"/>
      <c r="BH199" s="237"/>
      <c r="BI199" s="237"/>
      <c r="BJ199" s="252">
        <f t="shared" si="88"/>
        <v>0</v>
      </c>
      <c r="BK199" s="252">
        <f t="shared" si="89"/>
        <v>0</v>
      </c>
      <c r="BL199" s="252">
        <f t="shared" si="90"/>
        <v>0</v>
      </c>
      <c r="BM199" s="252">
        <f t="shared" si="91"/>
        <v>0</v>
      </c>
      <c r="BN199" s="252">
        <f t="shared" si="92"/>
        <v>0</v>
      </c>
      <c r="BO199" s="252">
        <f t="shared" si="93"/>
        <v>1</v>
      </c>
      <c r="BP199" s="2578"/>
      <c r="BQ199" s="2562"/>
      <c r="BR199" s="2562"/>
      <c r="BS199" s="2585"/>
      <c r="BT199" s="2585"/>
      <c r="BU199" s="2585"/>
    </row>
    <row r="200" spans="1:73" s="22" customFormat="1" ht="15.75" customHeight="1" outlineLevel="1">
      <c r="A200" s="2585"/>
      <c r="B200" s="44" t="s">
        <v>4793</v>
      </c>
      <c r="C200" s="45" t="s">
        <v>50</v>
      </c>
      <c r="D200" s="46" t="s">
        <v>4514</v>
      </c>
      <c r="E200" s="46" t="s">
        <v>4429</v>
      </c>
      <c r="F200" s="45" t="s">
        <v>4459</v>
      </c>
      <c r="G200" s="46" t="s">
        <v>4515</v>
      </c>
      <c r="H200" s="45" t="s">
        <v>4459</v>
      </c>
      <c r="I200" s="45" t="s">
        <v>4433</v>
      </c>
      <c r="J200" s="47" t="s">
        <v>4744</v>
      </c>
      <c r="K200" s="48">
        <v>100</v>
      </c>
      <c r="L200" s="47">
        <v>52283</v>
      </c>
      <c r="M200" s="1913">
        <v>19.891666666666666</v>
      </c>
      <c r="N200" s="48">
        <v>-1.7360949999999999</v>
      </c>
      <c r="O200" s="49">
        <v>-1.736</v>
      </c>
      <c r="P200" s="49">
        <v>-1.736</v>
      </c>
      <c r="Q200" s="1884">
        <f t="shared" si="94"/>
        <v>-34.531933333333335</v>
      </c>
      <c r="R200" s="1885">
        <f t="shared" si="74"/>
        <v>-8.8270928649237357E-2</v>
      </c>
      <c r="S200" s="1885">
        <f t="shared" si="75"/>
        <v>-5.9847796741660075E-2</v>
      </c>
      <c r="T200" s="50" t="s">
        <v>4686</v>
      </c>
      <c r="U200" s="50">
        <v>3.2124E-2</v>
      </c>
      <c r="V200" s="50">
        <v>2.7659999999999998E-3</v>
      </c>
      <c r="W200" s="1885">
        <f t="shared" si="76"/>
        <v>3.4889999999999997E-2</v>
      </c>
      <c r="X200" s="1891">
        <f t="shared" si="77"/>
        <v>-6.0569039999999998E-2</v>
      </c>
      <c r="Y200" s="1891">
        <f t="shared" si="78"/>
        <v>-6.0569039999999998E-2</v>
      </c>
      <c r="Z200" s="50">
        <v>0</v>
      </c>
      <c r="AA200" s="50">
        <v>0</v>
      </c>
      <c r="AB200" s="48">
        <v>0</v>
      </c>
      <c r="AC200" s="48">
        <v>0</v>
      </c>
      <c r="AD200" s="48">
        <v>0</v>
      </c>
      <c r="AE200" s="45" t="s">
        <v>4517</v>
      </c>
      <c r="AF200" s="51" t="s">
        <v>4794</v>
      </c>
      <c r="AG200" s="42"/>
      <c r="AH200" s="52" t="s">
        <v>4795</v>
      </c>
      <c r="AI200" s="197"/>
      <c r="AJ200" s="2578"/>
      <c r="AK200" s="251"/>
      <c r="AL200" s="2578"/>
      <c r="AM200" s="2562"/>
      <c r="AN200" s="2562"/>
      <c r="AO200" s="2562"/>
      <c r="AP200" s="2562"/>
      <c r="AQ200" s="2562"/>
      <c r="AR200" s="2562"/>
      <c r="AS200" s="2562"/>
      <c r="AT200" s="252">
        <f t="shared" si="79"/>
        <v>1</v>
      </c>
      <c r="AU200" s="252">
        <f t="shared" si="80"/>
        <v>0</v>
      </c>
      <c r="AV200" s="252">
        <f t="shared" si="81"/>
        <v>0</v>
      </c>
      <c r="AW200" s="252">
        <f t="shared" si="82"/>
        <v>0</v>
      </c>
      <c r="AX200" s="252">
        <f t="shared" si="83"/>
        <v>0</v>
      </c>
      <c r="AY200" s="252">
        <f t="shared" si="84"/>
        <v>0</v>
      </c>
      <c r="AZ200" s="252">
        <f t="shared" si="85"/>
        <v>0</v>
      </c>
      <c r="BA200" s="237"/>
      <c r="BB200" s="237"/>
      <c r="BC200" s="237"/>
      <c r="BD200" s="2562"/>
      <c r="BE200" s="252">
        <f t="shared" si="86"/>
        <v>0</v>
      </c>
      <c r="BF200" s="252">
        <f t="shared" si="87"/>
        <v>0</v>
      </c>
      <c r="BG200" s="2562"/>
      <c r="BH200" s="237"/>
      <c r="BI200" s="237"/>
      <c r="BJ200" s="252">
        <f t="shared" si="88"/>
        <v>0</v>
      </c>
      <c r="BK200" s="252">
        <f t="shared" si="89"/>
        <v>0</v>
      </c>
      <c r="BL200" s="252">
        <f t="shared" si="90"/>
        <v>0</v>
      </c>
      <c r="BM200" s="252">
        <f t="shared" si="91"/>
        <v>0</v>
      </c>
      <c r="BN200" s="252">
        <f t="shared" si="92"/>
        <v>0</v>
      </c>
      <c r="BO200" s="252">
        <f t="shared" si="93"/>
        <v>1</v>
      </c>
      <c r="BP200" s="2578"/>
      <c r="BQ200" s="2562"/>
      <c r="BR200" s="2562"/>
      <c r="BS200" s="2585"/>
      <c r="BT200" s="2585"/>
      <c r="BU200" s="2585"/>
    </row>
    <row r="201" spans="1:73" s="22" customFormat="1" ht="15.75" customHeight="1" outlineLevel="1">
      <c r="A201" s="2585"/>
      <c r="B201" s="44" t="s">
        <v>4796</v>
      </c>
      <c r="C201" s="45" t="s">
        <v>50</v>
      </c>
      <c r="D201" s="46" t="s">
        <v>4514</v>
      </c>
      <c r="E201" s="46" t="s">
        <v>4429</v>
      </c>
      <c r="F201" s="45" t="s">
        <v>4459</v>
      </c>
      <c r="G201" s="46" t="s">
        <v>4515</v>
      </c>
      <c r="H201" s="45" t="s">
        <v>4459</v>
      </c>
      <c r="I201" s="45" t="s">
        <v>4433</v>
      </c>
      <c r="J201" s="47" t="s">
        <v>4744</v>
      </c>
      <c r="K201" s="48">
        <v>100</v>
      </c>
      <c r="L201" s="47">
        <v>52283</v>
      </c>
      <c r="M201" s="1913">
        <v>19.891666666666666</v>
      </c>
      <c r="N201" s="48">
        <v>-37.192667999999998</v>
      </c>
      <c r="O201" s="49">
        <v>-37.192999999999998</v>
      </c>
      <c r="P201" s="49">
        <v>-37.192999999999998</v>
      </c>
      <c r="Q201" s="1884">
        <f t="shared" si="94"/>
        <v>-739.83075833333328</v>
      </c>
      <c r="R201" s="1885">
        <f t="shared" si="74"/>
        <v>-8.8270928649237357E-2</v>
      </c>
      <c r="S201" s="1885">
        <f t="shared" si="75"/>
        <v>-5.9847796741660075E-2</v>
      </c>
      <c r="T201" s="50" t="s">
        <v>4686</v>
      </c>
      <c r="U201" s="50">
        <v>3.2124E-2</v>
      </c>
      <c r="V201" s="50">
        <v>2.7659999999999998E-3</v>
      </c>
      <c r="W201" s="1885">
        <f t="shared" si="76"/>
        <v>3.4889999999999997E-2</v>
      </c>
      <c r="X201" s="1891">
        <f t="shared" si="77"/>
        <v>-1.2976637699999998</v>
      </c>
      <c r="Y201" s="1891">
        <f t="shared" si="78"/>
        <v>-1.2976637699999998</v>
      </c>
      <c r="Z201" s="50">
        <v>0</v>
      </c>
      <c r="AA201" s="50">
        <v>0</v>
      </c>
      <c r="AB201" s="48">
        <v>0</v>
      </c>
      <c r="AC201" s="48">
        <v>0</v>
      </c>
      <c r="AD201" s="48">
        <v>0</v>
      </c>
      <c r="AE201" s="45" t="s">
        <v>4517</v>
      </c>
      <c r="AF201" s="51" t="s">
        <v>4794</v>
      </c>
      <c r="AG201" s="42"/>
      <c r="AH201" s="52" t="s">
        <v>4797</v>
      </c>
      <c r="AI201" s="197"/>
      <c r="AJ201" s="2578"/>
      <c r="AK201" s="251"/>
      <c r="AL201" s="2578"/>
      <c r="AM201" s="2562"/>
      <c r="AN201" s="2562"/>
      <c r="AO201" s="2562"/>
      <c r="AP201" s="2562"/>
      <c r="AQ201" s="2562"/>
      <c r="AR201" s="2562"/>
      <c r="AS201" s="2562"/>
      <c r="AT201" s="252">
        <f t="shared" si="79"/>
        <v>1</v>
      </c>
      <c r="AU201" s="252">
        <f t="shared" si="80"/>
        <v>0</v>
      </c>
      <c r="AV201" s="252">
        <f t="shared" si="81"/>
        <v>0</v>
      </c>
      <c r="AW201" s="252">
        <f t="shared" si="82"/>
        <v>0</v>
      </c>
      <c r="AX201" s="252">
        <f t="shared" si="83"/>
        <v>0</v>
      </c>
      <c r="AY201" s="252">
        <f t="shared" si="84"/>
        <v>0</v>
      </c>
      <c r="AZ201" s="252">
        <f t="shared" si="85"/>
        <v>0</v>
      </c>
      <c r="BA201" s="237"/>
      <c r="BB201" s="237"/>
      <c r="BC201" s="237"/>
      <c r="BD201" s="2562"/>
      <c r="BE201" s="252">
        <f t="shared" si="86"/>
        <v>0</v>
      </c>
      <c r="BF201" s="252">
        <f t="shared" si="87"/>
        <v>0</v>
      </c>
      <c r="BG201" s="2562"/>
      <c r="BH201" s="237"/>
      <c r="BI201" s="237"/>
      <c r="BJ201" s="252">
        <f t="shared" si="88"/>
        <v>0</v>
      </c>
      <c r="BK201" s="252">
        <f t="shared" si="89"/>
        <v>0</v>
      </c>
      <c r="BL201" s="252">
        <f t="shared" si="90"/>
        <v>0</v>
      </c>
      <c r="BM201" s="252">
        <f t="shared" si="91"/>
        <v>0</v>
      </c>
      <c r="BN201" s="252">
        <f t="shared" si="92"/>
        <v>0</v>
      </c>
      <c r="BO201" s="252">
        <f t="shared" si="93"/>
        <v>1</v>
      </c>
      <c r="BP201" s="2578"/>
      <c r="BQ201" s="2562"/>
      <c r="BR201" s="2562"/>
      <c r="BS201" s="2585"/>
      <c r="BT201" s="2585"/>
      <c r="BU201" s="2585"/>
    </row>
    <row r="202" spans="1:73" s="22" customFormat="1" ht="15.75" customHeight="1" outlineLevel="1">
      <c r="A202" s="2585"/>
      <c r="B202" s="44" t="s">
        <v>4798</v>
      </c>
      <c r="C202" s="45" t="s">
        <v>50</v>
      </c>
      <c r="D202" s="46" t="s">
        <v>4514</v>
      </c>
      <c r="E202" s="46" t="s">
        <v>4429</v>
      </c>
      <c r="F202" s="45" t="s">
        <v>4459</v>
      </c>
      <c r="G202" s="46" t="s">
        <v>4515</v>
      </c>
      <c r="H202" s="45" t="s">
        <v>4459</v>
      </c>
      <c r="I202" s="45" t="s">
        <v>4433</v>
      </c>
      <c r="J202" s="47" t="s">
        <v>4744</v>
      </c>
      <c r="K202" s="48">
        <v>100</v>
      </c>
      <c r="L202" s="47">
        <v>54109</v>
      </c>
      <c r="M202" s="1913">
        <v>24.891666666666666</v>
      </c>
      <c r="N202" s="48">
        <v>-7.1959999999999997</v>
      </c>
      <c r="O202" s="49">
        <v>-7.1959999999999997</v>
      </c>
      <c r="P202" s="49">
        <v>-7.1959999999999997</v>
      </c>
      <c r="Q202" s="1884">
        <f t="shared" si="94"/>
        <v>-179.12043333333332</v>
      </c>
      <c r="R202" s="1885">
        <f t="shared" si="74"/>
        <v>-8.8270928649237357E-2</v>
      </c>
      <c r="S202" s="1885">
        <f t="shared" si="75"/>
        <v>-5.9847796741660075E-2</v>
      </c>
      <c r="T202" s="50" t="s">
        <v>4686</v>
      </c>
      <c r="U202" s="50">
        <v>3.2124E-2</v>
      </c>
      <c r="V202" s="50">
        <v>2.7659999999999998E-3</v>
      </c>
      <c r="W202" s="1885">
        <f t="shared" si="76"/>
        <v>3.4889999999999997E-2</v>
      </c>
      <c r="X202" s="1891">
        <f t="shared" si="77"/>
        <v>-0.25106843999999995</v>
      </c>
      <c r="Y202" s="1891">
        <f t="shared" si="78"/>
        <v>-0.25106843999999995</v>
      </c>
      <c r="Z202" s="50">
        <v>0</v>
      </c>
      <c r="AA202" s="50">
        <v>0</v>
      </c>
      <c r="AB202" s="48">
        <v>0</v>
      </c>
      <c r="AC202" s="48">
        <v>0</v>
      </c>
      <c r="AD202" s="48">
        <v>0</v>
      </c>
      <c r="AE202" s="45" t="s">
        <v>4517</v>
      </c>
      <c r="AF202" s="51" t="s">
        <v>4794</v>
      </c>
      <c r="AG202" s="42"/>
      <c r="AH202" s="52" t="s">
        <v>4799</v>
      </c>
      <c r="AI202" s="197"/>
      <c r="AJ202" s="2578"/>
      <c r="AK202" s="251"/>
      <c r="AL202" s="2578"/>
      <c r="AM202" s="2562"/>
      <c r="AN202" s="2562"/>
      <c r="AO202" s="2562"/>
      <c r="AP202" s="2562"/>
      <c r="AQ202" s="2562"/>
      <c r="AR202" s="2562"/>
      <c r="AS202" s="2562"/>
      <c r="AT202" s="252">
        <f t="shared" si="79"/>
        <v>1</v>
      </c>
      <c r="AU202" s="252">
        <f t="shared" si="80"/>
        <v>0</v>
      </c>
      <c r="AV202" s="252">
        <f t="shared" si="81"/>
        <v>0</v>
      </c>
      <c r="AW202" s="252">
        <f t="shared" si="82"/>
        <v>0</v>
      </c>
      <c r="AX202" s="252">
        <f t="shared" si="83"/>
        <v>0</v>
      </c>
      <c r="AY202" s="252">
        <f t="shared" si="84"/>
        <v>0</v>
      </c>
      <c r="AZ202" s="252">
        <f t="shared" si="85"/>
        <v>0</v>
      </c>
      <c r="BA202" s="237"/>
      <c r="BB202" s="237"/>
      <c r="BC202" s="237"/>
      <c r="BD202" s="2562"/>
      <c r="BE202" s="252">
        <f t="shared" si="86"/>
        <v>0</v>
      </c>
      <c r="BF202" s="252">
        <f t="shared" si="87"/>
        <v>0</v>
      </c>
      <c r="BG202" s="2562"/>
      <c r="BH202" s="237"/>
      <c r="BI202" s="237"/>
      <c r="BJ202" s="252">
        <f t="shared" si="88"/>
        <v>0</v>
      </c>
      <c r="BK202" s="252">
        <f t="shared" si="89"/>
        <v>0</v>
      </c>
      <c r="BL202" s="252">
        <f t="shared" si="90"/>
        <v>0</v>
      </c>
      <c r="BM202" s="252">
        <f t="shared" si="91"/>
        <v>0</v>
      </c>
      <c r="BN202" s="252">
        <f t="shared" si="92"/>
        <v>0</v>
      </c>
      <c r="BO202" s="252">
        <f t="shared" si="93"/>
        <v>1</v>
      </c>
      <c r="BP202" s="2578"/>
      <c r="BQ202" s="2562"/>
      <c r="BR202" s="2562"/>
      <c r="BS202" s="2585"/>
      <c r="BT202" s="2585"/>
      <c r="BU202" s="2585"/>
    </row>
    <row r="203" spans="1:73" s="22" customFormat="1" ht="15.75" customHeight="1" outlineLevel="1">
      <c r="A203" s="2585"/>
      <c r="B203" s="44" t="s">
        <v>4800</v>
      </c>
      <c r="C203" s="45" t="s">
        <v>50</v>
      </c>
      <c r="D203" s="46" t="s">
        <v>4514</v>
      </c>
      <c r="E203" s="46" t="s">
        <v>4429</v>
      </c>
      <c r="F203" s="45" t="s">
        <v>4459</v>
      </c>
      <c r="G203" s="46" t="s">
        <v>4515</v>
      </c>
      <c r="H203" s="45" t="s">
        <v>4459</v>
      </c>
      <c r="I203" s="45" t="s">
        <v>4433</v>
      </c>
      <c r="J203" s="47" t="s">
        <v>4744</v>
      </c>
      <c r="K203" s="48">
        <v>100</v>
      </c>
      <c r="L203" s="47">
        <v>57762</v>
      </c>
      <c r="M203" s="1913">
        <v>34.891666666666666</v>
      </c>
      <c r="N203" s="48">
        <v>-7.1959999999999997</v>
      </c>
      <c r="O203" s="49">
        <v>-7.1959999999999997</v>
      </c>
      <c r="P203" s="49">
        <v>-7.1959999999999997</v>
      </c>
      <c r="Q203" s="1884">
        <f t="shared" si="94"/>
        <v>-251.0804333333333</v>
      </c>
      <c r="R203" s="1885">
        <f t="shared" si="74"/>
        <v>-8.8270928649237357E-2</v>
      </c>
      <c r="S203" s="1885">
        <f t="shared" si="75"/>
        <v>-5.9847796741660075E-2</v>
      </c>
      <c r="T203" s="50" t="s">
        <v>4686</v>
      </c>
      <c r="U203" s="50">
        <v>3.2124E-2</v>
      </c>
      <c r="V203" s="50">
        <v>2.7659999999999998E-3</v>
      </c>
      <c r="W203" s="1885">
        <f t="shared" si="76"/>
        <v>3.4889999999999997E-2</v>
      </c>
      <c r="X203" s="1891">
        <f t="shared" si="77"/>
        <v>-0.25106843999999995</v>
      </c>
      <c r="Y203" s="1891">
        <f t="shared" si="78"/>
        <v>-0.25106843999999995</v>
      </c>
      <c r="Z203" s="50">
        <v>0</v>
      </c>
      <c r="AA203" s="50">
        <v>0</v>
      </c>
      <c r="AB203" s="48">
        <v>0</v>
      </c>
      <c r="AC203" s="48">
        <v>0</v>
      </c>
      <c r="AD203" s="48">
        <v>0</v>
      </c>
      <c r="AE203" s="45" t="s">
        <v>4517</v>
      </c>
      <c r="AF203" s="51" t="s">
        <v>4794</v>
      </c>
      <c r="AG203" s="42"/>
      <c r="AH203" s="52" t="s">
        <v>4801</v>
      </c>
      <c r="AI203" s="197"/>
      <c r="AJ203" s="2578"/>
      <c r="AK203" s="251"/>
      <c r="AL203" s="2578"/>
      <c r="AM203" s="2562"/>
      <c r="AN203" s="2562"/>
      <c r="AO203" s="2562"/>
      <c r="AP203" s="2562"/>
      <c r="AQ203" s="2562"/>
      <c r="AR203" s="2562"/>
      <c r="AS203" s="2562"/>
      <c r="AT203" s="252">
        <f t="shared" si="79"/>
        <v>1</v>
      </c>
      <c r="AU203" s="252">
        <f t="shared" si="80"/>
        <v>0</v>
      </c>
      <c r="AV203" s="252">
        <f t="shared" si="81"/>
        <v>0</v>
      </c>
      <c r="AW203" s="252">
        <f t="shared" si="82"/>
        <v>0</v>
      </c>
      <c r="AX203" s="252">
        <f t="shared" si="83"/>
        <v>0</v>
      </c>
      <c r="AY203" s="252">
        <f t="shared" si="84"/>
        <v>0</v>
      </c>
      <c r="AZ203" s="252">
        <f t="shared" si="85"/>
        <v>0</v>
      </c>
      <c r="BA203" s="237"/>
      <c r="BB203" s="237"/>
      <c r="BC203" s="237"/>
      <c r="BD203" s="2562"/>
      <c r="BE203" s="252">
        <f t="shared" si="86"/>
        <v>0</v>
      </c>
      <c r="BF203" s="252">
        <f t="shared" si="87"/>
        <v>0</v>
      </c>
      <c r="BG203" s="2562"/>
      <c r="BH203" s="237"/>
      <c r="BI203" s="237"/>
      <c r="BJ203" s="252">
        <f t="shared" si="88"/>
        <v>0</v>
      </c>
      <c r="BK203" s="252">
        <f t="shared" si="89"/>
        <v>0</v>
      </c>
      <c r="BL203" s="252">
        <f t="shared" si="90"/>
        <v>0</v>
      </c>
      <c r="BM203" s="252">
        <f t="shared" si="91"/>
        <v>0</v>
      </c>
      <c r="BN203" s="252">
        <f t="shared" si="92"/>
        <v>0</v>
      </c>
      <c r="BO203" s="252">
        <f t="shared" si="93"/>
        <v>1</v>
      </c>
      <c r="BP203" s="2578"/>
      <c r="BQ203" s="2562"/>
      <c r="BR203" s="2562"/>
      <c r="BS203" s="2585"/>
      <c r="BT203" s="2585"/>
      <c r="BU203" s="2585"/>
    </row>
    <row r="204" spans="1:73" s="22" customFormat="1" ht="15.75" customHeight="1" outlineLevel="1">
      <c r="A204" s="2585"/>
      <c r="B204" s="44" t="s">
        <v>4802</v>
      </c>
      <c r="C204" s="45" t="s">
        <v>50</v>
      </c>
      <c r="D204" s="46" t="s">
        <v>4514</v>
      </c>
      <c r="E204" s="46" t="s">
        <v>4429</v>
      </c>
      <c r="F204" s="45" t="s">
        <v>4459</v>
      </c>
      <c r="G204" s="46" t="s">
        <v>4515</v>
      </c>
      <c r="H204" s="45" t="s">
        <v>4459</v>
      </c>
      <c r="I204" s="45" t="s">
        <v>4433</v>
      </c>
      <c r="J204" s="47" t="s">
        <v>4744</v>
      </c>
      <c r="K204" s="48">
        <v>100</v>
      </c>
      <c r="L204" s="47">
        <v>59588</v>
      </c>
      <c r="M204" s="1913">
        <v>39.891666666666666</v>
      </c>
      <c r="N204" s="48">
        <v>-7.3079999999999998</v>
      </c>
      <c r="O204" s="49">
        <v>-7.3079999999999998</v>
      </c>
      <c r="P204" s="49">
        <v>-7.3079999999999998</v>
      </c>
      <c r="Q204" s="1884">
        <f t="shared" si="94"/>
        <v>-291.5283</v>
      </c>
      <c r="R204" s="1885">
        <f t="shared" si="74"/>
        <v>-8.8270928649237357E-2</v>
      </c>
      <c r="S204" s="1885">
        <f t="shared" si="75"/>
        <v>-5.9847796741660075E-2</v>
      </c>
      <c r="T204" s="50" t="s">
        <v>4686</v>
      </c>
      <c r="U204" s="50">
        <v>3.2124E-2</v>
      </c>
      <c r="V204" s="50">
        <v>2.7659999999999998E-3</v>
      </c>
      <c r="W204" s="1885">
        <f t="shared" si="76"/>
        <v>3.4889999999999997E-2</v>
      </c>
      <c r="X204" s="1891">
        <f t="shared" si="77"/>
        <v>-0.25497611999999997</v>
      </c>
      <c r="Y204" s="1891">
        <f t="shared" si="78"/>
        <v>-0.25497611999999997</v>
      </c>
      <c r="Z204" s="50">
        <v>0</v>
      </c>
      <c r="AA204" s="50">
        <v>0</v>
      </c>
      <c r="AB204" s="48">
        <v>0</v>
      </c>
      <c r="AC204" s="48">
        <v>0</v>
      </c>
      <c r="AD204" s="48">
        <v>0</v>
      </c>
      <c r="AE204" s="45" t="s">
        <v>4517</v>
      </c>
      <c r="AF204" s="51" t="s">
        <v>4794</v>
      </c>
      <c r="AG204" s="42"/>
      <c r="AH204" s="52" t="s">
        <v>4803</v>
      </c>
      <c r="AI204" s="197"/>
      <c r="AJ204" s="2578"/>
      <c r="AK204" s="251"/>
      <c r="AL204" s="2578"/>
      <c r="AM204" s="2562"/>
      <c r="AN204" s="2562"/>
      <c r="AO204" s="2562"/>
      <c r="AP204" s="2562"/>
      <c r="AQ204" s="2562"/>
      <c r="AR204" s="2562"/>
      <c r="AS204" s="2562"/>
      <c r="AT204" s="252">
        <f t="shared" si="79"/>
        <v>1</v>
      </c>
      <c r="AU204" s="252">
        <f t="shared" si="80"/>
        <v>0</v>
      </c>
      <c r="AV204" s="252">
        <f t="shared" si="81"/>
        <v>0</v>
      </c>
      <c r="AW204" s="252">
        <f t="shared" si="82"/>
        <v>0</v>
      </c>
      <c r="AX204" s="252">
        <f t="shared" si="83"/>
        <v>0</v>
      </c>
      <c r="AY204" s="252">
        <f t="shared" si="84"/>
        <v>0</v>
      </c>
      <c r="AZ204" s="252">
        <f t="shared" si="85"/>
        <v>0</v>
      </c>
      <c r="BA204" s="237"/>
      <c r="BB204" s="237"/>
      <c r="BC204" s="237"/>
      <c r="BD204" s="2562"/>
      <c r="BE204" s="252">
        <f t="shared" si="86"/>
        <v>0</v>
      </c>
      <c r="BF204" s="252">
        <f t="shared" si="87"/>
        <v>0</v>
      </c>
      <c r="BG204" s="2562"/>
      <c r="BH204" s="237"/>
      <c r="BI204" s="237"/>
      <c r="BJ204" s="252">
        <f t="shared" si="88"/>
        <v>0</v>
      </c>
      <c r="BK204" s="252">
        <f t="shared" si="89"/>
        <v>0</v>
      </c>
      <c r="BL204" s="252">
        <f t="shared" si="90"/>
        <v>0</v>
      </c>
      <c r="BM204" s="252">
        <f t="shared" si="91"/>
        <v>0</v>
      </c>
      <c r="BN204" s="252">
        <f t="shared" si="92"/>
        <v>0</v>
      </c>
      <c r="BO204" s="252">
        <f t="shared" si="93"/>
        <v>1</v>
      </c>
      <c r="BP204" s="2578"/>
      <c r="BQ204" s="2562"/>
      <c r="BR204" s="2562"/>
      <c r="BS204" s="2585"/>
      <c r="BT204" s="2585"/>
      <c r="BU204" s="2585"/>
    </row>
    <row r="205" spans="1:73" s="22" customFormat="1" ht="15.75" customHeight="1" outlineLevel="1">
      <c r="A205" s="2585"/>
      <c r="B205" s="44" t="s">
        <v>4804</v>
      </c>
      <c r="C205" s="45" t="s">
        <v>50</v>
      </c>
      <c r="D205" s="46" t="s">
        <v>4514</v>
      </c>
      <c r="E205" s="46" t="s">
        <v>4429</v>
      </c>
      <c r="F205" s="45" t="s">
        <v>4459</v>
      </c>
      <c r="G205" s="46" t="s">
        <v>4515</v>
      </c>
      <c r="H205" s="45" t="s">
        <v>4459</v>
      </c>
      <c r="I205" s="45" t="s">
        <v>4433</v>
      </c>
      <c r="J205" s="47" t="s">
        <v>4744</v>
      </c>
      <c r="K205" s="48">
        <v>100</v>
      </c>
      <c r="L205" s="47">
        <v>50457</v>
      </c>
      <c r="M205" s="1913">
        <v>14.891666666666667</v>
      </c>
      <c r="N205" s="48">
        <v>-3.1749999999999998</v>
      </c>
      <c r="O205" s="49">
        <v>-3.1749999999999998</v>
      </c>
      <c r="P205" s="49">
        <v>-3.1749999999999998</v>
      </c>
      <c r="Q205" s="1884">
        <f t="shared" si="94"/>
        <v>-47.281041666666667</v>
      </c>
      <c r="R205" s="1885">
        <f t="shared" si="74"/>
        <v>-8.8270928649237357E-2</v>
      </c>
      <c r="S205" s="1885">
        <f t="shared" si="75"/>
        <v>-5.9847796741660075E-2</v>
      </c>
      <c r="T205" s="50" t="s">
        <v>4686</v>
      </c>
      <c r="U205" s="50">
        <v>3.2124E-2</v>
      </c>
      <c r="V205" s="50">
        <v>2.7659999999999998E-3</v>
      </c>
      <c r="W205" s="1885">
        <f t="shared" si="76"/>
        <v>3.4889999999999997E-2</v>
      </c>
      <c r="X205" s="1891">
        <f t="shared" si="77"/>
        <v>-0.11077574999999999</v>
      </c>
      <c r="Y205" s="1891">
        <f t="shared" si="78"/>
        <v>-0.11077574999999999</v>
      </c>
      <c r="Z205" s="50">
        <v>0</v>
      </c>
      <c r="AA205" s="50">
        <v>0</v>
      </c>
      <c r="AB205" s="48">
        <v>0</v>
      </c>
      <c r="AC205" s="48">
        <v>0</v>
      </c>
      <c r="AD205" s="48">
        <v>0</v>
      </c>
      <c r="AE205" s="45" t="s">
        <v>4517</v>
      </c>
      <c r="AF205" s="51" t="s">
        <v>4745</v>
      </c>
      <c r="AG205" s="42"/>
      <c r="AH205" s="52" t="s">
        <v>4805</v>
      </c>
      <c r="AI205" s="197"/>
      <c r="AJ205" s="2578"/>
      <c r="AK205" s="251"/>
      <c r="AL205" s="2578"/>
      <c r="AM205" s="2562"/>
      <c r="AN205" s="2562"/>
      <c r="AO205" s="2562"/>
      <c r="AP205" s="2562"/>
      <c r="AQ205" s="2562"/>
      <c r="AR205" s="2562"/>
      <c r="AS205" s="2562"/>
      <c r="AT205" s="252">
        <f t="shared" si="79"/>
        <v>1</v>
      </c>
      <c r="AU205" s="252">
        <f t="shared" si="80"/>
        <v>0</v>
      </c>
      <c r="AV205" s="252">
        <f t="shared" si="81"/>
        <v>0</v>
      </c>
      <c r="AW205" s="252">
        <f t="shared" si="82"/>
        <v>0</v>
      </c>
      <c r="AX205" s="252">
        <f t="shared" si="83"/>
        <v>0</v>
      </c>
      <c r="AY205" s="252">
        <f t="shared" si="84"/>
        <v>0</v>
      </c>
      <c r="AZ205" s="252">
        <f t="shared" si="85"/>
        <v>0</v>
      </c>
      <c r="BA205" s="237"/>
      <c r="BB205" s="237"/>
      <c r="BC205" s="237"/>
      <c r="BD205" s="2562"/>
      <c r="BE205" s="252">
        <f t="shared" si="86"/>
        <v>0</v>
      </c>
      <c r="BF205" s="252">
        <f t="shared" si="87"/>
        <v>0</v>
      </c>
      <c r="BG205" s="2562"/>
      <c r="BH205" s="237"/>
      <c r="BI205" s="237"/>
      <c r="BJ205" s="252">
        <f t="shared" si="88"/>
        <v>0</v>
      </c>
      <c r="BK205" s="252">
        <f t="shared" si="89"/>
        <v>0</v>
      </c>
      <c r="BL205" s="252">
        <f t="shared" si="90"/>
        <v>0</v>
      </c>
      <c r="BM205" s="252">
        <f t="shared" si="91"/>
        <v>0</v>
      </c>
      <c r="BN205" s="252">
        <f t="shared" si="92"/>
        <v>0</v>
      </c>
      <c r="BO205" s="252">
        <f t="shared" si="93"/>
        <v>1</v>
      </c>
      <c r="BP205" s="2578"/>
      <c r="BQ205" s="2562"/>
      <c r="BR205" s="2562"/>
      <c r="BS205" s="2585"/>
      <c r="BT205" s="2585"/>
      <c r="BU205" s="2585"/>
    </row>
    <row r="206" spans="1:73" s="22" customFormat="1" ht="15.75" customHeight="1" outlineLevel="1">
      <c r="A206" s="2585"/>
      <c r="B206" s="44" t="s">
        <v>4806</v>
      </c>
      <c r="C206" s="45" t="s">
        <v>50</v>
      </c>
      <c r="D206" s="46" t="s">
        <v>4514</v>
      </c>
      <c r="E206" s="46" t="s">
        <v>4429</v>
      </c>
      <c r="F206" s="45" t="s">
        <v>4459</v>
      </c>
      <c r="G206" s="46" t="s">
        <v>4515</v>
      </c>
      <c r="H206" s="45" t="s">
        <v>4459</v>
      </c>
      <c r="I206" s="45" t="s">
        <v>4433</v>
      </c>
      <c r="J206" s="47" t="s">
        <v>4744</v>
      </c>
      <c r="K206" s="48">
        <v>100</v>
      </c>
      <c r="L206" s="47">
        <v>52283</v>
      </c>
      <c r="M206" s="1913">
        <v>19.891666666666666</v>
      </c>
      <c r="N206" s="48">
        <v>-25.544454999999999</v>
      </c>
      <c r="O206" s="49">
        <v>-25.544</v>
      </c>
      <c r="P206" s="49">
        <v>-25.544</v>
      </c>
      <c r="Q206" s="1884">
        <f t="shared" si="94"/>
        <v>-508.11273333333332</v>
      </c>
      <c r="R206" s="1885">
        <f t="shared" si="74"/>
        <v>-8.8270928649237357E-2</v>
      </c>
      <c r="S206" s="1885">
        <f t="shared" si="75"/>
        <v>-5.9847796741660075E-2</v>
      </c>
      <c r="T206" s="50" t="s">
        <v>4686</v>
      </c>
      <c r="U206" s="50">
        <v>3.2124E-2</v>
      </c>
      <c r="V206" s="50">
        <v>2.7659999999999998E-3</v>
      </c>
      <c r="W206" s="1885">
        <f t="shared" si="76"/>
        <v>3.4889999999999997E-2</v>
      </c>
      <c r="X206" s="1891">
        <f t="shared" si="77"/>
        <v>-0.89123015999999999</v>
      </c>
      <c r="Y206" s="1891">
        <f t="shared" si="78"/>
        <v>-0.89123015999999999</v>
      </c>
      <c r="Z206" s="50">
        <v>0</v>
      </c>
      <c r="AA206" s="50">
        <v>0</v>
      </c>
      <c r="AB206" s="48">
        <v>0</v>
      </c>
      <c r="AC206" s="48">
        <v>0</v>
      </c>
      <c r="AD206" s="48">
        <v>0</v>
      </c>
      <c r="AE206" s="45" t="s">
        <v>4517</v>
      </c>
      <c r="AF206" s="51" t="s">
        <v>4745</v>
      </c>
      <c r="AG206" s="42"/>
      <c r="AH206" s="52" t="s">
        <v>4807</v>
      </c>
      <c r="AI206" s="197"/>
      <c r="AJ206" s="2578"/>
      <c r="AK206" s="251"/>
      <c r="AL206" s="2578"/>
      <c r="AM206" s="2562"/>
      <c r="AN206" s="2562"/>
      <c r="AO206" s="2562"/>
      <c r="AP206" s="2562"/>
      <c r="AQ206" s="2562"/>
      <c r="AR206" s="2562"/>
      <c r="AS206" s="2562"/>
      <c r="AT206" s="252">
        <f t="shared" si="79"/>
        <v>1</v>
      </c>
      <c r="AU206" s="252">
        <f t="shared" si="80"/>
        <v>0</v>
      </c>
      <c r="AV206" s="252">
        <f t="shared" si="81"/>
        <v>0</v>
      </c>
      <c r="AW206" s="252">
        <f t="shared" si="82"/>
        <v>0</v>
      </c>
      <c r="AX206" s="252">
        <f t="shared" si="83"/>
        <v>0</v>
      </c>
      <c r="AY206" s="252">
        <f t="shared" si="84"/>
        <v>0</v>
      </c>
      <c r="AZ206" s="252">
        <f t="shared" si="85"/>
        <v>0</v>
      </c>
      <c r="BA206" s="237"/>
      <c r="BB206" s="237"/>
      <c r="BC206" s="237"/>
      <c r="BD206" s="2562"/>
      <c r="BE206" s="252">
        <f t="shared" si="86"/>
        <v>0</v>
      </c>
      <c r="BF206" s="252">
        <f t="shared" si="87"/>
        <v>0</v>
      </c>
      <c r="BG206" s="2562"/>
      <c r="BH206" s="237"/>
      <c r="BI206" s="237"/>
      <c r="BJ206" s="252">
        <f t="shared" si="88"/>
        <v>0</v>
      </c>
      <c r="BK206" s="252">
        <f t="shared" si="89"/>
        <v>0</v>
      </c>
      <c r="BL206" s="252">
        <f t="shared" si="90"/>
        <v>0</v>
      </c>
      <c r="BM206" s="252">
        <f t="shared" si="91"/>
        <v>0</v>
      </c>
      <c r="BN206" s="252">
        <f t="shared" si="92"/>
        <v>0</v>
      </c>
      <c r="BO206" s="252">
        <f t="shared" si="93"/>
        <v>1</v>
      </c>
      <c r="BP206" s="2578"/>
      <c r="BQ206" s="2562"/>
      <c r="BR206" s="2562"/>
      <c r="BS206" s="2585"/>
      <c r="BT206" s="2585"/>
      <c r="BU206" s="2585"/>
    </row>
    <row r="207" spans="1:73" s="22" customFormat="1" ht="15.75" customHeight="1" outlineLevel="1">
      <c r="A207" s="2585"/>
      <c r="B207" s="44" t="s">
        <v>4808</v>
      </c>
      <c r="C207" s="45" t="s">
        <v>50</v>
      </c>
      <c r="D207" s="46" t="s">
        <v>4514</v>
      </c>
      <c r="E207" s="46" t="s">
        <v>4429</v>
      </c>
      <c r="F207" s="45" t="s">
        <v>4459</v>
      </c>
      <c r="G207" s="46" t="s">
        <v>4515</v>
      </c>
      <c r="H207" s="45" t="s">
        <v>4459</v>
      </c>
      <c r="I207" s="45" t="s">
        <v>4433</v>
      </c>
      <c r="J207" s="47" t="s">
        <v>4744</v>
      </c>
      <c r="K207" s="48">
        <v>100</v>
      </c>
      <c r="L207" s="47">
        <v>57762</v>
      </c>
      <c r="M207" s="1913">
        <v>34.891666666666666</v>
      </c>
      <c r="N207" s="48">
        <v>-15.42</v>
      </c>
      <c r="O207" s="49">
        <v>-15.42</v>
      </c>
      <c r="P207" s="49">
        <v>-15.42</v>
      </c>
      <c r="Q207" s="1884">
        <f t="shared" si="94"/>
        <v>-538.02949999999998</v>
      </c>
      <c r="R207" s="1885">
        <f t="shared" si="74"/>
        <v>-8.8270928649237357E-2</v>
      </c>
      <c r="S207" s="1885">
        <f t="shared" si="75"/>
        <v>-5.9847796741660075E-2</v>
      </c>
      <c r="T207" s="50" t="s">
        <v>4686</v>
      </c>
      <c r="U207" s="50">
        <v>3.2124E-2</v>
      </c>
      <c r="V207" s="50">
        <v>2.7659999999999998E-3</v>
      </c>
      <c r="W207" s="1885">
        <f t="shared" si="76"/>
        <v>3.4889999999999997E-2</v>
      </c>
      <c r="X207" s="1891">
        <f t="shared" si="77"/>
        <v>-0.53800379999999992</v>
      </c>
      <c r="Y207" s="1891">
        <f t="shared" si="78"/>
        <v>-0.53800379999999992</v>
      </c>
      <c r="Z207" s="50">
        <v>0</v>
      </c>
      <c r="AA207" s="50">
        <v>0</v>
      </c>
      <c r="AB207" s="48">
        <v>0</v>
      </c>
      <c r="AC207" s="48">
        <v>0</v>
      </c>
      <c r="AD207" s="48">
        <v>0</v>
      </c>
      <c r="AE207" s="45" t="s">
        <v>4517</v>
      </c>
      <c r="AF207" s="51" t="s">
        <v>4745</v>
      </c>
      <c r="AG207" s="42"/>
      <c r="AH207" s="52" t="s">
        <v>4809</v>
      </c>
      <c r="AI207" s="197"/>
      <c r="AJ207" s="2578"/>
      <c r="AK207" s="251"/>
      <c r="AL207" s="2578"/>
      <c r="AM207" s="2562"/>
      <c r="AN207" s="2562"/>
      <c r="AO207" s="2562"/>
      <c r="AP207" s="2562"/>
      <c r="AQ207" s="2562"/>
      <c r="AR207" s="2562"/>
      <c r="AS207" s="2562"/>
      <c r="AT207" s="252">
        <f t="shared" si="79"/>
        <v>1</v>
      </c>
      <c r="AU207" s="252">
        <f t="shared" si="80"/>
        <v>0</v>
      </c>
      <c r="AV207" s="252">
        <f t="shared" si="81"/>
        <v>0</v>
      </c>
      <c r="AW207" s="252">
        <f t="shared" si="82"/>
        <v>0</v>
      </c>
      <c r="AX207" s="252">
        <f t="shared" si="83"/>
        <v>0</v>
      </c>
      <c r="AY207" s="252">
        <f t="shared" si="84"/>
        <v>0</v>
      </c>
      <c r="AZ207" s="252">
        <f t="shared" si="85"/>
        <v>0</v>
      </c>
      <c r="BA207" s="237"/>
      <c r="BB207" s="237"/>
      <c r="BC207" s="237"/>
      <c r="BD207" s="2562"/>
      <c r="BE207" s="252">
        <f t="shared" si="86"/>
        <v>0</v>
      </c>
      <c r="BF207" s="252">
        <f t="shared" si="87"/>
        <v>0</v>
      </c>
      <c r="BG207" s="2562"/>
      <c r="BH207" s="237"/>
      <c r="BI207" s="237"/>
      <c r="BJ207" s="252">
        <f t="shared" si="88"/>
        <v>0</v>
      </c>
      <c r="BK207" s="252">
        <f t="shared" si="89"/>
        <v>0</v>
      </c>
      <c r="BL207" s="252">
        <f t="shared" si="90"/>
        <v>0</v>
      </c>
      <c r="BM207" s="252">
        <f t="shared" si="91"/>
        <v>0</v>
      </c>
      <c r="BN207" s="252">
        <f t="shared" si="92"/>
        <v>0</v>
      </c>
      <c r="BO207" s="252">
        <f t="shared" si="93"/>
        <v>1</v>
      </c>
      <c r="BP207" s="2578"/>
      <c r="BQ207" s="2562"/>
      <c r="BR207" s="2562"/>
      <c r="BS207" s="2585"/>
      <c r="BT207" s="2585"/>
      <c r="BU207" s="2585"/>
    </row>
    <row r="208" spans="1:73" s="22" customFormat="1" ht="15.75" customHeight="1" outlineLevel="1">
      <c r="A208" s="2585"/>
      <c r="B208" s="44" t="s">
        <v>4810</v>
      </c>
      <c r="C208" s="45" t="s">
        <v>50</v>
      </c>
      <c r="D208" s="46" t="s">
        <v>4514</v>
      </c>
      <c r="E208" s="46" t="s">
        <v>4429</v>
      </c>
      <c r="F208" s="45" t="s">
        <v>4459</v>
      </c>
      <c r="G208" s="46" t="s">
        <v>4515</v>
      </c>
      <c r="H208" s="45" t="s">
        <v>4459</v>
      </c>
      <c r="I208" s="45" t="s">
        <v>4433</v>
      </c>
      <c r="J208" s="47" t="s">
        <v>4744</v>
      </c>
      <c r="K208" s="48">
        <v>100</v>
      </c>
      <c r="L208" s="47">
        <v>59588</v>
      </c>
      <c r="M208" s="1913">
        <v>39.891666666666666</v>
      </c>
      <c r="N208" s="48">
        <v>-15.66</v>
      </c>
      <c r="O208" s="49">
        <v>-15.66</v>
      </c>
      <c r="P208" s="49">
        <v>-15.66</v>
      </c>
      <c r="Q208" s="1884">
        <f t="shared" si="94"/>
        <v>-624.70349999999996</v>
      </c>
      <c r="R208" s="1885">
        <f t="shared" si="74"/>
        <v>-8.8270928649237357E-2</v>
      </c>
      <c r="S208" s="1885">
        <f t="shared" si="75"/>
        <v>-5.9847796741660075E-2</v>
      </c>
      <c r="T208" s="50" t="s">
        <v>4686</v>
      </c>
      <c r="U208" s="50">
        <v>3.2124E-2</v>
      </c>
      <c r="V208" s="50">
        <v>2.7659999999999998E-3</v>
      </c>
      <c r="W208" s="1885">
        <f t="shared" si="76"/>
        <v>3.4889999999999997E-2</v>
      </c>
      <c r="X208" s="1891">
        <f t="shared" si="77"/>
        <v>-0.54637740000000001</v>
      </c>
      <c r="Y208" s="1891">
        <f t="shared" si="78"/>
        <v>-0.54637740000000001</v>
      </c>
      <c r="Z208" s="50">
        <v>0</v>
      </c>
      <c r="AA208" s="50">
        <v>0</v>
      </c>
      <c r="AB208" s="48">
        <v>0</v>
      </c>
      <c r="AC208" s="48">
        <v>0</v>
      </c>
      <c r="AD208" s="48">
        <v>0</v>
      </c>
      <c r="AE208" s="45" t="s">
        <v>4517</v>
      </c>
      <c r="AF208" s="51" t="s">
        <v>4745</v>
      </c>
      <c r="AG208" s="42"/>
      <c r="AH208" s="52" t="s">
        <v>4811</v>
      </c>
      <c r="AI208" s="197"/>
      <c r="AJ208" s="2578"/>
      <c r="AK208" s="251"/>
      <c r="AL208" s="2578"/>
      <c r="AM208" s="2562"/>
      <c r="AN208" s="2562"/>
      <c r="AO208" s="2562"/>
      <c r="AP208" s="2562"/>
      <c r="AQ208" s="2562"/>
      <c r="AR208" s="2562"/>
      <c r="AS208" s="2562"/>
      <c r="AT208" s="252">
        <f t="shared" si="79"/>
        <v>1</v>
      </c>
      <c r="AU208" s="252">
        <f t="shared" si="80"/>
        <v>0</v>
      </c>
      <c r="AV208" s="252">
        <f t="shared" si="81"/>
        <v>0</v>
      </c>
      <c r="AW208" s="252">
        <f t="shared" si="82"/>
        <v>0</v>
      </c>
      <c r="AX208" s="252">
        <f t="shared" si="83"/>
        <v>0</v>
      </c>
      <c r="AY208" s="252">
        <f t="shared" si="84"/>
        <v>0</v>
      </c>
      <c r="AZ208" s="252">
        <f t="shared" si="85"/>
        <v>0</v>
      </c>
      <c r="BA208" s="237"/>
      <c r="BB208" s="237"/>
      <c r="BC208" s="237"/>
      <c r="BD208" s="2562"/>
      <c r="BE208" s="252">
        <f t="shared" si="86"/>
        <v>0</v>
      </c>
      <c r="BF208" s="252">
        <f t="shared" si="87"/>
        <v>0</v>
      </c>
      <c r="BG208" s="2562"/>
      <c r="BH208" s="237"/>
      <c r="BI208" s="237"/>
      <c r="BJ208" s="252">
        <f t="shared" si="88"/>
        <v>0</v>
      </c>
      <c r="BK208" s="252">
        <f t="shared" si="89"/>
        <v>0</v>
      </c>
      <c r="BL208" s="252">
        <f t="shared" si="90"/>
        <v>0</v>
      </c>
      <c r="BM208" s="252">
        <f t="shared" si="91"/>
        <v>0</v>
      </c>
      <c r="BN208" s="252">
        <f t="shared" si="92"/>
        <v>0</v>
      </c>
      <c r="BO208" s="252">
        <f t="shared" si="93"/>
        <v>1</v>
      </c>
      <c r="BP208" s="2578"/>
      <c r="BQ208" s="2562"/>
      <c r="BR208" s="2562"/>
      <c r="BS208" s="2585"/>
      <c r="BT208" s="2585"/>
      <c r="BU208" s="2585"/>
    </row>
    <row r="209" spans="1:73" s="22" customFormat="1" ht="15.75" customHeight="1" outlineLevel="1">
      <c r="A209" s="2585"/>
      <c r="B209" s="44" t="s">
        <v>4812</v>
      </c>
      <c r="C209" s="45" t="s">
        <v>50</v>
      </c>
      <c r="D209" s="46" t="s">
        <v>4514</v>
      </c>
      <c r="E209" s="46" t="s">
        <v>4429</v>
      </c>
      <c r="F209" s="45" t="s">
        <v>4459</v>
      </c>
      <c r="G209" s="46" t="s">
        <v>4515</v>
      </c>
      <c r="H209" s="45" t="s">
        <v>4459</v>
      </c>
      <c r="I209" s="45" t="s">
        <v>4433</v>
      </c>
      <c r="J209" s="47" t="s">
        <v>4744</v>
      </c>
      <c r="K209" s="48">
        <v>100</v>
      </c>
      <c r="L209" s="47">
        <v>52283</v>
      </c>
      <c r="M209" s="1913">
        <v>19.891666666666666</v>
      </c>
      <c r="N209" s="48">
        <v>-6.2695150000000002</v>
      </c>
      <c r="O209" s="49">
        <v>-6.27</v>
      </c>
      <c r="P209" s="49">
        <v>-6.27</v>
      </c>
      <c r="Q209" s="1884">
        <f t="shared" si="94"/>
        <v>-124.72074999999998</v>
      </c>
      <c r="R209" s="1885">
        <f t="shared" si="74"/>
        <v>-8.8270928649237357E-2</v>
      </c>
      <c r="S209" s="1885">
        <f t="shared" si="75"/>
        <v>-5.9847796741660075E-2</v>
      </c>
      <c r="T209" s="50" t="s">
        <v>4686</v>
      </c>
      <c r="U209" s="50">
        <v>3.2124E-2</v>
      </c>
      <c r="V209" s="50">
        <v>2.7659999999999998E-3</v>
      </c>
      <c r="W209" s="1885">
        <f t="shared" si="76"/>
        <v>3.4889999999999997E-2</v>
      </c>
      <c r="X209" s="1891">
        <f t="shared" si="77"/>
        <v>-0.21876029999999996</v>
      </c>
      <c r="Y209" s="1891">
        <f t="shared" si="78"/>
        <v>-0.21876029999999996</v>
      </c>
      <c r="Z209" s="50">
        <v>0</v>
      </c>
      <c r="AA209" s="50">
        <v>0</v>
      </c>
      <c r="AB209" s="48">
        <v>0</v>
      </c>
      <c r="AC209" s="48">
        <v>0</v>
      </c>
      <c r="AD209" s="48">
        <v>0</v>
      </c>
      <c r="AE209" s="45" t="s">
        <v>4517</v>
      </c>
      <c r="AF209" s="51" t="s">
        <v>4745</v>
      </c>
      <c r="AG209" s="42"/>
      <c r="AH209" s="52" t="s">
        <v>4813</v>
      </c>
      <c r="AI209" s="197"/>
      <c r="AJ209" s="2578"/>
      <c r="AK209" s="251"/>
      <c r="AL209" s="2578"/>
      <c r="AM209" s="2562"/>
      <c r="AN209" s="2562"/>
      <c r="AO209" s="2562"/>
      <c r="AP209" s="2562"/>
      <c r="AQ209" s="2562"/>
      <c r="AR209" s="2562"/>
      <c r="AS209" s="2562"/>
      <c r="AT209" s="252">
        <f t="shared" si="79"/>
        <v>1</v>
      </c>
      <c r="AU209" s="252">
        <f t="shared" si="80"/>
        <v>0</v>
      </c>
      <c r="AV209" s="252">
        <f t="shared" si="81"/>
        <v>0</v>
      </c>
      <c r="AW209" s="252">
        <f t="shared" si="82"/>
        <v>0</v>
      </c>
      <c r="AX209" s="252">
        <f t="shared" si="83"/>
        <v>0</v>
      </c>
      <c r="AY209" s="252">
        <f t="shared" si="84"/>
        <v>0</v>
      </c>
      <c r="AZ209" s="252">
        <f t="shared" si="85"/>
        <v>0</v>
      </c>
      <c r="BA209" s="237"/>
      <c r="BB209" s="237"/>
      <c r="BC209" s="237"/>
      <c r="BD209" s="2562"/>
      <c r="BE209" s="252">
        <f t="shared" si="86"/>
        <v>0</v>
      </c>
      <c r="BF209" s="252">
        <f t="shared" si="87"/>
        <v>0</v>
      </c>
      <c r="BG209" s="2562"/>
      <c r="BH209" s="237"/>
      <c r="BI209" s="237"/>
      <c r="BJ209" s="252">
        <f t="shared" si="88"/>
        <v>0</v>
      </c>
      <c r="BK209" s="252">
        <f t="shared" si="89"/>
        <v>0</v>
      </c>
      <c r="BL209" s="252">
        <f t="shared" si="90"/>
        <v>0</v>
      </c>
      <c r="BM209" s="252">
        <f t="shared" si="91"/>
        <v>0</v>
      </c>
      <c r="BN209" s="252">
        <f t="shared" si="92"/>
        <v>0</v>
      </c>
      <c r="BO209" s="252">
        <f t="shared" si="93"/>
        <v>1</v>
      </c>
      <c r="BP209" s="2578"/>
      <c r="BQ209" s="2562"/>
      <c r="BR209" s="2562"/>
      <c r="BS209" s="2585"/>
      <c r="BT209" s="2585"/>
      <c r="BU209" s="2585"/>
    </row>
    <row r="210" spans="1:73" s="22" customFormat="1" ht="15.75" customHeight="1" outlineLevel="1">
      <c r="A210" s="2585"/>
      <c r="B210" s="44" t="s">
        <v>4814</v>
      </c>
      <c r="C210" s="45" t="s">
        <v>50</v>
      </c>
      <c r="D210" s="46" t="s">
        <v>4514</v>
      </c>
      <c r="E210" s="46" t="s">
        <v>4429</v>
      </c>
      <c r="F210" s="45" t="s">
        <v>4459</v>
      </c>
      <c r="G210" s="46" t="s">
        <v>4515</v>
      </c>
      <c r="H210" s="45" t="s">
        <v>4459</v>
      </c>
      <c r="I210" s="45" t="s">
        <v>4433</v>
      </c>
      <c r="J210" s="47" t="s">
        <v>4744</v>
      </c>
      <c r="K210" s="48">
        <v>100</v>
      </c>
      <c r="L210" s="47">
        <v>54109</v>
      </c>
      <c r="M210" s="1913">
        <v>24.891666666666666</v>
      </c>
      <c r="N210" s="48">
        <v>-9.9689700000000006</v>
      </c>
      <c r="O210" s="49">
        <v>-9.9689999999999994</v>
      </c>
      <c r="P210" s="49">
        <v>-9.9689999999999994</v>
      </c>
      <c r="Q210" s="1884">
        <f t="shared" si="94"/>
        <v>-248.14502499999998</v>
      </c>
      <c r="R210" s="1885">
        <f t="shared" si="74"/>
        <v>-8.8270928649237357E-2</v>
      </c>
      <c r="S210" s="1885">
        <f t="shared" si="75"/>
        <v>-5.9847796741660075E-2</v>
      </c>
      <c r="T210" s="50" t="s">
        <v>4686</v>
      </c>
      <c r="U210" s="50">
        <v>3.2124E-2</v>
      </c>
      <c r="V210" s="50">
        <v>2.7659999999999998E-3</v>
      </c>
      <c r="W210" s="1885">
        <f t="shared" si="76"/>
        <v>3.4889999999999997E-2</v>
      </c>
      <c r="X210" s="1891">
        <f t="shared" si="77"/>
        <v>-0.34781840999999997</v>
      </c>
      <c r="Y210" s="1891">
        <f t="shared" si="78"/>
        <v>-0.34781840999999997</v>
      </c>
      <c r="Z210" s="50">
        <v>0</v>
      </c>
      <c r="AA210" s="50">
        <v>0</v>
      </c>
      <c r="AB210" s="48">
        <v>0</v>
      </c>
      <c r="AC210" s="48">
        <v>0</v>
      </c>
      <c r="AD210" s="48">
        <v>0</v>
      </c>
      <c r="AE210" s="45" t="s">
        <v>4517</v>
      </c>
      <c r="AF210" s="51" t="s">
        <v>4745</v>
      </c>
      <c r="AG210" s="42"/>
      <c r="AH210" s="52" t="s">
        <v>4815</v>
      </c>
      <c r="AI210" s="197"/>
      <c r="AJ210" s="2578"/>
      <c r="AK210" s="251"/>
      <c r="AL210" s="2578"/>
      <c r="AM210" s="2562"/>
      <c r="AN210" s="2562"/>
      <c r="AO210" s="2562"/>
      <c r="AP210" s="2562"/>
      <c r="AQ210" s="2562"/>
      <c r="AR210" s="2562"/>
      <c r="AS210" s="2562"/>
      <c r="AT210" s="252">
        <f t="shared" si="79"/>
        <v>1</v>
      </c>
      <c r="AU210" s="252">
        <f t="shared" si="80"/>
        <v>0</v>
      </c>
      <c r="AV210" s="252">
        <f t="shared" si="81"/>
        <v>0</v>
      </c>
      <c r="AW210" s="252">
        <f t="shared" si="82"/>
        <v>0</v>
      </c>
      <c r="AX210" s="252">
        <f t="shared" si="83"/>
        <v>0</v>
      </c>
      <c r="AY210" s="252">
        <f t="shared" si="84"/>
        <v>0</v>
      </c>
      <c r="AZ210" s="252">
        <f t="shared" si="85"/>
        <v>0</v>
      </c>
      <c r="BA210" s="237"/>
      <c r="BB210" s="237"/>
      <c r="BC210" s="237"/>
      <c r="BD210" s="2562"/>
      <c r="BE210" s="252">
        <f t="shared" si="86"/>
        <v>0</v>
      </c>
      <c r="BF210" s="252">
        <f t="shared" si="87"/>
        <v>0</v>
      </c>
      <c r="BG210" s="2562"/>
      <c r="BH210" s="237"/>
      <c r="BI210" s="237"/>
      <c r="BJ210" s="252">
        <f t="shared" si="88"/>
        <v>0</v>
      </c>
      <c r="BK210" s="252">
        <f t="shared" si="89"/>
        <v>0</v>
      </c>
      <c r="BL210" s="252">
        <f t="shared" si="90"/>
        <v>0</v>
      </c>
      <c r="BM210" s="252">
        <f t="shared" si="91"/>
        <v>0</v>
      </c>
      <c r="BN210" s="252">
        <f t="shared" si="92"/>
        <v>0</v>
      </c>
      <c r="BO210" s="252">
        <f t="shared" si="93"/>
        <v>1</v>
      </c>
      <c r="BP210" s="2578"/>
      <c r="BQ210" s="2562"/>
      <c r="BR210" s="2562"/>
      <c r="BS210" s="2585"/>
      <c r="BT210" s="2585"/>
      <c r="BU210" s="2585"/>
    </row>
    <row r="211" spans="1:73" s="22" customFormat="1" ht="15.75" customHeight="1" outlineLevel="1">
      <c r="A211" s="2585"/>
      <c r="B211" s="44" t="s">
        <v>4816</v>
      </c>
      <c r="C211" s="45" t="s">
        <v>50</v>
      </c>
      <c r="D211" s="46" t="s">
        <v>4514</v>
      </c>
      <c r="E211" s="46" t="s">
        <v>4429</v>
      </c>
      <c r="F211" s="45" t="s">
        <v>4459</v>
      </c>
      <c r="G211" s="46" t="s">
        <v>4515</v>
      </c>
      <c r="H211" s="45" t="s">
        <v>4459</v>
      </c>
      <c r="I211" s="45" t="s">
        <v>4433</v>
      </c>
      <c r="J211" s="47" t="s">
        <v>4744</v>
      </c>
      <c r="K211" s="48">
        <v>100</v>
      </c>
      <c r="L211" s="47">
        <v>57762</v>
      </c>
      <c r="M211" s="1913">
        <v>34.891666666666666</v>
      </c>
      <c r="N211" s="48">
        <v>-6.2695150000000002</v>
      </c>
      <c r="O211" s="49">
        <v>-6.27</v>
      </c>
      <c r="P211" s="49">
        <v>-6.27</v>
      </c>
      <c r="Q211" s="1884">
        <f t="shared" si="94"/>
        <v>-218.77074999999999</v>
      </c>
      <c r="R211" s="1885">
        <f t="shared" si="74"/>
        <v>-8.8270928649237357E-2</v>
      </c>
      <c r="S211" s="1885">
        <f t="shared" si="75"/>
        <v>-5.9847796741660075E-2</v>
      </c>
      <c r="T211" s="50" t="s">
        <v>4686</v>
      </c>
      <c r="U211" s="50">
        <v>3.2124E-2</v>
      </c>
      <c r="V211" s="50">
        <v>2.7659999999999998E-3</v>
      </c>
      <c r="W211" s="1885">
        <f t="shared" si="76"/>
        <v>3.4889999999999997E-2</v>
      </c>
      <c r="X211" s="1891">
        <f t="shared" si="77"/>
        <v>-0.21876029999999996</v>
      </c>
      <c r="Y211" s="1891">
        <f t="shared" si="78"/>
        <v>-0.21876029999999996</v>
      </c>
      <c r="Z211" s="50">
        <v>0</v>
      </c>
      <c r="AA211" s="50">
        <v>0</v>
      </c>
      <c r="AB211" s="48">
        <v>0</v>
      </c>
      <c r="AC211" s="48">
        <v>0</v>
      </c>
      <c r="AD211" s="48">
        <v>0</v>
      </c>
      <c r="AE211" s="45" t="s">
        <v>4517</v>
      </c>
      <c r="AF211" s="51" t="s">
        <v>4745</v>
      </c>
      <c r="AG211" s="42"/>
      <c r="AH211" s="52" t="s">
        <v>4817</v>
      </c>
      <c r="AI211" s="197"/>
      <c r="AJ211" s="2578"/>
      <c r="AK211" s="251"/>
      <c r="AL211" s="2578"/>
      <c r="AM211" s="2562"/>
      <c r="AN211" s="2562"/>
      <c r="AO211" s="2562"/>
      <c r="AP211" s="2562"/>
      <c r="AQ211" s="2562"/>
      <c r="AR211" s="2562"/>
      <c r="AS211" s="2562"/>
      <c r="AT211" s="252">
        <f t="shared" si="79"/>
        <v>1</v>
      </c>
      <c r="AU211" s="252">
        <f t="shared" si="80"/>
        <v>0</v>
      </c>
      <c r="AV211" s="252">
        <f t="shared" si="81"/>
        <v>0</v>
      </c>
      <c r="AW211" s="252">
        <f t="shared" si="82"/>
        <v>0</v>
      </c>
      <c r="AX211" s="252">
        <f t="shared" si="83"/>
        <v>0</v>
      </c>
      <c r="AY211" s="252">
        <f t="shared" si="84"/>
        <v>0</v>
      </c>
      <c r="AZ211" s="252">
        <f t="shared" si="85"/>
        <v>0</v>
      </c>
      <c r="BA211" s="237"/>
      <c r="BB211" s="237"/>
      <c r="BC211" s="237"/>
      <c r="BD211" s="2562"/>
      <c r="BE211" s="252">
        <f t="shared" si="86"/>
        <v>0</v>
      </c>
      <c r="BF211" s="252">
        <f t="shared" si="87"/>
        <v>0</v>
      </c>
      <c r="BG211" s="2562"/>
      <c r="BH211" s="237"/>
      <c r="BI211" s="237"/>
      <c r="BJ211" s="252">
        <f t="shared" si="88"/>
        <v>0</v>
      </c>
      <c r="BK211" s="252">
        <f t="shared" si="89"/>
        <v>0</v>
      </c>
      <c r="BL211" s="252">
        <f t="shared" si="90"/>
        <v>0</v>
      </c>
      <c r="BM211" s="252">
        <f t="shared" si="91"/>
        <v>0</v>
      </c>
      <c r="BN211" s="252">
        <f t="shared" si="92"/>
        <v>0</v>
      </c>
      <c r="BO211" s="252">
        <f t="shared" si="93"/>
        <v>1</v>
      </c>
      <c r="BP211" s="2578"/>
      <c r="BQ211" s="2562"/>
      <c r="BR211" s="2562"/>
      <c r="BS211" s="2585"/>
      <c r="BT211" s="2585"/>
      <c r="BU211" s="2585"/>
    </row>
    <row r="212" spans="1:73" s="22" customFormat="1" ht="15.75" customHeight="1">
      <c r="A212" s="2585"/>
      <c r="B212" s="44" t="s">
        <v>4818</v>
      </c>
      <c r="C212" s="45" t="s">
        <v>50</v>
      </c>
      <c r="D212" s="46" t="s">
        <v>4514</v>
      </c>
      <c r="E212" s="46" t="s">
        <v>4429</v>
      </c>
      <c r="F212" s="45" t="s">
        <v>4459</v>
      </c>
      <c r="G212" s="46" t="s">
        <v>4515</v>
      </c>
      <c r="H212" s="45" t="s">
        <v>4459</v>
      </c>
      <c r="I212" s="45" t="s">
        <v>4433</v>
      </c>
      <c r="J212" s="47" t="s">
        <v>4744</v>
      </c>
      <c r="K212" s="48">
        <v>100</v>
      </c>
      <c r="L212" s="47">
        <v>59588</v>
      </c>
      <c r="M212" s="1913">
        <v>39.891666666666666</v>
      </c>
      <c r="N212" s="48">
        <v>-3.7570250000000001</v>
      </c>
      <c r="O212" s="49">
        <v>-3.7570000000000001</v>
      </c>
      <c r="P212" s="49">
        <v>-3.7570000000000001</v>
      </c>
      <c r="Q212" s="1884">
        <f t="shared" si="94"/>
        <v>-149.87299166666668</v>
      </c>
      <c r="R212" s="1885">
        <f t="shared" si="74"/>
        <v>-8.8270928649237357E-2</v>
      </c>
      <c r="S212" s="1885">
        <f t="shared" si="75"/>
        <v>-5.9847796741660075E-2</v>
      </c>
      <c r="T212" s="50" t="s">
        <v>4686</v>
      </c>
      <c r="U212" s="50">
        <v>3.2124E-2</v>
      </c>
      <c r="V212" s="50">
        <v>2.7659999999999998E-3</v>
      </c>
      <c r="W212" s="1885">
        <f t="shared" si="76"/>
        <v>3.4889999999999997E-2</v>
      </c>
      <c r="X212" s="1891">
        <f t="shared" si="77"/>
        <v>-0.13108173000000001</v>
      </c>
      <c r="Y212" s="1891">
        <f t="shared" si="78"/>
        <v>-0.13108173000000001</v>
      </c>
      <c r="Z212" s="50">
        <v>0</v>
      </c>
      <c r="AA212" s="50">
        <v>0</v>
      </c>
      <c r="AB212" s="48">
        <v>0</v>
      </c>
      <c r="AC212" s="48">
        <v>0</v>
      </c>
      <c r="AD212" s="48">
        <v>0</v>
      </c>
      <c r="AE212" s="45" t="s">
        <v>4517</v>
      </c>
      <c r="AF212" s="51" t="s">
        <v>4745</v>
      </c>
      <c r="AG212" s="42"/>
      <c r="AH212" s="52" t="s">
        <v>4819</v>
      </c>
      <c r="AI212" s="197"/>
      <c r="AJ212" s="2578"/>
      <c r="AK212" s="251"/>
      <c r="AL212" s="2578"/>
      <c r="AM212" s="2562"/>
      <c r="AN212" s="2562"/>
      <c r="AO212" s="2562"/>
      <c r="AP212" s="2562"/>
      <c r="AQ212" s="2562"/>
      <c r="AR212" s="2562"/>
      <c r="AS212" s="2562"/>
      <c r="AT212" s="252">
        <f t="shared" si="79"/>
        <v>1</v>
      </c>
      <c r="AU212" s="252">
        <f t="shared" si="80"/>
        <v>0</v>
      </c>
      <c r="AV212" s="252">
        <f t="shared" si="81"/>
        <v>0</v>
      </c>
      <c r="AW212" s="252">
        <f t="shared" si="82"/>
        <v>0</v>
      </c>
      <c r="AX212" s="252">
        <f t="shared" si="83"/>
        <v>0</v>
      </c>
      <c r="AY212" s="252">
        <f t="shared" si="84"/>
        <v>0</v>
      </c>
      <c r="AZ212" s="252">
        <f t="shared" si="85"/>
        <v>0</v>
      </c>
      <c r="BA212" s="237"/>
      <c r="BB212" s="237"/>
      <c r="BC212" s="237"/>
      <c r="BD212" s="2562"/>
      <c r="BE212" s="252">
        <f t="shared" si="86"/>
        <v>0</v>
      </c>
      <c r="BF212" s="252">
        <f t="shared" si="87"/>
        <v>0</v>
      </c>
      <c r="BG212" s="2562"/>
      <c r="BH212" s="237"/>
      <c r="BI212" s="237"/>
      <c r="BJ212" s="252">
        <f t="shared" si="88"/>
        <v>0</v>
      </c>
      <c r="BK212" s="252">
        <f t="shared" si="89"/>
        <v>0</v>
      </c>
      <c r="BL212" s="252">
        <f t="shared" si="90"/>
        <v>0</v>
      </c>
      <c r="BM212" s="252">
        <f t="shared" si="91"/>
        <v>0</v>
      </c>
      <c r="BN212" s="252">
        <f t="shared" si="92"/>
        <v>0</v>
      </c>
      <c r="BO212" s="252">
        <f t="shared" si="93"/>
        <v>1</v>
      </c>
      <c r="BP212" s="2578"/>
      <c r="BQ212" s="2562"/>
      <c r="BR212" s="2562"/>
      <c r="BS212" s="2585"/>
      <c r="BT212" s="2585"/>
      <c r="BU212" s="2585"/>
    </row>
    <row r="213" spans="1:73" s="22" customFormat="1" ht="15.75" hidden="1" customHeight="1" outlineLevel="1">
      <c r="A213" s="2585"/>
      <c r="B213" s="44" t="s">
        <v>4820</v>
      </c>
      <c r="C213" s="45" t="s">
        <v>50</v>
      </c>
      <c r="D213" s="46" t="s">
        <v>4514</v>
      </c>
      <c r="E213" s="46" t="s">
        <v>4429</v>
      </c>
      <c r="F213" s="45" t="s">
        <v>4459</v>
      </c>
      <c r="G213" s="46" t="s">
        <v>4515</v>
      </c>
      <c r="H213" s="45" t="s">
        <v>4459</v>
      </c>
      <c r="I213" s="45" t="s">
        <v>4433</v>
      </c>
      <c r="J213" s="47" t="s">
        <v>4744</v>
      </c>
      <c r="K213" s="48">
        <v>100</v>
      </c>
      <c r="L213" s="47">
        <v>54109</v>
      </c>
      <c r="M213" s="1913">
        <v>24.891666666666666</v>
      </c>
      <c r="N213" s="48">
        <v>-6.4249999999999998</v>
      </c>
      <c r="O213" s="49">
        <v>-6.4249999999999998</v>
      </c>
      <c r="P213" s="49">
        <v>-6.4249999999999998</v>
      </c>
      <c r="Q213" s="1884">
        <f t="shared" si="94"/>
        <v>-159.92895833333333</v>
      </c>
      <c r="R213" s="1885">
        <f t="shared" si="74"/>
        <v>-8.8270928649237357E-2</v>
      </c>
      <c r="S213" s="1885">
        <f t="shared" si="75"/>
        <v>-5.9847796741660075E-2</v>
      </c>
      <c r="T213" s="50" t="s">
        <v>4686</v>
      </c>
      <c r="U213" s="50">
        <v>3.2124E-2</v>
      </c>
      <c r="V213" s="50">
        <v>2.7659999999999998E-3</v>
      </c>
      <c r="W213" s="1885">
        <f t="shared" si="76"/>
        <v>3.4889999999999997E-2</v>
      </c>
      <c r="X213" s="1891">
        <f t="shared" si="77"/>
        <v>-0.22416824999999999</v>
      </c>
      <c r="Y213" s="1891">
        <f t="shared" si="78"/>
        <v>-0.22416824999999999</v>
      </c>
      <c r="Z213" s="50">
        <v>0</v>
      </c>
      <c r="AA213" s="50">
        <v>0</v>
      </c>
      <c r="AB213" s="48">
        <v>0</v>
      </c>
      <c r="AC213" s="48">
        <v>0</v>
      </c>
      <c r="AD213" s="48">
        <v>0</v>
      </c>
      <c r="AE213" s="45" t="s">
        <v>4517</v>
      </c>
      <c r="AF213" s="51" t="s">
        <v>4745</v>
      </c>
      <c r="AG213" s="42"/>
      <c r="AH213" s="52" t="s">
        <v>4821</v>
      </c>
      <c r="AI213" s="197"/>
      <c r="AJ213" s="2578"/>
      <c r="AK213" s="251"/>
      <c r="AL213" s="2578"/>
      <c r="AM213" s="2562"/>
      <c r="AN213" s="2562"/>
      <c r="AO213" s="2562"/>
      <c r="AP213" s="2562"/>
      <c r="AQ213" s="2562"/>
      <c r="AR213" s="2562"/>
      <c r="AS213" s="2562"/>
      <c r="AT213" s="252">
        <f t="shared" si="79"/>
        <v>1</v>
      </c>
      <c r="AU213" s="252">
        <f t="shared" si="80"/>
        <v>0</v>
      </c>
      <c r="AV213" s="252">
        <f t="shared" si="81"/>
        <v>0</v>
      </c>
      <c r="AW213" s="252">
        <f t="shared" si="82"/>
        <v>0</v>
      </c>
      <c r="AX213" s="252">
        <f t="shared" si="83"/>
        <v>0</v>
      </c>
      <c r="AY213" s="252">
        <f t="shared" si="84"/>
        <v>0</v>
      </c>
      <c r="AZ213" s="252">
        <f t="shared" si="85"/>
        <v>0</v>
      </c>
      <c r="BA213" s="237"/>
      <c r="BB213" s="237"/>
      <c r="BC213" s="237"/>
      <c r="BD213" s="2562"/>
      <c r="BE213" s="252">
        <f t="shared" si="86"/>
        <v>0</v>
      </c>
      <c r="BF213" s="252">
        <f t="shared" si="87"/>
        <v>0</v>
      </c>
      <c r="BG213" s="2562"/>
      <c r="BH213" s="237"/>
      <c r="BI213" s="237"/>
      <c r="BJ213" s="252">
        <f t="shared" si="88"/>
        <v>0</v>
      </c>
      <c r="BK213" s="252">
        <f t="shared" si="89"/>
        <v>0</v>
      </c>
      <c r="BL213" s="252">
        <f t="shared" si="90"/>
        <v>0</v>
      </c>
      <c r="BM213" s="252">
        <f t="shared" si="91"/>
        <v>0</v>
      </c>
      <c r="BN213" s="252">
        <f t="shared" si="92"/>
        <v>0</v>
      </c>
      <c r="BO213" s="252">
        <f t="shared" si="93"/>
        <v>1</v>
      </c>
      <c r="BP213" s="2578"/>
      <c r="BQ213" s="2562"/>
      <c r="BR213" s="2562"/>
      <c r="BS213" s="2585"/>
      <c r="BT213" s="2585"/>
      <c r="BU213" s="2585"/>
    </row>
    <row r="214" spans="1:73" s="22" customFormat="1" ht="15.75" hidden="1" customHeight="1" outlineLevel="1">
      <c r="A214" s="2585"/>
      <c r="B214" s="44" t="s">
        <v>4822</v>
      </c>
      <c r="C214" s="45" t="s">
        <v>50</v>
      </c>
      <c r="D214" s="46" t="s">
        <v>4514</v>
      </c>
      <c r="E214" s="46" t="s">
        <v>4429</v>
      </c>
      <c r="F214" s="45" t="s">
        <v>4459</v>
      </c>
      <c r="G214" s="46" t="s">
        <v>4515</v>
      </c>
      <c r="H214" s="45" t="s">
        <v>4459</v>
      </c>
      <c r="I214" s="45" t="s">
        <v>4433</v>
      </c>
      <c r="J214" s="47" t="s">
        <v>4744</v>
      </c>
      <c r="K214" s="48">
        <v>100</v>
      </c>
      <c r="L214" s="47">
        <v>57762</v>
      </c>
      <c r="M214" s="1913">
        <v>34.891666666666666</v>
      </c>
      <c r="N214" s="48">
        <v>-10.124454999999999</v>
      </c>
      <c r="O214" s="49">
        <v>-10.124000000000001</v>
      </c>
      <c r="P214" s="49">
        <v>-10.124000000000001</v>
      </c>
      <c r="Q214" s="1884">
        <f t="shared" si="94"/>
        <v>-353.24323333333336</v>
      </c>
      <c r="R214" s="1885">
        <f t="shared" si="74"/>
        <v>-8.8270928649237357E-2</v>
      </c>
      <c r="S214" s="1885">
        <f t="shared" si="75"/>
        <v>-5.9847796741660075E-2</v>
      </c>
      <c r="T214" s="50" t="s">
        <v>4686</v>
      </c>
      <c r="U214" s="50">
        <v>3.2124E-2</v>
      </c>
      <c r="V214" s="50">
        <v>2.7659999999999998E-3</v>
      </c>
      <c r="W214" s="1885">
        <f t="shared" si="76"/>
        <v>3.4889999999999997E-2</v>
      </c>
      <c r="X214" s="1891">
        <f t="shared" si="77"/>
        <v>-0.35322636000000002</v>
      </c>
      <c r="Y214" s="1891">
        <f t="shared" si="78"/>
        <v>-0.35322636000000002</v>
      </c>
      <c r="Z214" s="50">
        <v>0</v>
      </c>
      <c r="AA214" s="50">
        <v>0</v>
      </c>
      <c r="AB214" s="48">
        <v>0</v>
      </c>
      <c r="AC214" s="48">
        <v>0</v>
      </c>
      <c r="AD214" s="48">
        <v>0</v>
      </c>
      <c r="AE214" s="45" t="s">
        <v>4517</v>
      </c>
      <c r="AF214" s="51" t="s">
        <v>4745</v>
      </c>
      <c r="AG214" s="42"/>
      <c r="AH214" s="52" t="s">
        <v>4823</v>
      </c>
      <c r="AI214" s="197"/>
      <c r="AJ214" s="2578"/>
      <c r="AK214" s="251"/>
      <c r="AL214" s="2578"/>
      <c r="AM214" s="2562"/>
      <c r="AN214" s="2562"/>
      <c r="AO214" s="2562"/>
      <c r="AP214" s="2562"/>
      <c r="AQ214" s="2562"/>
      <c r="AR214" s="2562"/>
      <c r="AS214" s="2562"/>
      <c r="AT214" s="252">
        <f t="shared" si="79"/>
        <v>1</v>
      </c>
      <c r="AU214" s="252">
        <f t="shared" si="80"/>
        <v>0</v>
      </c>
      <c r="AV214" s="252">
        <f t="shared" si="81"/>
        <v>0</v>
      </c>
      <c r="AW214" s="252">
        <f t="shared" si="82"/>
        <v>0</v>
      </c>
      <c r="AX214" s="252">
        <f t="shared" si="83"/>
        <v>0</v>
      </c>
      <c r="AY214" s="252">
        <f t="shared" si="84"/>
        <v>0</v>
      </c>
      <c r="AZ214" s="252">
        <f t="shared" si="85"/>
        <v>0</v>
      </c>
      <c r="BA214" s="237"/>
      <c r="BB214" s="237"/>
      <c r="BC214" s="237"/>
      <c r="BD214" s="2562"/>
      <c r="BE214" s="252">
        <f t="shared" si="86"/>
        <v>0</v>
      </c>
      <c r="BF214" s="252">
        <f t="shared" si="87"/>
        <v>0</v>
      </c>
      <c r="BG214" s="2562"/>
      <c r="BH214" s="237"/>
      <c r="BI214" s="237"/>
      <c r="BJ214" s="252">
        <f t="shared" si="88"/>
        <v>0</v>
      </c>
      <c r="BK214" s="252">
        <f t="shared" si="89"/>
        <v>0</v>
      </c>
      <c r="BL214" s="252">
        <f t="shared" si="90"/>
        <v>0</v>
      </c>
      <c r="BM214" s="252">
        <f t="shared" si="91"/>
        <v>0</v>
      </c>
      <c r="BN214" s="252">
        <f t="shared" si="92"/>
        <v>0</v>
      </c>
      <c r="BO214" s="252">
        <f t="shared" si="93"/>
        <v>1</v>
      </c>
      <c r="BP214" s="2578"/>
      <c r="BQ214" s="2562"/>
      <c r="BR214" s="2562"/>
      <c r="BS214" s="2585"/>
      <c r="BT214" s="2585"/>
      <c r="BU214" s="2585"/>
    </row>
    <row r="215" spans="1:73" s="22" customFormat="1" ht="15.75" hidden="1" customHeight="1" outlineLevel="1">
      <c r="A215" s="2585"/>
      <c r="B215" s="44" t="s">
        <v>4824</v>
      </c>
      <c r="C215" s="45" t="s">
        <v>50</v>
      </c>
      <c r="D215" s="46" t="s">
        <v>4514</v>
      </c>
      <c r="E215" s="46" t="s">
        <v>4429</v>
      </c>
      <c r="F215" s="45" t="s">
        <v>4459</v>
      </c>
      <c r="G215" s="46" t="s">
        <v>4515</v>
      </c>
      <c r="H215" s="45" t="s">
        <v>4459</v>
      </c>
      <c r="I215" s="45" t="s">
        <v>4433</v>
      </c>
      <c r="J215" s="47" t="s">
        <v>4744</v>
      </c>
      <c r="K215" s="48">
        <v>100</v>
      </c>
      <c r="L215" s="47">
        <v>59588</v>
      </c>
      <c r="M215" s="1913">
        <v>39.891666666666666</v>
      </c>
      <c r="N215" s="48">
        <v>-12.892094999999999</v>
      </c>
      <c r="O215" s="49">
        <v>-12.891999999999999</v>
      </c>
      <c r="P215" s="49">
        <v>-12.891999999999999</v>
      </c>
      <c r="Q215" s="1884">
        <f t="shared" si="94"/>
        <v>-514.28336666666667</v>
      </c>
      <c r="R215" s="1885">
        <f t="shared" si="74"/>
        <v>-8.8270928649237357E-2</v>
      </c>
      <c r="S215" s="1885">
        <f t="shared" si="75"/>
        <v>-5.9847796741660075E-2</v>
      </c>
      <c r="T215" s="50" t="s">
        <v>4686</v>
      </c>
      <c r="U215" s="50">
        <v>3.2124E-2</v>
      </c>
      <c r="V215" s="50">
        <v>2.7659999999999998E-3</v>
      </c>
      <c r="W215" s="1885">
        <f t="shared" si="76"/>
        <v>3.4889999999999997E-2</v>
      </c>
      <c r="X215" s="1891">
        <f t="shared" si="77"/>
        <v>-0.44980187999999993</v>
      </c>
      <c r="Y215" s="1891">
        <f t="shared" si="78"/>
        <v>-0.44980187999999993</v>
      </c>
      <c r="Z215" s="50">
        <v>0</v>
      </c>
      <c r="AA215" s="50">
        <v>0</v>
      </c>
      <c r="AB215" s="48">
        <v>0</v>
      </c>
      <c r="AC215" s="48">
        <v>0</v>
      </c>
      <c r="AD215" s="48">
        <v>0</v>
      </c>
      <c r="AE215" s="45" t="s">
        <v>4517</v>
      </c>
      <c r="AF215" s="51" t="s">
        <v>4745</v>
      </c>
      <c r="AG215" s="42"/>
      <c r="AH215" s="52" t="s">
        <v>4825</v>
      </c>
      <c r="AI215" s="197"/>
      <c r="AJ215" s="2578"/>
      <c r="AK215" s="251"/>
      <c r="AL215" s="2578"/>
      <c r="AM215" s="2562"/>
      <c r="AN215" s="2562"/>
      <c r="AO215" s="2562"/>
      <c r="AP215" s="2562"/>
      <c r="AQ215" s="2562"/>
      <c r="AR215" s="2562"/>
      <c r="AS215" s="2562"/>
      <c r="AT215" s="252">
        <f t="shared" si="79"/>
        <v>1</v>
      </c>
      <c r="AU215" s="252">
        <f t="shared" si="80"/>
        <v>0</v>
      </c>
      <c r="AV215" s="252">
        <f t="shared" si="81"/>
        <v>0</v>
      </c>
      <c r="AW215" s="252">
        <f t="shared" si="82"/>
        <v>0</v>
      </c>
      <c r="AX215" s="252">
        <f t="shared" si="83"/>
        <v>0</v>
      </c>
      <c r="AY215" s="252">
        <f t="shared" si="84"/>
        <v>0</v>
      </c>
      <c r="AZ215" s="252">
        <f t="shared" si="85"/>
        <v>0</v>
      </c>
      <c r="BA215" s="237"/>
      <c r="BB215" s="237"/>
      <c r="BC215" s="237"/>
      <c r="BD215" s="2562"/>
      <c r="BE215" s="252">
        <f t="shared" si="86"/>
        <v>0</v>
      </c>
      <c r="BF215" s="252">
        <f t="shared" si="87"/>
        <v>0</v>
      </c>
      <c r="BG215" s="2562"/>
      <c r="BH215" s="237"/>
      <c r="BI215" s="237"/>
      <c r="BJ215" s="252">
        <f t="shared" si="88"/>
        <v>0</v>
      </c>
      <c r="BK215" s="252">
        <f t="shared" si="89"/>
        <v>0</v>
      </c>
      <c r="BL215" s="252">
        <f t="shared" si="90"/>
        <v>0</v>
      </c>
      <c r="BM215" s="252">
        <f t="shared" si="91"/>
        <v>0</v>
      </c>
      <c r="BN215" s="252">
        <f t="shared" si="92"/>
        <v>0</v>
      </c>
      <c r="BO215" s="252">
        <f t="shared" si="93"/>
        <v>1</v>
      </c>
      <c r="BP215" s="2578"/>
      <c r="BQ215" s="2562"/>
      <c r="BR215" s="2562"/>
      <c r="BS215" s="2585"/>
      <c r="BT215" s="2585"/>
      <c r="BU215" s="2585"/>
    </row>
    <row r="216" spans="1:73" s="22" customFormat="1" ht="15.75" hidden="1" customHeight="1" outlineLevel="1">
      <c r="A216" s="2585"/>
      <c r="B216" s="44" t="s">
        <v>4826</v>
      </c>
      <c r="C216" s="45" t="s">
        <v>50</v>
      </c>
      <c r="D216" s="46" t="s">
        <v>4514</v>
      </c>
      <c r="E216" s="46" t="s">
        <v>4429</v>
      </c>
      <c r="F216" s="45" t="s">
        <v>4459</v>
      </c>
      <c r="G216" s="46" t="s">
        <v>4515</v>
      </c>
      <c r="H216" s="45" t="s">
        <v>4459</v>
      </c>
      <c r="I216" s="45" t="s">
        <v>4433</v>
      </c>
      <c r="J216" s="47" t="s">
        <v>4744</v>
      </c>
      <c r="K216" s="48">
        <v>100</v>
      </c>
      <c r="L216" s="47">
        <v>54109</v>
      </c>
      <c r="M216" s="1913">
        <v>24.891666666666666</v>
      </c>
      <c r="N216" s="48">
        <v>-225.51922999999999</v>
      </c>
      <c r="O216" s="49">
        <v>-225.51900000000001</v>
      </c>
      <c r="P216" s="49">
        <v>-225.51900000000001</v>
      </c>
      <c r="Q216" s="1884">
        <f t="shared" si="94"/>
        <v>-5613.5437750000001</v>
      </c>
      <c r="R216" s="1885">
        <f t="shared" si="74"/>
        <v>-8.8270928649237357E-2</v>
      </c>
      <c r="S216" s="1885">
        <f t="shared" si="75"/>
        <v>-5.9847796741660075E-2</v>
      </c>
      <c r="T216" s="50" t="s">
        <v>4686</v>
      </c>
      <c r="U216" s="50">
        <v>3.2124E-2</v>
      </c>
      <c r="V216" s="50">
        <v>2.7659999999999998E-3</v>
      </c>
      <c r="W216" s="1885">
        <f t="shared" si="76"/>
        <v>3.4889999999999997E-2</v>
      </c>
      <c r="X216" s="1891">
        <f t="shared" si="77"/>
        <v>-7.8683579099999994</v>
      </c>
      <c r="Y216" s="1891">
        <f t="shared" si="78"/>
        <v>-7.8683579099999994</v>
      </c>
      <c r="Z216" s="50">
        <v>0</v>
      </c>
      <c r="AA216" s="50">
        <v>0</v>
      </c>
      <c r="AB216" s="48">
        <v>0</v>
      </c>
      <c r="AC216" s="48">
        <v>0</v>
      </c>
      <c r="AD216" s="48">
        <v>0</v>
      </c>
      <c r="AE216" s="45" t="s">
        <v>4517</v>
      </c>
      <c r="AF216" s="51" t="s">
        <v>4745</v>
      </c>
      <c r="AG216" s="42"/>
      <c r="AH216" s="52" t="s">
        <v>4827</v>
      </c>
      <c r="AI216" s="197"/>
      <c r="AJ216" s="2578"/>
      <c r="AK216" s="251"/>
      <c r="AL216" s="2578"/>
      <c r="AM216" s="2562"/>
      <c r="AN216" s="2562"/>
      <c r="AO216" s="2562"/>
      <c r="AP216" s="2562"/>
      <c r="AQ216" s="2562"/>
      <c r="AR216" s="2562"/>
      <c r="AS216" s="2562"/>
      <c r="AT216" s="252">
        <f t="shared" si="79"/>
        <v>1</v>
      </c>
      <c r="AU216" s="252">
        <f t="shared" si="80"/>
        <v>0</v>
      </c>
      <c r="AV216" s="252">
        <f t="shared" si="81"/>
        <v>0</v>
      </c>
      <c r="AW216" s="252">
        <f t="shared" si="82"/>
        <v>0</v>
      </c>
      <c r="AX216" s="252">
        <f t="shared" si="83"/>
        <v>0</v>
      </c>
      <c r="AY216" s="252">
        <f t="shared" si="84"/>
        <v>0</v>
      </c>
      <c r="AZ216" s="252">
        <f t="shared" si="85"/>
        <v>0</v>
      </c>
      <c r="BA216" s="237"/>
      <c r="BB216" s="237"/>
      <c r="BC216" s="237"/>
      <c r="BD216" s="2562"/>
      <c r="BE216" s="252">
        <f t="shared" si="86"/>
        <v>0</v>
      </c>
      <c r="BF216" s="252">
        <f t="shared" si="87"/>
        <v>0</v>
      </c>
      <c r="BG216" s="2562"/>
      <c r="BH216" s="237"/>
      <c r="BI216" s="237"/>
      <c r="BJ216" s="252">
        <f t="shared" si="88"/>
        <v>0</v>
      </c>
      <c r="BK216" s="252">
        <f t="shared" si="89"/>
        <v>0</v>
      </c>
      <c r="BL216" s="252">
        <f t="shared" si="90"/>
        <v>0</v>
      </c>
      <c r="BM216" s="252">
        <f t="shared" si="91"/>
        <v>0</v>
      </c>
      <c r="BN216" s="252">
        <f t="shared" si="92"/>
        <v>0</v>
      </c>
      <c r="BO216" s="252">
        <f t="shared" si="93"/>
        <v>1</v>
      </c>
      <c r="BP216" s="2578"/>
      <c r="BQ216" s="2562"/>
      <c r="BR216" s="2562"/>
      <c r="BS216" s="2585"/>
      <c r="BT216" s="2585"/>
      <c r="BU216" s="2585"/>
    </row>
    <row r="217" spans="1:73" s="22" customFormat="1" ht="15.75" hidden="1" customHeight="1" outlineLevel="1">
      <c r="A217" s="2585"/>
      <c r="B217" s="44" t="s">
        <v>4828</v>
      </c>
      <c r="C217" s="45" t="s">
        <v>50</v>
      </c>
      <c r="D217" s="46" t="s">
        <v>4514</v>
      </c>
      <c r="E217" s="46" t="s">
        <v>4429</v>
      </c>
      <c r="F217" s="45" t="s">
        <v>4459</v>
      </c>
      <c r="G217" s="46" t="s">
        <v>4515</v>
      </c>
      <c r="H217" s="45" t="s">
        <v>4459</v>
      </c>
      <c r="I217" s="45" t="s">
        <v>4433</v>
      </c>
      <c r="J217" s="47" t="s">
        <v>4744</v>
      </c>
      <c r="K217" s="48">
        <v>100</v>
      </c>
      <c r="L217" s="47">
        <v>50457</v>
      </c>
      <c r="M217" s="1913">
        <v>14.891666666666667</v>
      </c>
      <c r="N217" s="48">
        <v>-15.524492</v>
      </c>
      <c r="O217" s="49">
        <v>-15.523999999999999</v>
      </c>
      <c r="P217" s="49">
        <v>-15.523999999999999</v>
      </c>
      <c r="Q217" s="1884">
        <f t="shared" si="94"/>
        <v>-231.17823333333334</v>
      </c>
      <c r="R217" s="1885">
        <f t="shared" si="74"/>
        <v>-8.8270928649237357E-2</v>
      </c>
      <c r="S217" s="1885">
        <f t="shared" si="75"/>
        <v>-5.9847796741660075E-2</v>
      </c>
      <c r="T217" s="50" t="s">
        <v>4686</v>
      </c>
      <c r="U217" s="50">
        <v>3.2124E-2</v>
      </c>
      <c r="V217" s="50">
        <v>2.7659999999999998E-3</v>
      </c>
      <c r="W217" s="1885">
        <f t="shared" si="76"/>
        <v>3.4889999999999997E-2</v>
      </c>
      <c r="X217" s="1891">
        <f t="shared" si="77"/>
        <v>-0.54163235999999992</v>
      </c>
      <c r="Y217" s="1891">
        <f t="shared" si="78"/>
        <v>-0.54163235999999992</v>
      </c>
      <c r="Z217" s="50">
        <v>0</v>
      </c>
      <c r="AA217" s="50">
        <v>0</v>
      </c>
      <c r="AB217" s="48">
        <v>0</v>
      </c>
      <c r="AC217" s="48">
        <v>0</v>
      </c>
      <c r="AD217" s="48">
        <v>0</v>
      </c>
      <c r="AE217" s="45" t="s">
        <v>4517</v>
      </c>
      <c r="AF217" s="51" t="s">
        <v>4829</v>
      </c>
      <c r="AG217" s="42"/>
      <c r="AH217" s="52" t="s">
        <v>4830</v>
      </c>
      <c r="AI217" s="197"/>
      <c r="AJ217" s="2578"/>
      <c r="AK217" s="251"/>
      <c r="AL217" s="2578"/>
      <c r="AM217" s="2562"/>
      <c r="AN217" s="2562"/>
      <c r="AO217" s="2562"/>
      <c r="AP217" s="2562"/>
      <c r="AQ217" s="2562"/>
      <c r="AR217" s="2562"/>
      <c r="AS217" s="2562"/>
      <c r="AT217" s="252">
        <f t="shared" si="79"/>
        <v>1</v>
      </c>
      <c r="AU217" s="252">
        <f t="shared" si="80"/>
        <v>0</v>
      </c>
      <c r="AV217" s="252">
        <f t="shared" si="81"/>
        <v>0</v>
      </c>
      <c r="AW217" s="252">
        <f t="shared" si="82"/>
        <v>0</v>
      </c>
      <c r="AX217" s="252">
        <f t="shared" si="83"/>
        <v>0</v>
      </c>
      <c r="AY217" s="252">
        <f t="shared" si="84"/>
        <v>0</v>
      </c>
      <c r="AZ217" s="252">
        <f t="shared" si="85"/>
        <v>0</v>
      </c>
      <c r="BA217" s="237"/>
      <c r="BB217" s="237"/>
      <c r="BC217" s="237"/>
      <c r="BD217" s="2562"/>
      <c r="BE217" s="252">
        <f t="shared" si="86"/>
        <v>0</v>
      </c>
      <c r="BF217" s="252">
        <f t="shared" si="87"/>
        <v>0</v>
      </c>
      <c r="BG217" s="2562"/>
      <c r="BH217" s="237"/>
      <c r="BI217" s="237"/>
      <c r="BJ217" s="252">
        <f t="shared" si="88"/>
        <v>0</v>
      </c>
      <c r="BK217" s="252">
        <f t="shared" si="89"/>
        <v>0</v>
      </c>
      <c r="BL217" s="252">
        <f t="shared" si="90"/>
        <v>0</v>
      </c>
      <c r="BM217" s="252">
        <f t="shared" si="91"/>
        <v>0</v>
      </c>
      <c r="BN217" s="252">
        <f t="shared" si="92"/>
        <v>0</v>
      </c>
      <c r="BO217" s="252">
        <f t="shared" si="93"/>
        <v>1</v>
      </c>
      <c r="BP217" s="2578"/>
      <c r="BQ217" s="2562"/>
      <c r="BR217" s="2562"/>
      <c r="BS217" s="2585"/>
      <c r="BT217" s="2585"/>
      <c r="BU217" s="2585"/>
    </row>
    <row r="218" spans="1:73" s="22" customFormat="1" ht="15.75" hidden="1" customHeight="1" outlineLevel="1">
      <c r="A218" s="2585"/>
      <c r="B218" s="44" t="s">
        <v>4831</v>
      </c>
      <c r="C218" s="45" t="s">
        <v>50</v>
      </c>
      <c r="D218" s="46" t="s">
        <v>4514</v>
      </c>
      <c r="E218" s="46" t="s">
        <v>4429</v>
      </c>
      <c r="F218" s="45" t="s">
        <v>4459</v>
      </c>
      <c r="G218" s="46" t="s">
        <v>4515</v>
      </c>
      <c r="H218" s="45" t="s">
        <v>4459</v>
      </c>
      <c r="I218" s="45" t="s">
        <v>4433</v>
      </c>
      <c r="J218" s="47" t="s">
        <v>4744</v>
      </c>
      <c r="K218" s="48">
        <v>100</v>
      </c>
      <c r="L218" s="47">
        <v>50457</v>
      </c>
      <c r="M218" s="1913">
        <v>14.891666666666667</v>
      </c>
      <c r="N218" s="48">
        <v>-1.9405615000000001</v>
      </c>
      <c r="O218" s="49">
        <v>-1.9410000000000001</v>
      </c>
      <c r="P218" s="49">
        <v>-1.9410000000000001</v>
      </c>
      <c r="Q218" s="1884">
        <f t="shared" si="94"/>
        <v>-28.904725000000003</v>
      </c>
      <c r="R218" s="1885">
        <f t="shared" si="74"/>
        <v>-8.8270928649237357E-2</v>
      </c>
      <c r="S218" s="1885">
        <f t="shared" si="75"/>
        <v>-5.9847796741660075E-2</v>
      </c>
      <c r="T218" s="50" t="s">
        <v>4686</v>
      </c>
      <c r="U218" s="50">
        <v>3.2124E-2</v>
      </c>
      <c r="V218" s="50">
        <v>2.7659999999999998E-3</v>
      </c>
      <c r="W218" s="1885">
        <f t="shared" si="76"/>
        <v>3.4889999999999997E-2</v>
      </c>
      <c r="X218" s="1891">
        <f t="shared" si="77"/>
        <v>-6.7721489999999995E-2</v>
      </c>
      <c r="Y218" s="1891">
        <f t="shared" si="78"/>
        <v>-6.7721489999999995E-2</v>
      </c>
      <c r="Z218" s="50">
        <v>0</v>
      </c>
      <c r="AA218" s="50">
        <v>0</v>
      </c>
      <c r="AB218" s="48">
        <v>0</v>
      </c>
      <c r="AC218" s="48">
        <v>0</v>
      </c>
      <c r="AD218" s="48">
        <v>0</v>
      </c>
      <c r="AE218" s="45" t="s">
        <v>4517</v>
      </c>
      <c r="AF218" s="51" t="s">
        <v>4829</v>
      </c>
      <c r="AG218" s="42"/>
      <c r="AH218" s="52" t="s">
        <v>4832</v>
      </c>
      <c r="AI218" s="197"/>
      <c r="AJ218" s="2578"/>
      <c r="AK218" s="251"/>
      <c r="AL218" s="2578"/>
      <c r="AM218" s="2562"/>
      <c r="AN218" s="2562"/>
      <c r="AO218" s="2562"/>
      <c r="AP218" s="2562"/>
      <c r="AQ218" s="2562"/>
      <c r="AR218" s="2562"/>
      <c r="AS218" s="2562"/>
      <c r="AT218" s="252">
        <f t="shared" si="79"/>
        <v>1</v>
      </c>
      <c r="AU218" s="252">
        <f t="shared" si="80"/>
        <v>0</v>
      </c>
      <c r="AV218" s="252">
        <f t="shared" si="81"/>
        <v>0</v>
      </c>
      <c r="AW218" s="252">
        <f t="shared" si="82"/>
        <v>0</v>
      </c>
      <c r="AX218" s="252">
        <f t="shared" si="83"/>
        <v>0</v>
      </c>
      <c r="AY218" s="252">
        <f t="shared" si="84"/>
        <v>0</v>
      </c>
      <c r="AZ218" s="252">
        <f t="shared" si="85"/>
        <v>0</v>
      </c>
      <c r="BA218" s="237"/>
      <c r="BB218" s="237"/>
      <c r="BC218" s="237"/>
      <c r="BD218" s="2562"/>
      <c r="BE218" s="252">
        <f t="shared" si="86"/>
        <v>0</v>
      </c>
      <c r="BF218" s="252">
        <f t="shared" si="87"/>
        <v>0</v>
      </c>
      <c r="BG218" s="2562"/>
      <c r="BH218" s="237"/>
      <c r="BI218" s="237"/>
      <c r="BJ218" s="252">
        <f t="shared" si="88"/>
        <v>0</v>
      </c>
      <c r="BK218" s="252">
        <f t="shared" si="89"/>
        <v>0</v>
      </c>
      <c r="BL218" s="252">
        <f t="shared" si="90"/>
        <v>0</v>
      </c>
      <c r="BM218" s="252">
        <f t="shared" si="91"/>
        <v>0</v>
      </c>
      <c r="BN218" s="252">
        <f t="shared" si="92"/>
        <v>0</v>
      </c>
      <c r="BO218" s="252">
        <f t="shared" si="93"/>
        <v>1</v>
      </c>
      <c r="BP218" s="2578"/>
      <c r="BQ218" s="2562"/>
      <c r="BR218" s="2562"/>
      <c r="BS218" s="2585"/>
      <c r="BT218" s="2585"/>
      <c r="BU218" s="2585"/>
    </row>
    <row r="219" spans="1:73" s="22" customFormat="1" ht="15.75" hidden="1" customHeight="1" outlineLevel="1">
      <c r="A219" s="2585"/>
      <c r="B219" s="44" t="s">
        <v>4833</v>
      </c>
      <c r="C219" s="45" t="s">
        <v>50</v>
      </c>
      <c r="D219" s="46" t="s">
        <v>4514</v>
      </c>
      <c r="E219" s="46" t="s">
        <v>4429</v>
      </c>
      <c r="F219" s="45" t="s">
        <v>4459</v>
      </c>
      <c r="G219" s="46" t="s">
        <v>4515</v>
      </c>
      <c r="H219" s="45" t="s">
        <v>4459</v>
      </c>
      <c r="I219" s="45" t="s">
        <v>4433</v>
      </c>
      <c r="J219" s="47" t="s">
        <v>4744</v>
      </c>
      <c r="K219" s="48">
        <v>100</v>
      </c>
      <c r="L219" s="47">
        <v>50457</v>
      </c>
      <c r="M219" s="1913">
        <v>14.891666666666667</v>
      </c>
      <c r="N219" s="48">
        <v>-1.9405615000000001</v>
      </c>
      <c r="O219" s="49">
        <v>-1.9410000000000001</v>
      </c>
      <c r="P219" s="49">
        <v>-1.9410000000000001</v>
      </c>
      <c r="Q219" s="1884">
        <f t="shared" si="94"/>
        <v>-28.904725000000003</v>
      </c>
      <c r="R219" s="1885">
        <f t="shared" si="74"/>
        <v>-8.8270928649237357E-2</v>
      </c>
      <c r="S219" s="1885">
        <f t="shared" si="75"/>
        <v>-5.9847796741660075E-2</v>
      </c>
      <c r="T219" s="50" t="s">
        <v>4686</v>
      </c>
      <c r="U219" s="50">
        <v>3.2124E-2</v>
      </c>
      <c r="V219" s="50">
        <v>2.7659999999999998E-3</v>
      </c>
      <c r="W219" s="1885">
        <f t="shared" si="76"/>
        <v>3.4889999999999997E-2</v>
      </c>
      <c r="X219" s="1891">
        <f t="shared" si="77"/>
        <v>-6.7721489999999995E-2</v>
      </c>
      <c r="Y219" s="1891">
        <f t="shared" si="78"/>
        <v>-6.7721489999999995E-2</v>
      </c>
      <c r="Z219" s="50">
        <v>0</v>
      </c>
      <c r="AA219" s="50">
        <v>0</v>
      </c>
      <c r="AB219" s="48">
        <v>0</v>
      </c>
      <c r="AC219" s="48">
        <v>0</v>
      </c>
      <c r="AD219" s="48">
        <v>0</v>
      </c>
      <c r="AE219" s="45" t="s">
        <v>4517</v>
      </c>
      <c r="AF219" s="51" t="s">
        <v>4829</v>
      </c>
      <c r="AG219" s="42"/>
      <c r="AH219" s="52" t="s">
        <v>4834</v>
      </c>
      <c r="AI219" s="197"/>
      <c r="AJ219" s="2578"/>
      <c r="AK219" s="251"/>
      <c r="AL219" s="2578"/>
      <c r="AM219" s="2562"/>
      <c r="AN219" s="2562"/>
      <c r="AO219" s="2562"/>
      <c r="AP219" s="2562"/>
      <c r="AQ219" s="2562"/>
      <c r="AR219" s="2562"/>
      <c r="AS219" s="2562"/>
      <c r="AT219" s="252">
        <f t="shared" si="79"/>
        <v>1</v>
      </c>
      <c r="AU219" s="252">
        <f t="shared" si="80"/>
        <v>0</v>
      </c>
      <c r="AV219" s="252">
        <f t="shared" si="81"/>
        <v>0</v>
      </c>
      <c r="AW219" s="252">
        <f t="shared" si="82"/>
        <v>0</v>
      </c>
      <c r="AX219" s="252">
        <f t="shared" si="83"/>
        <v>0</v>
      </c>
      <c r="AY219" s="252">
        <f t="shared" si="84"/>
        <v>0</v>
      </c>
      <c r="AZ219" s="252">
        <f t="shared" si="85"/>
        <v>0</v>
      </c>
      <c r="BA219" s="237"/>
      <c r="BB219" s="237"/>
      <c r="BC219" s="237"/>
      <c r="BD219" s="2562"/>
      <c r="BE219" s="252">
        <f t="shared" si="86"/>
        <v>0</v>
      </c>
      <c r="BF219" s="252">
        <f t="shared" si="87"/>
        <v>0</v>
      </c>
      <c r="BG219" s="2562"/>
      <c r="BH219" s="237"/>
      <c r="BI219" s="237"/>
      <c r="BJ219" s="252">
        <f t="shared" si="88"/>
        <v>0</v>
      </c>
      <c r="BK219" s="252">
        <f t="shared" si="89"/>
        <v>0</v>
      </c>
      <c r="BL219" s="252">
        <f t="shared" si="90"/>
        <v>0</v>
      </c>
      <c r="BM219" s="252">
        <f t="shared" si="91"/>
        <v>0</v>
      </c>
      <c r="BN219" s="252">
        <f t="shared" si="92"/>
        <v>0</v>
      </c>
      <c r="BO219" s="252">
        <f t="shared" si="93"/>
        <v>1</v>
      </c>
      <c r="BP219" s="2578"/>
      <c r="BQ219" s="2562"/>
      <c r="BR219" s="2562"/>
      <c r="BS219" s="2585"/>
      <c r="BT219" s="2585"/>
      <c r="BU219" s="2585"/>
    </row>
    <row r="220" spans="1:73" s="22" customFormat="1" ht="15.75" hidden="1" customHeight="1" outlineLevel="1">
      <c r="A220" s="2585"/>
      <c r="B220" s="44" t="s">
        <v>4835</v>
      </c>
      <c r="C220" s="45" t="s">
        <v>50</v>
      </c>
      <c r="D220" s="46" t="s">
        <v>4514</v>
      </c>
      <c r="E220" s="46" t="s">
        <v>4429</v>
      </c>
      <c r="F220" s="45" t="s">
        <v>4459</v>
      </c>
      <c r="G220" s="46" t="s">
        <v>4515</v>
      </c>
      <c r="H220" s="45" t="s">
        <v>4459</v>
      </c>
      <c r="I220" s="45" t="s">
        <v>4433</v>
      </c>
      <c r="J220" s="47" t="s">
        <v>4744</v>
      </c>
      <c r="K220" s="48">
        <v>100</v>
      </c>
      <c r="L220" s="47">
        <v>52283</v>
      </c>
      <c r="M220" s="1913">
        <v>19.891666666666666</v>
      </c>
      <c r="N220" s="48">
        <v>-25.075273599999999</v>
      </c>
      <c r="O220" s="49">
        <v>-25.074999999999999</v>
      </c>
      <c r="P220" s="49">
        <v>-25.074999999999999</v>
      </c>
      <c r="Q220" s="1884">
        <f t="shared" si="94"/>
        <v>-498.78354166666662</v>
      </c>
      <c r="R220" s="1885">
        <f t="shared" si="74"/>
        <v>-8.8270928649237357E-2</v>
      </c>
      <c r="S220" s="1885">
        <f t="shared" si="75"/>
        <v>-5.9847796741660075E-2</v>
      </c>
      <c r="T220" s="50" t="s">
        <v>4686</v>
      </c>
      <c r="U220" s="50">
        <v>3.2124E-2</v>
      </c>
      <c r="V220" s="50">
        <v>2.7659999999999998E-3</v>
      </c>
      <c r="W220" s="1885">
        <f t="shared" si="76"/>
        <v>3.4889999999999997E-2</v>
      </c>
      <c r="X220" s="1891">
        <f t="shared" si="77"/>
        <v>-0.87486674999999992</v>
      </c>
      <c r="Y220" s="1891">
        <f t="shared" si="78"/>
        <v>-0.87486674999999992</v>
      </c>
      <c r="Z220" s="50">
        <v>0</v>
      </c>
      <c r="AA220" s="50">
        <v>0</v>
      </c>
      <c r="AB220" s="48">
        <v>0</v>
      </c>
      <c r="AC220" s="48">
        <v>0</v>
      </c>
      <c r="AD220" s="48">
        <v>0</v>
      </c>
      <c r="AE220" s="45" t="s">
        <v>4517</v>
      </c>
      <c r="AF220" s="51" t="s">
        <v>4829</v>
      </c>
      <c r="AG220" s="42"/>
      <c r="AH220" s="52" t="s">
        <v>4836</v>
      </c>
      <c r="AI220" s="197"/>
      <c r="AJ220" s="2578"/>
      <c r="AK220" s="251"/>
      <c r="AL220" s="2578"/>
      <c r="AM220" s="2562"/>
      <c r="AN220" s="2562"/>
      <c r="AO220" s="2562"/>
      <c r="AP220" s="2562"/>
      <c r="AQ220" s="2562"/>
      <c r="AR220" s="2562"/>
      <c r="AS220" s="2562"/>
      <c r="AT220" s="252">
        <f t="shared" si="79"/>
        <v>1</v>
      </c>
      <c r="AU220" s="252">
        <f t="shared" si="80"/>
        <v>0</v>
      </c>
      <c r="AV220" s="252">
        <f t="shared" si="81"/>
        <v>0</v>
      </c>
      <c r="AW220" s="252">
        <f t="shared" si="82"/>
        <v>0</v>
      </c>
      <c r="AX220" s="252">
        <f t="shared" si="83"/>
        <v>0</v>
      </c>
      <c r="AY220" s="252">
        <f t="shared" si="84"/>
        <v>0</v>
      </c>
      <c r="AZ220" s="252">
        <f t="shared" si="85"/>
        <v>0</v>
      </c>
      <c r="BA220" s="237"/>
      <c r="BB220" s="237"/>
      <c r="BC220" s="237"/>
      <c r="BD220" s="2562"/>
      <c r="BE220" s="252">
        <f t="shared" si="86"/>
        <v>0</v>
      </c>
      <c r="BF220" s="252">
        <f t="shared" si="87"/>
        <v>0</v>
      </c>
      <c r="BG220" s="2562"/>
      <c r="BH220" s="237"/>
      <c r="BI220" s="237"/>
      <c r="BJ220" s="252">
        <f t="shared" si="88"/>
        <v>0</v>
      </c>
      <c r="BK220" s="252">
        <f t="shared" si="89"/>
        <v>0</v>
      </c>
      <c r="BL220" s="252">
        <f t="shared" si="90"/>
        <v>0</v>
      </c>
      <c r="BM220" s="252">
        <f t="shared" si="91"/>
        <v>0</v>
      </c>
      <c r="BN220" s="252">
        <f t="shared" si="92"/>
        <v>0</v>
      </c>
      <c r="BO220" s="252">
        <f t="shared" si="93"/>
        <v>1</v>
      </c>
      <c r="BP220" s="2578"/>
      <c r="BQ220" s="2562"/>
      <c r="BR220" s="2562"/>
      <c r="BS220" s="2585"/>
      <c r="BT220" s="2585"/>
      <c r="BU220" s="2585"/>
    </row>
    <row r="221" spans="1:73" s="22" customFormat="1" ht="15.75" hidden="1" customHeight="1" outlineLevel="1">
      <c r="A221" s="2585"/>
      <c r="B221" s="44" t="s">
        <v>4837</v>
      </c>
      <c r="C221" s="45" t="s">
        <v>50</v>
      </c>
      <c r="D221" s="46" t="s">
        <v>4514</v>
      </c>
      <c r="E221" s="46" t="s">
        <v>4429</v>
      </c>
      <c r="F221" s="45" t="s">
        <v>4459</v>
      </c>
      <c r="G221" s="46" t="s">
        <v>4515</v>
      </c>
      <c r="H221" s="45" t="s">
        <v>4459</v>
      </c>
      <c r="I221" s="45" t="s">
        <v>4433</v>
      </c>
      <c r="J221" s="47" t="s">
        <v>4744</v>
      </c>
      <c r="K221" s="48">
        <v>100</v>
      </c>
      <c r="L221" s="47">
        <v>52283</v>
      </c>
      <c r="M221" s="1913">
        <v>19.891666666666666</v>
      </c>
      <c r="N221" s="48">
        <v>-3.1344091999999999</v>
      </c>
      <c r="O221" s="49">
        <v>-3.1339999999999999</v>
      </c>
      <c r="P221" s="49">
        <v>-3.1339999999999999</v>
      </c>
      <c r="Q221" s="1884">
        <f t="shared" si="94"/>
        <v>-62.340483333333331</v>
      </c>
      <c r="R221" s="1885">
        <f t="shared" si="74"/>
        <v>-8.8270928649237357E-2</v>
      </c>
      <c r="S221" s="1885">
        <f t="shared" si="75"/>
        <v>-5.9847796741660075E-2</v>
      </c>
      <c r="T221" s="50" t="s">
        <v>4686</v>
      </c>
      <c r="U221" s="50">
        <v>3.2124E-2</v>
      </c>
      <c r="V221" s="50">
        <v>2.7659999999999998E-3</v>
      </c>
      <c r="W221" s="1885">
        <f t="shared" si="76"/>
        <v>3.4889999999999997E-2</v>
      </c>
      <c r="X221" s="1891">
        <f t="shared" si="77"/>
        <v>-0.10934525999999999</v>
      </c>
      <c r="Y221" s="1891">
        <f t="shared" si="78"/>
        <v>-0.10934525999999999</v>
      </c>
      <c r="Z221" s="50">
        <v>0</v>
      </c>
      <c r="AA221" s="50">
        <v>0</v>
      </c>
      <c r="AB221" s="48">
        <v>0</v>
      </c>
      <c r="AC221" s="48">
        <v>0</v>
      </c>
      <c r="AD221" s="48">
        <v>0</v>
      </c>
      <c r="AE221" s="45" t="s">
        <v>4517</v>
      </c>
      <c r="AF221" s="51" t="s">
        <v>4829</v>
      </c>
      <c r="AG221" s="42"/>
      <c r="AH221" s="52" t="s">
        <v>4838</v>
      </c>
      <c r="AI221" s="197"/>
      <c r="AJ221" s="2578"/>
      <c r="AK221" s="251"/>
      <c r="AL221" s="2578"/>
      <c r="AM221" s="2562"/>
      <c r="AN221" s="2562"/>
      <c r="AO221" s="2562"/>
      <c r="AP221" s="2562"/>
      <c r="AQ221" s="2562"/>
      <c r="AR221" s="2562"/>
      <c r="AS221" s="2562"/>
      <c r="AT221" s="252">
        <f t="shared" si="79"/>
        <v>1</v>
      </c>
      <c r="AU221" s="252">
        <f t="shared" si="80"/>
        <v>0</v>
      </c>
      <c r="AV221" s="252">
        <f t="shared" si="81"/>
        <v>0</v>
      </c>
      <c r="AW221" s="252">
        <f t="shared" si="82"/>
        <v>0</v>
      </c>
      <c r="AX221" s="252">
        <f t="shared" si="83"/>
        <v>0</v>
      </c>
      <c r="AY221" s="252">
        <f t="shared" si="84"/>
        <v>0</v>
      </c>
      <c r="AZ221" s="252">
        <f t="shared" si="85"/>
        <v>0</v>
      </c>
      <c r="BA221" s="237"/>
      <c r="BB221" s="237"/>
      <c r="BC221" s="237"/>
      <c r="BD221" s="2562"/>
      <c r="BE221" s="252">
        <f t="shared" si="86"/>
        <v>0</v>
      </c>
      <c r="BF221" s="252">
        <f t="shared" si="87"/>
        <v>0</v>
      </c>
      <c r="BG221" s="2562"/>
      <c r="BH221" s="237"/>
      <c r="BI221" s="237"/>
      <c r="BJ221" s="252">
        <f t="shared" si="88"/>
        <v>0</v>
      </c>
      <c r="BK221" s="252">
        <f t="shared" si="89"/>
        <v>0</v>
      </c>
      <c r="BL221" s="252">
        <f t="shared" si="90"/>
        <v>0</v>
      </c>
      <c r="BM221" s="252">
        <f t="shared" si="91"/>
        <v>0</v>
      </c>
      <c r="BN221" s="252">
        <f t="shared" si="92"/>
        <v>0</v>
      </c>
      <c r="BO221" s="252">
        <f t="shared" si="93"/>
        <v>1</v>
      </c>
      <c r="BP221" s="2578"/>
      <c r="BQ221" s="2562"/>
      <c r="BR221" s="2562"/>
      <c r="BS221" s="2585"/>
      <c r="BT221" s="2585"/>
      <c r="BU221" s="2585"/>
    </row>
    <row r="222" spans="1:73" s="22" customFormat="1" ht="15.75" hidden="1" customHeight="1" outlineLevel="1">
      <c r="A222" s="2585"/>
      <c r="B222" s="44" t="s">
        <v>4839</v>
      </c>
      <c r="C222" s="45" t="s">
        <v>50</v>
      </c>
      <c r="D222" s="46" t="s">
        <v>4514</v>
      </c>
      <c r="E222" s="46" t="s">
        <v>4429</v>
      </c>
      <c r="F222" s="45" t="s">
        <v>4459</v>
      </c>
      <c r="G222" s="46" t="s">
        <v>4515</v>
      </c>
      <c r="H222" s="45" t="s">
        <v>4459</v>
      </c>
      <c r="I222" s="45" t="s">
        <v>4433</v>
      </c>
      <c r="J222" s="47" t="s">
        <v>4744</v>
      </c>
      <c r="K222" s="48">
        <v>100</v>
      </c>
      <c r="L222" s="47">
        <v>52283</v>
      </c>
      <c r="M222" s="1913">
        <v>19.891666666666666</v>
      </c>
      <c r="N222" s="48">
        <v>-3.1344091999999999</v>
      </c>
      <c r="O222" s="49">
        <v>-3.1339999999999999</v>
      </c>
      <c r="P222" s="49">
        <v>-3.1339999999999999</v>
      </c>
      <c r="Q222" s="1884">
        <f t="shared" si="94"/>
        <v>-62.340483333333331</v>
      </c>
      <c r="R222" s="1885">
        <f t="shared" si="74"/>
        <v>-8.8270928649237357E-2</v>
      </c>
      <c r="S222" s="1885">
        <f t="shared" si="75"/>
        <v>-5.9847796741660075E-2</v>
      </c>
      <c r="T222" s="50" t="s">
        <v>4686</v>
      </c>
      <c r="U222" s="50">
        <v>3.2124E-2</v>
      </c>
      <c r="V222" s="50">
        <v>2.7659999999999998E-3</v>
      </c>
      <c r="W222" s="1885">
        <f t="shared" si="76"/>
        <v>3.4889999999999997E-2</v>
      </c>
      <c r="X222" s="1891">
        <f t="shared" si="77"/>
        <v>-0.10934525999999999</v>
      </c>
      <c r="Y222" s="1891">
        <f t="shared" si="78"/>
        <v>-0.10934525999999999</v>
      </c>
      <c r="Z222" s="50">
        <v>0</v>
      </c>
      <c r="AA222" s="50">
        <v>0</v>
      </c>
      <c r="AB222" s="48">
        <v>0</v>
      </c>
      <c r="AC222" s="48">
        <v>0</v>
      </c>
      <c r="AD222" s="48">
        <v>0</v>
      </c>
      <c r="AE222" s="45" t="s">
        <v>4517</v>
      </c>
      <c r="AF222" s="51" t="s">
        <v>4829</v>
      </c>
      <c r="AG222" s="42"/>
      <c r="AH222" s="52" t="s">
        <v>4840</v>
      </c>
      <c r="AI222" s="197"/>
      <c r="AJ222" s="2578"/>
      <c r="AK222" s="251"/>
      <c r="AL222" s="2578"/>
      <c r="AM222" s="2562"/>
      <c r="AN222" s="2562"/>
      <c r="AO222" s="2562"/>
      <c r="AP222" s="2562"/>
      <c r="AQ222" s="2562"/>
      <c r="AR222" s="2562"/>
      <c r="AS222" s="2562"/>
      <c r="AT222" s="252">
        <f t="shared" si="79"/>
        <v>1</v>
      </c>
      <c r="AU222" s="252">
        <f t="shared" si="80"/>
        <v>0</v>
      </c>
      <c r="AV222" s="252">
        <f t="shared" si="81"/>
        <v>0</v>
      </c>
      <c r="AW222" s="252">
        <f t="shared" si="82"/>
        <v>0</v>
      </c>
      <c r="AX222" s="252">
        <f t="shared" si="83"/>
        <v>0</v>
      </c>
      <c r="AY222" s="252">
        <f t="shared" si="84"/>
        <v>0</v>
      </c>
      <c r="AZ222" s="252">
        <f t="shared" si="85"/>
        <v>0</v>
      </c>
      <c r="BA222" s="237"/>
      <c r="BB222" s="237"/>
      <c r="BC222" s="237"/>
      <c r="BD222" s="2562"/>
      <c r="BE222" s="252">
        <f t="shared" si="86"/>
        <v>0</v>
      </c>
      <c r="BF222" s="252">
        <f t="shared" si="87"/>
        <v>0</v>
      </c>
      <c r="BG222" s="2562"/>
      <c r="BH222" s="237"/>
      <c r="BI222" s="237"/>
      <c r="BJ222" s="252">
        <f t="shared" si="88"/>
        <v>0</v>
      </c>
      <c r="BK222" s="252">
        <f t="shared" si="89"/>
        <v>0</v>
      </c>
      <c r="BL222" s="252">
        <f t="shared" si="90"/>
        <v>0</v>
      </c>
      <c r="BM222" s="252">
        <f t="shared" si="91"/>
        <v>0</v>
      </c>
      <c r="BN222" s="252">
        <f t="shared" si="92"/>
        <v>0</v>
      </c>
      <c r="BO222" s="252">
        <f t="shared" si="93"/>
        <v>1</v>
      </c>
      <c r="BP222" s="2578"/>
      <c r="BQ222" s="2562"/>
      <c r="BR222" s="2562"/>
      <c r="BS222" s="2585"/>
      <c r="BT222" s="2585"/>
      <c r="BU222" s="2585"/>
    </row>
    <row r="223" spans="1:73" s="22" customFormat="1" ht="15.75" hidden="1" customHeight="1" outlineLevel="1">
      <c r="A223" s="2585"/>
      <c r="B223" s="44" t="s">
        <v>4841</v>
      </c>
      <c r="C223" s="45" t="s">
        <v>50</v>
      </c>
      <c r="D223" s="46" t="s">
        <v>4514</v>
      </c>
      <c r="E223" s="46" t="s">
        <v>4429</v>
      </c>
      <c r="F223" s="45" t="s">
        <v>4459</v>
      </c>
      <c r="G223" s="46" t="s">
        <v>4515</v>
      </c>
      <c r="H223" s="45" t="s">
        <v>4459</v>
      </c>
      <c r="I223" s="45" t="s">
        <v>4433</v>
      </c>
      <c r="J223" s="47" t="s">
        <v>4744</v>
      </c>
      <c r="K223" s="48">
        <v>100</v>
      </c>
      <c r="L223" s="47">
        <v>54109</v>
      </c>
      <c r="M223" s="1913">
        <v>24.891666666666666</v>
      </c>
      <c r="N223" s="48">
        <v>-32.834319999999998</v>
      </c>
      <c r="O223" s="49">
        <v>-32.834000000000003</v>
      </c>
      <c r="P223" s="49">
        <v>-32.834000000000003</v>
      </c>
      <c r="Q223" s="1884">
        <f t="shared" si="94"/>
        <v>-817.29298333333338</v>
      </c>
      <c r="R223" s="1885">
        <f t="shared" si="74"/>
        <v>-8.8270928649237357E-2</v>
      </c>
      <c r="S223" s="1885">
        <f t="shared" si="75"/>
        <v>-5.9847796741660075E-2</v>
      </c>
      <c r="T223" s="50" t="s">
        <v>4686</v>
      </c>
      <c r="U223" s="50">
        <v>3.2124E-2</v>
      </c>
      <c r="V223" s="50">
        <v>2.7659999999999998E-3</v>
      </c>
      <c r="W223" s="1885">
        <f t="shared" si="76"/>
        <v>3.4889999999999997E-2</v>
      </c>
      <c r="X223" s="1891">
        <f t="shared" si="77"/>
        <v>-1.14557826</v>
      </c>
      <c r="Y223" s="1891">
        <f t="shared" si="78"/>
        <v>-1.14557826</v>
      </c>
      <c r="Z223" s="50">
        <v>0</v>
      </c>
      <c r="AA223" s="50">
        <v>0</v>
      </c>
      <c r="AB223" s="48">
        <v>0</v>
      </c>
      <c r="AC223" s="48">
        <v>0</v>
      </c>
      <c r="AD223" s="48">
        <v>0</v>
      </c>
      <c r="AE223" s="45" t="s">
        <v>4517</v>
      </c>
      <c r="AF223" s="51" t="s">
        <v>4829</v>
      </c>
      <c r="AG223" s="42"/>
      <c r="AH223" s="52" t="s">
        <v>4842</v>
      </c>
      <c r="AI223" s="197"/>
      <c r="AJ223" s="2578"/>
      <c r="AK223" s="251"/>
      <c r="AL223" s="2578"/>
      <c r="AM223" s="2562"/>
      <c r="AN223" s="2562"/>
      <c r="AO223" s="2562"/>
      <c r="AP223" s="2562"/>
      <c r="AQ223" s="2562"/>
      <c r="AR223" s="2562"/>
      <c r="AS223" s="2562"/>
      <c r="AT223" s="252">
        <f t="shared" si="79"/>
        <v>1</v>
      </c>
      <c r="AU223" s="252">
        <f t="shared" si="80"/>
        <v>0</v>
      </c>
      <c r="AV223" s="252">
        <f t="shared" si="81"/>
        <v>0</v>
      </c>
      <c r="AW223" s="252">
        <f t="shared" si="82"/>
        <v>0</v>
      </c>
      <c r="AX223" s="252">
        <f t="shared" si="83"/>
        <v>0</v>
      </c>
      <c r="AY223" s="252">
        <f t="shared" si="84"/>
        <v>0</v>
      </c>
      <c r="AZ223" s="252">
        <f t="shared" si="85"/>
        <v>0</v>
      </c>
      <c r="BA223" s="237"/>
      <c r="BB223" s="237"/>
      <c r="BC223" s="237"/>
      <c r="BD223" s="2562"/>
      <c r="BE223" s="252">
        <f t="shared" si="86"/>
        <v>0</v>
      </c>
      <c r="BF223" s="252">
        <f t="shared" si="87"/>
        <v>0</v>
      </c>
      <c r="BG223" s="2562"/>
      <c r="BH223" s="237"/>
      <c r="BI223" s="237"/>
      <c r="BJ223" s="252">
        <f t="shared" si="88"/>
        <v>0</v>
      </c>
      <c r="BK223" s="252">
        <f t="shared" si="89"/>
        <v>0</v>
      </c>
      <c r="BL223" s="252">
        <f t="shared" si="90"/>
        <v>0</v>
      </c>
      <c r="BM223" s="252">
        <f t="shared" si="91"/>
        <v>0</v>
      </c>
      <c r="BN223" s="252">
        <f t="shared" si="92"/>
        <v>0</v>
      </c>
      <c r="BO223" s="252">
        <f t="shared" si="93"/>
        <v>1</v>
      </c>
      <c r="BP223" s="2578"/>
      <c r="BQ223" s="2562"/>
      <c r="BR223" s="2562"/>
      <c r="BS223" s="2585"/>
      <c r="BT223" s="2585"/>
      <c r="BU223" s="2585"/>
    </row>
    <row r="224" spans="1:73" s="22" customFormat="1" ht="15.75" hidden="1" customHeight="1" outlineLevel="1">
      <c r="A224" s="2585"/>
      <c r="B224" s="44" t="s">
        <v>4843</v>
      </c>
      <c r="C224" s="45" t="s">
        <v>50</v>
      </c>
      <c r="D224" s="46" t="s">
        <v>4514</v>
      </c>
      <c r="E224" s="46" t="s">
        <v>4429</v>
      </c>
      <c r="F224" s="45" t="s">
        <v>4459</v>
      </c>
      <c r="G224" s="46" t="s">
        <v>4515</v>
      </c>
      <c r="H224" s="45" t="s">
        <v>4459</v>
      </c>
      <c r="I224" s="45" t="s">
        <v>4433</v>
      </c>
      <c r="J224" s="47" t="s">
        <v>4744</v>
      </c>
      <c r="K224" s="48">
        <v>100</v>
      </c>
      <c r="L224" s="47">
        <v>54109</v>
      </c>
      <c r="M224" s="1913">
        <v>24.891666666666666</v>
      </c>
      <c r="N224" s="48">
        <v>-4.1042899999999998</v>
      </c>
      <c r="O224" s="49">
        <v>-4.1040000000000001</v>
      </c>
      <c r="P224" s="49">
        <v>-4.1040000000000001</v>
      </c>
      <c r="Q224" s="1884">
        <f t="shared" si="94"/>
        <v>-102.1554</v>
      </c>
      <c r="R224" s="1885">
        <f t="shared" si="74"/>
        <v>-8.8270928649237357E-2</v>
      </c>
      <c r="S224" s="1885">
        <f t="shared" si="75"/>
        <v>-5.9847796741660075E-2</v>
      </c>
      <c r="T224" s="50" t="s">
        <v>4686</v>
      </c>
      <c r="U224" s="50">
        <v>3.2124E-2</v>
      </c>
      <c r="V224" s="50">
        <v>2.7659999999999998E-3</v>
      </c>
      <c r="W224" s="1885">
        <f t="shared" si="76"/>
        <v>3.4889999999999997E-2</v>
      </c>
      <c r="X224" s="1891">
        <f t="shared" si="77"/>
        <v>-0.14318855999999999</v>
      </c>
      <c r="Y224" s="1891">
        <f t="shared" si="78"/>
        <v>-0.14318855999999999</v>
      </c>
      <c r="Z224" s="50">
        <v>0</v>
      </c>
      <c r="AA224" s="50">
        <v>0</v>
      </c>
      <c r="AB224" s="48">
        <v>0</v>
      </c>
      <c r="AC224" s="48">
        <v>0</v>
      </c>
      <c r="AD224" s="48">
        <v>0</v>
      </c>
      <c r="AE224" s="45" t="s">
        <v>4517</v>
      </c>
      <c r="AF224" s="51" t="s">
        <v>4829</v>
      </c>
      <c r="AG224" s="42"/>
      <c r="AH224" s="52" t="s">
        <v>4844</v>
      </c>
      <c r="AI224" s="197"/>
      <c r="AJ224" s="2578"/>
      <c r="AK224" s="251"/>
      <c r="AL224" s="2578"/>
      <c r="AM224" s="2562"/>
      <c r="AN224" s="2562"/>
      <c r="AO224" s="2562"/>
      <c r="AP224" s="2562"/>
      <c r="AQ224" s="2562"/>
      <c r="AR224" s="2562"/>
      <c r="AS224" s="2562"/>
      <c r="AT224" s="252">
        <f t="shared" si="79"/>
        <v>1</v>
      </c>
      <c r="AU224" s="252">
        <f t="shared" si="80"/>
        <v>0</v>
      </c>
      <c r="AV224" s="252">
        <f t="shared" si="81"/>
        <v>0</v>
      </c>
      <c r="AW224" s="252">
        <f t="shared" si="82"/>
        <v>0</v>
      </c>
      <c r="AX224" s="252">
        <f t="shared" si="83"/>
        <v>0</v>
      </c>
      <c r="AY224" s="252">
        <f t="shared" si="84"/>
        <v>0</v>
      </c>
      <c r="AZ224" s="252">
        <f t="shared" si="85"/>
        <v>0</v>
      </c>
      <c r="BA224" s="237"/>
      <c r="BB224" s="237"/>
      <c r="BC224" s="237"/>
      <c r="BD224" s="2562"/>
      <c r="BE224" s="252">
        <f t="shared" si="86"/>
        <v>0</v>
      </c>
      <c r="BF224" s="252">
        <f t="shared" si="87"/>
        <v>0</v>
      </c>
      <c r="BG224" s="2562"/>
      <c r="BH224" s="237"/>
      <c r="BI224" s="237"/>
      <c r="BJ224" s="252">
        <f t="shared" si="88"/>
        <v>0</v>
      </c>
      <c r="BK224" s="252">
        <f t="shared" si="89"/>
        <v>0</v>
      </c>
      <c r="BL224" s="252">
        <f t="shared" si="90"/>
        <v>0</v>
      </c>
      <c r="BM224" s="252">
        <f t="shared" si="91"/>
        <v>0</v>
      </c>
      <c r="BN224" s="252">
        <f t="shared" si="92"/>
        <v>0</v>
      </c>
      <c r="BO224" s="252">
        <f t="shared" si="93"/>
        <v>1</v>
      </c>
      <c r="BP224" s="2578"/>
      <c r="BQ224" s="2562"/>
      <c r="BR224" s="2562"/>
      <c r="BS224" s="2585"/>
      <c r="BT224" s="2585"/>
      <c r="BU224" s="2585"/>
    </row>
    <row r="225" spans="1:73" s="22" customFormat="1" ht="15.75" hidden="1" customHeight="1" outlineLevel="1">
      <c r="A225" s="2585"/>
      <c r="B225" s="44" t="s">
        <v>4845</v>
      </c>
      <c r="C225" s="45" t="s">
        <v>50</v>
      </c>
      <c r="D225" s="46" t="s">
        <v>4514</v>
      </c>
      <c r="E225" s="46" t="s">
        <v>4429</v>
      </c>
      <c r="F225" s="45" t="s">
        <v>4459</v>
      </c>
      <c r="G225" s="46" t="s">
        <v>4515</v>
      </c>
      <c r="H225" s="45" t="s">
        <v>4459</v>
      </c>
      <c r="I225" s="45" t="s">
        <v>4433</v>
      </c>
      <c r="J225" s="47" t="s">
        <v>4744</v>
      </c>
      <c r="K225" s="48">
        <v>100</v>
      </c>
      <c r="L225" s="47">
        <v>54109</v>
      </c>
      <c r="M225" s="1913">
        <v>24.891666666666666</v>
      </c>
      <c r="N225" s="48">
        <v>-4.1042899999999998</v>
      </c>
      <c r="O225" s="49">
        <v>-4.1040000000000001</v>
      </c>
      <c r="P225" s="49">
        <v>-4.1040000000000001</v>
      </c>
      <c r="Q225" s="1884">
        <f t="shared" si="94"/>
        <v>-102.1554</v>
      </c>
      <c r="R225" s="1885">
        <f t="shared" si="74"/>
        <v>-8.8270928649237357E-2</v>
      </c>
      <c r="S225" s="1885">
        <f t="shared" si="75"/>
        <v>-5.9847796741660075E-2</v>
      </c>
      <c r="T225" s="50" t="s">
        <v>4686</v>
      </c>
      <c r="U225" s="50">
        <v>3.2124E-2</v>
      </c>
      <c r="V225" s="50">
        <v>2.7659999999999998E-3</v>
      </c>
      <c r="W225" s="1885">
        <f t="shared" si="76"/>
        <v>3.4889999999999997E-2</v>
      </c>
      <c r="X225" s="1891">
        <f t="shared" si="77"/>
        <v>-0.14318855999999999</v>
      </c>
      <c r="Y225" s="1891">
        <f t="shared" si="78"/>
        <v>-0.14318855999999999</v>
      </c>
      <c r="Z225" s="50">
        <v>0</v>
      </c>
      <c r="AA225" s="50">
        <v>0</v>
      </c>
      <c r="AB225" s="48">
        <v>0</v>
      </c>
      <c r="AC225" s="48">
        <v>0</v>
      </c>
      <c r="AD225" s="48">
        <v>0</v>
      </c>
      <c r="AE225" s="45" t="s">
        <v>4517</v>
      </c>
      <c r="AF225" s="51" t="s">
        <v>4829</v>
      </c>
      <c r="AG225" s="42"/>
      <c r="AH225" s="52" t="s">
        <v>4846</v>
      </c>
      <c r="AI225" s="197"/>
      <c r="AJ225" s="2578"/>
      <c r="AK225" s="251"/>
      <c r="AL225" s="2578"/>
      <c r="AM225" s="2562"/>
      <c r="AN225" s="2562"/>
      <c r="AO225" s="2562"/>
      <c r="AP225" s="2562"/>
      <c r="AQ225" s="2562"/>
      <c r="AR225" s="2562"/>
      <c r="AS225" s="2562"/>
      <c r="AT225" s="252">
        <f t="shared" si="79"/>
        <v>1</v>
      </c>
      <c r="AU225" s="252">
        <f t="shared" si="80"/>
        <v>0</v>
      </c>
      <c r="AV225" s="252">
        <f t="shared" si="81"/>
        <v>0</v>
      </c>
      <c r="AW225" s="252">
        <f t="shared" si="82"/>
        <v>0</v>
      </c>
      <c r="AX225" s="252">
        <f t="shared" si="83"/>
        <v>0</v>
      </c>
      <c r="AY225" s="252">
        <f t="shared" si="84"/>
        <v>0</v>
      </c>
      <c r="AZ225" s="252">
        <f t="shared" si="85"/>
        <v>0</v>
      </c>
      <c r="BA225" s="237"/>
      <c r="BB225" s="237"/>
      <c r="BC225" s="237"/>
      <c r="BD225" s="2562"/>
      <c r="BE225" s="252">
        <f t="shared" si="86"/>
        <v>0</v>
      </c>
      <c r="BF225" s="252">
        <f t="shared" si="87"/>
        <v>0</v>
      </c>
      <c r="BG225" s="2562"/>
      <c r="BH225" s="237"/>
      <c r="BI225" s="237"/>
      <c r="BJ225" s="252">
        <f t="shared" si="88"/>
        <v>0</v>
      </c>
      <c r="BK225" s="252">
        <f t="shared" si="89"/>
        <v>0</v>
      </c>
      <c r="BL225" s="252">
        <f t="shared" si="90"/>
        <v>0</v>
      </c>
      <c r="BM225" s="252">
        <f t="shared" si="91"/>
        <v>0</v>
      </c>
      <c r="BN225" s="252">
        <f t="shared" si="92"/>
        <v>0</v>
      </c>
      <c r="BO225" s="252">
        <f t="shared" si="93"/>
        <v>1</v>
      </c>
      <c r="BP225" s="2578"/>
      <c r="BQ225" s="2562"/>
      <c r="BR225" s="2562"/>
      <c r="BS225" s="2585"/>
      <c r="BT225" s="2585"/>
      <c r="BU225" s="2585"/>
    </row>
    <row r="226" spans="1:73" s="22" customFormat="1" ht="15.75" hidden="1" customHeight="1" outlineLevel="1">
      <c r="A226" s="2585"/>
      <c r="B226" s="44" t="s">
        <v>4847</v>
      </c>
      <c r="C226" s="45" t="s">
        <v>50</v>
      </c>
      <c r="D226" s="46" t="s">
        <v>4514</v>
      </c>
      <c r="E226" s="46" t="s">
        <v>4429</v>
      </c>
      <c r="F226" s="45" t="s">
        <v>4459</v>
      </c>
      <c r="G226" s="46" t="s">
        <v>4515</v>
      </c>
      <c r="H226" s="45" t="s">
        <v>4459</v>
      </c>
      <c r="I226" s="45" t="s">
        <v>4433</v>
      </c>
      <c r="J226" s="47" t="s">
        <v>4744</v>
      </c>
      <c r="K226" s="48">
        <v>100</v>
      </c>
      <c r="L226" s="47">
        <v>57762</v>
      </c>
      <c r="M226" s="1913">
        <v>34.891666666666666</v>
      </c>
      <c r="N226" s="48">
        <v>-10.21832</v>
      </c>
      <c r="O226" s="49">
        <v>-10.218</v>
      </c>
      <c r="P226" s="49">
        <v>-10.218</v>
      </c>
      <c r="Q226" s="1884">
        <f t="shared" si="94"/>
        <v>-356.52305000000001</v>
      </c>
      <c r="R226" s="1885">
        <f t="shared" ref="R226:R289" si="95">IF(W226=0,0,((1+W226)/(1+$C$626))-1)</f>
        <v>-8.8270928649237357E-2</v>
      </c>
      <c r="S226" s="1885">
        <f t="shared" ref="S226:S289" si="96">IF(W226=0,0,((1+W226)/(1+$C$627))-1)</f>
        <v>-5.9847796741660075E-2</v>
      </c>
      <c r="T226" s="50" t="s">
        <v>4686</v>
      </c>
      <c r="U226" s="50">
        <v>3.2124E-2</v>
      </c>
      <c r="V226" s="50">
        <v>2.7659999999999998E-3</v>
      </c>
      <c r="W226" s="1885">
        <f t="shared" ref="W226:W289" si="97">V226+U226</f>
        <v>3.4889999999999997E-2</v>
      </c>
      <c r="X226" s="1891">
        <f t="shared" ref="X226:X289" si="98">W226*P226</f>
        <v>-0.35650601999999998</v>
      </c>
      <c r="Y226" s="1891">
        <f t="shared" ref="Y226:Y289" si="99">X226</f>
        <v>-0.35650601999999998</v>
      </c>
      <c r="Z226" s="50">
        <v>0</v>
      </c>
      <c r="AA226" s="50">
        <v>0</v>
      </c>
      <c r="AB226" s="48">
        <v>0</v>
      </c>
      <c r="AC226" s="48">
        <v>0</v>
      </c>
      <c r="AD226" s="48">
        <v>0</v>
      </c>
      <c r="AE226" s="45" t="s">
        <v>4517</v>
      </c>
      <c r="AF226" s="51" t="s">
        <v>4829</v>
      </c>
      <c r="AG226" s="42"/>
      <c r="AH226" s="52" t="s">
        <v>4848</v>
      </c>
      <c r="AI226" s="197"/>
      <c r="AJ226" s="2578"/>
      <c r="AK226" s="251"/>
      <c r="AL226" s="2578"/>
      <c r="AM226" s="2562"/>
      <c r="AN226" s="2562"/>
      <c r="AO226" s="2562"/>
      <c r="AP226" s="2562"/>
      <c r="AQ226" s="2562"/>
      <c r="AR226" s="2562"/>
      <c r="AS226" s="2562"/>
      <c r="AT226" s="252">
        <f t="shared" ref="AT226:AT262" si="100" xml:space="preserve"> IF( ISNUMBER(J226 ), 0, 1 )</f>
        <v>1</v>
      </c>
      <c r="AU226" s="252">
        <f t="shared" ref="AU226:AU262" si="101" xml:space="preserve"> IF( ISNUMBER(K226 ), 0, 1 )</f>
        <v>0</v>
      </c>
      <c r="AV226" s="252">
        <f t="shared" ref="AV226:AV262" si="102" xml:space="preserve"> IF( ISNUMBER(L226 ), 0, 1 )</f>
        <v>0</v>
      </c>
      <c r="AW226" s="252">
        <f t="shared" ref="AW226:AW262" si="103" xml:space="preserve"> IF( ISNUMBER(M226 ), 0, 1 )</f>
        <v>0</v>
      </c>
      <c r="AX226" s="252">
        <f t="shared" ref="AX226:AX262" si="104" xml:space="preserve"> IF( ISNUMBER(N226 ), 0, 1 )</f>
        <v>0</v>
      </c>
      <c r="AY226" s="252">
        <f t="shared" ref="AY226:AY262" si="105" xml:space="preserve"> IF( ISNUMBER(O226 ), 0, 1 )</f>
        <v>0</v>
      </c>
      <c r="AZ226" s="252">
        <f t="shared" ref="AZ226:AZ262" si="106" xml:space="preserve"> IF( ISNUMBER(P226 ), 0, 1 )</f>
        <v>0</v>
      </c>
      <c r="BA226" s="237"/>
      <c r="BB226" s="237"/>
      <c r="BC226" s="237"/>
      <c r="BD226" s="2562"/>
      <c r="BE226" s="252">
        <f t="shared" ref="BE226:BE262" si="107" xml:space="preserve"> IF( ISNUMBER(U226 ), 0, 1 )</f>
        <v>0</v>
      </c>
      <c r="BF226" s="252">
        <f t="shared" ref="BF226:BF262" si="108" xml:space="preserve"> IF( ISNUMBER(V226 ), 0, 1 )</f>
        <v>0</v>
      </c>
      <c r="BG226" s="2562"/>
      <c r="BH226" s="237"/>
      <c r="BI226" s="237"/>
      <c r="BJ226" s="252">
        <f t="shared" ref="BJ226:BJ262" si="109" xml:space="preserve"> IF( ISNUMBER(Z226 ), 0, 1 )</f>
        <v>0</v>
      </c>
      <c r="BK226" s="252">
        <f t="shared" ref="BK226:BK262" si="110" xml:space="preserve"> IF( ISNUMBER(AA226 ), 0, 1 )</f>
        <v>0</v>
      </c>
      <c r="BL226" s="252">
        <f t="shared" ref="BL226:BL262" si="111" xml:space="preserve"> IF( ISNUMBER(AB226 ), 0, 1 )</f>
        <v>0</v>
      </c>
      <c r="BM226" s="252">
        <f t="shared" ref="BM226:BM262" si="112" xml:space="preserve"> IF( ISNUMBER(AC226 ), 0, 1 )</f>
        <v>0</v>
      </c>
      <c r="BN226" s="252">
        <f t="shared" ref="BN226:BN262" si="113" xml:space="preserve"> IF( ISNUMBER(AD226 ), 0, 1 )</f>
        <v>0</v>
      </c>
      <c r="BO226" s="252">
        <f t="shared" ref="BO226:BO262" si="114" xml:space="preserve"> IF( ISNUMBER(AF226 ), 0, 1 )</f>
        <v>1</v>
      </c>
      <c r="BP226" s="2578"/>
      <c r="BQ226" s="2562"/>
      <c r="BR226" s="2562"/>
      <c r="BS226" s="2585"/>
      <c r="BT226" s="2585"/>
      <c r="BU226" s="2585"/>
    </row>
    <row r="227" spans="1:73" s="22" customFormat="1" ht="15.75" hidden="1" customHeight="1" outlineLevel="1">
      <c r="A227" s="2585"/>
      <c r="B227" s="44" t="s">
        <v>4849</v>
      </c>
      <c r="C227" s="45" t="s">
        <v>50</v>
      </c>
      <c r="D227" s="46" t="s">
        <v>4514</v>
      </c>
      <c r="E227" s="46" t="s">
        <v>4429</v>
      </c>
      <c r="F227" s="45" t="s">
        <v>4459</v>
      </c>
      <c r="G227" s="46" t="s">
        <v>4515</v>
      </c>
      <c r="H227" s="45" t="s">
        <v>4459</v>
      </c>
      <c r="I227" s="45" t="s">
        <v>4433</v>
      </c>
      <c r="J227" s="47" t="s">
        <v>4744</v>
      </c>
      <c r="K227" s="48">
        <v>100</v>
      </c>
      <c r="L227" s="47">
        <v>57762</v>
      </c>
      <c r="M227" s="1913">
        <v>34.891666666666666</v>
      </c>
      <c r="N227" s="48">
        <v>-1.27729</v>
      </c>
      <c r="O227" s="49">
        <v>-1.2769999999999999</v>
      </c>
      <c r="P227" s="49">
        <v>-1.2769999999999999</v>
      </c>
      <c r="Q227" s="1884">
        <f t="shared" si="94"/>
        <v>-44.556658333333331</v>
      </c>
      <c r="R227" s="1885">
        <f t="shared" si="95"/>
        <v>-8.8270928649237357E-2</v>
      </c>
      <c r="S227" s="1885">
        <f t="shared" si="96"/>
        <v>-5.9847796741660075E-2</v>
      </c>
      <c r="T227" s="50" t="s">
        <v>4686</v>
      </c>
      <c r="U227" s="50">
        <v>3.2124E-2</v>
      </c>
      <c r="V227" s="50">
        <v>2.7659999999999998E-3</v>
      </c>
      <c r="W227" s="1885">
        <f t="shared" si="97"/>
        <v>3.4889999999999997E-2</v>
      </c>
      <c r="X227" s="1891">
        <f t="shared" si="98"/>
        <v>-4.4554529999999995E-2</v>
      </c>
      <c r="Y227" s="1891">
        <f t="shared" si="99"/>
        <v>-4.4554529999999995E-2</v>
      </c>
      <c r="Z227" s="50">
        <v>0</v>
      </c>
      <c r="AA227" s="50">
        <v>0</v>
      </c>
      <c r="AB227" s="48">
        <v>0</v>
      </c>
      <c r="AC227" s="48">
        <v>0</v>
      </c>
      <c r="AD227" s="48">
        <v>0</v>
      </c>
      <c r="AE227" s="45" t="s">
        <v>4517</v>
      </c>
      <c r="AF227" s="51" t="s">
        <v>4829</v>
      </c>
      <c r="AG227" s="42"/>
      <c r="AH227" s="52" t="s">
        <v>4850</v>
      </c>
      <c r="AI227" s="197"/>
      <c r="AJ227" s="2578"/>
      <c r="AK227" s="251"/>
      <c r="AL227" s="2578"/>
      <c r="AM227" s="2562"/>
      <c r="AN227" s="2562"/>
      <c r="AO227" s="2562"/>
      <c r="AP227" s="2562"/>
      <c r="AQ227" s="2562"/>
      <c r="AR227" s="2562"/>
      <c r="AS227" s="2562"/>
      <c r="AT227" s="252">
        <f t="shared" si="100"/>
        <v>1</v>
      </c>
      <c r="AU227" s="252">
        <f t="shared" si="101"/>
        <v>0</v>
      </c>
      <c r="AV227" s="252">
        <f t="shared" si="102"/>
        <v>0</v>
      </c>
      <c r="AW227" s="252">
        <f t="shared" si="103"/>
        <v>0</v>
      </c>
      <c r="AX227" s="252">
        <f t="shared" si="104"/>
        <v>0</v>
      </c>
      <c r="AY227" s="252">
        <f t="shared" si="105"/>
        <v>0</v>
      </c>
      <c r="AZ227" s="252">
        <f t="shared" si="106"/>
        <v>0</v>
      </c>
      <c r="BA227" s="237"/>
      <c r="BB227" s="237"/>
      <c r="BC227" s="237"/>
      <c r="BD227" s="2562"/>
      <c r="BE227" s="252">
        <f t="shared" si="107"/>
        <v>0</v>
      </c>
      <c r="BF227" s="252">
        <f t="shared" si="108"/>
        <v>0</v>
      </c>
      <c r="BG227" s="2562"/>
      <c r="BH227" s="237"/>
      <c r="BI227" s="237"/>
      <c r="BJ227" s="252">
        <f t="shared" si="109"/>
        <v>0</v>
      </c>
      <c r="BK227" s="252">
        <f t="shared" si="110"/>
        <v>0</v>
      </c>
      <c r="BL227" s="252">
        <f t="shared" si="111"/>
        <v>0</v>
      </c>
      <c r="BM227" s="252">
        <f t="shared" si="112"/>
        <v>0</v>
      </c>
      <c r="BN227" s="252">
        <f t="shared" si="113"/>
        <v>0</v>
      </c>
      <c r="BO227" s="252">
        <f t="shared" si="114"/>
        <v>1</v>
      </c>
      <c r="BP227" s="2578"/>
      <c r="BQ227" s="2562"/>
      <c r="BR227" s="2562"/>
      <c r="BS227" s="2585"/>
      <c r="BT227" s="2585"/>
      <c r="BU227" s="2585"/>
    </row>
    <row r="228" spans="1:73" s="22" customFormat="1" ht="15.75" hidden="1" customHeight="1" outlineLevel="1">
      <c r="A228" s="2585"/>
      <c r="B228" s="44" t="s">
        <v>4851</v>
      </c>
      <c r="C228" s="45" t="s">
        <v>50</v>
      </c>
      <c r="D228" s="46" t="s">
        <v>4514</v>
      </c>
      <c r="E228" s="46" t="s">
        <v>4429</v>
      </c>
      <c r="F228" s="45" t="s">
        <v>4459</v>
      </c>
      <c r="G228" s="46" t="s">
        <v>4515</v>
      </c>
      <c r="H228" s="45" t="s">
        <v>4459</v>
      </c>
      <c r="I228" s="45" t="s">
        <v>4433</v>
      </c>
      <c r="J228" s="47" t="s">
        <v>4744</v>
      </c>
      <c r="K228" s="48">
        <v>100</v>
      </c>
      <c r="L228" s="47">
        <v>57762</v>
      </c>
      <c r="M228" s="1913">
        <v>34.891666666666666</v>
      </c>
      <c r="N228" s="48">
        <v>-1.27729</v>
      </c>
      <c r="O228" s="49">
        <v>-1.2769999999999999</v>
      </c>
      <c r="P228" s="49">
        <v>-1.2769999999999999</v>
      </c>
      <c r="Q228" s="1884">
        <f t="shared" ref="Q228:Q291" si="115">IFERROR(M228*O228,"")</f>
        <v>-44.556658333333331</v>
      </c>
      <c r="R228" s="1885">
        <f t="shared" si="95"/>
        <v>-8.8270928649237357E-2</v>
      </c>
      <c r="S228" s="1885">
        <f t="shared" si="96"/>
        <v>-5.9847796741660075E-2</v>
      </c>
      <c r="T228" s="50" t="s">
        <v>4686</v>
      </c>
      <c r="U228" s="50">
        <v>3.2124E-2</v>
      </c>
      <c r="V228" s="50">
        <v>2.7659999999999998E-3</v>
      </c>
      <c r="W228" s="1885">
        <f>V228+U228</f>
        <v>3.4889999999999997E-2</v>
      </c>
      <c r="X228" s="1891">
        <f t="shared" si="98"/>
        <v>-4.4554529999999995E-2</v>
      </c>
      <c r="Y228" s="1891">
        <f t="shared" si="99"/>
        <v>-4.4554529999999995E-2</v>
      </c>
      <c r="Z228" s="50">
        <v>0</v>
      </c>
      <c r="AA228" s="50">
        <v>0</v>
      </c>
      <c r="AB228" s="48">
        <v>0</v>
      </c>
      <c r="AC228" s="48">
        <v>0</v>
      </c>
      <c r="AD228" s="48">
        <v>0</v>
      </c>
      <c r="AE228" s="45" t="s">
        <v>4517</v>
      </c>
      <c r="AF228" s="51" t="s">
        <v>4829</v>
      </c>
      <c r="AG228" s="42"/>
      <c r="AH228" s="52" t="s">
        <v>4852</v>
      </c>
      <c r="AI228" s="197"/>
      <c r="AJ228" s="2578"/>
      <c r="AK228" s="251"/>
      <c r="AL228" s="2578"/>
      <c r="AM228" s="2562"/>
      <c r="AN228" s="2562"/>
      <c r="AO228" s="2562"/>
      <c r="AP228" s="2562"/>
      <c r="AQ228" s="2562"/>
      <c r="AR228" s="2562"/>
      <c r="AS228" s="2562"/>
      <c r="AT228" s="252">
        <f t="shared" si="100"/>
        <v>1</v>
      </c>
      <c r="AU228" s="252">
        <f t="shared" si="101"/>
        <v>0</v>
      </c>
      <c r="AV228" s="252">
        <f t="shared" si="102"/>
        <v>0</v>
      </c>
      <c r="AW228" s="252">
        <f t="shared" si="103"/>
        <v>0</v>
      </c>
      <c r="AX228" s="252">
        <f t="shared" si="104"/>
        <v>0</v>
      </c>
      <c r="AY228" s="252">
        <f t="shared" si="105"/>
        <v>0</v>
      </c>
      <c r="AZ228" s="252">
        <f t="shared" si="106"/>
        <v>0</v>
      </c>
      <c r="BA228" s="237"/>
      <c r="BB228" s="237"/>
      <c r="BC228" s="237"/>
      <c r="BD228" s="2562"/>
      <c r="BE228" s="252">
        <f t="shared" si="107"/>
        <v>0</v>
      </c>
      <c r="BF228" s="252">
        <f t="shared" si="108"/>
        <v>0</v>
      </c>
      <c r="BG228" s="2562"/>
      <c r="BH228" s="237"/>
      <c r="BI228" s="237"/>
      <c r="BJ228" s="252">
        <f t="shared" si="109"/>
        <v>0</v>
      </c>
      <c r="BK228" s="252">
        <f t="shared" si="110"/>
        <v>0</v>
      </c>
      <c r="BL228" s="252">
        <f t="shared" si="111"/>
        <v>0</v>
      </c>
      <c r="BM228" s="252">
        <f t="shared" si="112"/>
        <v>0</v>
      </c>
      <c r="BN228" s="252">
        <f t="shared" si="113"/>
        <v>0</v>
      </c>
      <c r="BO228" s="252">
        <f t="shared" si="114"/>
        <v>1</v>
      </c>
      <c r="BP228" s="2578"/>
      <c r="BQ228" s="2562"/>
      <c r="BR228" s="2562"/>
      <c r="BS228" s="2585"/>
      <c r="BT228" s="2585"/>
      <c r="BU228" s="2585"/>
    </row>
    <row r="229" spans="1:73" s="22" customFormat="1" ht="15.75" hidden="1" customHeight="1" outlineLevel="1">
      <c r="A229" s="2585"/>
      <c r="B229" s="44" t="s">
        <v>4853</v>
      </c>
      <c r="C229" s="45" t="s">
        <v>50</v>
      </c>
      <c r="D229" s="46" t="s">
        <v>4514</v>
      </c>
      <c r="E229" s="46" t="s">
        <v>4429</v>
      </c>
      <c r="F229" s="45" t="s">
        <v>4459</v>
      </c>
      <c r="G229" s="46" t="s">
        <v>4515</v>
      </c>
      <c r="H229" s="45" t="s">
        <v>4459</v>
      </c>
      <c r="I229" s="45" t="s">
        <v>4433</v>
      </c>
      <c r="J229" s="47" t="s">
        <v>4744</v>
      </c>
      <c r="K229" s="48">
        <v>100</v>
      </c>
      <c r="L229" s="47">
        <v>59588</v>
      </c>
      <c r="M229" s="1913">
        <v>39.891666666666666</v>
      </c>
      <c r="N229" s="48">
        <v>-10.377359999999999</v>
      </c>
      <c r="O229" s="49">
        <v>-10.377000000000001</v>
      </c>
      <c r="P229" s="49">
        <v>-10.377000000000001</v>
      </c>
      <c r="Q229" s="1884">
        <f t="shared" si="115"/>
        <v>-413.955825</v>
      </c>
      <c r="R229" s="1885">
        <f t="shared" si="95"/>
        <v>-8.8270928649237357E-2</v>
      </c>
      <c r="S229" s="1885">
        <f t="shared" si="96"/>
        <v>-5.9847796741660075E-2</v>
      </c>
      <c r="T229" s="50" t="s">
        <v>4686</v>
      </c>
      <c r="U229" s="50">
        <v>3.2124E-2</v>
      </c>
      <c r="V229" s="50">
        <v>2.7659999999999998E-3</v>
      </c>
      <c r="W229" s="1885">
        <f t="shared" si="97"/>
        <v>3.4889999999999997E-2</v>
      </c>
      <c r="X229" s="1891">
        <f t="shared" si="98"/>
        <v>-0.36205353000000001</v>
      </c>
      <c r="Y229" s="1891">
        <f t="shared" si="99"/>
        <v>-0.36205353000000001</v>
      </c>
      <c r="Z229" s="50">
        <v>0</v>
      </c>
      <c r="AA229" s="50">
        <v>0</v>
      </c>
      <c r="AB229" s="48">
        <v>0</v>
      </c>
      <c r="AC229" s="48">
        <v>0</v>
      </c>
      <c r="AD229" s="48">
        <v>0</v>
      </c>
      <c r="AE229" s="45" t="s">
        <v>4517</v>
      </c>
      <c r="AF229" s="51" t="s">
        <v>4829</v>
      </c>
      <c r="AG229" s="42"/>
      <c r="AH229" s="52" t="s">
        <v>4854</v>
      </c>
      <c r="AI229" s="197"/>
      <c r="AJ229" s="2578"/>
      <c r="AK229" s="251"/>
      <c r="AL229" s="2578"/>
      <c r="AM229" s="2562"/>
      <c r="AN229" s="2562"/>
      <c r="AO229" s="2562"/>
      <c r="AP229" s="2562"/>
      <c r="AQ229" s="2562"/>
      <c r="AR229" s="2562"/>
      <c r="AS229" s="2562"/>
      <c r="AT229" s="252">
        <f t="shared" si="100"/>
        <v>1</v>
      </c>
      <c r="AU229" s="252">
        <f t="shared" si="101"/>
        <v>0</v>
      </c>
      <c r="AV229" s="252">
        <f t="shared" si="102"/>
        <v>0</v>
      </c>
      <c r="AW229" s="252">
        <f t="shared" si="103"/>
        <v>0</v>
      </c>
      <c r="AX229" s="252">
        <f t="shared" si="104"/>
        <v>0</v>
      </c>
      <c r="AY229" s="252">
        <f t="shared" si="105"/>
        <v>0</v>
      </c>
      <c r="AZ229" s="252">
        <f t="shared" si="106"/>
        <v>0</v>
      </c>
      <c r="BA229" s="237"/>
      <c r="BB229" s="237"/>
      <c r="BC229" s="237"/>
      <c r="BD229" s="2562"/>
      <c r="BE229" s="252">
        <f t="shared" si="107"/>
        <v>0</v>
      </c>
      <c r="BF229" s="252">
        <f t="shared" si="108"/>
        <v>0</v>
      </c>
      <c r="BG229" s="2562"/>
      <c r="BH229" s="237"/>
      <c r="BI229" s="237"/>
      <c r="BJ229" s="252">
        <f t="shared" si="109"/>
        <v>0</v>
      </c>
      <c r="BK229" s="252">
        <f t="shared" si="110"/>
        <v>0</v>
      </c>
      <c r="BL229" s="252">
        <f t="shared" si="111"/>
        <v>0</v>
      </c>
      <c r="BM229" s="252">
        <f t="shared" si="112"/>
        <v>0</v>
      </c>
      <c r="BN229" s="252">
        <f t="shared" si="113"/>
        <v>0</v>
      </c>
      <c r="BO229" s="252">
        <f t="shared" si="114"/>
        <v>1</v>
      </c>
      <c r="BP229" s="2578"/>
      <c r="BQ229" s="2562"/>
      <c r="BR229" s="2562"/>
      <c r="BS229" s="2585"/>
      <c r="BT229" s="2585"/>
      <c r="BU229" s="2585"/>
    </row>
    <row r="230" spans="1:73" s="22" customFormat="1" ht="15.75" hidden="1" customHeight="1" outlineLevel="1">
      <c r="A230" s="2585"/>
      <c r="B230" s="44" t="s">
        <v>4855</v>
      </c>
      <c r="C230" s="45" t="s">
        <v>50</v>
      </c>
      <c r="D230" s="46" t="s">
        <v>4514</v>
      </c>
      <c r="E230" s="46" t="s">
        <v>4429</v>
      </c>
      <c r="F230" s="45" t="s">
        <v>4459</v>
      </c>
      <c r="G230" s="46" t="s">
        <v>4515</v>
      </c>
      <c r="H230" s="45" t="s">
        <v>4459</v>
      </c>
      <c r="I230" s="45" t="s">
        <v>4433</v>
      </c>
      <c r="J230" s="47" t="s">
        <v>4744</v>
      </c>
      <c r="K230" s="48">
        <v>100</v>
      </c>
      <c r="L230" s="47">
        <v>59588</v>
      </c>
      <c r="M230" s="1913">
        <v>39.891666666666666</v>
      </c>
      <c r="N230" s="48">
        <v>-1.2971699999999999</v>
      </c>
      <c r="O230" s="49">
        <v>-1.2969999999999999</v>
      </c>
      <c r="P230" s="49">
        <v>-1.2969999999999999</v>
      </c>
      <c r="Q230" s="1884">
        <f t="shared" si="115"/>
        <v>-51.739491666666666</v>
      </c>
      <c r="R230" s="1885">
        <f t="shared" si="95"/>
        <v>-8.8270928649237357E-2</v>
      </c>
      <c r="S230" s="1885">
        <f t="shared" si="96"/>
        <v>-5.9847796741660075E-2</v>
      </c>
      <c r="T230" s="50" t="s">
        <v>4686</v>
      </c>
      <c r="U230" s="50">
        <v>3.2124E-2</v>
      </c>
      <c r="V230" s="50">
        <v>2.7659999999999998E-3</v>
      </c>
      <c r="W230" s="1885">
        <f t="shared" si="97"/>
        <v>3.4889999999999997E-2</v>
      </c>
      <c r="X230" s="1891">
        <f t="shared" si="98"/>
        <v>-4.5252329999999993E-2</v>
      </c>
      <c r="Y230" s="1891">
        <f t="shared" si="99"/>
        <v>-4.5252329999999993E-2</v>
      </c>
      <c r="Z230" s="50">
        <v>0</v>
      </c>
      <c r="AA230" s="50">
        <v>0</v>
      </c>
      <c r="AB230" s="48">
        <v>0</v>
      </c>
      <c r="AC230" s="48">
        <v>0</v>
      </c>
      <c r="AD230" s="48">
        <v>0</v>
      </c>
      <c r="AE230" s="45" t="s">
        <v>4517</v>
      </c>
      <c r="AF230" s="51" t="s">
        <v>4829</v>
      </c>
      <c r="AG230" s="42"/>
      <c r="AH230" s="52" t="s">
        <v>4856</v>
      </c>
      <c r="AI230" s="197"/>
      <c r="AJ230" s="2578"/>
      <c r="AK230" s="251"/>
      <c r="AL230" s="2578"/>
      <c r="AM230" s="2562"/>
      <c r="AN230" s="2562"/>
      <c r="AO230" s="2562"/>
      <c r="AP230" s="2562"/>
      <c r="AQ230" s="2562"/>
      <c r="AR230" s="2562"/>
      <c r="AS230" s="2562"/>
      <c r="AT230" s="252">
        <f t="shared" si="100"/>
        <v>1</v>
      </c>
      <c r="AU230" s="252">
        <f t="shared" si="101"/>
        <v>0</v>
      </c>
      <c r="AV230" s="252">
        <f t="shared" si="102"/>
        <v>0</v>
      </c>
      <c r="AW230" s="252">
        <f t="shared" si="103"/>
        <v>0</v>
      </c>
      <c r="AX230" s="252">
        <f t="shared" si="104"/>
        <v>0</v>
      </c>
      <c r="AY230" s="252">
        <f t="shared" si="105"/>
        <v>0</v>
      </c>
      <c r="AZ230" s="252">
        <f t="shared" si="106"/>
        <v>0</v>
      </c>
      <c r="BA230" s="237"/>
      <c r="BB230" s="237"/>
      <c r="BC230" s="237"/>
      <c r="BD230" s="2562"/>
      <c r="BE230" s="252">
        <f t="shared" si="107"/>
        <v>0</v>
      </c>
      <c r="BF230" s="252">
        <f t="shared" si="108"/>
        <v>0</v>
      </c>
      <c r="BG230" s="2562"/>
      <c r="BH230" s="237"/>
      <c r="BI230" s="237"/>
      <c r="BJ230" s="252">
        <f t="shared" si="109"/>
        <v>0</v>
      </c>
      <c r="BK230" s="252">
        <f t="shared" si="110"/>
        <v>0</v>
      </c>
      <c r="BL230" s="252">
        <f t="shared" si="111"/>
        <v>0</v>
      </c>
      <c r="BM230" s="252">
        <f t="shared" si="112"/>
        <v>0</v>
      </c>
      <c r="BN230" s="252">
        <f t="shared" si="113"/>
        <v>0</v>
      </c>
      <c r="BO230" s="252">
        <f t="shared" si="114"/>
        <v>1</v>
      </c>
      <c r="BP230" s="2578"/>
      <c r="BQ230" s="2562"/>
      <c r="BR230" s="2562"/>
      <c r="BS230" s="2585"/>
      <c r="BT230" s="2585"/>
      <c r="BU230" s="2585"/>
    </row>
    <row r="231" spans="1:73" s="22" customFormat="1" ht="15.75" hidden="1" customHeight="1" outlineLevel="1">
      <c r="A231" s="2585"/>
      <c r="B231" s="44" t="s">
        <v>4857</v>
      </c>
      <c r="C231" s="45" t="s">
        <v>50</v>
      </c>
      <c r="D231" s="46" t="s">
        <v>4514</v>
      </c>
      <c r="E231" s="46" t="s">
        <v>4429</v>
      </c>
      <c r="F231" s="45" t="s">
        <v>4459</v>
      </c>
      <c r="G231" s="46" t="s">
        <v>4515</v>
      </c>
      <c r="H231" s="45" t="s">
        <v>4459</v>
      </c>
      <c r="I231" s="45" t="s">
        <v>4433</v>
      </c>
      <c r="J231" s="47" t="s">
        <v>4744</v>
      </c>
      <c r="K231" s="48">
        <v>100</v>
      </c>
      <c r="L231" s="47">
        <v>59588</v>
      </c>
      <c r="M231" s="1913">
        <v>39.891666666666666</v>
      </c>
      <c r="N231" s="48">
        <v>-1.2971699999999999</v>
      </c>
      <c r="O231" s="49">
        <v>-1.2969999999999999</v>
      </c>
      <c r="P231" s="49">
        <v>-1.2969999999999999</v>
      </c>
      <c r="Q231" s="1884">
        <f t="shared" si="115"/>
        <v>-51.739491666666666</v>
      </c>
      <c r="R231" s="1885">
        <f t="shared" si="95"/>
        <v>-8.8270928649237357E-2</v>
      </c>
      <c r="S231" s="1885">
        <f t="shared" si="96"/>
        <v>-5.9847796741660075E-2</v>
      </c>
      <c r="T231" s="50" t="s">
        <v>4686</v>
      </c>
      <c r="U231" s="50">
        <v>3.2124E-2</v>
      </c>
      <c r="V231" s="50">
        <v>2.7659999999999998E-3</v>
      </c>
      <c r="W231" s="1885">
        <f t="shared" si="97"/>
        <v>3.4889999999999997E-2</v>
      </c>
      <c r="X231" s="1891">
        <f t="shared" si="98"/>
        <v>-4.5252329999999993E-2</v>
      </c>
      <c r="Y231" s="1891">
        <f t="shared" si="99"/>
        <v>-4.5252329999999993E-2</v>
      </c>
      <c r="Z231" s="50">
        <v>0</v>
      </c>
      <c r="AA231" s="50">
        <v>0</v>
      </c>
      <c r="AB231" s="48">
        <v>0</v>
      </c>
      <c r="AC231" s="48">
        <v>0</v>
      </c>
      <c r="AD231" s="48">
        <v>0</v>
      </c>
      <c r="AE231" s="45" t="s">
        <v>4517</v>
      </c>
      <c r="AF231" s="51" t="s">
        <v>4829</v>
      </c>
      <c r="AG231" s="42"/>
      <c r="AH231" s="52" t="s">
        <v>4858</v>
      </c>
      <c r="AI231" s="197"/>
      <c r="AJ231" s="2578"/>
      <c r="AK231" s="251"/>
      <c r="AL231" s="2578"/>
      <c r="AM231" s="2562"/>
      <c r="AN231" s="2562"/>
      <c r="AO231" s="2562"/>
      <c r="AP231" s="2562"/>
      <c r="AQ231" s="2562"/>
      <c r="AR231" s="2562"/>
      <c r="AS231" s="2562"/>
      <c r="AT231" s="252">
        <f t="shared" si="100"/>
        <v>1</v>
      </c>
      <c r="AU231" s="252">
        <f t="shared" si="101"/>
        <v>0</v>
      </c>
      <c r="AV231" s="252">
        <f t="shared" si="102"/>
        <v>0</v>
      </c>
      <c r="AW231" s="252">
        <f t="shared" si="103"/>
        <v>0</v>
      </c>
      <c r="AX231" s="252">
        <f t="shared" si="104"/>
        <v>0</v>
      </c>
      <c r="AY231" s="252">
        <f t="shared" si="105"/>
        <v>0</v>
      </c>
      <c r="AZ231" s="252">
        <f t="shared" si="106"/>
        <v>0</v>
      </c>
      <c r="BA231" s="237"/>
      <c r="BB231" s="237"/>
      <c r="BC231" s="237"/>
      <c r="BD231" s="2562"/>
      <c r="BE231" s="252">
        <f t="shared" si="107"/>
        <v>0</v>
      </c>
      <c r="BF231" s="252">
        <f t="shared" si="108"/>
        <v>0</v>
      </c>
      <c r="BG231" s="2562"/>
      <c r="BH231" s="237"/>
      <c r="BI231" s="237"/>
      <c r="BJ231" s="252">
        <f t="shared" si="109"/>
        <v>0</v>
      </c>
      <c r="BK231" s="252">
        <f t="shared" si="110"/>
        <v>0</v>
      </c>
      <c r="BL231" s="252">
        <f t="shared" si="111"/>
        <v>0</v>
      </c>
      <c r="BM231" s="252">
        <f t="shared" si="112"/>
        <v>0</v>
      </c>
      <c r="BN231" s="252">
        <f t="shared" si="113"/>
        <v>0</v>
      </c>
      <c r="BO231" s="252">
        <f t="shared" si="114"/>
        <v>1</v>
      </c>
      <c r="BP231" s="2578"/>
      <c r="BQ231" s="2562"/>
      <c r="BR231" s="2562"/>
      <c r="BS231" s="2585"/>
      <c r="BT231" s="2585"/>
      <c r="BU231" s="2585"/>
    </row>
    <row r="232" spans="1:73" s="22" customFormat="1" ht="15.75" hidden="1" customHeight="1" outlineLevel="1">
      <c r="A232" s="2585"/>
      <c r="B232" s="44" t="s">
        <v>4859</v>
      </c>
      <c r="C232" s="45" t="s">
        <v>50</v>
      </c>
      <c r="D232" s="46" t="s">
        <v>4514</v>
      </c>
      <c r="E232" s="46" t="s">
        <v>4429</v>
      </c>
      <c r="F232" s="45" t="s">
        <v>4459</v>
      </c>
      <c r="G232" s="46" t="s">
        <v>4515</v>
      </c>
      <c r="H232" s="45" t="s">
        <v>4459</v>
      </c>
      <c r="I232" s="45" t="s">
        <v>4433</v>
      </c>
      <c r="J232" s="47" t="s">
        <v>4744</v>
      </c>
      <c r="K232" s="48">
        <v>100</v>
      </c>
      <c r="L232" s="47">
        <v>52283</v>
      </c>
      <c r="M232" s="1913">
        <v>19.891666666666666</v>
      </c>
      <c r="N232" s="48">
        <v>-176.94712999999999</v>
      </c>
      <c r="O232" s="49">
        <v>-176.947</v>
      </c>
      <c r="P232" s="49">
        <v>-176.947</v>
      </c>
      <c r="Q232" s="1884">
        <f t="shared" si="115"/>
        <v>-3519.7707416666667</v>
      </c>
      <c r="R232" s="1885">
        <f t="shared" si="95"/>
        <v>-8.8270928649237357E-2</v>
      </c>
      <c r="S232" s="1885">
        <f t="shared" si="96"/>
        <v>-5.9847796741660075E-2</v>
      </c>
      <c r="T232" s="50" t="s">
        <v>4686</v>
      </c>
      <c r="U232" s="50">
        <v>3.2124E-2</v>
      </c>
      <c r="V232" s="50">
        <v>2.7659999999999998E-3</v>
      </c>
      <c r="W232" s="1885">
        <f t="shared" si="97"/>
        <v>3.4889999999999997E-2</v>
      </c>
      <c r="X232" s="1891">
        <f t="shared" si="98"/>
        <v>-6.1736808299999995</v>
      </c>
      <c r="Y232" s="1891">
        <f t="shared" si="99"/>
        <v>-6.1736808299999995</v>
      </c>
      <c r="Z232" s="50">
        <v>0</v>
      </c>
      <c r="AA232" s="50">
        <v>0</v>
      </c>
      <c r="AB232" s="48">
        <v>0</v>
      </c>
      <c r="AC232" s="48">
        <v>0</v>
      </c>
      <c r="AD232" s="48">
        <v>0</v>
      </c>
      <c r="AE232" s="45" t="s">
        <v>4517</v>
      </c>
      <c r="AF232" s="51" t="s">
        <v>4860</v>
      </c>
      <c r="AG232" s="42"/>
      <c r="AH232" s="52" t="s">
        <v>4861</v>
      </c>
      <c r="AI232" s="197"/>
      <c r="AJ232" s="2578"/>
      <c r="AK232" s="251"/>
      <c r="AL232" s="2578"/>
      <c r="AM232" s="2562"/>
      <c r="AN232" s="2562"/>
      <c r="AO232" s="2562"/>
      <c r="AP232" s="2562"/>
      <c r="AQ232" s="2562"/>
      <c r="AR232" s="2562"/>
      <c r="AS232" s="2562"/>
      <c r="AT232" s="252">
        <f t="shared" si="100"/>
        <v>1</v>
      </c>
      <c r="AU232" s="252">
        <f t="shared" si="101"/>
        <v>0</v>
      </c>
      <c r="AV232" s="252">
        <f t="shared" si="102"/>
        <v>0</v>
      </c>
      <c r="AW232" s="252">
        <f t="shared" si="103"/>
        <v>0</v>
      </c>
      <c r="AX232" s="252">
        <f t="shared" si="104"/>
        <v>0</v>
      </c>
      <c r="AY232" s="252">
        <f t="shared" si="105"/>
        <v>0</v>
      </c>
      <c r="AZ232" s="252">
        <f t="shared" si="106"/>
        <v>0</v>
      </c>
      <c r="BA232" s="237"/>
      <c r="BB232" s="237"/>
      <c r="BC232" s="237"/>
      <c r="BD232" s="2562"/>
      <c r="BE232" s="252">
        <f t="shared" si="107"/>
        <v>0</v>
      </c>
      <c r="BF232" s="252">
        <f t="shared" si="108"/>
        <v>0</v>
      </c>
      <c r="BG232" s="2562"/>
      <c r="BH232" s="237"/>
      <c r="BI232" s="237"/>
      <c r="BJ232" s="252">
        <f t="shared" si="109"/>
        <v>0</v>
      </c>
      <c r="BK232" s="252">
        <f t="shared" si="110"/>
        <v>0</v>
      </c>
      <c r="BL232" s="252">
        <f t="shared" si="111"/>
        <v>0</v>
      </c>
      <c r="BM232" s="252">
        <f t="shared" si="112"/>
        <v>0</v>
      </c>
      <c r="BN232" s="252">
        <f t="shared" si="113"/>
        <v>0</v>
      </c>
      <c r="BO232" s="252">
        <f t="shared" si="114"/>
        <v>1</v>
      </c>
      <c r="BP232" s="2578"/>
      <c r="BQ232" s="2562"/>
      <c r="BR232" s="2562"/>
      <c r="BS232" s="2585"/>
      <c r="BT232" s="2585"/>
      <c r="BU232" s="2585"/>
    </row>
    <row r="233" spans="1:73" s="22" customFormat="1" ht="15.75" hidden="1" customHeight="1" outlineLevel="1">
      <c r="A233" s="2585"/>
      <c r="B233" s="44" t="s">
        <v>4862</v>
      </c>
      <c r="C233" s="45" t="s">
        <v>50</v>
      </c>
      <c r="D233" s="46" t="s">
        <v>4514</v>
      </c>
      <c r="E233" s="46" t="s">
        <v>4429</v>
      </c>
      <c r="F233" s="45" t="s">
        <v>4459</v>
      </c>
      <c r="G233" s="46" t="s">
        <v>4515</v>
      </c>
      <c r="H233" s="45" t="s">
        <v>4459</v>
      </c>
      <c r="I233" s="45" t="s">
        <v>4433</v>
      </c>
      <c r="J233" s="47" t="s">
        <v>4744</v>
      </c>
      <c r="K233" s="48">
        <v>100</v>
      </c>
      <c r="L233" s="47">
        <v>52283</v>
      </c>
      <c r="M233" s="1913">
        <v>19.891666666666666</v>
      </c>
      <c r="N233" s="48">
        <v>-79.701179999999994</v>
      </c>
      <c r="O233" s="49">
        <v>-79.700999999999993</v>
      </c>
      <c r="P233" s="49">
        <v>-79.700999999999993</v>
      </c>
      <c r="Q233" s="1884">
        <f t="shared" si="115"/>
        <v>-1585.3857249999999</v>
      </c>
      <c r="R233" s="1885">
        <f t="shared" si="95"/>
        <v>-8.8270928649237357E-2</v>
      </c>
      <c r="S233" s="1885">
        <f t="shared" si="96"/>
        <v>-5.9847796741660075E-2</v>
      </c>
      <c r="T233" s="50" t="s">
        <v>4686</v>
      </c>
      <c r="U233" s="50">
        <v>3.2124E-2</v>
      </c>
      <c r="V233" s="50">
        <v>2.7659999999999998E-3</v>
      </c>
      <c r="W233" s="1885">
        <f t="shared" si="97"/>
        <v>3.4889999999999997E-2</v>
      </c>
      <c r="X233" s="1891">
        <f t="shared" si="98"/>
        <v>-2.7807678899999995</v>
      </c>
      <c r="Y233" s="1891">
        <f t="shared" si="99"/>
        <v>-2.7807678899999995</v>
      </c>
      <c r="Z233" s="50">
        <v>0</v>
      </c>
      <c r="AA233" s="50">
        <v>0</v>
      </c>
      <c r="AB233" s="48">
        <v>0</v>
      </c>
      <c r="AC233" s="48">
        <v>0</v>
      </c>
      <c r="AD233" s="48">
        <v>0</v>
      </c>
      <c r="AE233" s="45" t="s">
        <v>4517</v>
      </c>
      <c r="AF233" s="51" t="s">
        <v>4863</v>
      </c>
      <c r="AG233" s="42"/>
      <c r="AH233" s="52" t="s">
        <v>4864</v>
      </c>
      <c r="AI233" s="197"/>
      <c r="AJ233" s="2578"/>
      <c r="AK233" s="251"/>
      <c r="AL233" s="2578"/>
      <c r="AM233" s="2562"/>
      <c r="AN233" s="2562"/>
      <c r="AO233" s="2562"/>
      <c r="AP233" s="2562"/>
      <c r="AQ233" s="2562"/>
      <c r="AR233" s="2562"/>
      <c r="AS233" s="2562"/>
      <c r="AT233" s="252">
        <f t="shared" si="100"/>
        <v>1</v>
      </c>
      <c r="AU233" s="252">
        <f t="shared" si="101"/>
        <v>0</v>
      </c>
      <c r="AV233" s="252">
        <f t="shared" si="102"/>
        <v>0</v>
      </c>
      <c r="AW233" s="252">
        <f t="shared" si="103"/>
        <v>0</v>
      </c>
      <c r="AX233" s="252">
        <f t="shared" si="104"/>
        <v>0</v>
      </c>
      <c r="AY233" s="252">
        <f t="shared" si="105"/>
        <v>0</v>
      </c>
      <c r="AZ233" s="252">
        <f t="shared" si="106"/>
        <v>0</v>
      </c>
      <c r="BA233" s="237"/>
      <c r="BB233" s="237"/>
      <c r="BC233" s="237"/>
      <c r="BD233" s="2562"/>
      <c r="BE233" s="252">
        <f t="shared" si="107"/>
        <v>0</v>
      </c>
      <c r="BF233" s="252">
        <f t="shared" si="108"/>
        <v>0</v>
      </c>
      <c r="BG233" s="2562"/>
      <c r="BH233" s="237"/>
      <c r="BI233" s="237"/>
      <c r="BJ233" s="252">
        <f t="shared" si="109"/>
        <v>0</v>
      </c>
      <c r="BK233" s="252">
        <f t="shared" si="110"/>
        <v>0</v>
      </c>
      <c r="BL233" s="252">
        <f t="shared" si="111"/>
        <v>0</v>
      </c>
      <c r="BM233" s="252">
        <f t="shared" si="112"/>
        <v>0</v>
      </c>
      <c r="BN233" s="252">
        <f t="shared" si="113"/>
        <v>0</v>
      </c>
      <c r="BO233" s="252">
        <f t="shared" si="114"/>
        <v>1</v>
      </c>
      <c r="BP233" s="2578"/>
      <c r="BQ233" s="2562"/>
      <c r="BR233" s="2562"/>
      <c r="BS233" s="2585"/>
      <c r="BT233" s="2585"/>
      <c r="BU233" s="2585"/>
    </row>
    <row r="234" spans="1:73" s="22" customFormat="1" ht="15.75" hidden="1" customHeight="1" outlineLevel="1">
      <c r="A234" s="2585"/>
      <c r="B234" s="44" t="s">
        <v>4865</v>
      </c>
      <c r="C234" s="45" t="s">
        <v>50</v>
      </c>
      <c r="D234" s="46" t="s">
        <v>4514</v>
      </c>
      <c r="E234" s="46" t="s">
        <v>4429</v>
      </c>
      <c r="F234" s="45" t="s">
        <v>4459</v>
      </c>
      <c r="G234" s="46" t="s">
        <v>4515</v>
      </c>
      <c r="H234" s="45" t="s">
        <v>4459</v>
      </c>
      <c r="I234" s="45" t="s">
        <v>4433</v>
      </c>
      <c r="J234" s="47" t="s">
        <v>4744</v>
      </c>
      <c r="K234" s="48">
        <v>100</v>
      </c>
      <c r="L234" s="47">
        <v>50457</v>
      </c>
      <c r="M234" s="1913">
        <v>14.891666666666667</v>
      </c>
      <c r="N234" s="48">
        <v>-3.6994549999999999</v>
      </c>
      <c r="O234" s="49">
        <v>-3.6989999999999998</v>
      </c>
      <c r="P234" s="49">
        <v>-3.6989999999999998</v>
      </c>
      <c r="Q234" s="1884">
        <f t="shared" si="115"/>
        <v>-55.084274999999998</v>
      </c>
      <c r="R234" s="1885">
        <f t="shared" si="95"/>
        <v>-8.8270928649237357E-2</v>
      </c>
      <c r="S234" s="1885">
        <f t="shared" si="96"/>
        <v>-5.9847796741660075E-2</v>
      </c>
      <c r="T234" s="50" t="s">
        <v>4686</v>
      </c>
      <c r="U234" s="50">
        <v>3.2124E-2</v>
      </c>
      <c r="V234" s="50">
        <v>2.7659999999999998E-3</v>
      </c>
      <c r="W234" s="1885">
        <f t="shared" si="97"/>
        <v>3.4889999999999997E-2</v>
      </c>
      <c r="X234" s="1891">
        <f t="shared" si="98"/>
        <v>-0.12905810999999998</v>
      </c>
      <c r="Y234" s="1891">
        <f t="shared" si="99"/>
        <v>-0.12905810999999998</v>
      </c>
      <c r="Z234" s="50">
        <v>0</v>
      </c>
      <c r="AA234" s="50">
        <v>0</v>
      </c>
      <c r="AB234" s="48">
        <v>0</v>
      </c>
      <c r="AC234" s="48">
        <v>0</v>
      </c>
      <c r="AD234" s="48">
        <v>0</v>
      </c>
      <c r="AE234" s="45" t="s">
        <v>4517</v>
      </c>
      <c r="AF234" s="51" t="s">
        <v>4745</v>
      </c>
      <c r="AG234" s="42"/>
      <c r="AH234" s="52" t="s">
        <v>4866</v>
      </c>
      <c r="AI234" s="197"/>
      <c r="AJ234" s="2578"/>
      <c r="AK234" s="251"/>
      <c r="AL234" s="2578"/>
      <c r="AM234" s="2562"/>
      <c r="AN234" s="2562"/>
      <c r="AO234" s="2562"/>
      <c r="AP234" s="2562"/>
      <c r="AQ234" s="2562"/>
      <c r="AR234" s="2562"/>
      <c r="AS234" s="2562"/>
      <c r="AT234" s="252">
        <f t="shared" si="100"/>
        <v>1</v>
      </c>
      <c r="AU234" s="252">
        <f t="shared" si="101"/>
        <v>0</v>
      </c>
      <c r="AV234" s="252">
        <f t="shared" si="102"/>
        <v>0</v>
      </c>
      <c r="AW234" s="252">
        <f t="shared" si="103"/>
        <v>0</v>
      </c>
      <c r="AX234" s="252">
        <f t="shared" si="104"/>
        <v>0</v>
      </c>
      <c r="AY234" s="252">
        <f t="shared" si="105"/>
        <v>0</v>
      </c>
      <c r="AZ234" s="252">
        <f t="shared" si="106"/>
        <v>0</v>
      </c>
      <c r="BA234" s="237"/>
      <c r="BB234" s="237"/>
      <c r="BC234" s="237"/>
      <c r="BD234" s="2562"/>
      <c r="BE234" s="252">
        <f t="shared" si="107"/>
        <v>0</v>
      </c>
      <c r="BF234" s="252">
        <f t="shared" si="108"/>
        <v>0</v>
      </c>
      <c r="BG234" s="2562"/>
      <c r="BH234" s="237"/>
      <c r="BI234" s="237"/>
      <c r="BJ234" s="252">
        <f t="shared" si="109"/>
        <v>0</v>
      </c>
      <c r="BK234" s="252">
        <f t="shared" si="110"/>
        <v>0</v>
      </c>
      <c r="BL234" s="252">
        <f t="shared" si="111"/>
        <v>0</v>
      </c>
      <c r="BM234" s="252">
        <f t="shared" si="112"/>
        <v>0</v>
      </c>
      <c r="BN234" s="252">
        <f t="shared" si="113"/>
        <v>0</v>
      </c>
      <c r="BO234" s="252">
        <f t="shared" si="114"/>
        <v>1</v>
      </c>
      <c r="BP234" s="2578"/>
      <c r="BQ234" s="2562"/>
      <c r="BR234" s="2562"/>
      <c r="BS234" s="2585"/>
      <c r="BT234" s="2585"/>
      <c r="BU234" s="2585"/>
    </row>
    <row r="235" spans="1:73" s="22" customFormat="1" ht="15.75" hidden="1" customHeight="1" outlineLevel="1">
      <c r="A235" s="2585"/>
      <c r="B235" s="44" t="s">
        <v>4867</v>
      </c>
      <c r="C235" s="45" t="s">
        <v>50</v>
      </c>
      <c r="D235" s="46" t="s">
        <v>4514</v>
      </c>
      <c r="E235" s="46" t="s">
        <v>4429</v>
      </c>
      <c r="F235" s="45" t="s">
        <v>4459</v>
      </c>
      <c r="G235" s="46" t="s">
        <v>4515</v>
      </c>
      <c r="H235" s="45" t="s">
        <v>4459</v>
      </c>
      <c r="I235" s="45" t="s">
        <v>4433</v>
      </c>
      <c r="J235" s="47" t="s">
        <v>4744</v>
      </c>
      <c r="K235" s="48">
        <v>100</v>
      </c>
      <c r="L235" s="47">
        <v>50457</v>
      </c>
      <c r="M235" s="1913">
        <v>14.891666666666667</v>
      </c>
      <c r="N235" s="48">
        <v>-6.2695150000000002</v>
      </c>
      <c r="O235" s="49">
        <v>-6.27</v>
      </c>
      <c r="P235" s="49">
        <v>-6.27</v>
      </c>
      <c r="Q235" s="1884">
        <f t="shared" si="115"/>
        <v>-93.370750000000001</v>
      </c>
      <c r="R235" s="1885">
        <f t="shared" si="95"/>
        <v>-8.8270928649237357E-2</v>
      </c>
      <c r="S235" s="1885">
        <f t="shared" si="96"/>
        <v>-5.9847796741660075E-2</v>
      </c>
      <c r="T235" s="50" t="s">
        <v>4686</v>
      </c>
      <c r="U235" s="50">
        <v>3.2124E-2</v>
      </c>
      <c r="V235" s="50">
        <v>2.7659999999999998E-3</v>
      </c>
      <c r="W235" s="1885">
        <f t="shared" si="97"/>
        <v>3.4889999999999997E-2</v>
      </c>
      <c r="X235" s="1891">
        <f t="shared" si="98"/>
        <v>-0.21876029999999996</v>
      </c>
      <c r="Y235" s="1891">
        <f t="shared" si="99"/>
        <v>-0.21876029999999996</v>
      </c>
      <c r="Z235" s="50">
        <v>0</v>
      </c>
      <c r="AA235" s="50">
        <v>0</v>
      </c>
      <c r="AB235" s="48">
        <v>0</v>
      </c>
      <c r="AC235" s="48">
        <v>0</v>
      </c>
      <c r="AD235" s="48">
        <v>0</v>
      </c>
      <c r="AE235" s="45" t="s">
        <v>4517</v>
      </c>
      <c r="AF235" s="51" t="s">
        <v>4745</v>
      </c>
      <c r="AG235" s="42"/>
      <c r="AH235" s="52" t="s">
        <v>4868</v>
      </c>
      <c r="AI235" s="197"/>
      <c r="AJ235" s="2578"/>
      <c r="AK235" s="251"/>
      <c r="AL235" s="2578"/>
      <c r="AM235" s="2562"/>
      <c r="AN235" s="2562"/>
      <c r="AO235" s="2562"/>
      <c r="AP235" s="2562"/>
      <c r="AQ235" s="2562"/>
      <c r="AR235" s="2562"/>
      <c r="AS235" s="2562"/>
      <c r="AT235" s="252">
        <f t="shared" si="100"/>
        <v>1</v>
      </c>
      <c r="AU235" s="252">
        <f t="shared" si="101"/>
        <v>0</v>
      </c>
      <c r="AV235" s="252">
        <f t="shared" si="102"/>
        <v>0</v>
      </c>
      <c r="AW235" s="252">
        <f t="shared" si="103"/>
        <v>0</v>
      </c>
      <c r="AX235" s="252">
        <f t="shared" si="104"/>
        <v>0</v>
      </c>
      <c r="AY235" s="252">
        <f t="shared" si="105"/>
        <v>0</v>
      </c>
      <c r="AZ235" s="252">
        <f t="shared" si="106"/>
        <v>0</v>
      </c>
      <c r="BA235" s="237"/>
      <c r="BB235" s="237"/>
      <c r="BC235" s="237"/>
      <c r="BD235" s="2562"/>
      <c r="BE235" s="252">
        <f t="shared" si="107"/>
        <v>0</v>
      </c>
      <c r="BF235" s="252">
        <f t="shared" si="108"/>
        <v>0</v>
      </c>
      <c r="BG235" s="2562"/>
      <c r="BH235" s="237"/>
      <c r="BI235" s="237"/>
      <c r="BJ235" s="252">
        <f t="shared" si="109"/>
        <v>0</v>
      </c>
      <c r="BK235" s="252">
        <f t="shared" si="110"/>
        <v>0</v>
      </c>
      <c r="BL235" s="252">
        <f t="shared" si="111"/>
        <v>0</v>
      </c>
      <c r="BM235" s="252">
        <f t="shared" si="112"/>
        <v>0</v>
      </c>
      <c r="BN235" s="252">
        <f t="shared" si="113"/>
        <v>0</v>
      </c>
      <c r="BO235" s="252">
        <f t="shared" si="114"/>
        <v>1</v>
      </c>
      <c r="BP235" s="2578"/>
      <c r="BQ235" s="2562"/>
      <c r="BR235" s="2562"/>
      <c r="BS235" s="2585"/>
      <c r="BT235" s="2585"/>
      <c r="BU235" s="2585"/>
    </row>
    <row r="236" spans="1:73" s="22" customFormat="1" ht="15.75" hidden="1" customHeight="1" outlineLevel="1">
      <c r="A236" s="2585"/>
      <c r="B236" s="44" t="s">
        <v>4869</v>
      </c>
      <c r="C236" s="45" t="s">
        <v>50</v>
      </c>
      <c r="D236" s="46" t="s">
        <v>4514</v>
      </c>
      <c r="E236" s="46" t="s">
        <v>4429</v>
      </c>
      <c r="F236" s="45" t="s">
        <v>4459</v>
      </c>
      <c r="G236" s="46" t="s">
        <v>4515</v>
      </c>
      <c r="H236" s="45" t="s">
        <v>4459</v>
      </c>
      <c r="I236" s="45" t="s">
        <v>4433</v>
      </c>
      <c r="J236" s="47" t="s">
        <v>4744</v>
      </c>
      <c r="K236" s="48">
        <v>100</v>
      </c>
      <c r="L236" s="47">
        <v>57762</v>
      </c>
      <c r="M236" s="1913">
        <v>34.891666666666666</v>
      </c>
      <c r="N236" s="48">
        <v>-15.42</v>
      </c>
      <c r="O236" s="49">
        <v>-15.42</v>
      </c>
      <c r="P236" s="49">
        <v>-15.42</v>
      </c>
      <c r="Q236" s="1884">
        <f t="shared" si="115"/>
        <v>-538.02949999999998</v>
      </c>
      <c r="R236" s="1885">
        <f t="shared" si="95"/>
        <v>-8.8270928649237357E-2</v>
      </c>
      <c r="S236" s="1885">
        <f t="shared" si="96"/>
        <v>-5.9847796741660075E-2</v>
      </c>
      <c r="T236" s="50" t="s">
        <v>4686</v>
      </c>
      <c r="U236" s="50">
        <v>3.2124E-2</v>
      </c>
      <c r="V236" s="50">
        <v>2.7659999999999998E-3</v>
      </c>
      <c r="W236" s="1885">
        <f t="shared" si="97"/>
        <v>3.4889999999999997E-2</v>
      </c>
      <c r="X236" s="1891">
        <f t="shared" si="98"/>
        <v>-0.53800379999999992</v>
      </c>
      <c r="Y236" s="1891">
        <f t="shared" si="99"/>
        <v>-0.53800379999999992</v>
      </c>
      <c r="Z236" s="50">
        <v>0</v>
      </c>
      <c r="AA236" s="50">
        <v>0</v>
      </c>
      <c r="AB236" s="48">
        <v>0</v>
      </c>
      <c r="AC236" s="48">
        <v>0</v>
      </c>
      <c r="AD236" s="48">
        <v>0</v>
      </c>
      <c r="AE236" s="45" t="s">
        <v>4517</v>
      </c>
      <c r="AF236" s="51" t="s">
        <v>4791</v>
      </c>
      <c r="AG236" s="42"/>
      <c r="AH236" s="52" t="s">
        <v>4870</v>
      </c>
      <c r="AI236" s="197"/>
      <c r="AJ236" s="2578"/>
      <c r="AK236" s="251"/>
      <c r="AL236" s="2578"/>
      <c r="AM236" s="2562"/>
      <c r="AN236" s="2562"/>
      <c r="AO236" s="2562"/>
      <c r="AP236" s="2562"/>
      <c r="AQ236" s="2562"/>
      <c r="AR236" s="2562"/>
      <c r="AS236" s="2562"/>
      <c r="AT236" s="252">
        <f t="shared" si="100"/>
        <v>1</v>
      </c>
      <c r="AU236" s="252">
        <f t="shared" si="101"/>
        <v>0</v>
      </c>
      <c r="AV236" s="252">
        <f t="shared" si="102"/>
        <v>0</v>
      </c>
      <c r="AW236" s="252">
        <f t="shared" si="103"/>
        <v>0</v>
      </c>
      <c r="AX236" s="252">
        <f t="shared" si="104"/>
        <v>0</v>
      </c>
      <c r="AY236" s="252">
        <f t="shared" si="105"/>
        <v>0</v>
      </c>
      <c r="AZ236" s="252">
        <f t="shared" si="106"/>
        <v>0</v>
      </c>
      <c r="BA236" s="237"/>
      <c r="BB236" s="237"/>
      <c r="BC236" s="237"/>
      <c r="BD236" s="2562"/>
      <c r="BE236" s="252">
        <f t="shared" si="107"/>
        <v>0</v>
      </c>
      <c r="BF236" s="252">
        <f t="shared" si="108"/>
        <v>0</v>
      </c>
      <c r="BG236" s="2562"/>
      <c r="BH236" s="237"/>
      <c r="BI236" s="237"/>
      <c r="BJ236" s="252">
        <f t="shared" si="109"/>
        <v>0</v>
      </c>
      <c r="BK236" s="252">
        <f t="shared" si="110"/>
        <v>0</v>
      </c>
      <c r="BL236" s="252">
        <f t="shared" si="111"/>
        <v>0</v>
      </c>
      <c r="BM236" s="252">
        <f t="shared" si="112"/>
        <v>0</v>
      </c>
      <c r="BN236" s="252">
        <f t="shared" si="113"/>
        <v>0</v>
      </c>
      <c r="BO236" s="252">
        <f t="shared" si="114"/>
        <v>1</v>
      </c>
      <c r="BP236" s="2578"/>
      <c r="BQ236" s="2562"/>
      <c r="BR236" s="2562"/>
      <c r="BS236" s="2585"/>
      <c r="BT236" s="2585"/>
      <c r="BU236" s="2585"/>
    </row>
    <row r="237" spans="1:73" s="22" customFormat="1" ht="15.75" hidden="1" customHeight="1" outlineLevel="1">
      <c r="A237" s="2585"/>
      <c r="B237" s="44" t="s">
        <v>4871</v>
      </c>
      <c r="C237" s="45" t="s">
        <v>50</v>
      </c>
      <c r="D237" s="46" t="s">
        <v>4514</v>
      </c>
      <c r="E237" s="46" t="s">
        <v>4429</v>
      </c>
      <c r="F237" s="45" t="s">
        <v>4459</v>
      </c>
      <c r="G237" s="46" t="s">
        <v>4515</v>
      </c>
      <c r="H237" s="45" t="s">
        <v>4459</v>
      </c>
      <c r="I237" s="45" t="s">
        <v>4433</v>
      </c>
      <c r="J237" s="47" t="s">
        <v>4744</v>
      </c>
      <c r="K237" s="48">
        <v>100</v>
      </c>
      <c r="L237" s="47">
        <v>59588</v>
      </c>
      <c r="M237" s="1913">
        <v>39.891666666666666</v>
      </c>
      <c r="N237" s="48">
        <v>-15.66</v>
      </c>
      <c r="O237" s="49">
        <v>-15.66</v>
      </c>
      <c r="P237" s="49">
        <v>-15.66</v>
      </c>
      <c r="Q237" s="1884">
        <f t="shared" si="115"/>
        <v>-624.70349999999996</v>
      </c>
      <c r="R237" s="1885">
        <f t="shared" si="95"/>
        <v>-8.8270928649237357E-2</v>
      </c>
      <c r="S237" s="1885">
        <f t="shared" si="96"/>
        <v>-5.9847796741660075E-2</v>
      </c>
      <c r="T237" s="50" t="s">
        <v>4686</v>
      </c>
      <c r="U237" s="50">
        <v>3.2124E-2</v>
      </c>
      <c r="V237" s="50">
        <v>2.7659999999999998E-3</v>
      </c>
      <c r="W237" s="1885">
        <f t="shared" si="97"/>
        <v>3.4889999999999997E-2</v>
      </c>
      <c r="X237" s="1891">
        <f t="shared" si="98"/>
        <v>-0.54637740000000001</v>
      </c>
      <c r="Y237" s="1891">
        <f t="shared" si="99"/>
        <v>-0.54637740000000001</v>
      </c>
      <c r="Z237" s="50">
        <v>0</v>
      </c>
      <c r="AA237" s="50">
        <v>0</v>
      </c>
      <c r="AB237" s="48">
        <v>0</v>
      </c>
      <c r="AC237" s="48">
        <v>0</v>
      </c>
      <c r="AD237" s="48">
        <v>0</v>
      </c>
      <c r="AE237" s="45" t="s">
        <v>4517</v>
      </c>
      <c r="AF237" s="51" t="s">
        <v>4791</v>
      </c>
      <c r="AG237" s="42"/>
      <c r="AH237" s="52" t="s">
        <v>4872</v>
      </c>
      <c r="AI237" s="197"/>
      <c r="AJ237" s="2578"/>
      <c r="AK237" s="251"/>
      <c r="AL237" s="2578"/>
      <c r="AM237" s="2562"/>
      <c r="AN237" s="2562"/>
      <c r="AO237" s="2562"/>
      <c r="AP237" s="2562"/>
      <c r="AQ237" s="2562"/>
      <c r="AR237" s="2562"/>
      <c r="AS237" s="2562"/>
      <c r="AT237" s="252">
        <f t="shared" si="100"/>
        <v>1</v>
      </c>
      <c r="AU237" s="252">
        <f t="shared" si="101"/>
        <v>0</v>
      </c>
      <c r="AV237" s="252">
        <f t="shared" si="102"/>
        <v>0</v>
      </c>
      <c r="AW237" s="252">
        <f t="shared" si="103"/>
        <v>0</v>
      </c>
      <c r="AX237" s="252">
        <f t="shared" si="104"/>
        <v>0</v>
      </c>
      <c r="AY237" s="252">
        <f t="shared" si="105"/>
        <v>0</v>
      </c>
      <c r="AZ237" s="252">
        <f t="shared" si="106"/>
        <v>0</v>
      </c>
      <c r="BA237" s="237"/>
      <c r="BB237" s="237"/>
      <c r="BC237" s="237"/>
      <c r="BD237" s="2562"/>
      <c r="BE237" s="252">
        <f t="shared" si="107"/>
        <v>0</v>
      </c>
      <c r="BF237" s="252">
        <f t="shared" si="108"/>
        <v>0</v>
      </c>
      <c r="BG237" s="2562"/>
      <c r="BH237" s="237"/>
      <c r="BI237" s="237"/>
      <c r="BJ237" s="252">
        <f t="shared" si="109"/>
        <v>0</v>
      </c>
      <c r="BK237" s="252">
        <f t="shared" si="110"/>
        <v>0</v>
      </c>
      <c r="BL237" s="252">
        <f t="shared" si="111"/>
        <v>0</v>
      </c>
      <c r="BM237" s="252">
        <f t="shared" si="112"/>
        <v>0</v>
      </c>
      <c r="BN237" s="252">
        <f t="shared" si="113"/>
        <v>0</v>
      </c>
      <c r="BO237" s="252">
        <f t="shared" si="114"/>
        <v>1</v>
      </c>
      <c r="BP237" s="2578"/>
      <c r="BQ237" s="2562"/>
      <c r="BR237" s="2562"/>
      <c r="BS237" s="2585"/>
      <c r="BT237" s="2585"/>
      <c r="BU237" s="2585"/>
    </row>
    <row r="238" spans="1:73" s="22" customFormat="1" ht="15.75" hidden="1" customHeight="1" outlineLevel="1">
      <c r="A238" s="2585"/>
      <c r="B238" s="44" t="s">
        <v>4873</v>
      </c>
      <c r="C238" s="45" t="s">
        <v>50</v>
      </c>
      <c r="D238" s="46" t="s">
        <v>4514</v>
      </c>
      <c r="E238" s="46" t="s">
        <v>4429</v>
      </c>
      <c r="F238" s="45" t="s">
        <v>4459</v>
      </c>
      <c r="G238" s="46" t="s">
        <v>4515</v>
      </c>
      <c r="H238" s="45" t="s">
        <v>4459</v>
      </c>
      <c r="I238" s="45" t="s">
        <v>4433</v>
      </c>
      <c r="J238" s="47" t="s">
        <v>4744</v>
      </c>
      <c r="K238" s="48">
        <v>100</v>
      </c>
      <c r="L238" s="47">
        <v>57762</v>
      </c>
      <c r="M238" s="1913">
        <v>34.891666666666666</v>
      </c>
      <c r="N238" s="48">
        <v>-12.85</v>
      </c>
      <c r="O238" s="49">
        <v>-12.85</v>
      </c>
      <c r="P238" s="49">
        <v>-12.85</v>
      </c>
      <c r="Q238" s="1884">
        <f t="shared" si="115"/>
        <v>-448.35791666666665</v>
      </c>
      <c r="R238" s="1885">
        <f t="shared" si="95"/>
        <v>-8.8270928649237357E-2</v>
      </c>
      <c r="S238" s="1885">
        <f t="shared" si="96"/>
        <v>-5.9847796741660075E-2</v>
      </c>
      <c r="T238" s="50" t="s">
        <v>4686</v>
      </c>
      <c r="U238" s="50">
        <v>3.2124E-2</v>
      </c>
      <c r="V238" s="50">
        <v>2.7659999999999998E-3</v>
      </c>
      <c r="W238" s="1885">
        <f t="shared" si="97"/>
        <v>3.4889999999999997E-2</v>
      </c>
      <c r="X238" s="1891">
        <f t="shared" si="98"/>
        <v>-0.44833649999999997</v>
      </c>
      <c r="Y238" s="1891">
        <f t="shared" si="99"/>
        <v>-0.44833649999999997</v>
      </c>
      <c r="Z238" s="50">
        <v>0</v>
      </c>
      <c r="AA238" s="50">
        <v>0</v>
      </c>
      <c r="AB238" s="48">
        <v>0</v>
      </c>
      <c r="AC238" s="48">
        <v>0</v>
      </c>
      <c r="AD238" s="48">
        <v>0</v>
      </c>
      <c r="AE238" s="45" t="s">
        <v>4517</v>
      </c>
      <c r="AF238" s="51" t="s">
        <v>4874</v>
      </c>
      <c r="AG238" s="42"/>
      <c r="AH238" s="52" t="s">
        <v>4875</v>
      </c>
      <c r="AI238" s="197"/>
      <c r="AJ238" s="2578"/>
      <c r="AK238" s="251"/>
      <c r="AL238" s="2578"/>
      <c r="AM238" s="2562"/>
      <c r="AN238" s="2562"/>
      <c r="AO238" s="2562"/>
      <c r="AP238" s="2562"/>
      <c r="AQ238" s="2562"/>
      <c r="AR238" s="2562"/>
      <c r="AS238" s="2562"/>
      <c r="AT238" s="252">
        <f t="shared" si="100"/>
        <v>1</v>
      </c>
      <c r="AU238" s="252">
        <f t="shared" si="101"/>
        <v>0</v>
      </c>
      <c r="AV238" s="252">
        <f t="shared" si="102"/>
        <v>0</v>
      </c>
      <c r="AW238" s="252">
        <f t="shared" si="103"/>
        <v>0</v>
      </c>
      <c r="AX238" s="252">
        <f t="shared" si="104"/>
        <v>0</v>
      </c>
      <c r="AY238" s="252">
        <f t="shared" si="105"/>
        <v>0</v>
      </c>
      <c r="AZ238" s="252">
        <f t="shared" si="106"/>
        <v>0</v>
      </c>
      <c r="BA238" s="237"/>
      <c r="BB238" s="237"/>
      <c r="BC238" s="237"/>
      <c r="BD238" s="2562"/>
      <c r="BE238" s="252">
        <f t="shared" si="107"/>
        <v>0</v>
      </c>
      <c r="BF238" s="252">
        <f t="shared" si="108"/>
        <v>0</v>
      </c>
      <c r="BG238" s="2562"/>
      <c r="BH238" s="237"/>
      <c r="BI238" s="237"/>
      <c r="BJ238" s="252">
        <f t="shared" si="109"/>
        <v>0</v>
      </c>
      <c r="BK238" s="252">
        <f t="shared" si="110"/>
        <v>0</v>
      </c>
      <c r="BL238" s="252">
        <f t="shared" si="111"/>
        <v>0</v>
      </c>
      <c r="BM238" s="252">
        <f t="shared" si="112"/>
        <v>0</v>
      </c>
      <c r="BN238" s="252">
        <f t="shared" si="113"/>
        <v>0</v>
      </c>
      <c r="BO238" s="252">
        <f t="shared" si="114"/>
        <v>1</v>
      </c>
      <c r="BP238" s="2578"/>
      <c r="BQ238" s="2562"/>
      <c r="BR238" s="2562"/>
      <c r="BS238" s="2585"/>
      <c r="BT238" s="2585"/>
      <c r="BU238" s="2585"/>
    </row>
    <row r="239" spans="1:73" s="22" customFormat="1" ht="15.75" hidden="1" customHeight="1" outlineLevel="1">
      <c r="A239" s="2585"/>
      <c r="B239" s="44" t="s">
        <v>4876</v>
      </c>
      <c r="C239" s="45" t="s">
        <v>50</v>
      </c>
      <c r="D239" s="46" t="s">
        <v>4514</v>
      </c>
      <c r="E239" s="46" t="s">
        <v>4429</v>
      </c>
      <c r="F239" s="45" t="s">
        <v>4459</v>
      </c>
      <c r="G239" s="46" t="s">
        <v>4515</v>
      </c>
      <c r="H239" s="45" t="s">
        <v>4459</v>
      </c>
      <c r="I239" s="45" t="s">
        <v>4433</v>
      </c>
      <c r="J239" s="47" t="s">
        <v>4744</v>
      </c>
      <c r="K239" s="48">
        <v>100</v>
      </c>
      <c r="L239" s="47">
        <v>59588</v>
      </c>
      <c r="M239" s="1913">
        <v>39.891666666666666</v>
      </c>
      <c r="N239" s="48">
        <v>-13.05</v>
      </c>
      <c r="O239" s="49">
        <v>-13.05</v>
      </c>
      <c r="P239" s="49">
        <v>-13.05</v>
      </c>
      <c r="Q239" s="1884">
        <f t="shared" si="115"/>
        <v>-520.58625000000006</v>
      </c>
      <c r="R239" s="1885">
        <f t="shared" si="95"/>
        <v>-8.8270928649237357E-2</v>
      </c>
      <c r="S239" s="1885">
        <f t="shared" si="96"/>
        <v>-5.9847796741660075E-2</v>
      </c>
      <c r="T239" s="50" t="s">
        <v>4686</v>
      </c>
      <c r="U239" s="50">
        <v>3.2124E-2</v>
      </c>
      <c r="V239" s="50">
        <v>2.7659999999999998E-3</v>
      </c>
      <c r="W239" s="1885">
        <f t="shared" si="97"/>
        <v>3.4889999999999997E-2</v>
      </c>
      <c r="X239" s="1891">
        <f t="shared" si="98"/>
        <v>-0.45531450000000001</v>
      </c>
      <c r="Y239" s="1891">
        <f t="shared" si="99"/>
        <v>-0.45531450000000001</v>
      </c>
      <c r="Z239" s="50">
        <v>0</v>
      </c>
      <c r="AA239" s="50">
        <v>0</v>
      </c>
      <c r="AB239" s="48">
        <v>0</v>
      </c>
      <c r="AC239" s="48">
        <v>0</v>
      </c>
      <c r="AD239" s="48">
        <v>0</v>
      </c>
      <c r="AE239" s="45" t="s">
        <v>4517</v>
      </c>
      <c r="AF239" s="51" t="s">
        <v>4874</v>
      </c>
      <c r="AG239" s="42"/>
      <c r="AH239" s="52" t="s">
        <v>4877</v>
      </c>
      <c r="AI239" s="197"/>
      <c r="AJ239" s="2578"/>
      <c r="AK239" s="251"/>
      <c r="AL239" s="2578"/>
      <c r="AM239" s="2562"/>
      <c r="AN239" s="2562"/>
      <c r="AO239" s="2562"/>
      <c r="AP239" s="2562"/>
      <c r="AQ239" s="2562"/>
      <c r="AR239" s="2562"/>
      <c r="AS239" s="2562"/>
      <c r="AT239" s="252">
        <f t="shared" si="100"/>
        <v>1</v>
      </c>
      <c r="AU239" s="252">
        <f t="shared" si="101"/>
        <v>0</v>
      </c>
      <c r="AV239" s="252">
        <f t="shared" si="102"/>
        <v>0</v>
      </c>
      <c r="AW239" s="252">
        <f t="shared" si="103"/>
        <v>0</v>
      </c>
      <c r="AX239" s="252">
        <f t="shared" si="104"/>
        <v>0</v>
      </c>
      <c r="AY239" s="252">
        <f t="shared" si="105"/>
        <v>0</v>
      </c>
      <c r="AZ239" s="252">
        <f t="shared" si="106"/>
        <v>0</v>
      </c>
      <c r="BA239" s="237"/>
      <c r="BB239" s="237"/>
      <c r="BC239" s="237"/>
      <c r="BD239" s="2562"/>
      <c r="BE239" s="252">
        <f t="shared" si="107"/>
        <v>0</v>
      </c>
      <c r="BF239" s="252">
        <f t="shared" si="108"/>
        <v>0</v>
      </c>
      <c r="BG239" s="2562"/>
      <c r="BH239" s="237"/>
      <c r="BI239" s="237"/>
      <c r="BJ239" s="252">
        <f t="shared" si="109"/>
        <v>0</v>
      </c>
      <c r="BK239" s="252">
        <f t="shared" si="110"/>
        <v>0</v>
      </c>
      <c r="BL239" s="252">
        <f t="shared" si="111"/>
        <v>0</v>
      </c>
      <c r="BM239" s="252">
        <f t="shared" si="112"/>
        <v>0</v>
      </c>
      <c r="BN239" s="252">
        <f t="shared" si="113"/>
        <v>0</v>
      </c>
      <c r="BO239" s="252">
        <f t="shared" si="114"/>
        <v>1</v>
      </c>
      <c r="BP239" s="2578"/>
      <c r="BQ239" s="2562"/>
      <c r="BR239" s="2562"/>
      <c r="BS239" s="2585"/>
      <c r="BT239" s="2585"/>
      <c r="BU239" s="2585"/>
    </row>
    <row r="240" spans="1:73" s="22" customFormat="1" ht="15.75" hidden="1" customHeight="1" outlineLevel="1">
      <c r="A240" s="2585"/>
      <c r="B240" s="44" t="s">
        <v>4878</v>
      </c>
      <c r="C240" s="45" t="s">
        <v>50</v>
      </c>
      <c r="D240" s="46" t="s">
        <v>4514</v>
      </c>
      <c r="E240" s="46" t="s">
        <v>4429</v>
      </c>
      <c r="F240" s="45" t="s">
        <v>4459</v>
      </c>
      <c r="G240" s="46" t="s">
        <v>4515</v>
      </c>
      <c r="H240" s="45" t="s">
        <v>4459</v>
      </c>
      <c r="I240" s="45" t="s">
        <v>4433</v>
      </c>
      <c r="J240" s="47" t="s">
        <v>4744</v>
      </c>
      <c r="K240" s="48">
        <v>100</v>
      </c>
      <c r="L240" s="47">
        <v>50457</v>
      </c>
      <c r="M240" s="1913">
        <v>14.891666666666667</v>
      </c>
      <c r="N240" s="48">
        <v>-12.85</v>
      </c>
      <c r="O240" s="49">
        <v>-12.85</v>
      </c>
      <c r="P240" s="49">
        <v>-12.85</v>
      </c>
      <c r="Q240" s="1884">
        <f t="shared" si="115"/>
        <v>-191.35791666666668</v>
      </c>
      <c r="R240" s="1885">
        <f t="shared" si="95"/>
        <v>-8.8270928649237357E-2</v>
      </c>
      <c r="S240" s="1885">
        <f t="shared" si="96"/>
        <v>-5.9847796741660075E-2</v>
      </c>
      <c r="T240" s="50" t="s">
        <v>4686</v>
      </c>
      <c r="U240" s="50">
        <v>3.2124E-2</v>
      </c>
      <c r="V240" s="50">
        <v>2.7659999999999998E-3</v>
      </c>
      <c r="W240" s="1885">
        <f t="shared" si="97"/>
        <v>3.4889999999999997E-2</v>
      </c>
      <c r="X240" s="1891">
        <f t="shared" si="98"/>
        <v>-0.44833649999999997</v>
      </c>
      <c r="Y240" s="1891">
        <f t="shared" si="99"/>
        <v>-0.44833649999999997</v>
      </c>
      <c r="Z240" s="50">
        <v>0</v>
      </c>
      <c r="AA240" s="50">
        <v>0</v>
      </c>
      <c r="AB240" s="48">
        <v>0</v>
      </c>
      <c r="AC240" s="48">
        <v>0</v>
      </c>
      <c r="AD240" s="48">
        <v>0</v>
      </c>
      <c r="AE240" s="45" t="s">
        <v>4517</v>
      </c>
      <c r="AF240" s="51" t="s">
        <v>4745</v>
      </c>
      <c r="AG240" s="42"/>
      <c r="AH240" s="52" t="s">
        <v>4879</v>
      </c>
      <c r="AI240" s="197"/>
      <c r="AJ240" s="2578"/>
      <c r="AK240" s="251"/>
      <c r="AL240" s="2578"/>
      <c r="AM240" s="2562"/>
      <c r="AN240" s="2562"/>
      <c r="AO240" s="2562"/>
      <c r="AP240" s="2562"/>
      <c r="AQ240" s="2562"/>
      <c r="AR240" s="2562"/>
      <c r="AS240" s="2562"/>
      <c r="AT240" s="252">
        <f t="shared" si="100"/>
        <v>1</v>
      </c>
      <c r="AU240" s="252">
        <f t="shared" si="101"/>
        <v>0</v>
      </c>
      <c r="AV240" s="252">
        <f t="shared" si="102"/>
        <v>0</v>
      </c>
      <c r="AW240" s="252">
        <f t="shared" si="103"/>
        <v>0</v>
      </c>
      <c r="AX240" s="252">
        <f t="shared" si="104"/>
        <v>0</v>
      </c>
      <c r="AY240" s="252">
        <f t="shared" si="105"/>
        <v>0</v>
      </c>
      <c r="AZ240" s="252">
        <f t="shared" si="106"/>
        <v>0</v>
      </c>
      <c r="BA240" s="237"/>
      <c r="BB240" s="237"/>
      <c r="BC240" s="237"/>
      <c r="BD240" s="2562"/>
      <c r="BE240" s="252">
        <f t="shared" si="107"/>
        <v>0</v>
      </c>
      <c r="BF240" s="252">
        <f t="shared" si="108"/>
        <v>0</v>
      </c>
      <c r="BG240" s="2562"/>
      <c r="BH240" s="237"/>
      <c r="BI240" s="237"/>
      <c r="BJ240" s="252">
        <f t="shared" si="109"/>
        <v>0</v>
      </c>
      <c r="BK240" s="252">
        <f t="shared" si="110"/>
        <v>0</v>
      </c>
      <c r="BL240" s="252">
        <f t="shared" si="111"/>
        <v>0</v>
      </c>
      <c r="BM240" s="252">
        <f t="shared" si="112"/>
        <v>0</v>
      </c>
      <c r="BN240" s="252">
        <f t="shared" si="113"/>
        <v>0</v>
      </c>
      <c r="BO240" s="252">
        <f t="shared" si="114"/>
        <v>1</v>
      </c>
      <c r="BP240" s="2578"/>
      <c r="BQ240" s="2562"/>
      <c r="BR240" s="2562"/>
      <c r="BS240" s="2585"/>
      <c r="BT240" s="2585"/>
      <c r="BU240" s="2585"/>
    </row>
    <row r="241" spans="1:73" s="22" customFormat="1" ht="15.75" hidden="1" customHeight="1" outlineLevel="1">
      <c r="A241" s="2585"/>
      <c r="B241" s="44" t="s">
        <v>4880</v>
      </c>
      <c r="C241" s="45" t="s">
        <v>50</v>
      </c>
      <c r="D241" s="46" t="s">
        <v>4514</v>
      </c>
      <c r="E241" s="46" t="s">
        <v>4429</v>
      </c>
      <c r="F241" s="45" t="s">
        <v>4459</v>
      </c>
      <c r="G241" s="46" t="s">
        <v>4515</v>
      </c>
      <c r="H241" s="45" t="s">
        <v>4459</v>
      </c>
      <c r="I241" s="45" t="s">
        <v>4433</v>
      </c>
      <c r="J241" s="47" t="s">
        <v>4744</v>
      </c>
      <c r="K241" s="48">
        <v>100</v>
      </c>
      <c r="L241" s="47">
        <v>52283</v>
      </c>
      <c r="M241" s="1913">
        <v>19.891666666666666</v>
      </c>
      <c r="N241" s="48">
        <v>-12.85</v>
      </c>
      <c r="O241" s="49">
        <v>-12.85</v>
      </c>
      <c r="P241" s="49">
        <v>-12.85</v>
      </c>
      <c r="Q241" s="1884">
        <f t="shared" si="115"/>
        <v>-255.60791666666665</v>
      </c>
      <c r="R241" s="1885">
        <f t="shared" si="95"/>
        <v>-8.8270928649237357E-2</v>
      </c>
      <c r="S241" s="1885">
        <f t="shared" si="96"/>
        <v>-5.9847796741660075E-2</v>
      </c>
      <c r="T241" s="50" t="s">
        <v>4686</v>
      </c>
      <c r="U241" s="50">
        <v>3.2124E-2</v>
      </c>
      <c r="V241" s="50">
        <v>2.7659999999999998E-3</v>
      </c>
      <c r="W241" s="1885">
        <f t="shared" si="97"/>
        <v>3.4889999999999997E-2</v>
      </c>
      <c r="X241" s="1891">
        <f t="shared" si="98"/>
        <v>-0.44833649999999997</v>
      </c>
      <c r="Y241" s="1891">
        <f t="shared" si="99"/>
        <v>-0.44833649999999997</v>
      </c>
      <c r="Z241" s="50">
        <v>0</v>
      </c>
      <c r="AA241" s="50">
        <v>0</v>
      </c>
      <c r="AB241" s="48">
        <v>0</v>
      </c>
      <c r="AC241" s="48">
        <v>0</v>
      </c>
      <c r="AD241" s="48">
        <v>0</v>
      </c>
      <c r="AE241" s="45" t="s">
        <v>4517</v>
      </c>
      <c r="AF241" s="51" t="s">
        <v>4745</v>
      </c>
      <c r="AG241" s="42"/>
      <c r="AH241" s="52" t="s">
        <v>4881</v>
      </c>
      <c r="AI241" s="197"/>
      <c r="AJ241" s="2578"/>
      <c r="AK241" s="251"/>
      <c r="AL241" s="2578"/>
      <c r="AM241" s="2562"/>
      <c r="AN241" s="2562"/>
      <c r="AO241" s="2562"/>
      <c r="AP241" s="2562"/>
      <c r="AQ241" s="2562"/>
      <c r="AR241" s="2562"/>
      <c r="AS241" s="2562"/>
      <c r="AT241" s="252">
        <f t="shared" si="100"/>
        <v>1</v>
      </c>
      <c r="AU241" s="252">
        <f t="shared" si="101"/>
        <v>0</v>
      </c>
      <c r="AV241" s="252">
        <f t="shared" si="102"/>
        <v>0</v>
      </c>
      <c r="AW241" s="252">
        <f t="shared" si="103"/>
        <v>0</v>
      </c>
      <c r="AX241" s="252">
        <f t="shared" si="104"/>
        <v>0</v>
      </c>
      <c r="AY241" s="252">
        <f t="shared" si="105"/>
        <v>0</v>
      </c>
      <c r="AZ241" s="252">
        <f t="shared" si="106"/>
        <v>0</v>
      </c>
      <c r="BA241" s="237"/>
      <c r="BB241" s="237"/>
      <c r="BC241" s="237"/>
      <c r="BD241" s="2562"/>
      <c r="BE241" s="252">
        <f t="shared" si="107"/>
        <v>0</v>
      </c>
      <c r="BF241" s="252">
        <f t="shared" si="108"/>
        <v>0</v>
      </c>
      <c r="BG241" s="2562"/>
      <c r="BH241" s="237"/>
      <c r="BI241" s="237"/>
      <c r="BJ241" s="252">
        <f t="shared" si="109"/>
        <v>0</v>
      </c>
      <c r="BK241" s="252">
        <f t="shared" si="110"/>
        <v>0</v>
      </c>
      <c r="BL241" s="252">
        <f t="shared" si="111"/>
        <v>0</v>
      </c>
      <c r="BM241" s="252">
        <f t="shared" si="112"/>
        <v>0</v>
      </c>
      <c r="BN241" s="252">
        <f t="shared" si="113"/>
        <v>0</v>
      </c>
      <c r="BO241" s="252">
        <f t="shared" si="114"/>
        <v>1</v>
      </c>
      <c r="BP241" s="2578"/>
      <c r="BQ241" s="2562"/>
      <c r="BR241" s="2562"/>
      <c r="BS241" s="2585"/>
      <c r="BT241" s="2585"/>
      <c r="BU241" s="2585"/>
    </row>
    <row r="242" spans="1:73" s="22" customFormat="1" ht="15.75" hidden="1" customHeight="1" outlineLevel="1">
      <c r="A242" s="2585"/>
      <c r="B242" s="44" t="s">
        <v>4882</v>
      </c>
      <c r="C242" s="45" t="s">
        <v>50</v>
      </c>
      <c r="D242" s="46" t="s">
        <v>4514</v>
      </c>
      <c r="E242" s="46" t="s">
        <v>4429</v>
      </c>
      <c r="F242" s="45" t="s">
        <v>4459</v>
      </c>
      <c r="G242" s="46" t="s">
        <v>4515</v>
      </c>
      <c r="H242" s="45" t="s">
        <v>4459</v>
      </c>
      <c r="I242" s="45" t="s">
        <v>4433</v>
      </c>
      <c r="J242" s="47" t="s">
        <v>4744</v>
      </c>
      <c r="K242" s="48">
        <v>100</v>
      </c>
      <c r="L242" s="47">
        <v>54109</v>
      </c>
      <c r="M242" s="1913">
        <v>24.891666666666666</v>
      </c>
      <c r="N242" s="48">
        <v>-5.1134700000000004</v>
      </c>
      <c r="O242" s="49">
        <v>-5.1130000000000004</v>
      </c>
      <c r="P242" s="49">
        <v>-5.1130000000000004</v>
      </c>
      <c r="Q242" s="1884">
        <f t="shared" si="115"/>
        <v>-127.27109166666668</v>
      </c>
      <c r="R242" s="1885">
        <f t="shared" si="95"/>
        <v>-8.8270928649237357E-2</v>
      </c>
      <c r="S242" s="1885">
        <f t="shared" si="96"/>
        <v>-5.9847796741660075E-2</v>
      </c>
      <c r="T242" s="50" t="s">
        <v>4686</v>
      </c>
      <c r="U242" s="50">
        <v>3.2124E-2</v>
      </c>
      <c r="V242" s="50">
        <v>2.7659999999999998E-3</v>
      </c>
      <c r="W242" s="1885">
        <f t="shared" si="97"/>
        <v>3.4889999999999997E-2</v>
      </c>
      <c r="X242" s="1891">
        <f t="shared" si="98"/>
        <v>-0.17839257</v>
      </c>
      <c r="Y242" s="1891">
        <f t="shared" si="99"/>
        <v>-0.17839257</v>
      </c>
      <c r="Z242" s="50">
        <v>0</v>
      </c>
      <c r="AA242" s="50">
        <v>0</v>
      </c>
      <c r="AB242" s="48">
        <v>0</v>
      </c>
      <c r="AC242" s="48">
        <v>0</v>
      </c>
      <c r="AD242" s="48">
        <v>0</v>
      </c>
      <c r="AE242" s="45" t="s">
        <v>4517</v>
      </c>
      <c r="AF242" s="51" t="s">
        <v>4874</v>
      </c>
      <c r="AG242" s="42"/>
      <c r="AH242" s="52" t="s">
        <v>4883</v>
      </c>
      <c r="AI242" s="197"/>
      <c r="AJ242" s="2578"/>
      <c r="AK242" s="251"/>
      <c r="AL242" s="2578"/>
      <c r="AM242" s="2562"/>
      <c r="AN242" s="2562"/>
      <c r="AO242" s="2562"/>
      <c r="AP242" s="2562"/>
      <c r="AQ242" s="2562"/>
      <c r="AR242" s="2562"/>
      <c r="AS242" s="2562"/>
      <c r="AT242" s="252">
        <f t="shared" si="100"/>
        <v>1</v>
      </c>
      <c r="AU242" s="252">
        <f t="shared" si="101"/>
        <v>0</v>
      </c>
      <c r="AV242" s="252">
        <f t="shared" si="102"/>
        <v>0</v>
      </c>
      <c r="AW242" s="252">
        <f t="shared" si="103"/>
        <v>0</v>
      </c>
      <c r="AX242" s="252">
        <f t="shared" si="104"/>
        <v>0</v>
      </c>
      <c r="AY242" s="252">
        <f t="shared" si="105"/>
        <v>0</v>
      </c>
      <c r="AZ242" s="252">
        <f t="shared" si="106"/>
        <v>0</v>
      </c>
      <c r="BA242" s="237"/>
      <c r="BB242" s="237"/>
      <c r="BC242" s="237"/>
      <c r="BD242" s="2562"/>
      <c r="BE242" s="252">
        <f t="shared" si="107"/>
        <v>0</v>
      </c>
      <c r="BF242" s="252">
        <f t="shared" si="108"/>
        <v>0</v>
      </c>
      <c r="BG242" s="2562"/>
      <c r="BH242" s="237"/>
      <c r="BI242" s="237"/>
      <c r="BJ242" s="252">
        <f t="shared" si="109"/>
        <v>0</v>
      </c>
      <c r="BK242" s="252">
        <f t="shared" si="110"/>
        <v>0</v>
      </c>
      <c r="BL242" s="252">
        <f t="shared" si="111"/>
        <v>0</v>
      </c>
      <c r="BM242" s="252">
        <f t="shared" si="112"/>
        <v>0</v>
      </c>
      <c r="BN242" s="252">
        <f t="shared" si="113"/>
        <v>0</v>
      </c>
      <c r="BO242" s="252">
        <f t="shared" si="114"/>
        <v>1</v>
      </c>
      <c r="BP242" s="2578"/>
      <c r="BQ242" s="2562"/>
      <c r="BR242" s="2562"/>
      <c r="BS242" s="2585"/>
      <c r="BT242" s="2585"/>
      <c r="BU242" s="2585"/>
    </row>
    <row r="243" spans="1:73" s="22" customFormat="1" ht="15.75" hidden="1" customHeight="1" outlineLevel="1">
      <c r="A243" s="2585"/>
      <c r="B243" s="44" t="s">
        <v>4884</v>
      </c>
      <c r="C243" s="45" t="s">
        <v>50</v>
      </c>
      <c r="D243" s="46" t="s">
        <v>4514</v>
      </c>
      <c r="E243" s="46" t="s">
        <v>4429</v>
      </c>
      <c r="F243" s="45" t="s">
        <v>4459</v>
      </c>
      <c r="G243" s="46" t="s">
        <v>4515</v>
      </c>
      <c r="H243" s="45" t="s">
        <v>4459</v>
      </c>
      <c r="I243" s="45" t="s">
        <v>4433</v>
      </c>
      <c r="J243" s="47" t="s">
        <v>4744</v>
      </c>
      <c r="K243" s="48">
        <v>100</v>
      </c>
      <c r="L243" s="47">
        <v>57762</v>
      </c>
      <c r="M243" s="1913">
        <v>34.891666666666666</v>
      </c>
      <c r="N243" s="48">
        <v>-5.1134700000000004</v>
      </c>
      <c r="O243" s="49">
        <v>-5.1130000000000004</v>
      </c>
      <c r="P243" s="49">
        <v>-5.1130000000000004</v>
      </c>
      <c r="Q243" s="1884">
        <f t="shared" si="115"/>
        <v>-178.40109166666667</v>
      </c>
      <c r="R243" s="1885">
        <f t="shared" si="95"/>
        <v>-8.8270928649237357E-2</v>
      </c>
      <c r="S243" s="1885">
        <f t="shared" si="96"/>
        <v>-5.9847796741660075E-2</v>
      </c>
      <c r="T243" s="50" t="s">
        <v>4686</v>
      </c>
      <c r="U243" s="50">
        <v>3.2124E-2</v>
      </c>
      <c r="V243" s="50">
        <v>2.7659999999999998E-3</v>
      </c>
      <c r="W243" s="1885">
        <f t="shared" si="97"/>
        <v>3.4889999999999997E-2</v>
      </c>
      <c r="X243" s="1891">
        <f t="shared" si="98"/>
        <v>-0.17839257</v>
      </c>
      <c r="Y243" s="1891">
        <f t="shared" si="99"/>
        <v>-0.17839257</v>
      </c>
      <c r="Z243" s="50">
        <v>0</v>
      </c>
      <c r="AA243" s="50">
        <v>0</v>
      </c>
      <c r="AB243" s="48">
        <v>0</v>
      </c>
      <c r="AC243" s="48">
        <v>0</v>
      </c>
      <c r="AD243" s="48">
        <v>0</v>
      </c>
      <c r="AE243" s="45" t="s">
        <v>4517</v>
      </c>
      <c r="AF243" s="51" t="s">
        <v>4874</v>
      </c>
      <c r="AG243" s="42"/>
      <c r="AH243" s="52" t="s">
        <v>4885</v>
      </c>
      <c r="AI243" s="197"/>
      <c r="AJ243" s="2578"/>
      <c r="AK243" s="251"/>
      <c r="AL243" s="2578"/>
      <c r="AM243" s="2562"/>
      <c r="AN243" s="2562"/>
      <c r="AO243" s="2562"/>
      <c r="AP243" s="2562"/>
      <c r="AQ243" s="2562"/>
      <c r="AR243" s="2562"/>
      <c r="AS243" s="2562"/>
      <c r="AT243" s="252">
        <f t="shared" si="100"/>
        <v>1</v>
      </c>
      <c r="AU243" s="252">
        <f t="shared" si="101"/>
        <v>0</v>
      </c>
      <c r="AV243" s="252">
        <f t="shared" si="102"/>
        <v>0</v>
      </c>
      <c r="AW243" s="252">
        <f t="shared" si="103"/>
        <v>0</v>
      </c>
      <c r="AX243" s="252">
        <f t="shared" si="104"/>
        <v>0</v>
      </c>
      <c r="AY243" s="252">
        <f t="shared" si="105"/>
        <v>0</v>
      </c>
      <c r="AZ243" s="252">
        <f t="shared" si="106"/>
        <v>0</v>
      </c>
      <c r="BA243" s="237"/>
      <c r="BB243" s="237"/>
      <c r="BC243" s="237"/>
      <c r="BD243" s="2562"/>
      <c r="BE243" s="252">
        <f t="shared" si="107"/>
        <v>0</v>
      </c>
      <c r="BF243" s="252">
        <f t="shared" si="108"/>
        <v>0</v>
      </c>
      <c r="BG243" s="2562"/>
      <c r="BH243" s="237"/>
      <c r="BI243" s="237"/>
      <c r="BJ243" s="252">
        <f t="shared" si="109"/>
        <v>0</v>
      </c>
      <c r="BK243" s="252">
        <f t="shared" si="110"/>
        <v>0</v>
      </c>
      <c r="BL243" s="252">
        <f t="shared" si="111"/>
        <v>0</v>
      </c>
      <c r="BM243" s="252">
        <f t="shared" si="112"/>
        <v>0</v>
      </c>
      <c r="BN243" s="252">
        <f t="shared" si="113"/>
        <v>0</v>
      </c>
      <c r="BO243" s="252">
        <f t="shared" si="114"/>
        <v>1</v>
      </c>
      <c r="BP243" s="2578"/>
      <c r="BQ243" s="2562"/>
      <c r="BR243" s="2562"/>
      <c r="BS243" s="2585"/>
      <c r="BT243" s="2585"/>
      <c r="BU243" s="2585"/>
    </row>
    <row r="244" spans="1:73" s="22" customFormat="1" ht="15.75" hidden="1" customHeight="1" outlineLevel="1">
      <c r="A244" s="2585"/>
      <c r="B244" s="44" t="s">
        <v>4886</v>
      </c>
      <c r="C244" s="45" t="s">
        <v>50</v>
      </c>
      <c r="D244" s="46" t="s">
        <v>4514</v>
      </c>
      <c r="E244" s="46" t="s">
        <v>4429</v>
      </c>
      <c r="F244" s="45" t="s">
        <v>4459</v>
      </c>
      <c r="G244" s="46" t="s">
        <v>4515</v>
      </c>
      <c r="H244" s="45" t="s">
        <v>4459</v>
      </c>
      <c r="I244" s="45" t="s">
        <v>4433</v>
      </c>
      <c r="J244" s="47" t="s">
        <v>4744</v>
      </c>
      <c r="K244" s="48">
        <v>100</v>
      </c>
      <c r="L244" s="47">
        <v>59588</v>
      </c>
      <c r="M244" s="1913">
        <v>39.891666666666666</v>
      </c>
      <c r="N244" s="48">
        <v>-5.19306</v>
      </c>
      <c r="O244" s="49">
        <v>-5.1929999999999996</v>
      </c>
      <c r="P244" s="49">
        <v>-5.1929999999999996</v>
      </c>
      <c r="Q244" s="1884">
        <f t="shared" si="115"/>
        <v>-207.15742499999999</v>
      </c>
      <c r="R244" s="1885">
        <f t="shared" si="95"/>
        <v>-8.8270928649237357E-2</v>
      </c>
      <c r="S244" s="1885">
        <f t="shared" si="96"/>
        <v>-5.9847796741660075E-2</v>
      </c>
      <c r="T244" s="50" t="s">
        <v>4686</v>
      </c>
      <c r="U244" s="50">
        <v>3.2124E-2</v>
      </c>
      <c r="V244" s="50">
        <v>2.7659999999999998E-3</v>
      </c>
      <c r="W244" s="1885">
        <f t="shared" si="97"/>
        <v>3.4889999999999997E-2</v>
      </c>
      <c r="X244" s="1891">
        <f t="shared" si="98"/>
        <v>-0.18118376999999997</v>
      </c>
      <c r="Y244" s="1891">
        <f t="shared" si="99"/>
        <v>-0.18118376999999997</v>
      </c>
      <c r="Z244" s="50">
        <v>0</v>
      </c>
      <c r="AA244" s="50">
        <v>0</v>
      </c>
      <c r="AB244" s="48">
        <v>0</v>
      </c>
      <c r="AC244" s="48">
        <v>0</v>
      </c>
      <c r="AD244" s="48">
        <v>0</v>
      </c>
      <c r="AE244" s="45" t="s">
        <v>4517</v>
      </c>
      <c r="AF244" s="51" t="s">
        <v>4874</v>
      </c>
      <c r="AG244" s="42"/>
      <c r="AH244" s="52" t="s">
        <v>4887</v>
      </c>
      <c r="AI244" s="197"/>
      <c r="AJ244" s="2578"/>
      <c r="AK244" s="251"/>
      <c r="AL244" s="2578"/>
      <c r="AM244" s="2562"/>
      <c r="AN244" s="2562"/>
      <c r="AO244" s="2562"/>
      <c r="AP244" s="2562"/>
      <c r="AQ244" s="2562"/>
      <c r="AR244" s="2562"/>
      <c r="AS244" s="2562"/>
      <c r="AT244" s="252">
        <f t="shared" si="100"/>
        <v>1</v>
      </c>
      <c r="AU244" s="252">
        <f t="shared" si="101"/>
        <v>0</v>
      </c>
      <c r="AV244" s="252">
        <f t="shared" si="102"/>
        <v>0</v>
      </c>
      <c r="AW244" s="252">
        <f t="shared" si="103"/>
        <v>0</v>
      </c>
      <c r="AX244" s="252">
        <f t="shared" si="104"/>
        <v>0</v>
      </c>
      <c r="AY244" s="252">
        <f t="shared" si="105"/>
        <v>0</v>
      </c>
      <c r="AZ244" s="252">
        <f t="shared" si="106"/>
        <v>0</v>
      </c>
      <c r="BA244" s="237"/>
      <c r="BB244" s="237"/>
      <c r="BC244" s="237"/>
      <c r="BD244" s="2562"/>
      <c r="BE244" s="252">
        <f t="shared" si="107"/>
        <v>0</v>
      </c>
      <c r="BF244" s="252">
        <f t="shared" si="108"/>
        <v>0</v>
      </c>
      <c r="BG244" s="2562"/>
      <c r="BH244" s="237"/>
      <c r="BI244" s="237"/>
      <c r="BJ244" s="252">
        <f t="shared" si="109"/>
        <v>0</v>
      </c>
      <c r="BK244" s="252">
        <f t="shared" si="110"/>
        <v>0</v>
      </c>
      <c r="BL244" s="252">
        <f t="shared" si="111"/>
        <v>0</v>
      </c>
      <c r="BM244" s="252">
        <f t="shared" si="112"/>
        <v>0</v>
      </c>
      <c r="BN244" s="252">
        <f t="shared" si="113"/>
        <v>0</v>
      </c>
      <c r="BO244" s="252">
        <f t="shared" si="114"/>
        <v>1</v>
      </c>
      <c r="BP244" s="2578"/>
      <c r="BQ244" s="2562"/>
      <c r="BR244" s="2562"/>
      <c r="BS244" s="2585"/>
      <c r="BT244" s="2585"/>
      <c r="BU244" s="2585"/>
    </row>
    <row r="245" spans="1:73" s="22" customFormat="1" ht="15.75" hidden="1" customHeight="1" outlineLevel="1">
      <c r="A245" s="2585"/>
      <c r="B245" s="44"/>
      <c r="C245" s="45"/>
      <c r="D245" s="46"/>
      <c r="E245" s="46"/>
      <c r="F245" s="45"/>
      <c r="G245" s="46"/>
      <c r="H245" s="45"/>
      <c r="I245" s="45"/>
      <c r="J245" s="47"/>
      <c r="K245" s="48"/>
      <c r="L245" s="47"/>
      <c r="M245" s="1913"/>
      <c r="N245" s="48"/>
      <c r="O245" s="49"/>
      <c r="P245" s="49"/>
      <c r="Q245" s="1884">
        <f t="shared" si="115"/>
        <v>0</v>
      </c>
      <c r="R245" s="1885">
        <f t="shared" si="95"/>
        <v>0</v>
      </c>
      <c r="S245" s="1885">
        <f t="shared" si="96"/>
        <v>0</v>
      </c>
      <c r="T245" s="50"/>
      <c r="U245" s="50"/>
      <c r="V245" s="50"/>
      <c r="W245" s="1885">
        <f t="shared" si="97"/>
        <v>0</v>
      </c>
      <c r="X245" s="1891">
        <f t="shared" si="98"/>
        <v>0</v>
      </c>
      <c r="Y245" s="1891">
        <f t="shared" si="99"/>
        <v>0</v>
      </c>
      <c r="Z245" s="50"/>
      <c r="AA245" s="50"/>
      <c r="AB245" s="48"/>
      <c r="AC245" s="48"/>
      <c r="AD245" s="48"/>
      <c r="AE245" s="45"/>
      <c r="AF245" s="51"/>
      <c r="AG245" s="42"/>
      <c r="AH245" s="52" t="s">
        <v>4888</v>
      </c>
      <c r="AI245" s="197"/>
      <c r="AJ245" s="2578"/>
      <c r="AK245" s="251"/>
      <c r="AL245" s="2578"/>
      <c r="AM245" s="2562"/>
      <c r="AN245" s="2562"/>
      <c r="AO245" s="2562"/>
      <c r="AP245" s="2562"/>
      <c r="AQ245" s="2562"/>
      <c r="AR245" s="2562"/>
      <c r="AS245" s="2562"/>
      <c r="AT245" s="252">
        <f t="shared" si="100"/>
        <v>1</v>
      </c>
      <c r="AU245" s="252">
        <f t="shared" si="101"/>
        <v>1</v>
      </c>
      <c r="AV245" s="252">
        <f t="shared" si="102"/>
        <v>1</v>
      </c>
      <c r="AW245" s="252">
        <f t="shared" si="103"/>
        <v>1</v>
      </c>
      <c r="AX245" s="252">
        <f t="shared" si="104"/>
        <v>1</v>
      </c>
      <c r="AY245" s="252">
        <f t="shared" si="105"/>
        <v>1</v>
      </c>
      <c r="AZ245" s="252">
        <f t="shared" si="106"/>
        <v>1</v>
      </c>
      <c r="BA245" s="237"/>
      <c r="BB245" s="237"/>
      <c r="BC245" s="237"/>
      <c r="BD245" s="2562"/>
      <c r="BE245" s="252">
        <f t="shared" si="107"/>
        <v>1</v>
      </c>
      <c r="BF245" s="252">
        <f t="shared" si="108"/>
        <v>1</v>
      </c>
      <c r="BG245" s="2562"/>
      <c r="BH245" s="237"/>
      <c r="BI245" s="237"/>
      <c r="BJ245" s="252">
        <f t="shared" si="109"/>
        <v>1</v>
      </c>
      <c r="BK245" s="252">
        <f t="shared" si="110"/>
        <v>1</v>
      </c>
      <c r="BL245" s="252">
        <f t="shared" si="111"/>
        <v>1</v>
      </c>
      <c r="BM245" s="252">
        <f t="shared" si="112"/>
        <v>1</v>
      </c>
      <c r="BN245" s="252">
        <f t="shared" si="113"/>
        <v>1</v>
      </c>
      <c r="BO245" s="252">
        <f t="shared" si="114"/>
        <v>1</v>
      </c>
      <c r="BP245" s="2578"/>
      <c r="BQ245" s="2562"/>
      <c r="BR245" s="2562"/>
      <c r="BS245" s="2585"/>
      <c r="BT245" s="2585"/>
      <c r="BU245" s="2585"/>
    </row>
    <row r="246" spans="1:73" s="22" customFormat="1" ht="15.75" hidden="1" customHeight="1" outlineLevel="1">
      <c r="A246" s="2585"/>
      <c r="B246" s="44"/>
      <c r="C246" s="45"/>
      <c r="D246" s="46"/>
      <c r="E246" s="46"/>
      <c r="F246" s="45"/>
      <c r="G246" s="46"/>
      <c r="H246" s="45"/>
      <c r="I246" s="45"/>
      <c r="J246" s="47"/>
      <c r="K246" s="48"/>
      <c r="L246" s="47"/>
      <c r="M246" s="1913"/>
      <c r="N246" s="48"/>
      <c r="O246" s="49"/>
      <c r="P246" s="49"/>
      <c r="Q246" s="1884">
        <f t="shared" si="115"/>
        <v>0</v>
      </c>
      <c r="R246" s="1885">
        <f t="shared" si="95"/>
        <v>0</v>
      </c>
      <c r="S246" s="1885">
        <f t="shared" si="96"/>
        <v>0</v>
      </c>
      <c r="T246" s="50"/>
      <c r="U246" s="50"/>
      <c r="V246" s="50"/>
      <c r="W246" s="1885">
        <f t="shared" si="97"/>
        <v>0</v>
      </c>
      <c r="X246" s="1891">
        <f t="shared" si="98"/>
        <v>0</v>
      </c>
      <c r="Y246" s="1891">
        <f t="shared" si="99"/>
        <v>0</v>
      </c>
      <c r="Z246" s="50"/>
      <c r="AA246" s="50"/>
      <c r="AB246" s="48"/>
      <c r="AC246" s="48"/>
      <c r="AD246" s="48"/>
      <c r="AE246" s="45"/>
      <c r="AF246" s="51"/>
      <c r="AG246" s="42"/>
      <c r="AH246" s="52" t="s">
        <v>4889</v>
      </c>
      <c r="AI246" s="197"/>
      <c r="AJ246" s="2578"/>
      <c r="AK246" s="251"/>
      <c r="AL246" s="2578"/>
      <c r="AM246" s="2562"/>
      <c r="AN246" s="2562"/>
      <c r="AO246" s="2562"/>
      <c r="AP246" s="2562"/>
      <c r="AQ246" s="2562"/>
      <c r="AR246" s="2562"/>
      <c r="AS246" s="2562"/>
      <c r="AT246" s="252">
        <f t="shared" si="100"/>
        <v>1</v>
      </c>
      <c r="AU246" s="252">
        <f t="shared" si="101"/>
        <v>1</v>
      </c>
      <c r="AV246" s="252">
        <f t="shared" si="102"/>
        <v>1</v>
      </c>
      <c r="AW246" s="252">
        <f t="shared" si="103"/>
        <v>1</v>
      </c>
      <c r="AX246" s="252">
        <f t="shared" si="104"/>
        <v>1</v>
      </c>
      <c r="AY246" s="252">
        <f t="shared" si="105"/>
        <v>1</v>
      </c>
      <c r="AZ246" s="252">
        <f t="shared" si="106"/>
        <v>1</v>
      </c>
      <c r="BA246" s="237"/>
      <c r="BB246" s="237"/>
      <c r="BC246" s="237"/>
      <c r="BD246" s="2562"/>
      <c r="BE246" s="252">
        <f t="shared" si="107"/>
        <v>1</v>
      </c>
      <c r="BF246" s="252">
        <f t="shared" si="108"/>
        <v>1</v>
      </c>
      <c r="BG246" s="2562"/>
      <c r="BH246" s="237"/>
      <c r="BI246" s="237"/>
      <c r="BJ246" s="252">
        <f t="shared" si="109"/>
        <v>1</v>
      </c>
      <c r="BK246" s="252">
        <f t="shared" si="110"/>
        <v>1</v>
      </c>
      <c r="BL246" s="252">
        <f t="shared" si="111"/>
        <v>1</v>
      </c>
      <c r="BM246" s="252">
        <f t="shared" si="112"/>
        <v>1</v>
      </c>
      <c r="BN246" s="252">
        <f t="shared" si="113"/>
        <v>1</v>
      </c>
      <c r="BO246" s="252">
        <f t="shared" si="114"/>
        <v>1</v>
      </c>
      <c r="BP246" s="2578"/>
      <c r="BQ246" s="2562"/>
      <c r="BR246" s="2562"/>
      <c r="BS246" s="2585"/>
      <c r="BT246" s="2585"/>
      <c r="BU246" s="2585"/>
    </row>
    <row r="247" spans="1:73" s="22" customFormat="1" ht="15.75" hidden="1" customHeight="1" outlineLevel="1">
      <c r="A247" s="2585"/>
      <c r="B247" s="44"/>
      <c r="C247" s="45"/>
      <c r="D247" s="46"/>
      <c r="E247" s="46"/>
      <c r="F247" s="45"/>
      <c r="G247" s="46"/>
      <c r="H247" s="45"/>
      <c r="I247" s="45"/>
      <c r="J247" s="47"/>
      <c r="K247" s="48"/>
      <c r="L247" s="47"/>
      <c r="M247" s="1913"/>
      <c r="N247" s="48"/>
      <c r="O247" s="49"/>
      <c r="P247" s="49"/>
      <c r="Q247" s="1884">
        <f t="shared" si="115"/>
        <v>0</v>
      </c>
      <c r="R247" s="1885">
        <f t="shared" si="95"/>
        <v>0</v>
      </c>
      <c r="S247" s="1885">
        <f t="shared" si="96"/>
        <v>0</v>
      </c>
      <c r="T247" s="50"/>
      <c r="U247" s="50"/>
      <c r="V247" s="50"/>
      <c r="W247" s="1885">
        <f t="shared" si="97"/>
        <v>0</v>
      </c>
      <c r="X247" s="1891">
        <f t="shared" si="98"/>
        <v>0</v>
      </c>
      <c r="Y247" s="1891">
        <f t="shared" si="99"/>
        <v>0</v>
      </c>
      <c r="Z247" s="50"/>
      <c r="AA247" s="50"/>
      <c r="AB247" s="48"/>
      <c r="AC247" s="48"/>
      <c r="AD247" s="48"/>
      <c r="AE247" s="45"/>
      <c r="AF247" s="51"/>
      <c r="AG247" s="42"/>
      <c r="AH247" s="52" t="s">
        <v>4890</v>
      </c>
      <c r="AI247" s="197"/>
      <c r="AJ247" s="2578"/>
      <c r="AK247" s="251"/>
      <c r="AL247" s="2578"/>
      <c r="AM247" s="2562"/>
      <c r="AN247" s="2562"/>
      <c r="AO247" s="2562"/>
      <c r="AP247" s="2562"/>
      <c r="AQ247" s="2562"/>
      <c r="AR247" s="2562"/>
      <c r="AS247" s="2562"/>
      <c r="AT247" s="252">
        <f t="shared" si="100"/>
        <v>1</v>
      </c>
      <c r="AU247" s="252">
        <f t="shared" si="101"/>
        <v>1</v>
      </c>
      <c r="AV247" s="252">
        <f t="shared" si="102"/>
        <v>1</v>
      </c>
      <c r="AW247" s="252">
        <f t="shared" si="103"/>
        <v>1</v>
      </c>
      <c r="AX247" s="252">
        <f t="shared" si="104"/>
        <v>1</v>
      </c>
      <c r="AY247" s="252">
        <f t="shared" si="105"/>
        <v>1</v>
      </c>
      <c r="AZ247" s="252">
        <f t="shared" si="106"/>
        <v>1</v>
      </c>
      <c r="BA247" s="237"/>
      <c r="BB247" s="237"/>
      <c r="BC247" s="237"/>
      <c r="BD247" s="2562"/>
      <c r="BE247" s="252">
        <f t="shared" si="107"/>
        <v>1</v>
      </c>
      <c r="BF247" s="252">
        <f t="shared" si="108"/>
        <v>1</v>
      </c>
      <c r="BG247" s="2562"/>
      <c r="BH247" s="237"/>
      <c r="BI247" s="237"/>
      <c r="BJ247" s="252">
        <f t="shared" si="109"/>
        <v>1</v>
      </c>
      <c r="BK247" s="252">
        <f t="shared" si="110"/>
        <v>1</v>
      </c>
      <c r="BL247" s="252">
        <f t="shared" si="111"/>
        <v>1</v>
      </c>
      <c r="BM247" s="252">
        <f t="shared" si="112"/>
        <v>1</v>
      </c>
      <c r="BN247" s="252">
        <f t="shared" si="113"/>
        <v>1</v>
      </c>
      <c r="BO247" s="252">
        <f t="shared" si="114"/>
        <v>1</v>
      </c>
      <c r="BP247" s="2578"/>
      <c r="BQ247" s="2562"/>
      <c r="BR247" s="2562"/>
      <c r="BS247" s="2585"/>
      <c r="BT247" s="2585"/>
      <c r="BU247" s="2585"/>
    </row>
    <row r="248" spans="1:73" s="22" customFormat="1" ht="15.75" hidden="1" customHeight="1" outlineLevel="1">
      <c r="A248" s="2585"/>
      <c r="B248" s="44"/>
      <c r="C248" s="45"/>
      <c r="D248" s="46"/>
      <c r="E248" s="46"/>
      <c r="F248" s="45"/>
      <c r="G248" s="46"/>
      <c r="H248" s="45"/>
      <c r="I248" s="45"/>
      <c r="J248" s="47"/>
      <c r="K248" s="48"/>
      <c r="L248" s="47"/>
      <c r="M248" s="1913"/>
      <c r="N248" s="48"/>
      <c r="O248" s="49"/>
      <c r="P248" s="49"/>
      <c r="Q248" s="1884">
        <f t="shared" si="115"/>
        <v>0</v>
      </c>
      <c r="R248" s="1885">
        <f t="shared" si="95"/>
        <v>0</v>
      </c>
      <c r="S248" s="1885">
        <f t="shared" si="96"/>
        <v>0</v>
      </c>
      <c r="T248" s="50"/>
      <c r="U248" s="50"/>
      <c r="V248" s="50"/>
      <c r="W248" s="1885">
        <f t="shared" si="97"/>
        <v>0</v>
      </c>
      <c r="X248" s="1891">
        <f t="shared" si="98"/>
        <v>0</v>
      </c>
      <c r="Y248" s="1891">
        <f t="shared" si="99"/>
        <v>0</v>
      </c>
      <c r="Z248" s="50"/>
      <c r="AA248" s="50"/>
      <c r="AB248" s="48"/>
      <c r="AC248" s="48"/>
      <c r="AD248" s="48"/>
      <c r="AE248" s="45"/>
      <c r="AF248" s="51"/>
      <c r="AG248" s="42"/>
      <c r="AH248" s="52" t="s">
        <v>4891</v>
      </c>
      <c r="AI248" s="197"/>
      <c r="AJ248" s="2578"/>
      <c r="AK248" s="251"/>
      <c r="AL248" s="2578"/>
      <c r="AM248" s="2562"/>
      <c r="AN248" s="2562"/>
      <c r="AO248" s="2562"/>
      <c r="AP248" s="2562"/>
      <c r="AQ248" s="2562"/>
      <c r="AR248" s="2562"/>
      <c r="AS248" s="2562"/>
      <c r="AT248" s="252">
        <f t="shared" si="100"/>
        <v>1</v>
      </c>
      <c r="AU248" s="252">
        <f t="shared" si="101"/>
        <v>1</v>
      </c>
      <c r="AV248" s="252">
        <f t="shared" si="102"/>
        <v>1</v>
      </c>
      <c r="AW248" s="252">
        <f t="shared" si="103"/>
        <v>1</v>
      </c>
      <c r="AX248" s="252">
        <f t="shared" si="104"/>
        <v>1</v>
      </c>
      <c r="AY248" s="252">
        <f t="shared" si="105"/>
        <v>1</v>
      </c>
      <c r="AZ248" s="252">
        <f t="shared" si="106"/>
        <v>1</v>
      </c>
      <c r="BA248" s="237"/>
      <c r="BB248" s="237"/>
      <c r="BC248" s="237"/>
      <c r="BD248" s="2562"/>
      <c r="BE248" s="252">
        <f t="shared" si="107"/>
        <v>1</v>
      </c>
      <c r="BF248" s="252">
        <f t="shared" si="108"/>
        <v>1</v>
      </c>
      <c r="BG248" s="2562"/>
      <c r="BH248" s="237"/>
      <c r="BI248" s="237"/>
      <c r="BJ248" s="252">
        <f t="shared" si="109"/>
        <v>1</v>
      </c>
      <c r="BK248" s="252">
        <f t="shared" si="110"/>
        <v>1</v>
      </c>
      <c r="BL248" s="252">
        <f t="shared" si="111"/>
        <v>1</v>
      </c>
      <c r="BM248" s="252">
        <f t="shared" si="112"/>
        <v>1</v>
      </c>
      <c r="BN248" s="252">
        <f t="shared" si="113"/>
        <v>1</v>
      </c>
      <c r="BO248" s="252">
        <f t="shared" si="114"/>
        <v>1</v>
      </c>
      <c r="BP248" s="2578"/>
      <c r="BQ248" s="2562"/>
      <c r="BR248" s="2562"/>
      <c r="BS248" s="2585"/>
      <c r="BT248" s="2585"/>
      <c r="BU248" s="2585"/>
    </row>
    <row r="249" spans="1:73" s="22" customFormat="1" ht="15.75" hidden="1" customHeight="1" outlineLevel="1">
      <c r="A249" s="2585"/>
      <c r="B249" s="44"/>
      <c r="C249" s="45"/>
      <c r="D249" s="46"/>
      <c r="E249" s="46"/>
      <c r="F249" s="45"/>
      <c r="G249" s="46"/>
      <c r="H249" s="45"/>
      <c r="I249" s="45"/>
      <c r="J249" s="47"/>
      <c r="K249" s="48"/>
      <c r="L249" s="47"/>
      <c r="M249" s="1913"/>
      <c r="N249" s="48"/>
      <c r="O249" s="49"/>
      <c r="P249" s="49"/>
      <c r="Q249" s="1884">
        <f t="shared" si="115"/>
        <v>0</v>
      </c>
      <c r="R249" s="1885">
        <f t="shared" si="95"/>
        <v>0</v>
      </c>
      <c r="S249" s="1885">
        <f t="shared" si="96"/>
        <v>0</v>
      </c>
      <c r="T249" s="50"/>
      <c r="U249" s="50"/>
      <c r="V249" s="50"/>
      <c r="W249" s="1885">
        <f t="shared" si="97"/>
        <v>0</v>
      </c>
      <c r="X249" s="1891">
        <f t="shared" si="98"/>
        <v>0</v>
      </c>
      <c r="Y249" s="1891">
        <f t="shared" si="99"/>
        <v>0</v>
      </c>
      <c r="Z249" s="50"/>
      <c r="AA249" s="50"/>
      <c r="AB249" s="48"/>
      <c r="AC249" s="48"/>
      <c r="AD249" s="48"/>
      <c r="AE249" s="45"/>
      <c r="AF249" s="51"/>
      <c r="AG249" s="42"/>
      <c r="AH249" s="52" t="s">
        <v>4892</v>
      </c>
      <c r="AI249" s="197"/>
      <c r="AJ249" s="2578"/>
      <c r="AK249" s="251"/>
      <c r="AL249" s="2578"/>
      <c r="AM249" s="2562"/>
      <c r="AN249" s="2562"/>
      <c r="AO249" s="2562"/>
      <c r="AP249" s="2562"/>
      <c r="AQ249" s="2562"/>
      <c r="AR249" s="2562"/>
      <c r="AS249" s="2562"/>
      <c r="AT249" s="252">
        <f t="shared" si="100"/>
        <v>1</v>
      </c>
      <c r="AU249" s="252">
        <f t="shared" si="101"/>
        <v>1</v>
      </c>
      <c r="AV249" s="252">
        <f t="shared" si="102"/>
        <v>1</v>
      </c>
      <c r="AW249" s="252">
        <f t="shared" si="103"/>
        <v>1</v>
      </c>
      <c r="AX249" s="252">
        <f t="shared" si="104"/>
        <v>1</v>
      </c>
      <c r="AY249" s="252">
        <f t="shared" si="105"/>
        <v>1</v>
      </c>
      <c r="AZ249" s="252">
        <f t="shared" si="106"/>
        <v>1</v>
      </c>
      <c r="BA249" s="237"/>
      <c r="BB249" s="237"/>
      <c r="BC249" s="237"/>
      <c r="BD249" s="2562"/>
      <c r="BE249" s="252">
        <f t="shared" si="107"/>
        <v>1</v>
      </c>
      <c r="BF249" s="252">
        <f t="shared" si="108"/>
        <v>1</v>
      </c>
      <c r="BG249" s="2562"/>
      <c r="BH249" s="237"/>
      <c r="BI249" s="237"/>
      <c r="BJ249" s="252">
        <f t="shared" si="109"/>
        <v>1</v>
      </c>
      <c r="BK249" s="252">
        <f t="shared" si="110"/>
        <v>1</v>
      </c>
      <c r="BL249" s="252">
        <f t="shared" si="111"/>
        <v>1</v>
      </c>
      <c r="BM249" s="252">
        <f t="shared" si="112"/>
        <v>1</v>
      </c>
      <c r="BN249" s="252">
        <f t="shared" si="113"/>
        <v>1</v>
      </c>
      <c r="BO249" s="252">
        <f t="shared" si="114"/>
        <v>1</v>
      </c>
      <c r="BP249" s="2578"/>
      <c r="BQ249" s="2562"/>
      <c r="BR249" s="2562"/>
      <c r="BS249" s="2585"/>
      <c r="BT249" s="2585"/>
      <c r="BU249" s="2585"/>
    </row>
    <row r="250" spans="1:73" s="22" customFormat="1" ht="15.75" hidden="1" customHeight="1" outlineLevel="1">
      <c r="A250" s="2585"/>
      <c r="B250" s="44"/>
      <c r="C250" s="45"/>
      <c r="D250" s="46"/>
      <c r="E250" s="46"/>
      <c r="F250" s="45"/>
      <c r="G250" s="46"/>
      <c r="H250" s="45"/>
      <c r="I250" s="45"/>
      <c r="J250" s="47"/>
      <c r="K250" s="48"/>
      <c r="L250" s="47"/>
      <c r="M250" s="1913"/>
      <c r="N250" s="48"/>
      <c r="O250" s="49"/>
      <c r="P250" s="49"/>
      <c r="Q250" s="1884">
        <f t="shared" si="115"/>
        <v>0</v>
      </c>
      <c r="R250" s="1885">
        <f t="shared" si="95"/>
        <v>0</v>
      </c>
      <c r="S250" s="1885">
        <f t="shared" si="96"/>
        <v>0</v>
      </c>
      <c r="T250" s="50"/>
      <c r="U250" s="50"/>
      <c r="V250" s="50"/>
      <c r="W250" s="1885">
        <f t="shared" si="97"/>
        <v>0</v>
      </c>
      <c r="X250" s="1891">
        <f t="shared" si="98"/>
        <v>0</v>
      </c>
      <c r="Y250" s="1891">
        <f t="shared" si="99"/>
        <v>0</v>
      </c>
      <c r="Z250" s="50"/>
      <c r="AA250" s="50"/>
      <c r="AB250" s="48"/>
      <c r="AC250" s="48"/>
      <c r="AD250" s="48"/>
      <c r="AE250" s="45"/>
      <c r="AF250" s="51"/>
      <c r="AG250" s="42"/>
      <c r="AH250" s="52" t="s">
        <v>4893</v>
      </c>
      <c r="AI250" s="197"/>
      <c r="AJ250" s="2578"/>
      <c r="AK250" s="251"/>
      <c r="AL250" s="2578"/>
      <c r="AM250" s="2562"/>
      <c r="AN250" s="2562"/>
      <c r="AO250" s="2562"/>
      <c r="AP250" s="2562"/>
      <c r="AQ250" s="2562"/>
      <c r="AR250" s="2562"/>
      <c r="AS250" s="2562"/>
      <c r="AT250" s="252">
        <f t="shared" si="100"/>
        <v>1</v>
      </c>
      <c r="AU250" s="252">
        <f t="shared" si="101"/>
        <v>1</v>
      </c>
      <c r="AV250" s="252">
        <f t="shared" si="102"/>
        <v>1</v>
      </c>
      <c r="AW250" s="252">
        <f t="shared" si="103"/>
        <v>1</v>
      </c>
      <c r="AX250" s="252">
        <f t="shared" si="104"/>
        <v>1</v>
      </c>
      <c r="AY250" s="252">
        <f t="shared" si="105"/>
        <v>1</v>
      </c>
      <c r="AZ250" s="252">
        <f t="shared" si="106"/>
        <v>1</v>
      </c>
      <c r="BA250" s="237"/>
      <c r="BB250" s="237"/>
      <c r="BC250" s="237"/>
      <c r="BD250" s="2562"/>
      <c r="BE250" s="252">
        <f t="shared" si="107"/>
        <v>1</v>
      </c>
      <c r="BF250" s="252">
        <f t="shared" si="108"/>
        <v>1</v>
      </c>
      <c r="BG250" s="2562"/>
      <c r="BH250" s="237"/>
      <c r="BI250" s="237"/>
      <c r="BJ250" s="252">
        <f t="shared" si="109"/>
        <v>1</v>
      </c>
      <c r="BK250" s="252">
        <f t="shared" si="110"/>
        <v>1</v>
      </c>
      <c r="BL250" s="252">
        <f t="shared" si="111"/>
        <v>1</v>
      </c>
      <c r="BM250" s="252">
        <f t="shared" si="112"/>
        <v>1</v>
      </c>
      <c r="BN250" s="252">
        <f t="shared" si="113"/>
        <v>1</v>
      </c>
      <c r="BO250" s="252">
        <f t="shared" si="114"/>
        <v>1</v>
      </c>
      <c r="BP250" s="2578"/>
      <c r="BQ250" s="2562"/>
      <c r="BR250" s="2562"/>
      <c r="BS250" s="2585"/>
      <c r="BT250" s="2585"/>
      <c r="BU250" s="2585"/>
    </row>
    <row r="251" spans="1:73" s="22" customFormat="1" ht="15.75" hidden="1" customHeight="1" outlineLevel="1">
      <c r="A251" s="2585"/>
      <c r="B251" s="44"/>
      <c r="C251" s="45"/>
      <c r="D251" s="46"/>
      <c r="E251" s="46"/>
      <c r="F251" s="45"/>
      <c r="G251" s="46"/>
      <c r="H251" s="45"/>
      <c r="I251" s="45"/>
      <c r="J251" s="47"/>
      <c r="K251" s="48"/>
      <c r="L251" s="47"/>
      <c r="M251" s="1913"/>
      <c r="N251" s="48"/>
      <c r="O251" s="49"/>
      <c r="P251" s="49"/>
      <c r="Q251" s="1884">
        <f t="shared" si="115"/>
        <v>0</v>
      </c>
      <c r="R251" s="1885">
        <f t="shared" si="95"/>
        <v>0</v>
      </c>
      <c r="S251" s="1885">
        <f t="shared" si="96"/>
        <v>0</v>
      </c>
      <c r="T251" s="50"/>
      <c r="U251" s="50"/>
      <c r="V251" s="50"/>
      <c r="W251" s="1885">
        <f t="shared" si="97"/>
        <v>0</v>
      </c>
      <c r="X251" s="1891">
        <f t="shared" si="98"/>
        <v>0</v>
      </c>
      <c r="Y251" s="1891">
        <f t="shared" si="99"/>
        <v>0</v>
      </c>
      <c r="Z251" s="50"/>
      <c r="AA251" s="50"/>
      <c r="AB251" s="48"/>
      <c r="AC251" s="48"/>
      <c r="AD251" s="48"/>
      <c r="AE251" s="45"/>
      <c r="AF251" s="51"/>
      <c r="AG251" s="42"/>
      <c r="AH251" s="52" t="s">
        <v>4894</v>
      </c>
      <c r="AI251" s="197"/>
      <c r="AJ251" s="2578"/>
      <c r="AK251" s="251"/>
      <c r="AL251" s="2578"/>
      <c r="AM251" s="2562"/>
      <c r="AN251" s="2562"/>
      <c r="AO251" s="2562"/>
      <c r="AP251" s="2562"/>
      <c r="AQ251" s="2562"/>
      <c r="AR251" s="2562"/>
      <c r="AS251" s="2562"/>
      <c r="AT251" s="252">
        <f t="shared" si="100"/>
        <v>1</v>
      </c>
      <c r="AU251" s="252">
        <f t="shared" si="101"/>
        <v>1</v>
      </c>
      <c r="AV251" s="252">
        <f t="shared" si="102"/>
        <v>1</v>
      </c>
      <c r="AW251" s="252">
        <f t="shared" si="103"/>
        <v>1</v>
      </c>
      <c r="AX251" s="252">
        <f t="shared" si="104"/>
        <v>1</v>
      </c>
      <c r="AY251" s="252">
        <f t="shared" si="105"/>
        <v>1</v>
      </c>
      <c r="AZ251" s="252">
        <f t="shared" si="106"/>
        <v>1</v>
      </c>
      <c r="BA251" s="237"/>
      <c r="BB251" s="237"/>
      <c r="BC251" s="237"/>
      <c r="BD251" s="2562"/>
      <c r="BE251" s="252">
        <f t="shared" si="107"/>
        <v>1</v>
      </c>
      <c r="BF251" s="252">
        <f t="shared" si="108"/>
        <v>1</v>
      </c>
      <c r="BG251" s="2562"/>
      <c r="BH251" s="237"/>
      <c r="BI251" s="237"/>
      <c r="BJ251" s="252">
        <f t="shared" si="109"/>
        <v>1</v>
      </c>
      <c r="BK251" s="252">
        <f t="shared" si="110"/>
        <v>1</v>
      </c>
      <c r="BL251" s="252">
        <f t="shared" si="111"/>
        <v>1</v>
      </c>
      <c r="BM251" s="252">
        <f t="shared" si="112"/>
        <v>1</v>
      </c>
      <c r="BN251" s="252">
        <f t="shared" si="113"/>
        <v>1</v>
      </c>
      <c r="BO251" s="252">
        <f t="shared" si="114"/>
        <v>1</v>
      </c>
      <c r="BP251" s="2578"/>
      <c r="BQ251" s="2562"/>
      <c r="BR251" s="2562"/>
      <c r="BS251" s="2585"/>
      <c r="BT251" s="2585"/>
      <c r="BU251" s="2585"/>
    </row>
    <row r="252" spans="1:73" s="22" customFormat="1" ht="15.75" hidden="1" customHeight="1" outlineLevel="1">
      <c r="A252" s="2585"/>
      <c r="B252" s="44"/>
      <c r="C252" s="45"/>
      <c r="D252" s="46"/>
      <c r="E252" s="46"/>
      <c r="F252" s="45"/>
      <c r="G252" s="46"/>
      <c r="H252" s="45"/>
      <c r="I252" s="45"/>
      <c r="J252" s="47"/>
      <c r="K252" s="48"/>
      <c r="L252" s="47"/>
      <c r="M252" s="1913"/>
      <c r="N252" s="48"/>
      <c r="O252" s="49"/>
      <c r="P252" s="49"/>
      <c r="Q252" s="1884">
        <f t="shared" si="115"/>
        <v>0</v>
      </c>
      <c r="R252" s="1885">
        <f t="shared" si="95"/>
        <v>0</v>
      </c>
      <c r="S252" s="1885">
        <f t="shared" si="96"/>
        <v>0</v>
      </c>
      <c r="T252" s="50"/>
      <c r="U252" s="50"/>
      <c r="V252" s="50"/>
      <c r="W252" s="1885">
        <f t="shared" si="97"/>
        <v>0</v>
      </c>
      <c r="X252" s="1891">
        <f t="shared" si="98"/>
        <v>0</v>
      </c>
      <c r="Y252" s="1891">
        <f t="shared" si="99"/>
        <v>0</v>
      </c>
      <c r="Z252" s="50"/>
      <c r="AA252" s="50"/>
      <c r="AB252" s="48"/>
      <c r="AC252" s="48"/>
      <c r="AD252" s="48"/>
      <c r="AE252" s="45"/>
      <c r="AF252" s="51"/>
      <c r="AG252" s="42"/>
      <c r="AH252" s="52" t="s">
        <v>4895</v>
      </c>
      <c r="AI252" s="197"/>
      <c r="AJ252" s="2578"/>
      <c r="AK252" s="251"/>
      <c r="AL252" s="2578"/>
      <c r="AM252" s="2562"/>
      <c r="AN252" s="2562"/>
      <c r="AO252" s="2562"/>
      <c r="AP252" s="2562"/>
      <c r="AQ252" s="2562"/>
      <c r="AR252" s="2562"/>
      <c r="AS252" s="2562"/>
      <c r="AT252" s="252">
        <f t="shared" si="100"/>
        <v>1</v>
      </c>
      <c r="AU252" s="252">
        <f t="shared" si="101"/>
        <v>1</v>
      </c>
      <c r="AV252" s="252">
        <f t="shared" si="102"/>
        <v>1</v>
      </c>
      <c r="AW252" s="252">
        <f t="shared" si="103"/>
        <v>1</v>
      </c>
      <c r="AX252" s="252">
        <f t="shared" si="104"/>
        <v>1</v>
      </c>
      <c r="AY252" s="252">
        <f t="shared" si="105"/>
        <v>1</v>
      </c>
      <c r="AZ252" s="252">
        <f t="shared" si="106"/>
        <v>1</v>
      </c>
      <c r="BA252" s="237"/>
      <c r="BB252" s="237"/>
      <c r="BC252" s="237"/>
      <c r="BD252" s="2562"/>
      <c r="BE252" s="252">
        <f t="shared" si="107"/>
        <v>1</v>
      </c>
      <c r="BF252" s="252">
        <f t="shared" si="108"/>
        <v>1</v>
      </c>
      <c r="BG252" s="2562"/>
      <c r="BH252" s="237"/>
      <c r="BI252" s="237"/>
      <c r="BJ252" s="252">
        <f t="shared" si="109"/>
        <v>1</v>
      </c>
      <c r="BK252" s="252">
        <f t="shared" si="110"/>
        <v>1</v>
      </c>
      <c r="BL252" s="252">
        <f t="shared" si="111"/>
        <v>1</v>
      </c>
      <c r="BM252" s="252">
        <f t="shared" si="112"/>
        <v>1</v>
      </c>
      <c r="BN252" s="252">
        <f t="shared" si="113"/>
        <v>1</v>
      </c>
      <c r="BO252" s="252">
        <f t="shared" si="114"/>
        <v>1</v>
      </c>
      <c r="BP252" s="2578"/>
      <c r="BQ252" s="2562"/>
      <c r="BR252" s="2562"/>
      <c r="BS252" s="2585"/>
      <c r="BT252" s="2585"/>
      <c r="BU252" s="2585"/>
    </row>
    <row r="253" spans="1:73" s="22" customFormat="1" ht="15.75" hidden="1" customHeight="1" outlineLevel="1">
      <c r="A253" s="2585"/>
      <c r="B253" s="44"/>
      <c r="C253" s="45"/>
      <c r="D253" s="46"/>
      <c r="E253" s="46"/>
      <c r="F253" s="45"/>
      <c r="G253" s="46"/>
      <c r="H253" s="45"/>
      <c r="I253" s="45"/>
      <c r="J253" s="47"/>
      <c r="K253" s="48"/>
      <c r="L253" s="47"/>
      <c r="M253" s="1913"/>
      <c r="N253" s="48"/>
      <c r="O253" s="49"/>
      <c r="P253" s="49"/>
      <c r="Q253" s="1884">
        <f t="shared" si="115"/>
        <v>0</v>
      </c>
      <c r="R253" s="1885">
        <f t="shared" si="95"/>
        <v>0</v>
      </c>
      <c r="S253" s="1885">
        <f t="shared" si="96"/>
        <v>0</v>
      </c>
      <c r="T253" s="50"/>
      <c r="U253" s="50"/>
      <c r="V253" s="50"/>
      <c r="W253" s="1885">
        <f t="shared" si="97"/>
        <v>0</v>
      </c>
      <c r="X253" s="1891">
        <f t="shared" si="98"/>
        <v>0</v>
      </c>
      <c r="Y253" s="1891">
        <f t="shared" si="99"/>
        <v>0</v>
      </c>
      <c r="Z253" s="50"/>
      <c r="AA253" s="50"/>
      <c r="AB253" s="48"/>
      <c r="AC253" s="48"/>
      <c r="AD253" s="48"/>
      <c r="AE253" s="45"/>
      <c r="AF253" s="51"/>
      <c r="AG253" s="42"/>
      <c r="AH253" s="52" t="s">
        <v>4896</v>
      </c>
      <c r="AI253" s="197"/>
      <c r="AJ253" s="2578"/>
      <c r="AK253" s="251"/>
      <c r="AL253" s="2578"/>
      <c r="AM253" s="2562"/>
      <c r="AN253" s="2562"/>
      <c r="AO253" s="2562"/>
      <c r="AP253" s="2562"/>
      <c r="AQ253" s="2562"/>
      <c r="AR253" s="2562"/>
      <c r="AS253" s="2562"/>
      <c r="AT253" s="252">
        <f t="shared" si="100"/>
        <v>1</v>
      </c>
      <c r="AU253" s="252">
        <f t="shared" si="101"/>
        <v>1</v>
      </c>
      <c r="AV253" s="252">
        <f t="shared" si="102"/>
        <v>1</v>
      </c>
      <c r="AW253" s="252">
        <f t="shared" si="103"/>
        <v>1</v>
      </c>
      <c r="AX253" s="252">
        <f t="shared" si="104"/>
        <v>1</v>
      </c>
      <c r="AY253" s="252">
        <f t="shared" si="105"/>
        <v>1</v>
      </c>
      <c r="AZ253" s="252">
        <f t="shared" si="106"/>
        <v>1</v>
      </c>
      <c r="BA253" s="237"/>
      <c r="BB253" s="237"/>
      <c r="BC253" s="237"/>
      <c r="BD253" s="2562"/>
      <c r="BE253" s="252">
        <f t="shared" si="107"/>
        <v>1</v>
      </c>
      <c r="BF253" s="252">
        <f t="shared" si="108"/>
        <v>1</v>
      </c>
      <c r="BG253" s="2562"/>
      <c r="BH253" s="237"/>
      <c r="BI253" s="237"/>
      <c r="BJ253" s="252">
        <f t="shared" si="109"/>
        <v>1</v>
      </c>
      <c r="BK253" s="252">
        <f t="shared" si="110"/>
        <v>1</v>
      </c>
      <c r="BL253" s="252">
        <f t="shared" si="111"/>
        <v>1</v>
      </c>
      <c r="BM253" s="252">
        <f t="shared" si="112"/>
        <v>1</v>
      </c>
      <c r="BN253" s="252">
        <f t="shared" si="113"/>
        <v>1</v>
      </c>
      <c r="BO253" s="252">
        <f t="shared" si="114"/>
        <v>1</v>
      </c>
      <c r="BP253" s="2578"/>
      <c r="BQ253" s="2562"/>
      <c r="BR253" s="2562"/>
      <c r="BS253" s="2585"/>
      <c r="BT253" s="2585"/>
      <c r="BU253" s="2585"/>
    </row>
    <row r="254" spans="1:73" s="22" customFormat="1" ht="15.75" hidden="1" customHeight="1" outlineLevel="1">
      <c r="A254" s="2585"/>
      <c r="B254" s="44"/>
      <c r="C254" s="45"/>
      <c r="D254" s="46"/>
      <c r="E254" s="46"/>
      <c r="F254" s="45"/>
      <c r="G254" s="46"/>
      <c r="H254" s="45"/>
      <c r="I254" s="45"/>
      <c r="J254" s="47"/>
      <c r="K254" s="48"/>
      <c r="L254" s="47"/>
      <c r="M254" s="1913"/>
      <c r="N254" s="48"/>
      <c r="O254" s="49"/>
      <c r="P254" s="49"/>
      <c r="Q254" s="1884">
        <f t="shared" si="115"/>
        <v>0</v>
      </c>
      <c r="R254" s="1885">
        <f t="shared" si="95"/>
        <v>0</v>
      </c>
      <c r="S254" s="1885">
        <f t="shared" si="96"/>
        <v>0</v>
      </c>
      <c r="T254" s="50"/>
      <c r="U254" s="50"/>
      <c r="V254" s="50"/>
      <c r="W254" s="1885">
        <f t="shared" si="97"/>
        <v>0</v>
      </c>
      <c r="X254" s="1891">
        <f t="shared" si="98"/>
        <v>0</v>
      </c>
      <c r="Y254" s="1891">
        <f t="shared" si="99"/>
        <v>0</v>
      </c>
      <c r="Z254" s="50"/>
      <c r="AA254" s="50"/>
      <c r="AB254" s="48"/>
      <c r="AC254" s="48"/>
      <c r="AD254" s="48"/>
      <c r="AE254" s="45"/>
      <c r="AF254" s="51"/>
      <c r="AG254" s="42"/>
      <c r="AH254" s="52" t="s">
        <v>4897</v>
      </c>
      <c r="AI254" s="197"/>
      <c r="AJ254" s="2578"/>
      <c r="AK254" s="251"/>
      <c r="AL254" s="2578"/>
      <c r="AM254" s="2562"/>
      <c r="AN254" s="2562"/>
      <c r="AO254" s="2562"/>
      <c r="AP254" s="2562"/>
      <c r="AQ254" s="2562"/>
      <c r="AR254" s="2562"/>
      <c r="AS254" s="2562"/>
      <c r="AT254" s="252">
        <f t="shared" si="100"/>
        <v>1</v>
      </c>
      <c r="AU254" s="252">
        <f t="shared" si="101"/>
        <v>1</v>
      </c>
      <c r="AV254" s="252">
        <f t="shared" si="102"/>
        <v>1</v>
      </c>
      <c r="AW254" s="252">
        <f t="shared" si="103"/>
        <v>1</v>
      </c>
      <c r="AX254" s="252">
        <f t="shared" si="104"/>
        <v>1</v>
      </c>
      <c r="AY254" s="252">
        <f t="shared" si="105"/>
        <v>1</v>
      </c>
      <c r="AZ254" s="252">
        <f t="shared" si="106"/>
        <v>1</v>
      </c>
      <c r="BA254" s="237"/>
      <c r="BB254" s="237"/>
      <c r="BC254" s="237"/>
      <c r="BD254" s="2562"/>
      <c r="BE254" s="252">
        <f t="shared" si="107"/>
        <v>1</v>
      </c>
      <c r="BF254" s="252">
        <f t="shared" si="108"/>
        <v>1</v>
      </c>
      <c r="BG254" s="2562"/>
      <c r="BH254" s="237"/>
      <c r="BI254" s="237"/>
      <c r="BJ254" s="252">
        <f t="shared" si="109"/>
        <v>1</v>
      </c>
      <c r="BK254" s="252">
        <f t="shared" si="110"/>
        <v>1</v>
      </c>
      <c r="BL254" s="252">
        <f t="shared" si="111"/>
        <v>1</v>
      </c>
      <c r="BM254" s="252">
        <f t="shared" si="112"/>
        <v>1</v>
      </c>
      <c r="BN254" s="252">
        <f t="shared" si="113"/>
        <v>1</v>
      </c>
      <c r="BO254" s="252">
        <f t="shared" si="114"/>
        <v>1</v>
      </c>
      <c r="BP254" s="2578"/>
      <c r="BQ254" s="2562"/>
      <c r="BR254" s="2562"/>
      <c r="BS254" s="2585"/>
      <c r="BT254" s="2585"/>
      <c r="BU254" s="2585"/>
    </row>
    <row r="255" spans="1:73" s="22" customFormat="1" ht="15.75" hidden="1" customHeight="1" outlineLevel="1">
      <c r="A255" s="2585"/>
      <c r="B255" s="44"/>
      <c r="C255" s="45"/>
      <c r="D255" s="46"/>
      <c r="E255" s="46"/>
      <c r="F255" s="45"/>
      <c r="G255" s="46"/>
      <c r="H255" s="45"/>
      <c r="I255" s="45"/>
      <c r="J255" s="47"/>
      <c r="K255" s="48"/>
      <c r="L255" s="47"/>
      <c r="M255" s="1913"/>
      <c r="N255" s="48"/>
      <c r="O255" s="49"/>
      <c r="P255" s="49"/>
      <c r="Q255" s="1884">
        <f t="shared" si="115"/>
        <v>0</v>
      </c>
      <c r="R255" s="1885">
        <f t="shared" si="95"/>
        <v>0</v>
      </c>
      <c r="S255" s="1885">
        <f t="shared" si="96"/>
        <v>0</v>
      </c>
      <c r="T255" s="50"/>
      <c r="U255" s="50"/>
      <c r="V255" s="50"/>
      <c r="W255" s="1885">
        <f t="shared" si="97"/>
        <v>0</v>
      </c>
      <c r="X255" s="1891">
        <f t="shared" si="98"/>
        <v>0</v>
      </c>
      <c r="Y255" s="1891">
        <f t="shared" si="99"/>
        <v>0</v>
      </c>
      <c r="Z255" s="50"/>
      <c r="AA255" s="50"/>
      <c r="AB255" s="48"/>
      <c r="AC255" s="48"/>
      <c r="AD255" s="48"/>
      <c r="AE255" s="45"/>
      <c r="AF255" s="51"/>
      <c r="AG255" s="42"/>
      <c r="AH255" s="52" t="s">
        <v>4898</v>
      </c>
      <c r="AI255" s="197"/>
      <c r="AJ255" s="2578"/>
      <c r="AK255" s="251"/>
      <c r="AL255" s="2578"/>
      <c r="AM255" s="2562"/>
      <c r="AN255" s="2562"/>
      <c r="AO255" s="2562"/>
      <c r="AP255" s="2562"/>
      <c r="AQ255" s="2562"/>
      <c r="AR255" s="2562"/>
      <c r="AS255" s="2562"/>
      <c r="AT255" s="252">
        <f t="shared" si="100"/>
        <v>1</v>
      </c>
      <c r="AU255" s="252">
        <f t="shared" si="101"/>
        <v>1</v>
      </c>
      <c r="AV255" s="252">
        <f t="shared" si="102"/>
        <v>1</v>
      </c>
      <c r="AW255" s="252">
        <f t="shared" si="103"/>
        <v>1</v>
      </c>
      <c r="AX255" s="252">
        <f t="shared" si="104"/>
        <v>1</v>
      </c>
      <c r="AY255" s="252">
        <f t="shared" si="105"/>
        <v>1</v>
      </c>
      <c r="AZ255" s="252">
        <f t="shared" si="106"/>
        <v>1</v>
      </c>
      <c r="BA255" s="237"/>
      <c r="BB255" s="237"/>
      <c r="BC255" s="237"/>
      <c r="BD255" s="2562"/>
      <c r="BE255" s="252">
        <f t="shared" si="107"/>
        <v>1</v>
      </c>
      <c r="BF255" s="252">
        <f t="shared" si="108"/>
        <v>1</v>
      </c>
      <c r="BG255" s="2562"/>
      <c r="BH255" s="237"/>
      <c r="BI255" s="237"/>
      <c r="BJ255" s="252">
        <f t="shared" si="109"/>
        <v>1</v>
      </c>
      <c r="BK255" s="252">
        <f t="shared" si="110"/>
        <v>1</v>
      </c>
      <c r="BL255" s="252">
        <f t="shared" si="111"/>
        <v>1</v>
      </c>
      <c r="BM255" s="252">
        <f t="shared" si="112"/>
        <v>1</v>
      </c>
      <c r="BN255" s="252">
        <f t="shared" si="113"/>
        <v>1</v>
      </c>
      <c r="BO255" s="252">
        <f t="shared" si="114"/>
        <v>1</v>
      </c>
      <c r="BP255" s="2578"/>
      <c r="BQ255" s="2562"/>
      <c r="BR255" s="2562"/>
      <c r="BS255" s="2585"/>
      <c r="BT255" s="2585"/>
      <c r="BU255" s="2585"/>
    </row>
    <row r="256" spans="1:73" s="22" customFormat="1" ht="15.75" hidden="1" customHeight="1" outlineLevel="1">
      <c r="A256" s="2585"/>
      <c r="B256" s="44"/>
      <c r="C256" s="45"/>
      <c r="D256" s="46"/>
      <c r="E256" s="46"/>
      <c r="F256" s="45"/>
      <c r="G256" s="46"/>
      <c r="H256" s="45"/>
      <c r="I256" s="45"/>
      <c r="J256" s="47"/>
      <c r="K256" s="48"/>
      <c r="L256" s="47"/>
      <c r="M256" s="1913"/>
      <c r="N256" s="48"/>
      <c r="O256" s="49"/>
      <c r="P256" s="49"/>
      <c r="Q256" s="1884">
        <f t="shared" si="115"/>
        <v>0</v>
      </c>
      <c r="R256" s="1885">
        <f t="shared" si="95"/>
        <v>0</v>
      </c>
      <c r="S256" s="1885">
        <f t="shared" si="96"/>
        <v>0</v>
      </c>
      <c r="T256" s="50"/>
      <c r="U256" s="50"/>
      <c r="V256" s="50"/>
      <c r="W256" s="1885">
        <f t="shared" si="97"/>
        <v>0</v>
      </c>
      <c r="X256" s="1891">
        <f t="shared" si="98"/>
        <v>0</v>
      </c>
      <c r="Y256" s="1891">
        <f t="shared" si="99"/>
        <v>0</v>
      </c>
      <c r="Z256" s="50"/>
      <c r="AA256" s="50"/>
      <c r="AB256" s="48"/>
      <c r="AC256" s="48"/>
      <c r="AD256" s="48"/>
      <c r="AE256" s="45"/>
      <c r="AF256" s="51"/>
      <c r="AG256" s="42"/>
      <c r="AH256" s="52" t="s">
        <v>4899</v>
      </c>
      <c r="AI256" s="197"/>
      <c r="AJ256" s="2578"/>
      <c r="AK256" s="251"/>
      <c r="AL256" s="2578"/>
      <c r="AM256" s="2562"/>
      <c r="AN256" s="2562"/>
      <c r="AO256" s="2562"/>
      <c r="AP256" s="2562"/>
      <c r="AQ256" s="2562"/>
      <c r="AR256" s="2562"/>
      <c r="AS256" s="2562"/>
      <c r="AT256" s="252">
        <f t="shared" si="100"/>
        <v>1</v>
      </c>
      <c r="AU256" s="252">
        <f t="shared" si="101"/>
        <v>1</v>
      </c>
      <c r="AV256" s="252">
        <f t="shared" si="102"/>
        <v>1</v>
      </c>
      <c r="AW256" s="252">
        <f t="shared" si="103"/>
        <v>1</v>
      </c>
      <c r="AX256" s="252">
        <f t="shared" si="104"/>
        <v>1</v>
      </c>
      <c r="AY256" s="252">
        <f t="shared" si="105"/>
        <v>1</v>
      </c>
      <c r="AZ256" s="252">
        <f t="shared" si="106"/>
        <v>1</v>
      </c>
      <c r="BA256" s="237"/>
      <c r="BB256" s="237"/>
      <c r="BC256" s="237"/>
      <c r="BD256" s="2562"/>
      <c r="BE256" s="252">
        <f t="shared" si="107"/>
        <v>1</v>
      </c>
      <c r="BF256" s="252">
        <f t="shared" si="108"/>
        <v>1</v>
      </c>
      <c r="BG256" s="2562"/>
      <c r="BH256" s="237"/>
      <c r="BI256" s="237"/>
      <c r="BJ256" s="252">
        <f t="shared" si="109"/>
        <v>1</v>
      </c>
      <c r="BK256" s="252">
        <f t="shared" si="110"/>
        <v>1</v>
      </c>
      <c r="BL256" s="252">
        <f t="shared" si="111"/>
        <v>1</v>
      </c>
      <c r="BM256" s="252">
        <f t="shared" si="112"/>
        <v>1</v>
      </c>
      <c r="BN256" s="252">
        <f t="shared" si="113"/>
        <v>1</v>
      </c>
      <c r="BO256" s="252">
        <f t="shared" si="114"/>
        <v>1</v>
      </c>
      <c r="BP256" s="2578"/>
      <c r="BQ256" s="2562"/>
      <c r="BR256" s="2562"/>
      <c r="BS256" s="2585"/>
      <c r="BT256" s="2585"/>
      <c r="BU256" s="2585"/>
    </row>
    <row r="257" spans="1:73" s="22" customFormat="1" ht="15.75" hidden="1" customHeight="1" outlineLevel="1">
      <c r="A257" s="2585"/>
      <c r="B257" s="44"/>
      <c r="C257" s="45"/>
      <c r="D257" s="46"/>
      <c r="E257" s="46"/>
      <c r="F257" s="45"/>
      <c r="G257" s="46"/>
      <c r="H257" s="45"/>
      <c r="I257" s="45"/>
      <c r="J257" s="47"/>
      <c r="K257" s="48"/>
      <c r="L257" s="47"/>
      <c r="M257" s="1913"/>
      <c r="N257" s="48"/>
      <c r="O257" s="49"/>
      <c r="P257" s="49"/>
      <c r="Q257" s="1884">
        <f t="shared" si="115"/>
        <v>0</v>
      </c>
      <c r="R257" s="1885">
        <f t="shared" si="95"/>
        <v>0</v>
      </c>
      <c r="S257" s="1885">
        <f t="shared" si="96"/>
        <v>0</v>
      </c>
      <c r="T257" s="50"/>
      <c r="U257" s="50"/>
      <c r="V257" s="50"/>
      <c r="W257" s="1885">
        <f t="shared" si="97"/>
        <v>0</v>
      </c>
      <c r="X257" s="1891">
        <f t="shared" si="98"/>
        <v>0</v>
      </c>
      <c r="Y257" s="1891">
        <f t="shared" si="99"/>
        <v>0</v>
      </c>
      <c r="Z257" s="50"/>
      <c r="AA257" s="50"/>
      <c r="AB257" s="48"/>
      <c r="AC257" s="48"/>
      <c r="AD257" s="48"/>
      <c r="AE257" s="45"/>
      <c r="AF257" s="51"/>
      <c r="AG257" s="42"/>
      <c r="AH257" s="52" t="s">
        <v>4900</v>
      </c>
      <c r="AI257" s="197"/>
      <c r="AJ257" s="2578"/>
      <c r="AK257" s="251"/>
      <c r="AL257" s="2578"/>
      <c r="AM257" s="2562"/>
      <c r="AN257" s="2562"/>
      <c r="AO257" s="2562"/>
      <c r="AP257" s="2562"/>
      <c r="AQ257" s="2562"/>
      <c r="AR257" s="2562"/>
      <c r="AS257" s="2562"/>
      <c r="AT257" s="252">
        <f t="shared" si="100"/>
        <v>1</v>
      </c>
      <c r="AU257" s="252">
        <f t="shared" si="101"/>
        <v>1</v>
      </c>
      <c r="AV257" s="252">
        <f t="shared" si="102"/>
        <v>1</v>
      </c>
      <c r="AW257" s="252">
        <f t="shared" si="103"/>
        <v>1</v>
      </c>
      <c r="AX257" s="252">
        <f t="shared" si="104"/>
        <v>1</v>
      </c>
      <c r="AY257" s="252">
        <f t="shared" si="105"/>
        <v>1</v>
      </c>
      <c r="AZ257" s="252">
        <f t="shared" si="106"/>
        <v>1</v>
      </c>
      <c r="BA257" s="237"/>
      <c r="BB257" s="237"/>
      <c r="BC257" s="237"/>
      <c r="BD257" s="2562"/>
      <c r="BE257" s="252">
        <f t="shared" si="107"/>
        <v>1</v>
      </c>
      <c r="BF257" s="252">
        <f t="shared" si="108"/>
        <v>1</v>
      </c>
      <c r="BG257" s="2562"/>
      <c r="BH257" s="237"/>
      <c r="BI257" s="237"/>
      <c r="BJ257" s="252">
        <f t="shared" si="109"/>
        <v>1</v>
      </c>
      <c r="BK257" s="252">
        <f t="shared" si="110"/>
        <v>1</v>
      </c>
      <c r="BL257" s="252">
        <f t="shared" si="111"/>
        <v>1</v>
      </c>
      <c r="BM257" s="252">
        <f t="shared" si="112"/>
        <v>1</v>
      </c>
      <c r="BN257" s="252">
        <f t="shared" si="113"/>
        <v>1</v>
      </c>
      <c r="BO257" s="252">
        <f t="shared" si="114"/>
        <v>1</v>
      </c>
      <c r="BP257" s="2578"/>
      <c r="BQ257" s="2562"/>
      <c r="BR257" s="2562"/>
      <c r="BS257" s="2585"/>
      <c r="BT257" s="2585"/>
      <c r="BU257" s="2585"/>
    </row>
    <row r="258" spans="1:73" s="22" customFormat="1" ht="15.75" hidden="1" customHeight="1" outlineLevel="1">
      <c r="A258" s="2585"/>
      <c r="B258" s="44"/>
      <c r="C258" s="45"/>
      <c r="D258" s="46"/>
      <c r="E258" s="46"/>
      <c r="F258" s="45"/>
      <c r="G258" s="46"/>
      <c r="H258" s="45"/>
      <c r="I258" s="45"/>
      <c r="J258" s="47"/>
      <c r="K258" s="48"/>
      <c r="L258" s="47"/>
      <c r="M258" s="1913"/>
      <c r="N258" s="48"/>
      <c r="O258" s="49"/>
      <c r="P258" s="49"/>
      <c r="Q258" s="1884">
        <f t="shared" si="115"/>
        <v>0</v>
      </c>
      <c r="R258" s="1885">
        <f t="shared" si="95"/>
        <v>0</v>
      </c>
      <c r="S258" s="1885">
        <f t="shared" si="96"/>
        <v>0</v>
      </c>
      <c r="T258" s="50"/>
      <c r="U258" s="50"/>
      <c r="V258" s="50"/>
      <c r="W258" s="1885">
        <f t="shared" si="97"/>
        <v>0</v>
      </c>
      <c r="X258" s="1891">
        <f t="shared" si="98"/>
        <v>0</v>
      </c>
      <c r="Y258" s="1891">
        <f t="shared" si="99"/>
        <v>0</v>
      </c>
      <c r="Z258" s="50"/>
      <c r="AA258" s="50"/>
      <c r="AB258" s="48"/>
      <c r="AC258" s="48"/>
      <c r="AD258" s="48"/>
      <c r="AE258" s="45"/>
      <c r="AF258" s="51"/>
      <c r="AG258" s="42"/>
      <c r="AH258" s="52" t="s">
        <v>4901</v>
      </c>
      <c r="AI258" s="197"/>
      <c r="AJ258" s="2578"/>
      <c r="AK258" s="251"/>
      <c r="AL258" s="2578"/>
      <c r="AM258" s="2562"/>
      <c r="AN258" s="2562"/>
      <c r="AO258" s="2562"/>
      <c r="AP258" s="2562"/>
      <c r="AQ258" s="2562"/>
      <c r="AR258" s="2562"/>
      <c r="AS258" s="2562"/>
      <c r="AT258" s="252">
        <f t="shared" si="100"/>
        <v>1</v>
      </c>
      <c r="AU258" s="252">
        <f t="shared" si="101"/>
        <v>1</v>
      </c>
      <c r="AV258" s="252">
        <f t="shared" si="102"/>
        <v>1</v>
      </c>
      <c r="AW258" s="252">
        <f t="shared" si="103"/>
        <v>1</v>
      </c>
      <c r="AX258" s="252">
        <f t="shared" si="104"/>
        <v>1</v>
      </c>
      <c r="AY258" s="252">
        <f t="shared" si="105"/>
        <v>1</v>
      </c>
      <c r="AZ258" s="252">
        <f t="shared" si="106"/>
        <v>1</v>
      </c>
      <c r="BA258" s="237"/>
      <c r="BB258" s="237"/>
      <c r="BC258" s="237"/>
      <c r="BD258" s="2562"/>
      <c r="BE258" s="252">
        <f t="shared" si="107"/>
        <v>1</v>
      </c>
      <c r="BF258" s="252">
        <f t="shared" si="108"/>
        <v>1</v>
      </c>
      <c r="BG258" s="2562"/>
      <c r="BH258" s="237"/>
      <c r="BI258" s="237"/>
      <c r="BJ258" s="252">
        <f t="shared" si="109"/>
        <v>1</v>
      </c>
      <c r="BK258" s="252">
        <f t="shared" si="110"/>
        <v>1</v>
      </c>
      <c r="BL258" s="252">
        <f t="shared" si="111"/>
        <v>1</v>
      </c>
      <c r="BM258" s="252">
        <f t="shared" si="112"/>
        <v>1</v>
      </c>
      <c r="BN258" s="252">
        <f t="shared" si="113"/>
        <v>1</v>
      </c>
      <c r="BO258" s="252">
        <f t="shared" si="114"/>
        <v>1</v>
      </c>
      <c r="BP258" s="2578"/>
      <c r="BQ258" s="2562"/>
      <c r="BR258" s="2562"/>
      <c r="BS258" s="2585"/>
      <c r="BT258" s="2585"/>
      <c r="BU258" s="2585"/>
    </row>
    <row r="259" spans="1:73" s="22" customFormat="1" ht="15.75" hidden="1" customHeight="1" outlineLevel="1">
      <c r="A259" s="2585"/>
      <c r="B259" s="44"/>
      <c r="C259" s="45"/>
      <c r="D259" s="46"/>
      <c r="E259" s="46"/>
      <c r="F259" s="45"/>
      <c r="G259" s="46"/>
      <c r="H259" s="45"/>
      <c r="I259" s="45"/>
      <c r="J259" s="47"/>
      <c r="K259" s="48"/>
      <c r="L259" s="47"/>
      <c r="M259" s="1913"/>
      <c r="N259" s="48"/>
      <c r="O259" s="49"/>
      <c r="P259" s="49"/>
      <c r="Q259" s="1884">
        <f t="shared" si="115"/>
        <v>0</v>
      </c>
      <c r="R259" s="1885">
        <f t="shared" si="95"/>
        <v>0</v>
      </c>
      <c r="S259" s="1885">
        <f t="shared" si="96"/>
        <v>0</v>
      </c>
      <c r="T259" s="50"/>
      <c r="U259" s="50"/>
      <c r="V259" s="50"/>
      <c r="W259" s="1885">
        <f t="shared" si="97"/>
        <v>0</v>
      </c>
      <c r="X259" s="1891">
        <f t="shared" si="98"/>
        <v>0</v>
      </c>
      <c r="Y259" s="1891">
        <f t="shared" si="99"/>
        <v>0</v>
      </c>
      <c r="Z259" s="50"/>
      <c r="AA259" s="50"/>
      <c r="AB259" s="48"/>
      <c r="AC259" s="48"/>
      <c r="AD259" s="48"/>
      <c r="AE259" s="45"/>
      <c r="AF259" s="51"/>
      <c r="AG259" s="42"/>
      <c r="AH259" s="52" t="s">
        <v>4902</v>
      </c>
      <c r="AI259" s="197"/>
      <c r="AJ259" s="2578"/>
      <c r="AK259" s="251"/>
      <c r="AL259" s="2578"/>
      <c r="AM259" s="2562"/>
      <c r="AN259" s="2562"/>
      <c r="AO259" s="2562"/>
      <c r="AP259" s="2562"/>
      <c r="AQ259" s="2562"/>
      <c r="AR259" s="2562"/>
      <c r="AS259" s="2562"/>
      <c r="AT259" s="252">
        <f t="shared" si="100"/>
        <v>1</v>
      </c>
      <c r="AU259" s="252">
        <f t="shared" si="101"/>
        <v>1</v>
      </c>
      <c r="AV259" s="252">
        <f t="shared" si="102"/>
        <v>1</v>
      </c>
      <c r="AW259" s="252">
        <f t="shared" si="103"/>
        <v>1</v>
      </c>
      <c r="AX259" s="252">
        <f t="shared" si="104"/>
        <v>1</v>
      </c>
      <c r="AY259" s="252">
        <f t="shared" si="105"/>
        <v>1</v>
      </c>
      <c r="AZ259" s="252">
        <f t="shared" si="106"/>
        <v>1</v>
      </c>
      <c r="BA259" s="237"/>
      <c r="BB259" s="237"/>
      <c r="BC259" s="237"/>
      <c r="BD259" s="2562"/>
      <c r="BE259" s="252">
        <f t="shared" si="107"/>
        <v>1</v>
      </c>
      <c r="BF259" s="252">
        <f t="shared" si="108"/>
        <v>1</v>
      </c>
      <c r="BG259" s="2562"/>
      <c r="BH259" s="237"/>
      <c r="BI259" s="237"/>
      <c r="BJ259" s="252">
        <f t="shared" si="109"/>
        <v>1</v>
      </c>
      <c r="BK259" s="252">
        <f t="shared" si="110"/>
        <v>1</v>
      </c>
      <c r="BL259" s="252">
        <f t="shared" si="111"/>
        <v>1</v>
      </c>
      <c r="BM259" s="252">
        <f t="shared" si="112"/>
        <v>1</v>
      </c>
      <c r="BN259" s="252">
        <f t="shared" si="113"/>
        <v>1</v>
      </c>
      <c r="BO259" s="252">
        <f t="shared" si="114"/>
        <v>1</v>
      </c>
      <c r="BP259" s="2578"/>
      <c r="BQ259" s="2562"/>
      <c r="BR259" s="2562"/>
      <c r="BS259" s="2585"/>
      <c r="BT259" s="2585"/>
      <c r="BU259" s="2585"/>
    </row>
    <row r="260" spans="1:73" s="22" customFormat="1" ht="15.75" hidden="1" customHeight="1" outlineLevel="1">
      <c r="A260" s="2585"/>
      <c r="B260" s="44"/>
      <c r="C260" s="45"/>
      <c r="D260" s="46"/>
      <c r="E260" s="46"/>
      <c r="F260" s="45"/>
      <c r="G260" s="46"/>
      <c r="H260" s="45"/>
      <c r="I260" s="45"/>
      <c r="J260" s="47"/>
      <c r="K260" s="48"/>
      <c r="L260" s="47"/>
      <c r="M260" s="1913"/>
      <c r="N260" s="48"/>
      <c r="O260" s="49"/>
      <c r="P260" s="49"/>
      <c r="Q260" s="1884">
        <f t="shared" si="115"/>
        <v>0</v>
      </c>
      <c r="R260" s="1885">
        <f t="shared" si="95"/>
        <v>0</v>
      </c>
      <c r="S260" s="1885">
        <f t="shared" si="96"/>
        <v>0</v>
      </c>
      <c r="T260" s="50"/>
      <c r="U260" s="50"/>
      <c r="V260" s="50"/>
      <c r="W260" s="1885">
        <f t="shared" si="97"/>
        <v>0</v>
      </c>
      <c r="X260" s="1891">
        <f t="shared" si="98"/>
        <v>0</v>
      </c>
      <c r="Y260" s="1891">
        <f t="shared" si="99"/>
        <v>0</v>
      </c>
      <c r="Z260" s="50"/>
      <c r="AA260" s="50"/>
      <c r="AB260" s="48"/>
      <c r="AC260" s="48"/>
      <c r="AD260" s="48"/>
      <c r="AE260" s="45"/>
      <c r="AF260" s="51"/>
      <c r="AG260" s="42"/>
      <c r="AH260" s="52" t="s">
        <v>4903</v>
      </c>
      <c r="AI260" s="197"/>
      <c r="AJ260" s="2578"/>
      <c r="AK260" s="251"/>
      <c r="AL260" s="2578"/>
      <c r="AM260" s="2562"/>
      <c r="AN260" s="2562"/>
      <c r="AO260" s="2562"/>
      <c r="AP260" s="2562"/>
      <c r="AQ260" s="2562"/>
      <c r="AR260" s="2562"/>
      <c r="AS260" s="2562"/>
      <c r="AT260" s="252">
        <f t="shared" si="100"/>
        <v>1</v>
      </c>
      <c r="AU260" s="252">
        <f t="shared" si="101"/>
        <v>1</v>
      </c>
      <c r="AV260" s="252">
        <f t="shared" si="102"/>
        <v>1</v>
      </c>
      <c r="AW260" s="252">
        <f t="shared" si="103"/>
        <v>1</v>
      </c>
      <c r="AX260" s="252">
        <f t="shared" si="104"/>
        <v>1</v>
      </c>
      <c r="AY260" s="252">
        <f t="shared" si="105"/>
        <v>1</v>
      </c>
      <c r="AZ260" s="252">
        <f t="shared" si="106"/>
        <v>1</v>
      </c>
      <c r="BA260" s="237"/>
      <c r="BB260" s="237"/>
      <c r="BC260" s="237"/>
      <c r="BD260" s="2562"/>
      <c r="BE260" s="252">
        <f t="shared" si="107"/>
        <v>1</v>
      </c>
      <c r="BF260" s="252">
        <f t="shared" si="108"/>
        <v>1</v>
      </c>
      <c r="BG260" s="2562"/>
      <c r="BH260" s="237"/>
      <c r="BI260" s="237"/>
      <c r="BJ260" s="252">
        <f t="shared" si="109"/>
        <v>1</v>
      </c>
      <c r="BK260" s="252">
        <f t="shared" si="110"/>
        <v>1</v>
      </c>
      <c r="BL260" s="252">
        <f t="shared" si="111"/>
        <v>1</v>
      </c>
      <c r="BM260" s="252">
        <f t="shared" si="112"/>
        <v>1</v>
      </c>
      <c r="BN260" s="252">
        <f t="shared" si="113"/>
        <v>1</v>
      </c>
      <c r="BO260" s="252">
        <f t="shared" si="114"/>
        <v>1</v>
      </c>
      <c r="BP260" s="2578"/>
      <c r="BQ260" s="2562"/>
      <c r="BR260" s="2562"/>
      <c r="BS260" s="2585"/>
      <c r="BT260" s="2585"/>
      <c r="BU260" s="2585"/>
    </row>
    <row r="261" spans="1:73" s="22" customFormat="1" ht="15.65" hidden="1" customHeight="1" outlineLevel="1">
      <c r="A261" s="2585"/>
      <c r="B261" s="44"/>
      <c r="C261" s="45"/>
      <c r="D261" s="46"/>
      <c r="E261" s="46"/>
      <c r="F261" s="45"/>
      <c r="G261" s="46"/>
      <c r="H261" s="45"/>
      <c r="I261" s="45"/>
      <c r="J261" s="47"/>
      <c r="K261" s="48"/>
      <c r="L261" s="47"/>
      <c r="M261" s="1913"/>
      <c r="N261" s="48"/>
      <c r="O261" s="49"/>
      <c r="P261" s="49"/>
      <c r="Q261" s="1884">
        <f t="shared" si="115"/>
        <v>0</v>
      </c>
      <c r="R261" s="1885">
        <f t="shared" si="95"/>
        <v>0</v>
      </c>
      <c r="S261" s="1885">
        <f t="shared" si="96"/>
        <v>0</v>
      </c>
      <c r="T261" s="50"/>
      <c r="U261" s="50"/>
      <c r="V261" s="50"/>
      <c r="W261" s="1885">
        <f t="shared" si="97"/>
        <v>0</v>
      </c>
      <c r="X261" s="1891">
        <f t="shared" si="98"/>
        <v>0</v>
      </c>
      <c r="Y261" s="1891">
        <f t="shared" si="99"/>
        <v>0</v>
      </c>
      <c r="Z261" s="50"/>
      <c r="AA261" s="50"/>
      <c r="AB261" s="48"/>
      <c r="AC261" s="48"/>
      <c r="AD261" s="48"/>
      <c r="AE261" s="45"/>
      <c r="AF261" s="51"/>
      <c r="AG261" s="42"/>
      <c r="AH261" s="52" t="s">
        <v>4904</v>
      </c>
      <c r="AI261" s="197"/>
      <c r="AJ261" s="2578"/>
      <c r="AK261" s="251"/>
      <c r="AL261" s="2578"/>
      <c r="AM261" s="2562"/>
      <c r="AN261" s="2562"/>
      <c r="AO261" s="2562"/>
      <c r="AP261" s="2562"/>
      <c r="AQ261" s="2562"/>
      <c r="AR261" s="2562"/>
      <c r="AS261" s="2562"/>
      <c r="AT261" s="252">
        <f t="shared" si="100"/>
        <v>1</v>
      </c>
      <c r="AU261" s="252">
        <f t="shared" si="101"/>
        <v>1</v>
      </c>
      <c r="AV261" s="252">
        <f t="shared" si="102"/>
        <v>1</v>
      </c>
      <c r="AW261" s="252">
        <f t="shared" si="103"/>
        <v>1</v>
      </c>
      <c r="AX261" s="252">
        <f t="shared" si="104"/>
        <v>1</v>
      </c>
      <c r="AY261" s="252">
        <f t="shared" si="105"/>
        <v>1</v>
      </c>
      <c r="AZ261" s="252">
        <f t="shared" si="106"/>
        <v>1</v>
      </c>
      <c r="BA261" s="237"/>
      <c r="BB261" s="237"/>
      <c r="BC261" s="237"/>
      <c r="BD261" s="2562"/>
      <c r="BE261" s="252">
        <f t="shared" si="107"/>
        <v>1</v>
      </c>
      <c r="BF261" s="252">
        <f t="shared" si="108"/>
        <v>1</v>
      </c>
      <c r="BG261" s="2562"/>
      <c r="BH261" s="237"/>
      <c r="BI261" s="237"/>
      <c r="BJ261" s="252">
        <f t="shared" si="109"/>
        <v>1</v>
      </c>
      <c r="BK261" s="252">
        <f t="shared" si="110"/>
        <v>1</v>
      </c>
      <c r="BL261" s="252">
        <f t="shared" si="111"/>
        <v>1</v>
      </c>
      <c r="BM261" s="252">
        <f t="shared" si="112"/>
        <v>1</v>
      </c>
      <c r="BN261" s="252">
        <f t="shared" si="113"/>
        <v>1</v>
      </c>
      <c r="BO261" s="252">
        <f t="shared" si="114"/>
        <v>1</v>
      </c>
      <c r="BP261" s="2578"/>
      <c r="BQ261" s="2562"/>
      <c r="BR261" s="2562"/>
      <c r="BS261" s="2585"/>
      <c r="BT261" s="2585"/>
      <c r="BU261" s="2585"/>
    </row>
    <row r="262" spans="1:73" s="22" customFormat="1" ht="15.75" customHeight="1" collapsed="1">
      <c r="A262" s="2585"/>
      <c r="B262" s="44"/>
      <c r="C262" s="45"/>
      <c r="D262" s="46"/>
      <c r="E262" s="46"/>
      <c r="F262" s="45"/>
      <c r="G262" s="46"/>
      <c r="H262" s="45"/>
      <c r="I262" s="45"/>
      <c r="J262" s="47"/>
      <c r="K262" s="48"/>
      <c r="L262" s="47"/>
      <c r="M262" s="1913"/>
      <c r="N262" s="48"/>
      <c r="O262" s="49"/>
      <c r="P262" s="49"/>
      <c r="Q262" s="1884">
        <f t="shared" si="115"/>
        <v>0</v>
      </c>
      <c r="R262" s="1885">
        <f t="shared" si="95"/>
        <v>0</v>
      </c>
      <c r="S262" s="1885">
        <f t="shared" si="96"/>
        <v>0</v>
      </c>
      <c r="T262" s="50"/>
      <c r="U262" s="50"/>
      <c r="V262" s="50"/>
      <c r="W262" s="1885">
        <f t="shared" si="97"/>
        <v>0</v>
      </c>
      <c r="X262" s="1891">
        <f t="shared" si="98"/>
        <v>0</v>
      </c>
      <c r="Y262" s="1891">
        <f t="shared" si="99"/>
        <v>0</v>
      </c>
      <c r="Z262" s="50"/>
      <c r="AA262" s="50"/>
      <c r="AB262" s="48"/>
      <c r="AC262" s="48"/>
      <c r="AD262" s="48"/>
      <c r="AE262" s="45"/>
      <c r="AF262" s="51"/>
      <c r="AG262" s="42"/>
      <c r="AH262" s="52" t="s">
        <v>4905</v>
      </c>
      <c r="AI262" s="197"/>
      <c r="AJ262" s="2578"/>
      <c r="AK262" s="251"/>
      <c r="AL262" s="2578"/>
      <c r="AM262" s="2562"/>
      <c r="AN262" s="2562"/>
      <c r="AO262" s="2562"/>
      <c r="AP262" s="2562"/>
      <c r="AQ262" s="2562"/>
      <c r="AR262" s="2562"/>
      <c r="AS262" s="2562"/>
      <c r="AT262" s="252">
        <f t="shared" si="100"/>
        <v>1</v>
      </c>
      <c r="AU262" s="252">
        <f t="shared" si="101"/>
        <v>1</v>
      </c>
      <c r="AV262" s="252">
        <f t="shared" si="102"/>
        <v>1</v>
      </c>
      <c r="AW262" s="252">
        <f t="shared" si="103"/>
        <v>1</v>
      </c>
      <c r="AX262" s="252">
        <f t="shared" si="104"/>
        <v>1</v>
      </c>
      <c r="AY262" s="252">
        <f t="shared" si="105"/>
        <v>1</v>
      </c>
      <c r="AZ262" s="252">
        <f t="shared" si="106"/>
        <v>1</v>
      </c>
      <c r="BA262" s="237"/>
      <c r="BB262" s="237"/>
      <c r="BC262" s="237"/>
      <c r="BD262" s="2562"/>
      <c r="BE262" s="252">
        <f t="shared" si="107"/>
        <v>1</v>
      </c>
      <c r="BF262" s="252">
        <f t="shared" si="108"/>
        <v>1</v>
      </c>
      <c r="BG262" s="2562"/>
      <c r="BH262" s="237"/>
      <c r="BI262" s="237"/>
      <c r="BJ262" s="252">
        <f t="shared" si="109"/>
        <v>1</v>
      </c>
      <c r="BK262" s="252">
        <f t="shared" si="110"/>
        <v>1</v>
      </c>
      <c r="BL262" s="252">
        <f t="shared" si="111"/>
        <v>1</v>
      </c>
      <c r="BM262" s="252">
        <f t="shared" si="112"/>
        <v>1</v>
      </c>
      <c r="BN262" s="252">
        <f t="shared" si="113"/>
        <v>1</v>
      </c>
      <c r="BO262" s="252">
        <f t="shared" si="114"/>
        <v>1</v>
      </c>
      <c r="BP262" s="2578"/>
      <c r="BQ262" s="2562"/>
      <c r="BR262" s="2562"/>
      <c r="BS262" s="2585"/>
      <c r="BT262" s="2585"/>
      <c r="BU262" s="2585"/>
    </row>
    <row r="263" spans="1:73" s="22" customFormat="1" ht="15.75" hidden="1" customHeight="1" outlineLevel="1">
      <c r="A263" s="2585"/>
      <c r="B263" s="44"/>
      <c r="C263" s="45"/>
      <c r="D263" s="46"/>
      <c r="E263" s="46"/>
      <c r="F263" s="45"/>
      <c r="G263" s="46"/>
      <c r="H263" s="45"/>
      <c r="I263" s="45"/>
      <c r="J263" s="47"/>
      <c r="K263" s="48"/>
      <c r="L263" s="47"/>
      <c r="M263" s="1913"/>
      <c r="N263" s="48"/>
      <c r="O263" s="49"/>
      <c r="P263" s="49"/>
      <c r="Q263" s="1884">
        <f t="shared" si="115"/>
        <v>0</v>
      </c>
      <c r="R263" s="1885">
        <f t="shared" si="95"/>
        <v>0</v>
      </c>
      <c r="S263" s="1885">
        <f t="shared" si="96"/>
        <v>0</v>
      </c>
      <c r="T263" s="50"/>
      <c r="U263" s="50"/>
      <c r="V263" s="50"/>
      <c r="W263" s="1885">
        <f t="shared" si="97"/>
        <v>0</v>
      </c>
      <c r="X263" s="1891">
        <f t="shared" si="98"/>
        <v>0</v>
      </c>
      <c r="Y263" s="1891">
        <f t="shared" si="99"/>
        <v>0</v>
      </c>
      <c r="Z263" s="50"/>
      <c r="AA263" s="50"/>
      <c r="AB263" s="48"/>
      <c r="AC263" s="48"/>
      <c r="AD263" s="48"/>
      <c r="AE263" s="45"/>
      <c r="AF263" s="51"/>
      <c r="AG263" s="42"/>
      <c r="AH263" s="52" t="s">
        <v>4906</v>
      </c>
      <c r="AI263" s="197"/>
      <c r="AJ263" s="2578"/>
      <c r="AK263" s="251"/>
      <c r="AL263" s="2578"/>
      <c r="AM263" s="2562"/>
      <c r="AN263" s="2562"/>
      <c r="AO263" s="2562"/>
      <c r="AP263" s="2562"/>
      <c r="AQ263" s="2562"/>
      <c r="AR263" s="2562"/>
      <c r="AS263" s="2562"/>
      <c r="AT263" s="252">
        <f t="shared" ref="AT263:AT311" si="116" xml:space="preserve"> IF( ISNUMBER( J213 ), 0, 1 )</f>
        <v>1</v>
      </c>
      <c r="AU263" s="252">
        <f t="shared" ref="AU263:AU311" si="117" xml:space="preserve"> IF( ISNUMBER( K213 ), 0, 1 )</f>
        <v>0</v>
      </c>
      <c r="AV263" s="252">
        <f t="shared" ref="AV263:AV311" si="118" xml:space="preserve"> IF( ISNUMBER( L213 ), 0, 1 )</f>
        <v>0</v>
      </c>
      <c r="AW263" s="252">
        <f t="shared" ref="AW263:AW311" si="119" xml:space="preserve"> IF( ISNUMBER( M213 ), 0, 1 )</f>
        <v>0</v>
      </c>
      <c r="AX263" s="252">
        <f t="shared" ref="AX263:AX311" si="120" xml:space="preserve"> IF( ISNUMBER( N213 ), 0, 1 )</f>
        <v>0</v>
      </c>
      <c r="AY263" s="252">
        <f t="shared" ref="AY263:AY311" si="121" xml:space="preserve"> IF( ISNUMBER( O213 ), 0, 1 )</f>
        <v>0</v>
      </c>
      <c r="AZ263" s="252">
        <f t="shared" ref="AZ263:AZ311" si="122" xml:space="preserve"> IF( ISNUMBER( P213 ), 0, 1 )</f>
        <v>0</v>
      </c>
      <c r="BA263" s="237"/>
      <c r="BB263" s="237"/>
      <c r="BC263" s="2562"/>
      <c r="BD263" s="2562"/>
      <c r="BE263" s="2562"/>
      <c r="BF263" s="2562"/>
      <c r="BG263" s="252">
        <f t="shared" ref="BG263:BG311" si="123" xml:space="preserve"> IF( ISNUMBER( W213 ), 0, 1 )</f>
        <v>0</v>
      </c>
      <c r="BH263" s="2562"/>
      <c r="BI263" s="237"/>
      <c r="BJ263" s="252">
        <f t="shared" ref="BJ263:BJ311" si="124" xml:space="preserve"> IF( ISNUMBER( Z213 ), 0, 1 )</f>
        <v>0</v>
      </c>
      <c r="BK263" s="252">
        <f t="shared" ref="BK263:BK311" si="125" xml:space="preserve"> IF( ISNUMBER( AA213 ), 0, 1 )</f>
        <v>0</v>
      </c>
      <c r="BL263" s="252">
        <f t="shared" ref="BL263:BL311" si="126" xml:space="preserve"> IF( ISNUMBER( AB213 ), 0, 1 )</f>
        <v>0</v>
      </c>
      <c r="BM263" s="252">
        <f t="shared" ref="BM263:BM311" si="127" xml:space="preserve"> IF( ISNUMBER( AC213 ), 0, 1 )</f>
        <v>0</v>
      </c>
      <c r="BN263" s="252">
        <f t="shared" ref="BN263:BN311" si="128" xml:space="preserve"> IF( ISNUMBER( AD213 ), 0, 1 )</f>
        <v>0</v>
      </c>
      <c r="BO263" s="252">
        <f t="shared" ref="BO263:BO311" si="129" xml:space="preserve"> IF( ISNUMBER( AF213 ), 0, 1 )</f>
        <v>1</v>
      </c>
      <c r="BP263" s="2578"/>
      <c r="BQ263" s="2562"/>
      <c r="BR263" s="2562"/>
      <c r="BS263" s="2585"/>
      <c r="BT263" s="2585"/>
      <c r="BU263" s="2585"/>
    </row>
    <row r="264" spans="1:73" s="22" customFormat="1" ht="15.75" hidden="1" customHeight="1" outlineLevel="1">
      <c r="A264" s="2585"/>
      <c r="B264" s="44"/>
      <c r="C264" s="45"/>
      <c r="D264" s="46"/>
      <c r="E264" s="46"/>
      <c r="F264" s="45"/>
      <c r="G264" s="46"/>
      <c r="H264" s="45"/>
      <c r="I264" s="45"/>
      <c r="J264" s="47"/>
      <c r="K264" s="48"/>
      <c r="L264" s="47"/>
      <c r="M264" s="1913"/>
      <c r="N264" s="48"/>
      <c r="O264" s="49"/>
      <c r="P264" s="49"/>
      <c r="Q264" s="1884">
        <f t="shared" si="115"/>
        <v>0</v>
      </c>
      <c r="R264" s="1885">
        <f t="shared" si="95"/>
        <v>0</v>
      </c>
      <c r="S264" s="1885">
        <f t="shared" si="96"/>
        <v>0</v>
      </c>
      <c r="T264" s="50"/>
      <c r="U264" s="50"/>
      <c r="V264" s="50"/>
      <c r="W264" s="1885">
        <f t="shared" si="97"/>
        <v>0</v>
      </c>
      <c r="X264" s="1891">
        <f t="shared" si="98"/>
        <v>0</v>
      </c>
      <c r="Y264" s="1891">
        <f t="shared" si="99"/>
        <v>0</v>
      </c>
      <c r="Z264" s="50"/>
      <c r="AA264" s="50"/>
      <c r="AB264" s="48"/>
      <c r="AC264" s="48"/>
      <c r="AD264" s="48"/>
      <c r="AE264" s="45"/>
      <c r="AF264" s="51"/>
      <c r="AG264" s="42"/>
      <c r="AH264" s="52" t="s">
        <v>4907</v>
      </c>
      <c r="AI264" s="197"/>
      <c r="AJ264" s="2578"/>
      <c r="AK264" s="251"/>
      <c r="AL264" s="2578"/>
      <c r="AM264" s="2562"/>
      <c r="AN264" s="2562"/>
      <c r="AO264" s="2562"/>
      <c r="AP264" s="2562"/>
      <c r="AQ264" s="2562"/>
      <c r="AR264" s="2562"/>
      <c r="AS264" s="2562"/>
      <c r="AT264" s="252">
        <f t="shared" si="116"/>
        <v>1</v>
      </c>
      <c r="AU264" s="252">
        <f t="shared" si="117"/>
        <v>0</v>
      </c>
      <c r="AV264" s="252">
        <f t="shared" si="118"/>
        <v>0</v>
      </c>
      <c r="AW264" s="252">
        <f t="shared" si="119"/>
        <v>0</v>
      </c>
      <c r="AX264" s="252">
        <f t="shared" si="120"/>
        <v>0</v>
      </c>
      <c r="AY264" s="252">
        <f t="shared" si="121"/>
        <v>0</v>
      </c>
      <c r="AZ264" s="252">
        <f t="shared" si="122"/>
        <v>0</v>
      </c>
      <c r="BA264" s="237"/>
      <c r="BB264" s="237"/>
      <c r="BC264" s="2562"/>
      <c r="BD264" s="2562"/>
      <c r="BE264" s="2562"/>
      <c r="BF264" s="2562"/>
      <c r="BG264" s="252">
        <f t="shared" si="123"/>
        <v>0</v>
      </c>
      <c r="BH264" s="2562"/>
      <c r="BI264" s="237"/>
      <c r="BJ264" s="252">
        <f t="shared" si="124"/>
        <v>0</v>
      </c>
      <c r="BK264" s="252">
        <f t="shared" si="125"/>
        <v>0</v>
      </c>
      <c r="BL264" s="252">
        <f t="shared" si="126"/>
        <v>0</v>
      </c>
      <c r="BM264" s="252">
        <f t="shared" si="127"/>
        <v>0</v>
      </c>
      <c r="BN264" s="252">
        <f t="shared" si="128"/>
        <v>0</v>
      </c>
      <c r="BO264" s="252">
        <f t="shared" si="129"/>
        <v>1</v>
      </c>
      <c r="BP264" s="2578"/>
      <c r="BQ264" s="2562"/>
      <c r="BR264" s="2562"/>
      <c r="BS264" s="2585"/>
      <c r="BT264" s="2585"/>
      <c r="BU264" s="2585"/>
    </row>
    <row r="265" spans="1:73" s="22" customFormat="1" ht="15.75" hidden="1" customHeight="1" outlineLevel="1">
      <c r="A265" s="2585"/>
      <c r="B265" s="44"/>
      <c r="C265" s="45"/>
      <c r="D265" s="46"/>
      <c r="E265" s="46"/>
      <c r="F265" s="45"/>
      <c r="G265" s="46"/>
      <c r="H265" s="45"/>
      <c r="I265" s="45"/>
      <c r="J265" s="47"/>
      <c r="K265" s="48"/>
      <c r="L265" s="47"/>
      <c r="M265" s="1913"/>
      <c r="N265" s="48"/>
      <c r="O265" s="49"/>
      <c r="P265" s="49"/>
      <c r="Q265" s="1884">
        <f t="shared" si="115"/>
        <v>0</v>
      </c>
      <c r="R265" s="1885">
        <f t="shared" si="95"/>
        <v>0</v>
      </c>
      <c r="S265" s="1885">
        <f t="shared" si="96"/>
        <v>0</v>
      </c>
      <c r="T265" s="50"/>
      <c r="U265" s="50"/>
      <c r="V265" s="50"/>
      <c r="W265" s="1885">
        <f t="shared" si="97"/>
        <v>0</v>
      </c>
      <c r="X265" s="1891">
        <f t="shared" si="98"/>
        <v>0</v>
      </c>
      <c r="Y265" s="1891">
        <f t="shared" si="99"/>
        <v>0</v>
      </c>
      <c r="Z265" s="50"/>
      <c r="AA265" s="50"/>
      <c r="AB265" s="48"/>
      <c r="AC265" s="48"/>
      <c r="AD265" s="48"/>
      <c r="AE265" s="45"/>
      <c r="AF265" s="51"/>
      <c r="AG265" s="42"/>
      <c r="AH265" s="52" t="s">
        <v>4908</v>
      </c>
      <c r="AI265" s="197"/>
      <c r="AJ265" s="2578"/>
      <c r="AK265" s="251"/>
      <c r="AL265" s="2578"/>
      <c r="AM265" s="2562"/>
      <c r="AN265" s="2562"/>
      <c r="AO265" s="2562"/>
      <c r="AP265" s="2562"/>
      <c r="AQ265" s="2562"/>
      <c r="AR265" s="2562"/>
      <c r="AS265" s="2562"/>
      <c r="AT265" s="252">
        <f t="shared" si="116"/>
        <v>1</v>
      </c>
      <c r="AU265" s="252">
        <f t="shared" si="117"/>
        <v>0</v>
      </c>
      <c r="AV265" s="252">
        <f t="shared" si="118"/>
        <v>0</v>
      </c>
      <c r="AW265" s="252">
        <f t="shared" si="119"/>
        <v>0</v>
      </c>
      <c r="AX265" s="252">
        <f t="shared" si="120"/>
        <v>0</v>
      </c>
      <c r="AY265" s="252">
        <f t="shared" si="121"/>
        <v>0</v>
      </c>
      <c r="AZ265" s="252">
        <f t="shared" si="122"/>
        <v>0</v>
      </c>
      <c r="BA265" s="237"/>
      <c r="BB265" s="237"/>
      <c r="BC265" s="2562"/>
      <c r="BD265" s="2562"/>
      <c r="BE265" s="2562"/>
      <c r="BF265" s="2562"/>
      <c r="BG265" s="252">
        <f t="shared" si="123"/>
        <v>0</v>
      </c>
      <c r="BH265" s="2562"/>
      <c r="BI265" s="237"/>
      <c r="BJ265" s="252">
        <f t="shared" si="124"/>
        <v>0</v>
      </c>
      <c r="BK265" s="252">
        <f t="shared" si="125"/>
        <v>0</v>
      </c>
      <c r="BL265" s="252">
        <f t="shared" si="126"/>
        <v>0</v>
      </c>
      <c r="BM265" s="252">
        <f t="shared" si="127"/>
        <v>0</v>
      </c>
      <c r="BN265" s="252">
        <f t="shared" si="128"/>
        <v>0</v>
      </c>
      <c r="BO265" s="252">
        <f t="shared" si="129"/>
        <v>1</v>
      </c>
      <c r="BP265" s="2578"/>
      <c r="BQ265" s="2562"/>
      <c r="BR265" s="2562"/>
      <c r="BS265" s="2585"/>
      <c r="BT265" s="2585"/>
      <c r="BU265" s="2585"/>
    </row>
    <row r="266" spans="1:73" s="22" customFormat="1" ht="15.75" hidden="1" customHeight="1" outlineLevel="1">
      <c r="A266" s="2585"/>
      <c r="B266" s="44"/>
      <c r="C266" s="45"/>
      <c r="D266" s="46"/>
      <c r="E266" s="46"/>
      <c r="F266" s="45"/>
      <c r="G266" s="46"/>
      <c r="H266" s="45"/>
      <c r="I266" s="45"/>
      <c r="J266" s="47"/>
      <c r="K266" s="48"/>
      <c r="L266" s="47"/>
      <c r="M266" s="1913"/>
      <c r="N266" s="48"/>
      <c r="O266" s="49"/>
      <c r="P266" s="49"/>
      <c r="Q266" s="1884">
        <f t="shared" si="115"/>
        <v>0</v>
      </c>
      <c r="R266" s="1885">
        <f t="shared" si="95"/>
        <v>0</v>
      </c>
      <c r="S266" s="1885">
        <f t="shared" si="96"/>
        <v>0</v>
      </c>
      <c r="T266" s="50"/>
      <c r="U266" s="50"/>
      <c r="V266" s="50"/>
      <c r="W266" s="1885">
        <f t="shared" si="97"/>
        <v>0</v>
      </c>
      <c r="X266" s="1891">
        <f t="shared" si="98"/>
        <v>0</v>
      </c>
      <c r="Y266" s="1891">
        <f t="shared" si="99"/>
        <v>0</v>
      </c>
      <c r="Z266" s="50"/>
      <c r="AA266" s="50"/>
      <c r="AB266" s="48"/>
      <c r="AC266" s="48"/>
      <c r="AD266" s="48"/>
      <c r="AE266" s="45"/>
      <c r="AF266" s="51"/>
      <c r="AG266" s="42"/>
      <c r="AH266" s="52" t="s">
        <v>4909</v>
      </c>
      <c r="AI266" s="197"/>
      <c r="AJ266" s="2578"/>
      <c r="AK266" s="251"/>
      <c r="AL266" s="2578"/>
      <c r="AM266" s="2562"/>
      <c r="AN266" s="2562"/>
      <c r="AO266" s="2562"/>
      <c r="AP266" s="2562"/>
      <c r="AQ266" s="2562"/>
      <c r="AR266" s="2562"/>
      <c r="AS266" s="2562"/>
      <c r="AT266" s="252">
        <f t="shared" si="116"/>
        <v>1</v>
      </c>
      <c r="AU266" s="252">
        <f t="shared" si="117"/>
        <v>0</v>
      </c>
      <c r="AV266" s="252">
        <f t="shared" si="118"/>
        <v>0</v>
      </c>
      <c r="AW266" s="252">
        <f t="shared" si="119"/>
        <v>0</v>
      </c>
      <c r="AX266" s="252">
        <f t="shared" si="120"/>
        <v>0</v>
      </c>
      <c r="AY266" s="252">
        <f t="shared" si="121"/>
        <v>0</v>
      </c>
      <c r="AZ266" s="252">
        <f t="shared" si="122"/>
        <v>0</v>
      </c>
      <c r="BA266" s="237"/>
      <c r="BB266" s="237"/>
      <c r="BC266" s="2562"/>
      <c r="BD266" s="2562"/>
      <c r="BE266" s="2562"/>
      <c r="BF266" s="2562"/>
      <c r="BG266" s="252">
        <f t="shared" si="123"/>
        <v>0</v>
      </c>
      <c r="BH266" s="2562"/>
      <c r="BI266" s="237"/>
      <c r="BJ266" s="252">
        <f t="shared" si="124"/>
        <v>0</v>
      </c>
      <c r="BK266" s="252">
        <f t="shared" si="125"/>
        <v>0</v>
      </c>
      <c r="BL266" s="252">
        <f t="shared" si="126"/>
        <v>0</v>
      </c>
      <c r="BM266" s="252">
        <f t="shared" si="127"/>
        <v>0</v>
      </c>
      <c r="BN266" s="252">
        <f t="shared" si="128"/>
        <v>0</v>
      </c>
      <c r="BO266" s="252">
        <f t="shared" si="129"/>
        <v>1</v>
      </c>
      <c r="BP266" s="2578"/>
      <c r="BQ266" s="2562"/>
      <c r="BR266" s="2562"/>
      <c r="BS266" s="2585"/>
      <c r="BT266" s="2585"/>
      <c r="BU266" s="2585"/>
    </row>
    <row r="267" spans="1:73" s="22" customFormat="1" ht="15.75" hidden="1" customHeight="1" outlineLevel="1">
      <c r="A267" s="2585"/>
      <c r="B267" s="44"/>
      <c r="C267" s="45"/>
      <c r="D267" s="46"/>
      <c r="E267" s="46"/>
      <c r="F267" s="45"/>
      <c r="G267" s="46"/>
      <c r="H267" s="45"/>
      <c r="I267" s="45"/>
      <c r="J267" s="47"/>
      <c r="K267" s="48"/>
      <c r="L267" s="47"/>
      <c r="M267" s="1913"/>
      <c r="N267" s="48"/>
      <c r="O267" s="49"/>
      <c r="P267" s="49"/>
      <c r="Q267" s="1884">
        <f t="shared" si="115"/>
        <v>0</v>
      </c>
      <c r="R267" s="1885">
        <f t="shared" si="95"/>
        <v>0</v>
      </c>
      <c r="S267" s="1885">
        <f t="shared" si="96"/>
        <v>0</v>
      </c>
      <c r="T267" s="50"/>
      <c r="U267" s="50"/>
      <c r="V267" s="50"/>
      <c r="W267" s="1885">
        <f t="shared" si="97"/>
        <v>0</v>
      </c>
      <c r="X267" s="1891">
        <f t="shared" si="98"/>
        <v>0</v>
      </c>
      <c r="Y267" s="1891">
        <f t="shared" si="99"/>
        <v>0</v>
      </c>
      <c r="Z267" s="50"/>
      <c r="AA267" s="50"/>
      <c r="AB267" s="48"/>
      <c r="AC267" s="48"/>
      <c r="AD267" s="48"/>
      <c r="AE267" s="45"/>
      <c r="AF267" s="51"/>
      <c r="AG267" s="42"/>
      <c r="AH267" s="52" t="s">
        <v>4910</v>
      </c>
      <c r="AI267" s="197"/>
      <c r="AJ267" s="2578"/>
      <c r="AK267" s="251"/>
      <c r="AL267" s="2578"/>
      <c r="AM267" s="2562"/>
      <c r="AN267" s="2562"/>
      <c r="AO267" s="2562"/>
      <c r="AP267" s="2562"/>
      <c r="AQ267" s="2562"/>
      <c r="AR267" s="2562"/>
      <c r="AS267" s="2562"/>
      <c r="AT267" s="252">
        <f t="shared" si="116"/>
        <v>1</v>
      </c>
      <c r="AU267" s="252">
        <f t="shared" si="117"/>
        <v>0</v>
      </c>
      <c r="AV267" s="252">
        <f t="shared" si="118"/>
        <v>0</v>
      </c>
      <c r="AW267" s="252">
        <f t="shared" si="119"/>
        <v>0</v>
      </c>
      <c r="AX267" s="252">
        <f t="shared" si="120"/>
        <v>0</v>
      </c>
      <c r="AY267" s="252">
        <f t="shared" si="121"/>
        <v>0</v>
      </c>
      <c r="AZ267" s="252">
        <f t="shared" si="122"/>
        <v>0</v>
      </c>
      <c r="BA267" s="237"/>
      <c r="BB267" s="237"/>
      <c r="BC267" s="2562"/>
      <c r="BD267" s="2562"/>
      <c r="BE267" s="2562"/>
      <c r="BF267" s="2562"/>
      <c r="BG267" s="252">
        <f t="shared" si="123"/>
        <v>0</v>
      </c>
      <c r="BH267" s="2562"/>
      <c r="BI267" s="237"/>
      <c r="BJ267" s="252">
        <f t="shared" si="124"/>
        <v>0</v>
      </c>
      <c r="BK267" s="252">
        <f t="shared" si="125"/>
        <v>0</v>
      </c>
      <c r="BL267" s="252">
        <f t="shared" si="126"/>
        <v>0</v>
      </c>
      <c r="BM267" s="252">
        <f t="shared" si="127"/>
        <v>0</v>
      </c>
      <c r="BN267" s="252">
        <f t="shared" si="128"/>
        <v>0</v>
      </c>
      <c r="BO267" s="252">
        <f t="shared" si="129"/>
        <v>1</v>
      </c>
      <c r="BP267" s="2578"/>
      <c r="BQ267" s="2562"/>
      <c r="BR267" s="2562"/>
      <c r="BS267" s="2585"/>
      <c r="BT267" s="2585"/>
      <c r="BU267" s="2585"/>
    </row>
    <row r="268" spans="1:73" s="22" customFormat="1" ht="15.75" hidden="1" customHeight="1" outlineLevel="1">
      <c r="A268" s="2585"/>
      <c r="B268" s="44"/>
      <c r="C268" s="45"/>
      <c r="D268" s="46"/>
      <c r="E268" s="46"/>
      <c r="F268" s="45"/>
      <c r="G268" s="46"/>
      <c r="H268" s="45"/>
      <c r="I268" s="45"/>
      <c r="J268" s="47"/>
      <c r="K268" s="48"/>
      <c r="L268" s="47"/>
      <c r="M268" s="1913"/>
      <c r="N268" s="48"/>
      <c r="O268" s="49"/>
      <c r="P268" s="49"/>
      <c r="Q268" s="1884">
        <f t="shared" si="115"/>
        <v>0</v>
      </c>
      <c r="R268" s="1885">
        <f t="shared" si="95"/>
        <v>0</v>
      </c>
      <c r="S268" s="1885">
        <f t="shared" si="96"/>
        <v>0</v>
      </c>
      <c r="T268" s="50"/>
      <c r="U268" s="50"/>
      <c r="V268" s="50"/>
      <c r="W268" s="1885">
        <f t="shared" si="97"/>
        <v>0</v>
      </c>
      <c r="X268" s="1891">
        <f t="shared" si="98"/>
        <v>0</v>
      </c>
      <c r="Y268" s="1891">
        <f t="shared" si="99"/>
        <v>0</v>
      </c>
      <c r="Z268" s="50"/>
      <c r="AA268" s="50"/>
      <c r="AB268" s="48"/>
      <c r="AC268" s="48"/>
      <c r="AD268" s="48"/>
      <c r="AE268" s="45"/>
      <c r="AF268" s="51"/>
      <c r="AG268" s="42"/>
      <c r="AH268" s="52" t="s">
        <v>4911</v>
      </c>
      <c r="AI268" s="197"/>
      <c r="AJ268" s="2578"/>
      <c r="AK268" s="251"/>
      <c r="AL268" s="2578"/>
      <c r="AM268" s="2562"/>
      <c r="AN268" s="2562"/>
      <c r="AO268" s="2562"/>
      <c r="AP268" s="2562"/>
      <c r="AQ268" s="2562"/>
      <c r="AR268" s="2562"/>
      <c r="AS268" s="2562"/>
      <c r="AT268" s="252">
        <f t="shared" si="116"/>
        <v>1</v>
      </c>
      <c r="AU268" s="252">
        <f t="shared" si="117"/>
        <v>0</v>
      </c>
      <c r="AV268" s="252">
        <f t="shared" si="118"/>
        <v>0</v>
      </c>
      <c r="AW268" s="252">
        <f t="shared" si="119"/>
        <v>0</v>
      </c>
      <c r="AX268" s="252">
        <f t="shared" si="120"/>
        <v>0</v>
      </c>
      <c r="AY268" s="252">
        <f t="shared" si="121"/>
        <v>0</v>
      </c>
      <c r="AZ268" s="252">
        <f t="shared" si="122"/>
        <v>0</v>
      </c>
      <c r="BA268" s="237"/>
      <c r="BB268" s="237"/>
      <c r="BC268" s="2562"/>
      <c r="BD268" s="2562"/>
      <c r="BE268" s="2562"/>
      <c r="BF268" s="2562"/>
      <c r="BG268" s="252">
        <f t="shared" si="123"/>
        <v>0</v>
      </c>
      <c r="BH268" s="2562"/>
      <c r="BI268" s="237"/>
      <c r="BJ268" s="252">
        <f t="shared" si="124"/>
        <v>0</v>
      </c>
      <c r="BK268" s="252">
        <f t="shared" si="125"/>
        <v>0</v>
      </c>
      <c r="BL268" s="252">
        <f t="shared" si="126"/>
        <v>0</v>
      </c>
      <c r="BM268" s="252">
        <f t="shared" si="127"/>
        <v>0</v>
      </c>
      <c r="BN268" s="252">
        <f t="shared" si="128"/>
        <v>0</v>
      </c>
      <c r="BO268" s="252">
        <f t="shared" si="129"/>
        <v>1</v>
      </c>
      <c r="BP268" s="2578"/>
      <c r="BQ268" s="2562"/>
      <c r="BR268" s="2562"/>
      <c r="BS268" s="2585"/>
      <c r="BT268" s="2585"/>
      <c r="BU268" s="2585"/>
    </row>
    <row r="269" spans="1:73" s="22" customFormat="1" ht="15.75" hidden="1" customHeight="1" outlineLevel="1">
      <c r="A269" s="2585"/>
      <c r="B269" s="44"/>
      <c r="C269" s="45"/>
      <c r="D269" s="46"/>
      <c r="E269" s="46"/>
      <c r="F269" s="45"/>
      <c r="G269" s="46"/>
      <c r="H269" s="45"/>
      <c r="I269" s="45"/>
      <c r="J269" s="47"/>
      <c r="K269" s="48"/>
      <c r="L269" s="47"/>
      <c r="M269" s="1913"/>
      <c r="N269" s="48"/>
      <c r="O269" s="49"/>
      <c r="P269" s="49"/>
      <c r="Q269" s="1884">
        <f t="shared" si="115"/>
        <v>0</v>
      </c>
      <c r="R269" s="1885">
        <f t="shared" si="95"/>
        <v>0</v>
      </c>
      <c r="S269" s="1885">
        <f t="shared" si="96"/>
        <v>0</v>
      </c>
      <c r="T269" s="50"/>
      <c r="U269" s="50"/>
      <c r="V269" s="50"/>
      <c r="W269" s="1885">
        <f t="shared" si="97"/>
        <v>0</v>
      </c>
      <c r="X269" s="1891">
        <f t="shared" si="98"/>
        <v>0</v>
      </c>
      <c r="Y269" s="1891">
        <f t="shared" si="99"/>
        <v>0</v>
      </c>
      <c r="Z269" s="50"/>
      <c r="AA269" s="50"/>
      <c r="AB269" s="48"/>
      <c r="AC269" s="48"/>
      <c r="AD269" s="48"/>
      <c r="AE269" s="45"/>
      <c r="AF269" s="51"/>
      <c r="AG269" s="42"/>
      <c r="AH269" s="52" t="s">
        <v>4912</v>
      </c>
      <c r="AI269" s="197"/>
      <c r="AJ269" s="2578"/>
      <c r="AK269" s="251"/>
      <c r="AL269" s="2578"/>
      <c r="AM269" s="2562"/>
      <c r="AN269" s="2562"/>
      <c r="AO269" s="2562"/>
      <c r="AP269" s="2562"/>
      <c r="AQ269" s="2562"/>
      <c r="AR269" s="2562"/>
      <c r="AS269" s="2562"/>
      <c r="AT269" s="252">
        <f t="shared" si="116"/>
        <v>1</v>
      </c>
      <c r="AU269" s="252">
        <f t="shared" si="117"/>
        <v>0</v>
      </c>
      <c r="AV269" s="252">
        <f t="shared" si="118"/>
        <v>0</v>
      </c>
      <c r="AW269" s="252">
        <f t="shared" si="119"/>
        <v>0</v>
      </c>
      <c r="AX269" s="252">
        <f t="shared" si="120"/>
        <v>0</v>
      </c>
      <c r="AY269" s="252">
        <f t="shared" si="121"/>
        <v>0</v>
      </c>
      <c r="AZ269" s="252">
        <f t="shared" si="122"/>
        <v>0</v>
      </c>
      <c r="BA269" s="237"/>
      <c r="BB269" s="237"/>
      <c r="BC269" s="2562"/>
      <c r="BD269" s="2562"/>
      <c r="BE269" s="2562"/>
      <c r="BF269" s="2562"/>
      <c r="BG269" s="252">
        <f t="shared" si="123"/>
        <v>0</v>
      </c>
      <c r="BH269" s="2562"/>
      <c r="BI269" s="237"/>
      <c r="BJ269" s="252">
        <f t="shared" si="124"/>
        <v>0</v>
      </c>
      <c r="BK269" s="252">
        <f t="shared" si="125"/>
        <v>0</v>
      </c>
      <c r="BL269" s="252">
        <f t="shared" si="126"/>
        <v>0</v>
      </c>
      <c r="BM269" s="252">
        <f t="shared" si="127"/>
        <v>0</v>
      </c>
      <c r="BN269" s="252">
        <f t="shared" si="128"/>
        <v>0</v>
      </c>
      <c r="BO269" s="252">
        <f t="shared" si="129"/>
        <v>1</v>
      </c>
      <c r="BP269" s="2578"/>
      <c r="BQ269" s="2562"/>
      <c r="BR269" s="2562"/>
      <c r="BS269" s="2585"/>
      <c r="BT269" s="2585"/>
      <c r="BU269" s="2585"/>
    </row>
    <row r="270" spans="1:73" s="22" customFormat="1" ht="15.75" hidden="1" customHeight="1" outlineLevel="1">
      <c r="A270" s="2585"/>
      <c r="B270" s="44"/>
      <c r="C270" s="45"/>
      <c r="D270" s="46"/>
      <c r="E270" s="46"/>
      <c r="F270" s="45"/>
      <c r="G270" s="46"/>
      <c r="H270" s="45"/>
      <c r="I270" s="45"/>
      <c r="J270" s="47"/>
      <c r="K270" s="48"/>
      <c r="L270" s="47"/>
      <c r="M270" s="1913"/>
      <c r="N270" s="48"/>
      <c r="O270" s="49"/>
      <c r="P270" s="49"/>
      <c r="Q270" s="1884">
        <f t="shared" si="115"/>
        <v>0</v>
      </c>
      <c r="R270" s="1885">
        <f t="shared" si="95"/>
        <v>0</v>
      </c>
      <c r="S270" s="1885">
        <f t="shared" si="96"/>
        <v>0</v>
      </c>
      <c r="T270" s="50"/>
      <c r="U270" s="50"/>
      <c r="V270" s="50"/>
      <c r="W270" s="1885">
        <f t="shared" si="97"/>
        <v>0</v>
      </c>
      <c r="X270" s="1891">
        <f t="shared" si="98"/>
        <v>0</v>
      </c>
      <c r="Y270" s="1891">
        <f t="shared" si="99"/>
        <v>0</v>
      </c>
      <c r="Z270" s="50"/>
      <c r="AA270" s="50"/>
      <c r="AB270" s="48"/>
      <c r="AC270" s="48"/>
      <c r="AD270" s="48"/>
      <c r="AE270" s="45"/>
      <c r="AF270" s="51"/>
      <c r="AG270" s="42"/>
      <c r="AH270" s="52" t="s">
        <v>4913</v>
      </c>
      <c r="AI270" s="197"/>
      <c r="AJ270" s="2578"/>
      <c r="AK270" s="251"/>
      <c r="AL270" s="2578"/>
      <c r="AM270" s="2562"/>
      <c r="AN270" s="2562"/>
      <c r="AO270" s="2562"/>
      <c r="AP270" s="2562"/>
      <c r="AQ270" s="2562"/>
      <c r="AR270" s="2562"/>
      <c r="AS270" s="2562"/>
      <c r="AT270" s="252">
        <f t="shared" si="116"/>
        <v>1</v>
      </c>
      <c r="AU270" s="252">
        <f t="shared" si="117"/>
        <v>0</v>
      </c>
      <c r="AV270" s="252">
        <f t="shared" si="118"/>
        <v>0</v>
      </c>
      <c r="AW270" s="252">
        <f t="shared" si="119"/>
        <v>0</v>
      </c>
      <c r="AX270" s="252">
        <f t="shared" si="120"/>
        <v>0</v>
      </c>
      <c r="AY270" s="252">
        <f t="shared" si="121"/>
        <v>0</v>
      </c>
      <c r="AZ270" s="252">
        <f t="shared" si="122"/>
        <v>0</v>
      </c>
      <c r="BA270" s="237"/>
      <c r="BB270" s="237"/>
      <c r="BC270" s="2562"/>
      <c r="BD270" s="2562"/>
      <c r="BE270" s="2562"/>
      <c r="BF270" s="2562"/>
      <c r="BG270" s="252">
        <f t="shared" si="123"/>
        <v>0</v>
      </c>
      <c r="BH270" s="2562"/>
      <c r="BI270" s="237"/>
      <c r="BJ270" s="252">
        <f t="shared" si="124"/>
        <v>0</v>
      </c>
      <c r="BK270" s="252">
        <f t="shared" si="125"/>
        <v>0</v>
      </c>
      <c r="BL270" s="252">
        <f t="shared" si="126"/>
        <v>0</v>
      </c>
      <c r="BM270" s="252">
        <f t="shared" si="127"/>
        <v>0</v>
      </c>
      <c r="BN270" s="252">
        <f t="shared" si="128"/>
        <v>0</v>
      </c>
      <c r="BO270" s="252">
        <f t="shared" si="129"/>
        <v>1</v>
      </c>
      <c r="BP270" s="2578"/>
      <c r="BQ270" s="2562"/>
      <c r="BR270" s="2562"/>
      <c r="BS270" s="2585"/>
      <c r="BT270" s="2585"/>
      <c r="BU270" s="2585"/>
    </row>
    <row r="271" spans="1:73" s="22" customFormat="1" ht="15.75" hidden="1" customHeight="1" outlineLevel="1">
      <c r="A271" s="2585"/>
      <c r="B271" s="44"/>
      <c r="C271" s="45"/>
      <c r="D271" s="46"/>
      <c r="E271" s="46"/>
      <c r="F271" s="45"/>
      <c r="G271" s="46"/>
      <c r="H271" s="45"/>
      <c r="I271" s="45"/>
      <c r="J271" s="47"/>
      <c r="K271" s="48"/>
      <c r="L271" s="47"/>
      <c r="M271" s="1913"/>
      <c r="N271" s="48"/>
      <c r="O271" s="49"/>
      <c r="P271" s="49"/>
      <c r="Q271" s="1884">
        <f t="shared" si="115"/>
        <v>0</v>
      </c>
      <c r="R271" s="1885">
        <f t="shared" si="95"/>
        <v>0</v>
      </c>
      <c r="S271" s="1885">
        <f t="shared" si="96"/>
        <v>0</v>
      </c>
      <c r="T271" s="50"/>
      <c r="U271" s="50"/>
      <c r="V271" s="50"/>
      <c r="W271" s="1885">
        <f t="shared" si="97"/>
        <v>0</v>
      </c>
      <c r="X271" s="1891">
        <f t="shared" si="98"/>
        <v>0</v>
      </c>
      <c r="Y271" s="1891">
        <f t="shared" si="99"/>
        <v>0</v>
      </c>
      <c r="Z271" s="50"/>
      <c r="AA271" s="50"/>
      <c r="AB271" s="48"/>
      <c r="AC271" s="48"/>
      <c r="AD271" s="48"/>
      <c r="AE271" s="45"/>
      <c r="AF271" s="51"/>
      <c r="AG271" s="42"/>
      <c r="AH271" s="52" t="s">
        <v>4914</v>
      </c>
      <c r="AI271" s="197"/>
      <c r="AJ271" s="2578"/>
      <c r="AK271" s="251"/>
      <c r="AL271" s="2578"/>
      <c r="AM271" s="2562"/>
      <c r="AN271" s="2562"/>
      <c r="AO271" s="2562"/>
      <c r="AP271" s="2562"/>
      <c r="AQ271" s="2562"/>
      <c r="AR271" s="2562"/>
      <c r="AS271" s="2562"/>
      <c r="AT271" s="252">
        <f t="shared" si="116"/>
        <v>1</v>
      </c>
      <c r="AU271" s="252">
        <f t="shared" si="117"/>
        <v>0</v>
      </c>
      <c r="AV271" s="252">
        <f t="shared" si="118"/>
        <v>0</v>
      </c>
      <c r="AW271" s="252">
        <f t="shared" si="119"/>
        <v>0</v>
      </c>
      <c r="AX271" s="252">
        <f t="shared" si="120"/>
        <v>0</v>
      </c>
      <c r="AY271" s="252">
        <f t="shared" si="121"/>
        <v>0</v>
      </c>
      <c r="AZ271" s="252">
        <f t="shared" si="122"/>
        <v>0</v>
      </c>
      <c r="BA271" s="237"/>
      <c r="BB271" s="237"/>
      <c r="BC271" s="2562"/>
      <c r="BD271" s="2562"/>
      <c r="BE271" s="2562"/>
      <c r="BF271" s="2562"/>
      <c r="BG271" s="252">
        <f t="shared" si="123"/>
        <v>0</v>
      </c>
      <c r="BH271" s="2562"/>
      <c r="BI271" s="237"/>
      <c r="BJ271" s="252">
        <f t="shared" si="124"/>
        <v>0</v>
      </c>
      <c r="BK271" s="252">
        <f t="shared" si="125"/>
        <v>0</v>
      </c>
      <c r="BL271" s="252">
        <f t="shared" si="126"/>
        <v>0</v>
      </c>
      <c r="BM271" s="252">
        <f t="shared" si="127"/>
        <v>0</v>
      </c>
      <c r="BN271" s="252">
        <f t="shared" si="128"/>
        <v>0</v>
      </c>
      <c r="BO271" s="252">
        <f t="shared" si="129"/>
        <v>1</v>
      </c>
      <c r="BP271" s="2578"/>
      <c r="BQ271" s="2562"/>
      <c r="BR271" s="2562"/>
      <c r="BS271" s="2585"/>
      <c r="BT271" s="2585"/>
      <c r="BU271" s="2585"/>
    </row>
    <row r="272" spans="1:73" s="22" customFormat="1" ht="15.75" hidden="1" customHeight="1" outlineLevel="1">
      <c r="A272" s="2585"/>
      <c r="B272" s="44"/>
      <c r="C272" s="45"/>
      <c r="D272" s="46"/>
      <c r="E272" s="46"/>
      <c r="F272" s="45"/>
      <c r="G272" s="46"/>
      <c r="H272" s="45"/>
      <c r="I272" s="45"/>
      <c r="J272" s="47"/>
      <c r="K272" s="48"/>
      <c r="L272" s="47"/>
      <c r="M272" s="1913"/>
      <c r="N272" s="48"/>
      <c r="O272" s="49"/>
      <c r="P272" s="49"/>
      <c r="Q272" s="1884">
        <f t="shared" si="115"/>
        <v>0</v>
      </c>
      <c r="R272" s="1885">
        <f t="shared" si="95"/>
        <v>0</v>
      </c>
      <c r="S272" s="1885">
        <f t="shared" si="96"/>
        <v>0</v>
      </c>
      <c r="T272" s="50"/>
      <c r="U272" s="50"/>
      <c r="V272" s="50"/>
      <c r="W272" s="1885">
        <f t="shared" si="97"/>
        <v>0</v>
      </c>
      <c r="X272" s="1891">
        <f t="shared" si="98"/>
        <v>0</v>
      </c>
      <c r="Y272" s="1891">
        <f t="shared" si="99"/>
        <v>0</v>
      </c>
      <c r="Z272" s="50"/>
      <c r="AA272" s="50"/>
      <c r="AB272" s="48"/>
      <c r="AC272" s="48"/>
      <c r="AD272" s="48"/>
      <c r="AE272" s="45"/>
      <c r="AF272" s="51"/>
      <c r="AG272" s="42"/>
      <c r="AH272" s="52" t="s">
        <v>4915</v>
      </c>
      <c r="AI272" s="197"/>
      <c r="AJ272" s="2578"/>
      <c r="AK272" s="251"/>
      <c r="AL272" s="2578"/>
      <c r="AM272" s="2562"/>
      <c r="AN272" s="2562"/>
      <c r="AO272" s="2562"/>
      <c r="AP272" s="2562"/>
      <c r="AQ272" s="2562"/>
      <c r="AR272" s="2562"/>
      <c r="AS272" s="2562"/>
      <c r="AT272" s="252">
        <f t="shared" si="116"/>
        <v>1</v>
      </c>
      <c r="AU272" s="252">
        <f t="shared" si="117"/>
        <v>0</v>
      </c>
      <c r="AV272" s="252">
        <f t="shared" si="118"/>
        <v>0</v>
      </c>
      <c r="AW272" s="252">
        <f t="shared" si="119"/>
        <v>0</v>
      </c>
      <c r="AX272" s="252">
        <f t="shared" si="120"/>
        <v>0</v>
      </c>
      <c r="AY272" s="252">
        <f t="shared" si="121"/>
        <v>0</v>
      </c>
      <c r="AZ272" s="252">
        <f t="shared" si="122"/>
        <v>0</v>
      </c>
      <c r="BA272" s="237"/>
      <c r="BB272" s="237"/>
      <c r="BC272" s="2562"/>
      <c r="BD272" s="2562"/>
      <c r="BE272" s="2562"/>
      <c r="BF272" s="2562"/>
      <c r="BG272" s="252">
        <f t="shared" si="123"/>
        <v>0</v>
      </c>
      <c r="BH272" s="2562"/>
      <c r="BI272" s="237"/>
      <c r="BJ272" s="252">
        <f t="shared" si="124"/>
        <v>0</v>
      </c>
      <c r="BK272" s="252">
        <f t="shared" si="125"/>
        <v>0</v>
      </c>
      <c r="BL272" s="252">
        <f t="shared" si="126"/>
        <v>0</v>
      </c>
      <c r="BM272" s="252">
        <f t="shared" si="127"/>
        <v>0</v>
      </c>
      <c r="BN272" s="252">
        <f t="shared" si="128"/>
        <v>0</v>
      </c>
      <c r="BO272" s="252">
        <f t="shared" si="129"/>
        <v>1</v>
      </c>
      <c r="BP272" s="2578"/>
      <c r="BQ272" s="2562"/>
      <c r="BR272" s="2562"/>
      <c r="BS272" s="2585"/>
      <c r="BT272" s="2585"/>
      <c r="BU272" s="2585"/>
    </row>
    <row r="273" spans="1:73" s="22" customFormat="1" ht="15.75" hidden="1" customHeight="1" outlineLevel="1">
      <c r="A273" s="2585"/>
      <c r="B273" s="44"/>
      <c r="C273" s="45"/>
      <c r="D273" s="46"/>
      <c r="E273" s="46"/>
      <c r="F273" s="45"/>
      <c r="G273" s="46"/>
      <c r="H273" s="45"/>
      <c r="I273" s="45"/>
      <c r="J273" s="47"/>
      <c r="K273" s="48"/>
      <c r="L273" s="47"/>
      <c r="M273" s="1913"/>
      <c r="N273" s="48"/>
      <c r="O273" s="49"/>
      <c r="P273" s="49"/>
      <c r="Q273" s="1884">
        <f t="shared" si="115"/>
        <v>0</v>
      </c>
      <c r="R273" s="1885">
        <f t="shared" si="95"/>
        <v>0</v>
      </c>
      <c r="S273" s="1885">
        <f t="shared" si="96"/>
        <v>0</v>
      </c>
      <c r="T273" s="50"/>
      <c r="U273" s="50"/>
      <c r="V273" s="50"/>
      <c r="W273" s="1885">
        <f t="shared" si="97"/>
        <v>0</v>
      </c>
      <c r="X273" s="1891">
        <f t="shared" si="98"/>
        <v>0</v>
      </c>
      <c r="Y273" s="1891">
        <f t="shared" si="99"/>
        <v>0</v>
      </c>
      <c r="Z273" s="50"/>
      <c r="AA273" s="50"/>
      <c r="AB273" s="48"/>
      <c r="AC273" s="48"/>
      <c r="AD273" s="48"/>
      <c r="AE273" s="45"/>
      <c r="AF273" s="51"/>
      <c r="AG273" s="42"/>
      <c r="AH273" s="52" t="s">
        <v>4916</v>
      </c>
      <c r="AI273" s="197"/>
      <c r="AJ273" s="2578"/>
      <c r="AK273" s="251"/>
      <c r="AL273" s="2578"/>
      <c r="AM273" s="2562"/>
      <c r="AN273" s="2562"/>
      <c r="AO273" s="2562"/>
      <c r="AP273" s="2562"/>
      <c r="AQ273" s="2562"/>
      <c r="AR273" s="2562"/>
      <c r="AS273" s="2562"/>
      <c r="AT273" s="252">
        <f t="shared" si="116"/>
        <v>1</v>
      </c>
      <c r="AU273" s="252">
        <f t="shared" si="117"/>
        <v>0</v>
      </c>
      <c r="AV273" s="252">
        <f t="shared" si="118"/>
        <v>0</v>
      </c>
      <c r="AW273" s="252">
        <f t="shared" si="119"/>
        <v>0</v>
      </c>
      <c r="AX273" s="252">
        <f t="shared" si="120"/>
        <v>0</v>
      </c>
      <c r="AY273" s="252">
        <f t="shared" si="121"/>
        <v>0</v>
      </c>
      <c r="AZ273" s="252">
        <f t="shared" si="122"/>
        <v>0</v>
      </c>
      <c r="BA273" s="237"/>
      <c r="BB273" s="237"/>
      <c r="BC273" s="2562"/>
      <c r="BD273" s="2562"/>
      <c r="BE273" s="2562"/>
      <c r="BF273" s="2562"/>
      <c r="BG273" s="252">
        <f t="shared" si="123"/>
        <v>0</v>
      </c>
      <c r="BH273" s="2562"/>
      <c r="BI273" s="237"/>
      <c r="BJ273" s="252">
        <f t="shared" si="124"/>
        <v>0</v>
      </c>
      <c r="BK273" s="252">
        <f t="shared" si="125"/>
        <v>0</v>
      </c>
      <c r="BL273" s="252">
        <f t="shared" si="126"/>
        <v>0</v>
      </c>
      <c r="BM273" s="252">
        <f t="shared" si="127"/>
        <v>0</v>
      </c>
      <c r="BN273" s="252">
        <f t="shared" si="128"/>
        <v>0</v>
      </c>
      <c r="BO273" s="252">
        <f t="shared" si="129"/>
        <v>1</v>
      </c>
      <c r="BP273" s="2578"/>
      <c r="BQ273" s="2562"/>
      <c r="BR273" s="2562"/>
      <c r="BS273" s="2585"/>
      <c r="BT273" s="2585"/>
      <c r="BU273" s="2585"/>
    </row>
    <row r="274" spans="1:73" s="22" customFormat="1" ht="15.75" hidden="1" customHeight="1" outlineLevel="1">
      <c r="A274" s="2585"/>
      <c r="B274" s="44"/>
      <c r="C274" s="45"/>
      <c r="D274" s="46"/>
      <c r="E274" s="46"/>
      <c r="F274" s="45"/>
      <c r="G274" s="46"/>
      <c r="H274" s="45"/>
      <c r="I274" s="45"/>
      <c r="J274" s="47"/>
      <c r="K274" s="48"/>
      <c r="L274" s="47"/>
      <c r="M274" s="1913"/>
      <c r="N274" s="48"/>
      <c r="O274" s="49"/>
      <c r="P274" s="49"/>
      <c r="Q274" s="1884">
        <f t="shared" si="115"/>
        <v>0</v>
      </c>
      <c r="R274" s="1885">
        <f t="shared" si="95"/>
        <v>0</v>
      </c>
      <c r="S274" s="1885">
        <f t="shared" si="96"/>
        <v>0</v>
      </c>
      <c r="T274" s="50"/>
      <c r="U274" s="50"/>
      <c r="V274" s="50"/>
      <c r="W274" s="1885">
        <f t="shared" si="97"/>
        <v>0</v>
      </c>
      <c r="X274" s="1891">
        <f t="shared" si="98"/>
        <v>0</v>
      </c>
      <c r="Y274" s="1891">
        <f t="shared" si="99"/>
        <v>0</v>
      </c>
      <c r="Z274" s="50"/>
      <c r="AA274" s="50"/>
      <c r="AB274" s="48"/>
      <c r="AC274" s="48"/>
      <c r="AD274" s="48"/>
      <c r="AE274" s="45"/>
      <c r="AF274" s="51"/>
      <c r="AG274" s="42"/>
      <c r="AH274" s="52" t="s">
        <v>4917</v>
      </c>
      <c r="AI274" s="197"/>
      <c r="AJ274" s="2578"/>
      <c r="AK274" s="251"/>
      <c r="AL274" s="2578"/>
      <c r="AM274" s="2562"/>
      <c r="AN274" s="2562"/>
      <c r="AO274" s="2562"/>
      <c r="AP274" s="2562"/>
      <c r="AQ274" s="2562"/>
      <c r="AR274" s="2562"/>
      <c r="AS274" s="2562"/>
      <c r="AT274" s="252">
        <f t="shared" si="116"/>
        <v>1</v>
      </c>
      <c r="AU274" s="252">
        <f t="shared" si="117"/>
        <v>0</v>
      </c>
      <c r="AV274" s="252">
        <f t="shared" si="118"/>
        <v>0</v>
      </c>
      <c r="AW274" s="252">
        <f t="shared" si="119"/>
        <v>0</v>
      </c>
      <c r="AX274" s="252">
        <f t="shared" si="120"/>
        <v>0</v>
      </c>
      <c r="AY274" s="252">
        <f t="shared" si="121"/>
        <v>0</v>
      </c>
      <c r="AZ274" s="252">
        <f t="shared" si="122"/>
        <v>0</v>
      </c>
      <c r="BA274" s="237"/>
      <c r="BB274" s="237"/>
      <c r="BC274" s="2562"/>
      <c r="BD274" s="2562"/>
      <c r="BE274" s="2562"/>
      <c r="BF274" s="2562"/>
      <c r="BG274" s="252">
        <f t="shared" si="123"/>
        <v>0</v>
      </c>
      <c r="BH274" s="2562"/>
      <c r="BI274" s="237"/>
      <c r="BJ274" s="252">
        <f t="shared" si="124"/>
        <v>0</v>
      </c>
      <c r="BK274" s="252">
        <f t="shared" si="125"/>
        <v>0</v>
      </c>
      <c r="BL274" s="252">
        <f t="shared" si="126"/>
        <v>0</v>
      </c>
      <c r="BM274" s="252">
        <f t="shared" si="127"/>
        <v>0</v>
      </c>
      <c r="BN274" s="252">
        <f t="shared" si="128"/>
        <v>0</v>
      </c>
      <c r="BO274" s="252">
        <f t="shared" si="129"/>
        <v>1</v>
      </c>
      <c r="BP274" s="2578"/>
      <c r="BQ274" s="2562"/>
      <c r="BR274" s="2562"/>
      <c r="BS274" s="2585"/>
      <c r="BT274" s="2585"/>
      <c r="BU274" s="2585"/>
    </row>
    <row r="275" spans="1:73" s="22" customFormat="1" ht="15.75" hidden="1" customHeight="1" outlineLevel="1">
      <c r="A275" s="2585"/>
      <c r="B275" s="44"/>
      <c r="C275" s="45"/>
      <c r="D275" s="46"/>
      <c r="E275" s="46"/>
      <c r="F275" s="45"/>
      <c r="G275" s="46"/>
      <c r="H275" s="45"/>
      <c r="I275" s="45"/>
      <c r="J275" s="47"/>
      <c r="K275" s="48"/>
      <c r="L275" s="47"/>
      <c r="M275" s="1913"/>
      <c r="N275" s="48"/>
      <c r="O275" s="49"/>
      <c r="P275" s="49"/>
      <c r="Q275" s="1884">
        <f t="shared" si="115"/>
        <v>0</v>
      </c>
      <c r="R275" s="1885">
        <f t="shared" si="95"/>
        <v>0</v>
      </c>
      <c r="S275" s="1885">
        <f t="shared" si="96"/>
        <v>0</v>
      </c>
      <c r="T275" s="50"/>
      <c r="U275" s="50"/>
      <c r="V275" s="50"/>
      <c r="W275" s="1885">
        <f t="shared" si="97"/>
        <v>0</v>
      </c>
      <c r="X275" s="1891">
        <f t="shared" si="98"/>
        <v>0</v>
      </c>
      <c r="Y275" s="1891">
        <f t="shared" si="99"/>
        <v>0</v>
      </c>
      <c r="Z275" s="50"/>
      <c r="AA275" s="50"/>
      <c r="AB275" s="48"/>
      <c r="AC275" s="48"/>
      <c r="AD275" s="48"/>
      <c r="AE275" s="45"/>
      <c r="AF275" s="51"/>
      <c r="AG275" s="42"/>
      <c r="AH275" s="52" t="s">
        <v>4918</v>
      </c>
      <c r="AI275" s="197"/>
      <c r="AJ275" s="2578"/>
      <c r="AK275" s="251"/>
      <c r="AL275" s="2578"/>
      <c r="AM275" s="2562"/>
      <c r="AN275" s="2562"/>
      <c r="AO275" s="2562"/>
      <c r="AP275" s="2562"/>
      <c r="AQ275" s="2562"/>
      <c r="AR275" s="2562"/>
      <c r="AS275" s="2562"/>
      <c r="AT275" s="252">
        <f t="shared" si="116"/>
        <v>1</v>
      </c>
      <c r="AU275" s="252">
        <f t="shared" si="117"/>
        <v>0</v>
      </c>
      <c r="AV275" s="252">
        <f t="shared" si="118"/>
        <v>0</v>
      </c>
      <c r="AW275" s="252">
        <f t="shared" si="119"/>
        <v>0</v>
      </c>
      <c r="AX275" s="252">
        <f t="shared" si="120"/>
        <v>0</v>
      </c>
      <c r="AY275" s="252">
        <f t="shared" si="121"/>
        <v>0</v>
      </c>
      <c r="AZ275" s="252">
        <f t="shared" si="122"/>
        <v>0</v>
      </c>
      <c r="BA275" s="237"/>
      <c r="BB275" s="237"/>
      <c r="BC275" s="2562"/>
      <c r="BD275" s="2562"/>
      <c r="BE275" s="2562"/>
      <c r="BF275" s="2562"/>
      <c r="BG275" s="252">
        <f t="shared" si="123"/>
        <v>0</v>
      </c>
      <c r="BH275" s="2562"/>
      <c r="BI275" s="237"/>
      <c r="BJ275" s="252">
        <f t="shared" si="124"/>
        <v>0</v>
      </c>
      <c r="BK275" s="252">
        <f t="shared" si="125"/>
        <v>0</v>
      </c>
      <c r="BL275" s="252">
        <f t="shared" si="126"/>
        <v>0</v>
      </c>
      <c r="BM275" s="252">
        <f t="shared" si="127"/>
        <v>0</v>
      </c>
      <c r="BN275" s="252">
        <f t="shared" si="128"/>
        <v>0</v>
      </c>
      <c r="BO275" s="252">
        <f t="shared" si="129"/>
        <v>1</v>
      </c>
      <c r="BP275" s="2578"/>
      <c r="BQ275" s="2562"/>
      <c r="BR275" s="2562"/>
      <c r="BS275" s="2585"/>
      <c r="BT275" s="2585"/>
      <c r="BU275" s="2585"/>
    </row>
    <row r="276" spans="1:73" s="22" customFormat="1" ht="15.75" hidden="1" customHeight="1" outlineLevel="1">
      <c r="A276" s="2585"/>
      <c r="B276" s="44"/>
      <c r="C276" s="45"/>
      <c r="D276" s="46"/>
      <c r="E276" s="46"/>
      <c r="F276" s="45"/>
      <c r="G276" s="46"/>
      <c r="H276" s="45"/>
      <c r="I276" s="45"/>
      <c r="J276" s="47"/>
      <c r="K276" s="48"/>
      <c r="L276" s="47"/>
      <c r="M276" s="1913"/>
      <c r="N276" s="48"/>
      <c r="O276" s="49"/>
      <c r="P276" s="49"/>
      <c r="Q276" s="1884">
        <f t="shared" si="115"/>
        <v>0</v>
      </c>
      <c r="R276" s="1885">
        <f t="shared" si="95"/>
        <v>0</v>
      </c>
      <c r="S276" s="1885">
        <f t="shared" si="96"/>
        <v>0</v>
      </c>
      <c r="T276" s="50"/>
      <c r="U276" s="50"/>
      <c r="V276" s="50"/>
      <c r="W276" s="1885">
        <f t="shared" si="97"/>
        <v>0</v>
      </c>
      <c r="X276" s="1891">
        <f t="shared" si="98"/>
        <v>0</v>
      </c>
      <c r="Y276" s="1891">
        <f t="shared" si="99"/>
        <v>0</v>
      </c>
      <c r="Z276" s="50"/>
      <c r="AA276" s="50"/>
      <c r="AB276" s="48"/>
      <c r="AC276" s="48"/>
      <c r="AD276" s="48"/>
      <c r="AE276" s="45"/>
      <c r="AF276" s="51"/>
      <c r="AG276" s="42"/>
      <c r="AH276" s="52" t="s">
        <v>4919</v>
      </c>
      <c r="AI276" s="197"/>
      <c r="AJ276" s="2578"/>
      <c r="AK276" s="251"/>
      <c r="AL276" s="2578"/>
      <c r="AM276" s="2562"/>
      <c r="AN276" s="2562"/>
      <c r="AO276" s="2562"/>
      <c r="AP276" s="2562"/>
      <c r="AQ276" s="2562"/>
      <c r="AR276" s="2562"/>
      <c r="AS276" s="2562"/>
      <c r="AT276" s="252">
        <f t="shared" si="116"/>
        <v>1</v>
      </c>
      <c r="AU276" s="252">
        <f t="shared" si="117"/>
        <v>0</v>
      </c>
      <c r="AV276" s="252">
        <f t="shared" si="118"/>
        <v>0</v>
      </c>
      <c r="AW276" s="252">
        <f t="shared" si="119"/>
        <v>0</v>
      </c>
      <c r="AX276" s="252">
        <f t="shared" si="120"/>
        <v>0</v>
      </c>
      <c r="AY276" s="252">
        <f t="shared" si="121"/>
        <v>0</v>
      </c>
      <c r="AZ276" s="252">
        <f t="shared" si="122"/>
        <v>0</v>
      </c>
      <c r="BA276" s="237"/>
      <c r="BB276" s="237"/>
      <c r="BC276" s="2562"/>
      <c r="BD276" s="2562"/>
      <c r="BE276" s="2562"/>
      <c r="BF276" s="2562"/>
      <c r="BG276" s="252">
        <f t="shared" si="123"/>
        <v>0</v>
      </c>
      <c r="BH276" s="2562"/>
      <c r="BI276" s="237"/>
      <c r="BJ276" s="252">
        <f t="shared" si="124"/>
        <v>0</v>
      </c>
      <c r="BK276" s="252">
        <f t="shared" si="125"/>
        <v>0</v>
      </c>
      <c r="BL276" s="252">
        <f t="shared" si="126"/>
        <v>0</v>
      </c>
      <c r="BM276" s="252">
        <f t="shared" si="127"/>
        <v>0</v>
      </c>
      <c r="BN276" s="252">
        <f t="shared" si="128"/>
        <v>0</v>
      </c>
      <c r="BO276" s="252">
        <f t="shared" si="129"/>
        <v>1</v>
      </c>
      <c r="BP276" s="2578"/>
      <c r="BQ276" s="2562"/>
      <c r="BR276" s="2562"/>
      <c r="BS276" s="2585"/>
      <c r="BT276" s="2585"/>
      <c r="BU276" s="2585"/>
    </row>
    <row r="277" spans="1:73" s="22" customFormat="1" ht="15.75" hidden="1" customHeight="1" outlineLevel="1">
      <c r="A277" s="2585"/>
      <c r="B277" s="44"/>
      <c r="C277" s="45"/>
      <c r="D277" s="46"/>
      <c r="E277" s="46"/>
      <c r="F277" s="45"/>
      <c r="G277" s="46"/>
      <c r="H277" s="45"/>
      <c r="I277" s="45"/>
      <c r="J277" s="47"/>
      <c r="K277" s="48"/>
      <c r="L277" s="47"/>
      <c r="M277" s="1913"/>
      <c r="N277" s="48"/>
      <c r="O277" s="49"/>
      <c r="P277" s="49"/>
      <c r="Q277" s="1884">
        <f t="shared" si="115"/>
        <v>0</v>
      </c>
      <c r="R277" s="1885">
        <f t="shared" si="95"/>
        <v>0</v>
      </c>
      <c r="S277" s="1885">
        <f t="shared" si="96"/>
        <v>0</v>
      </c>
      <c r="T277" s="50"/>
      <c r="U277" s="50"/>
      <c r="V277" s="50"/>
      <c r="W277" s="1885">
        <f t="shared" si="97"/>
        <v>0</v>
      </c>
      <c r="X277" s="1891">
        <f t="shared" si="98"/>
        <v>0</v>
      </c>
      <c r="Y277" s="1891">
        <f t="shared" si="99"/>
        <v>0</v>
      </c>
      <c r="Z277" s="50"/>
      <c r="AA277" s="50"/>
      <c r="AB277" s="48"/>
      <c r="AC277" s="48"/>
      <c r="AD277" s="48"/>
      <c r="AE277" s="45"/>
      <c r="AF277" s="51"/>
      <c r="AG277" s="42"/>
      <c r="AH277" s="52" t="s">
        <v>4920</v>
      </c>
      <c r="AI277" s="197"/>
      <c r="AJ277" s="2578"/>
      <c r="AK277" s="251"/>
      <c r="AL277" s="2578"/>
      <c r="AM277" s="2562"/>
      <c r="AN277" s="2562"/>
      <c r="AO277" s="2562"/>
      <c r="AP277" s="2562"/>
      <c r="AQ277" s="2562"/>
      <c r="AR277" s="2562"/>
      <c r="AS277" s="2562"/>
      <c r="AT277" s="252">
        <f t="shared" si="116"/>
        <v>1</v>
      </c>
      <c r="AU277" s="252">
        <f t="shared" si="117"/>
        <v>0</v>
      </c>
      <c r="AV277" s="252">
        <f t="shared" si="118"/>
        <v>0</v>
      </c>
      <c r="AW277" s="252">
        <f t="shared" si="119"/>
        <v>0</v>
      </c>
      <c r="AX277" s="252">
        <f t="shared" si="120"/>
        <v>0</v>
      </c>
      <c r="AY277" s="252">
        <f t="shared" si="121"/>
        <v>0</v>
      </c>
      <c r="AZ277" s="252">
        <f t="shared" si="122"/>
        <v>0</v>
      </c>
      <c r="BA277" s="237"/>
      <c r="BB277" s="237"/>
      <c r="BC277" s="2562"/>
      <c r="BD277" s="2562"/>
      <c r="BE277" s="2562"/>
      <c r="BF277" s="2562"/>
      <c r="BG277" s="252">
        <f t="shared" si="123"/>
        <v>0</v>
      </c>
      <c r="BH277" s="2562"/>
      <c r="BI277" s="237"/>
      <c r="BJ277" s="252">
        <f t="shared" si="124"/>
        <v>0</v>
      </c>
      <c r="BK277" s="252">
        <f t="shared" si="125"/>
        <v>0</v>
      </c>
      <c r="BL277" s="252">
        <f t="shared" si="126"/>
        <v>0</v>
      </c>
      <c r="BM277" s="252">
        <f t="shared" si="127"/>
        <v>0</v>
      </c>
      <c r="BN277" s="252">
        <f t="shared" si="128"/>
        <v>0</v>
      </c>
      <c r="BO277" s="252">
        <f t="shared" si="129"/>
        <v>1</v>
      </c>
      <c r="BP277" s="2578"/>
      <c r="BQ277" s="2562"/>
      <c r="BR277" s="2562"/>
      <c r="BS277" s="2585"/>
      <c r="BT277" s="2585"/>
      <c r="BU277" s="2585"/>
    </row>
    <row r="278" spans="1:73" s="22" customFormat="1" ht="15.75" hidden="1" customHeight="1" outlineLevel="1">
      <c r="A278" s="2585"/>
      <c r="B278" s="44"/>
      <c r="C278" s="45"/>
      <c r="D278" s="46"/>
      <c r="E278" s="46"/>
      <c r="F278" s="45"/>
      <c r="G278" s="46"/>
      <c r="H278" s="45"/>
      <c r="I278" s="45"/>
      <c r="J278" s="47"/>
      <c r="K278" s="48"/>
      <c r="L278" s="47"/>
      <c r="M278" s="1913"/>
      <c r="N278" s="48"/>
      <c r="O278" s="49"/>
      <c r="P278" s="49"/>
      <c r="Q278" s="1884">
        <f t="shared" si="115"/>
        <v>0</v>
      </c>
      <c r="R278" s="1885">
        <f t="shared" si="95"/>
        <v>0</v>
      </c>
      <c r="S278" s="1885">
        <f t="shared" si="96"/>
        <v>0</v>
      </c>
      <c r="T278" s="50"/>
      <c r="U278" s="50"/>
      <c r="V278" s="50"/>
      <c r="W278" s="1885">
        <f t="shared" si="97"/>
        <v>0</v>
      </c>
      <c r="X278" s="1891">
        <f t="shared" si="98"/>
        <v>0</v>
      </c>
      <c r="Y278" s="1891">
        <f t="shared" si="99"/>
        <v>0</v>
      </c>
      <c r="Z278" s="50"/>
      <c r="AA278" s="50"/>
      <c r="AB278" s="48"/>
      <c r="AC278" s="48"/>
      <c r="AD278" s="48"/>
      <c r="AE278" s="45"/>
      <c r="AF278" s="51"/>
      <c r="AG278" s="42"/>
      <c r="AH278" s="52" t="s">
        <v>4921</v>
      </c>
      <c r="AI278" s="197"/>
      <c r="AJ278" s="2578"/>
      <c r="AK278" s="251"/>
      <c r="AL278" s="2578"/>
      <c r="AM278" s="2562"/>
      <c r="AN278" s="2562"/>
      <c r="AO278" s="2562"/>
      <c r="AP278" s="2562"/>
      <c r="AQ278" s="2562"/>
      <c r="AR278" s="2562"/>
      <c r="AS278" s="2562"/>
      <c r="AT278" s="252">
        <f t="shared" si="116"/>
        <v>1</v>
      </c>
      <c r="AU278" s="252">
        <f t="shared" si="117"/>
        <v>0</v>
      </c>
      <c r="AV278" s="252">
        <f t="shared" si="118"/>
        <v>0</v>
      </c>
      <c r="AW278" s="252">
        <f t="shared" si="119"/>
        <v>0</v>
      </c>
      <c r="AX278" s="252">
        <f t="shared" si="120"/>
        <v>0</v>
      </c>
      <c r="AY278" s="252">
        <f t="shared" si="121"/>
        <v>0</v>
      </c>
      <c r="AZ278" s="252">
        <f t="shared" si="122"/>
        <v>0</v>
      </c>
      <c r="BA278" s="237"/>
      <c r="BB278" s="237"/>
      <c r="BC278" s="2562"/>
      <c r="BD278" s="2562"/>
      <c r="BE278" s="2562"/>
      <c r="BF278" s="2562"/>
      <c r="BG278" s="252">
        <f t="shared" si="123"/>
        <v>0</v>
      </c>
      <c r="BH278" s="2562"/>
      <c r="BI278" s="237"/>
      <c r="BJ278" s="252">
        <f t="shared" si="124"/>
        <v>0</v>
      </c>
      <c r="BK278" s="252">
        <f t="shared" si="125"/>
        <v>0</v>
      </c>
      <c r="BL278" s="252">
        <f t="shared" si="126"/>
        <v>0</v>
      </c>
      <c r="BM278" s="252">
        <f t="shared" si="127"/>
        <v>0</v>
      </c>
      <c r="BN278" s="252">
        <f t="shared" si="128"/>
        <v>0</v>
      </c>
      <c r="BO278" s="252">
        <f t="shared" si="129"/>
        <v>1</v>
      </c>
      <c r="BP278" s="2578"/>
      <c r="BQ278" s="2562"/>
      <c r="BR278" s="2562"/>
      <c r="BS278" s="2585"/>
      <c r="BT278" s="2585"/>
      <c r="BU278" s="2585"/>
    </row>
    <row r="279" spans="1:73" s="22" customFormat="1" ht="15.75" hidden="1" customHeight="1" outlineLevel="1">
      <c r="A279" s="2585"/>
      <c r="B279" s="44"/>
      <c r="C279" s="45"/>
      <c r="D279" s="46"/>
      <c r="E279" s="46"/>
      <c r="F279" s="45"/>
      <c r="G279" s="46"/>
      <c r="H279" s="45"/>
      <c r="I279" s="45"/>
      <c r="J279" s="47"/>
      <c r="K279" s="48"/>
      <c r="L279" s="47"/>
      <c r="M279" s="1913"/>
      <c r="N279" s="48"/>
      <c r="O279" s="49"/>
      <c r="P279" s="49"/>
      <c r="Q279" s="1884">
        <f t="shared" si="115"/>
        <v>0</v>
      </c>
      <c r="R279" s="1885">
        <f t="shared" si="95"/>
        <v>0</v>
      </c>
      <c r="S279" s="1885">
        <f t="shared" si="96"/>
        <v>0</v>
      </c>
      <c r="T279" s="50"/>
      <c r="U279" s="50"/>
      <c r="V279" s="50"/>
      <c r="W279" s="1885">
        <f t="shared" si="97"/>
        <v>0</v>
      </c>
      <c r="X279" s="1891">
        <f t="shared" si="98"/>
        <v>0</v>
      </c>
      <c r="Y279" s="1891">
        <f t="shared" si="99"/>
        <v>0</v>
      </c>
      <c r="Z279" s="50"/>
      <c r="AA279" s="50"/>
      <c r="AB279" s="48"/>
      <c r="AC279" s="48"/>
      <c r="AD279" s="48"/>
      <c r="AE279" s="45"/>
      <c r="AF279" s="51"/>
      <c r="AG279" s="42"/>
      <c r="AH279" s="52" t="s">
        <v>4922</v>
      </c>
      <c r="AI279" s="197"/>
      <c r="AJ279" s="2578"/>
      <c r="AK279" s="251"/>
      <c r="AL279" s="2578"/>
      <c r="AM279" s="2562"/>
      <c r="AN279" s="2562"/>
      <c r="AO279" s="2562"/>
      <c r="AP279" s="2562"/>
      <c r="AQ279" s="2562"/>
      <c r="AR279" s="2562"/>
      <c r="AS279" s="2562"/>
      <c r="AT279" s="252">
        <f t="shared" si="116"/>
        <v>1</v>
      </c>
      <c r="AU279" s="252">
        <f t="shared" si="117"/>
        <v>0</v>
      </c>
      <c r="AV279" s="252">
        <f t="shared" si="118"/>
        <v>0</v>
      </c>
      <c r="AW279" s="252">
        <f t="shared" si="119"/>
        <v>0</v>
      </c>
      <c r="AX279" s="252">
        <f t="shared" si="120"/>
        <v>0</v>
      </c>
      <c r="AY279" s="252">
        <f t="shared" si="121"/>
        <v>0</v>
      </c>
      <c r="AZ279" s="252">
        <f t="shared" si="122"/>
        <v>0</v>
      </c>
      <c r="BA279" s="237"/>
      <c r="BB279" s="237"/>
      <c r="BC279" s="2562"/>
      <c r="BD279" s="2562"/>
      <c r="BE279" s="2562"/>
      <c r="BF279" s="2562"/>
      <c r="BG279" s="252">
        <f t="shared" si="123"/>
        <v>0</v>
      </c>
      <c r="BH279" s="2562"/>
      <c r="BI279" s="237"/>
      <c r="BJ279" s="252">
        <f t="shared" si="124"/>
        <v>0</v>
      </c>
      <c r="BK279" s="252">
        <f t="shared" si="125"/>
        <v>0</v>
      </c>
      <c r="BL279" s="252">
        <f t="shared" si="126"/>
        <v>0</v>
      </c>
      <c r="BM279" s="252">
        <f t="shared" si="127"/>
        <v>0</v>
      </c>
      <c r="BN279" s="252">
        <f t="shared" si="128"/>
        <v>0</v>
      </c>
      <c r="BO279" s="252">
        <f t="shared" si="129"/>
        <v>1</v>
      </c>
      <c r="BP279" s="2578"/>
      <c r="BQ279" s="2562"/>
      <c r="BR279" s="2562"/>
      <c r="BS279" s="2585"/>
      <c r="BT279" s="2585"/>
      <c r="BU279" s="2585"/>
    </row>
    <row r="280" spans="1:73" s="22" customFormat="1" ht="15.75" hidden="1" customHeight="1" outlineLevel="1">
      <c r="A280" s="2585"/>
      <c r="B280" s="44"/>
      <c r="C280" s="45"/>
      <c r="D280" s="46"/>
      <c r="E280" s="46"/>
      <c r="F280" s="45"/>
      <c r="G280" s="46"/>
      <c r="H280" s="45"/>
      <c r="I280" s="45"/>
      <c r="J280" s="47"/>
      <c r="K280" s="48"/>
      <c r="L280" s="47"/>
      <c r="M280" s="1913"/>
      <c r="N280" s="48"/>
      <c r="O280" s="49"/>
      <c r="P280" s="49"/>
      <c r="Q280" s="1884">
        <f t="shared" si="115"/>
        <v>0</v>
      </c>
      <c r="R280" s="1885">
        <f t="shared" si="95"/>
        <v>0</v>
      </c>
      <c r="S280" s="1885">
        <f t="shared" si="96"/>
        <v>0</v>
      </c>
      <c r="T280" s="50"/>
      <c r="U280" s="50"/>
      <c r="V280" s="50"/>
      <c r="W280" s="1885">
        <f t="shared" si="97"/>
        <v>0</v>
      </c>
      <c r="X280" s="1891">
        <f t="shared" si="98"/>
        <v>0</v>
      </c>
      <c r="Y280" s="1891">
        <f t="shared" si="99"/>
        <v>0</v>
      </c>
      <c r="Z280" s="50"/>
      <c r="AA280" s="50"/>
      <c r="AB280" s="48"/>
      <c r="AC280" s="48"/>
      <c r="AD280" s="48"/>
      <c r="AE280" s="45"/>
      <c r="AF280" s="51"/>
      <c r="AG280" s="42"/>
      <c r="AH280" s="52" t="s">
        <v>4923</v>
      </c>
      <c r="AI280" s="197"/>
      <c r="AJ280" s="2578"/>
      <c r="AK280" s="251"/>
      <c r="AL280" s="2578"/>
      <c r="AM280" s="2562"/>
      <c r="AN280" s="2562"/>
      <c r="AO280" s="2562"/>
      <c r="AP280" s="2562"/>
      <c r="AQ280" s="2562"/>
      <c r="AR280" s="2562"/>
      <c r="AS280" s="2562"/>
      <c r="AT280" s="252">
        <f t="shared" si="116"/>
        <v>1</v>
      </c>
      <c r="AU280" s="252">
        <f t="shared" si="117"/>
        <v>0</v>
      </c>
      <c r="AV280" s="252">
        <f t="shared" si="118"/>
        <v>0</v>
      </c>
      <c r="AW280" s="252">
        <f t="shared" si="119"/>
        <v>0</v>
      </c>
      <c r="AX280" s="252">
        <f t="shared" si="120"/>
        <v>0</v>
      </c>
      <c r="AY280" s="252">
        <f t="shared" si="121"/>
        <v>0</v>
      </c>
      <c r="AZ280" s="252">
        <f t="shared" si="122"/>
        <v>0</v>
      </c>
      <c r="BA280" s="237"/>
      <c r="BB280" s="237"/>
      <c r="BC280" s="2562"/>
      <c r="BD280" s="2562"/>
      <c r="BE280" s="2562"/>
      <c r="BF280" s="2562"/>
      <c r="BG280" s="252">
        <f t="shared" si="123"/>
        <v>0</v>
      </c>
      <c r="BH280" s="2562"/>
      <c r="BI280" s="237"/>
      <c r="BJ280" s="252">
        <f t="shared" si="124"/>
        <v>0</v>
      </c>
      <c r="BK280" s="252">
        <f t="shared" si="125"/>
        <v>0</v>
      </c>
      <c r="BL280" s="252">
        <f t="shared" si="126"/>
        <v>0</v>
      </c>
      <c r="BM280" s="252">
        <f t="shared" si="127"/>
        <v>0</v>
      </c>
      <c r="BN280" s="252">
        <f t="shared" si="128"/>
        <v>0</v>
      </c>
      <c r="BO280" s="252">
        <f t="shared" si="129"/>
        <v>1</v>
      </c>
      <c r="BP280" s="2578"/>
      <c r="BQ280" s="2562"/>
      <c r="BR280" s="2562"/>
      <c r="BS280" s="2585"/>
      <c r="BT280" s="2585"/>
      <c r="BU280" s="2585"/>
    </row>
    <row r="281" spans="1:73" s="22" customFormat="1" ht="15.75" hidden="1" customHeight="1" outlineLevel="1">
      <c r="A281" s="2585"/>
      <c r="B281" s="44"/>
      <c r="C281" s="45"/>
      <c r="D281" s="46"/>
      <c r="E281" s="46"/>
      <c r="F281" s="45"/>
      <c r="G281" s="46"/>
      <c r="H281" s="45"/>
      <c r="I281" s="45"/>
      <c r="J281" s="47"/>
      <c r="K281" s="48"/>
      <c r="L281" s="47"/>
      <c r="M281" s="1913"/>
      <c r="N281" s="48"/>
      <c r="O281" s="49"/>
      <c r="P281" s="49"/>
      <c r="Q281" s="1884">
        <f t="shared" si="115"/>
        <v>0</v>
      </c>
      <c r="R281" s="1885">
        <f t="shared" si="95"/>
        <v>0</v>
      </c>
      <c r="S281" s="1885">
        <f t="shared" si="96"/>
        <v>0</v>
      </c>
      <c r="T281" s="50"/>
      <c r="U281" s="50"/>
      <c r="V281" s="50"/>
      <c r="W281" s="1885">
        <f t="shared" si="97"/>
        <v>0</v>
      </c>
      <c r="X281" s="1891">
        <f t="shared" si="98"/>
        <v>0</v>
      </c>
      <c r="Y281" s="1891">
        <f t="shared" si="99"/>
        <v>0</v>
      </c>
      <c r="Z281" s="50"/>
      <c r="AA281" s="50"/>
      <c r="AB281" s="48"/>
      <c r="AC281" s="48"/>
      <c r="AD281" s="48"/>
      <c r="AE281" s="45"/>
      <c r="AF281" s="51"/>
      <c r="AG281" s="42"/>
      <c r="AH281" s="52" t="s">
        <v>4924</v>
      </c>
      <c r="AI281" s="197"/>
      <c r="AJ281" s="2578"/>
      <c r="AK281" s="251"/>
      <c r="AL281" s="2578"/>
      <c r="AM281" s="2562"/>
      <c r="AN281" s="2562"/>
      <c r="AO281" s="2562"/>
      <c r="AP281" s="2562"/>
      <c r="AQ281" s="2562"/>
      <c r="AR281" s="2562"/>
      <c r="AS281" s="2562"/>
      <c r="AT281" s="252">
        <f t="shared" si="116"/>
        <v>1</v>
      </c>
      <c r="AU281" s="252">
        <f t="shared" si="117"/>
        <v>0</v>
      </c>
      <c r="AV281" s="252">
        <f t="shared" si="118"/>
        <v>0</v>
      </c>
      <c r="AW281" s="252">
        <f t="shared" si="119"/>
        <v>0</v>
      </c>
      <c r="AX281" s="252">
        <f t="shared" si="120"/>
        <v>0</v>
      </c>
      <c r="AY281" s="252">
        <f t="shared" si="121"/>
        <v>0</v>
      </c>
      <c r="AZ281" s="252">
        <f t="shared" si="122"/>
        <v>0</v>
      </c>
      <c r="BA281" s="237"/>
      <c r="BB281" s="237"/>
      <c r="BC281" s="2562"/>
      <c r="BD281" s="2562"/>
      <c r="BE281" s="2562"/>
      <c r="BF281" s="2562"/>
      <c r="BG281" s="252">
        <f t="shared" si="123"/>
        <v>0</v>
      </c>
      <c r="BH281" s="2562"/>
      <c r="BI281" s="237"/>
      <c r="BJ281" s="252">
        <f t="shared" si="124"/>
        <v>0</v>
      </c>
      <c r="BK281" s="252">
        <f t="shared" si="125"/>
        <v>0</v>
      </c>
      <c r="BL281" s="252">
        <f t="shared" si="126"/>
        <v>0</v>
      </c>
      <c r="BM281" s="252">
        <f t="shared" si="127"/>
        <v>0</v>
      </c>
      <c r="BN281" s="252">
        <f t="shared" si="128"/>
        <v>0</v>
      </c>
      <c r="BO281" s="252">
        <f t="shared" si="129"/>
        <v>1</v>
      </c>
      <c r="BP281" s="2578"/>
      <c r="BQ281" s="2562"/>
      <c r="BR281" s="2562"/>
      <c r="BS281" s="2585"/>
      <c r="BT281" s="2585"/>
      <c r="BU281" s="2585"/>
    </row>
    <row r="282" spans="1:73" s="22" customFormat="1" ht="15.75" hidden="1" customHeight="1" outlineLevel="1">
      <c r="A282" s="2585"/>
      <c r="B282" s="44"/>
      <c r="C282" s="45"/>
      <c r="D282" s="46"/>
      <c r="E282" s="46"/>
      <c r="F282" s="45"/>
      <c r="G282" s="46"/>
      <c r="H282" s="45"/>
      <c r="I282" s="45"/>
      <c r="J282" s="47"/>
      <c r="K282" s="48"/>
      <c r="L282" s="47"/>
      <c r="M282" s="1913"/>
      <c r="N282" s="48"/>
      <c r="O282" s="49"/>
      <c r="P282" s="49"/>
      <c r="Q282" s="1884">
        <f t="shared" si="115"/>
        <v>0</v>
      </c>
      <c r="R282" s="1885">
        <f t="shared" si="95"/>
        <v>0</v>
      </c>
      <c r="S282" s="1885">
        <f t="shared" si="96"/>
        <v>0</v>
      </c>
      <c r="T282" s="50"/>
      <c r="U282" s="50"/>
      <c r="V282" s="50"/>
      <c r="W282" s="1885">
        <f t="shared" si="97"/>
        <v>0</v>
      </c>
      <c r="X282" s="1891">
        <f t="shared" si="98"/>
        <v>0</v>
      </c>
      <c r="Y282" s="1891">
        <f t="shared" si="99"/>
        <v>0</v>
      </c>
      <c r="Z282" s="50"/>
      <c r="AA282" s="50"/>
      <c r="AB282" s="48"/>
      <c r="AC282" s="48"/>
      <c r="AD282" s="48"/>
      <c r="AE282" s="45"/>
      <c r="AF282" s="51"/>
      <c r="AG282" s="42"/>
      <c r="AH282" s="52" t="s">
        <v>4925</v>
      </c>
      <c r="AI282" s="197"/>
      <c r="AJ282" s="2578"/>
      <c r="AK282" s="251"/>
      <c r="AL282" s="2578"/>
      <c r="AM282" s="2562"/>
      <c r="AN282" s="2562"/>
      <c r="AO282" s="2562"/>
      <c r="AP282" s="2562"/>
      <c r="AQ282" s="2562"/>
      <c r="AR282" s="2562"/>
      <c r="AS282" s="2562"/>
      <c r="AT282" s="252">
        <f t="shared" si="116"/>
        <v>1</v>
      </c>
      <c r="AU282" s="252">
        <f t="shared" si="117"/>
        <v>0</v>
      </c>
      <c r="AV282" s="252">
        <f t="shared" si="118"/>
        <v>0</v>
      </c>
      <c r="AW282" s="252">
        <f t="shared" si="119"/>
        <v>0</v>
      </c>
      <c r="AX282" s="252">
        <f t="shared" si="120"/>
        <v>0</v>
      </c>
      <c r="AY282" s="252">
        <f t="shared" si="121"/>
        <v>0</v>
      </c>
      <c r="AZ282" s="252">
        <f t="shared" si="122"/>
        <v>0</v>
      </c>
      <c r="BA282" s="237"/>
      <c r="BB282" s="237"/>
      <c r="BC282" s="2562"/>
      <c r="BD282" s="2562"/>
      <c r="BE282" s="2562"/>
      <c r="BF282" s="2562"/>
      <c r="BG282" s="252">
        <f t="shared" si="123"/>
        <v>0</v>
      </c>
      <c r="BH282" s="2562"/>
      <c r="BI282" s="237"/>
      <c r="BJ282" s="252">
        <f t="shared" si="124"/>
        <v>0</v>
      </c>
      <c r="BK282" s="252">
        <f t="shared" si="125"/>
        <v>0</v>
      </c>
      <c r="BL282" s="252">
        <f t="shared" si="126"/>
        <v>0</v>
      </c>
      <c r="BM282" s="252">
        <f t="shared" si="127"/>
        <v>0</v>
      </c>
      <c r="BN282" s="252">
        <f t="shared" si="128"/>
        <v>0</v>
      </c>
      <c r="BO282" s="252">
        <f t="shared" si="129"/>
        <v>1</v>
      </c>
      <c r="BP282" s="2578"/>
      <c r="BQ282" s="2562"/>
      <c r="BR282" s="2562"/>
      <c r="BS282" s="2585"/>
      <c r="BT282" s="2585"/>
      <c r="BU282" s="2585"/>
    </row>
    <row r="283" spans="1:73" s="22" customFormat="1" ht="15.75" hidden="1" customHeight="1" outlineLevel="1">
      <c r="A283" s="2585"/>
      <c r="B283" s="44"/>
      <c r="C283" s="45"/>
      <c r="D283" s="46"/>
      <c r="E283" s="46"/>
      <c r="F283" s="45"/>
      <c r="G283" s="46"/>
      <c r="H283" s="45"/>
      <c r="I283" s="45"/>
      <c r="J283" s="47"/>
      <c r="K283" s="48"/>
      <c r="L283" s="47"/>
      <c r="M283" s="1913"/>
      <c r="N283" s="48"/>
      <c r="O283" s="49"/>
      <c r="P283" s="49"/>
      <c r="Q283" s="1884">
        <f t="shared" si="115"/>
        <v>0</v>
      </c>
      <c r="R283" s="1885">
        <f t="shared" si="95"/>
        <v>0</v>
      </c>
      <c r="S283" s="1885">
        <f t="shared" si="96"/>
        <v>0</v>
      </c>
      <c r="T283" s="50"/>
      <c r="U283" s="50"/>
      <c r="V283" s="50"/>
      <c r="W283" s="1885">
        <f t="shared" si="97"/>
        <v>0</v>
      </c>
      <c r="X283" s="1891">
        <f t="shared" si="98"/>
        <v>0</v>
      </c>
      <c r="Y283" s="1891">
        <f t="shared" si="99"/>
        <v>0</v>
      </c>
      <c r="Z283" s="50"/>
      <c r="AA283" s="50"/>
      <c r="AB283" s="48"/>
      <c r="AC283" s="48"/>
      <c r="AD283" s="48"/>
      <c r="AE283" s="45"/>
      <c r="AF283" s="51"/>
      <c r="AG283" s="42"/>
      <c r="AH283" s="52" t="s">
        <v>4926</v>
      </c>
      <c r="AI283" s="197"/>
      <c r="AJ283" s="2578"/>
      <c r="AK283" s="251"/>
      <c r="AL283" s="2578"/>
      <c r="AM283" s="2562"/>
      <c r="AN283" s="2562"/>
      <c r="AO283" s="2562"/>
      <c r="AP283" s="2562"/>
      <c r="AQ283" s="2562"/>
      <c r="AR283" s="2562"/>
      <c r="AS283" s="2562"/>
      <c r="AT283" s="252">
        <f t="shared" si="116"/>
        <v>1</v>
      </c>
      <c r="AU283" s="252">
        <f t="shared" si="117"/>
        <v>0</v>
      </c>
      <c r="AV283" s="252">
        <f t="shared" si="118"/>
        <v>0</v>
      </c>
      <c r="AW283" s="252">
        <f t="shared" si="119"/>
        <v>0</v>
      </c>
      <c r="AX283" s="252">
        <f t="shared" si="120"/>
        <v>0</v>
      </c>
      <c r="AY283" s="252">
        <f t="shared" si="121"/>
        <v>0</v>
      </c>
      <c r="AZ283" s="252">
        <f t="shared" si="122"/>
        <v>0</v>
      </c>
      <c r="BA283" s="237"/>
      <c r="BB283" s="237"/>
      <c r="BC283" s="2562"/>
      <c r="BD283" s="2562"/>
      <c r="BE283" s="2562"/>
      <c r="BF283" s="2562"/>
      <c r="BG283" s="252">
        <f t="shared" si="123"/>
        <v>0</v>
      </c>
      <c r="BH283" s="2562"/>
      <c r="BI283" s="237"/>
      <c r="BJ283" s="252">
        <f t="shared" si="124"/>
        <v>0</v>
      </c>
      <c r="BK283" s="252">
        <f t="shared" si="125"/>
        <v>0</v>
      </c>
      <c r="BL283" s="252">
        <f t="shared" si="126"/>
        <v>0</v>
      </c>
      <c r="BM283" s="252">
        <f t="shared" si="127"/>
        <v>0</v>
      </c>
      <c r="BN283" s="252">
        <f t="shared" si="128"/>
        <v>0</v>
      </c>
      <c r="BO283" s="252">
        <f t="shared" si="129"/>
        <v>1</v>
      </c>
      <c r="BP283" s="2578"/>
      <c r="BQ283" s="2562"/>
      <c r="BR283" s="2562"/>
      <c r="BS283" s="2585"/>
      <c r="BT283" s="2585"/>
      <c r="BU283" s="2585"/>
    </row>
    <row r="284" spans="1:73" s="22" customFormat="1" ht="15.75" hidden="1" customHeight="1" outlineLevel="1">
      <c r="A284" s="2585"/>
      <c r="B284" s="44"/>
      <c r="C284" s="45"/>
      <c r="D284" s="46"/>
      <c r="E284" s="46"/>
      <c r="F284" s="45"/>
      <c r="G284" s="46"/>
      <c r="H284" s="45"/>
      <c r="I284" s="45"/>
      <c r="J284" s="47"/>
      <c r="K284" s="48"/>
      <c r="L284" s="47"/>
      <c r="M284" s="1913"/>
      <c r="N284" s="48"/>
      <c r="O284" s="49"/>
      <c r="P284" s="49"/>
      <c r="Q284" s="1884">
        <f t="shared" si="115"/>
        <v>0</v>
      </c>
      <c r="R284" s="1885">
        <f t="shared" si="95"/>
        <v>0</v>
      </c>
      <c r="S284" s="1885">
        <f t="shared" si="96"/>
        <v>0</v>
      </c>
      <c r="T284" s="50"/>
      <c r="U284" s="50"/>
      <c r="V284" s="50"/>
      <c r="W284" s="1885">
        <f t="shared" si="97"/>
        <v>0</v>
      </c>
      <c r="X284" s="1891">
        <f t="shared" si="98"/>
        <v>0</v>
      </c>
      <c r="Y284" s="1891">
        <f t="shared" si="99"/>
        <v>0</v>
      </c>
      <c r="Z284" s="50"/>
      <c r="AA284" s="50"/>
      <c r="AB284" s="48"/>
      <c r="AC284" s="48"/>
      <c r="AD284" s="48"/>
      <c r="AE284" s="45"/>
      <c r="AF284" s="51"/>
      <c r="AG284" s="42"/>
      <c r="AH284" s="52" t="s">
        <v>4927</v>
      </c>
      <c r="AI284" s="197"/>
      <c r="AJ284" s="2578"/>
      <c r="AK284" s="251"/>
      <c r="AL284" s="2578"/>
      <c r="AM284" s="2562"/>
      <c r="AN284" s="2562"/>
      <c r="AO284" s="2562"/>
      <c r="AP284" s="2562"/>
      <c r="AQ284" s="2562"/>
      <c r="AR284" s="2562"/>
      <c r="AS284" s="2562"/>
      <c r="AT284" s="252">
        <f t="shared" si="116"/>
        <v>1</v>
      </c>
      <c r="AU284" s="252">
        <f t="shared" si="117"/>
        <v>0</v>
      </c>
      <c r="AV284" s="252">
        <f t="shared" si="118"/>
        <v>0</v>
      </c>
      <c r="AW284" s="252">
        <f t="shared" si="119"/>
        <v>0</v>
      </c>
      <c r="AX284" s="252">
        <f t="shared" si="120"/>
        <v>0</v>
      </c>
      <c r="AY284" s="252">
        <f t="shared" si="121"/>
        <v>0</v>
      </c>
      <c r="AZ284" s="252">
        <f t="shared" si="122"/>
        <v>0</v>
      </c>
      <c r="BA284" s="237"/>
      <c r="BB284" s="237"/>
      <c r="BC284" s="2562"/>
      <c r="BD284" s="2562"/>
      <c r="BE284" s="2562"/>
      <c r="BF284" s="2562"/>
      <c r="BG284" s="252">
        <f t="shared" si="123"/>
        <v>0</v>
      </c>
      <c r="BH284" s="2562"/>
      <c r="BI284" s="237"/>
      <c r="BJ284" s="252">
        <f t="shared" si="124"/>
        <v>0</v>
      </c>
      <c r="BK284" s="252">
        <f t="shared" si="125"/>
        <v>0</v>
      </c>
      <c r="BL284" s="252">
        <f t="shared" si="126"/>
        <v>0</v>
      </c>
      <c r="BM284" s="252">
        <f t="shared" si="127"/>
        <v>0</v>
      </c>
      <c r="BN284" s="252">
        <f t="shared" si="128"/>
        <v>0</v>
      </c>
      <c r="BO284" s="252">
        <f t="shared" si="129"/>
        <v>1</v>
      </c>
      <c r="BP284" s="2578"/>
      <c r="BQ284" s="2562"/>
      <c r="BR284" s="2562"/>
      <c r="BS284" s="2585"/>
      <c r="BT284" s="2585"/>
      <c r="BU284" s="2585"/>
    </row>
    <row r="285" spans="1:73" s="22" customFormat="1" ht="15.75" hidden="1" customHeight="1" outlineLevel="1">
      <c r="A285" s="2585"/>
      <c r="B285" s="44"/>
      <c r="C285" s="45"/>
      <c r="D285" s="46"/>
      <c r="E285" s="46"/>
      <c r="F285" s="45"/>
      <c r="G285" s="46"/>
      <c r="H285" s="45"/>
      <c r="I285" s="45"/>
      <c r="J285" s="47"/>
      <c r="K285" s="48"/>
      <c r="L285" s="47"/>
      <c r="M285" s="1913"/>
      <c r="N285" s="48"/>
      <c r="O285" s="49"/>
      <c r="P285" s="49"/>
      <c r="Q285" s="1884">
        <f t="shared" si="115"/>
        <v>0</v>
      </c>
      <c r="R285" s="1885">
        <f t="shared" si="95"/>
        <v>0</v>
      </c>
      <c r="S285" s="1885">
        <f t="shared" si="96"/>
        <v>0</v>
      </c>
      <c r="T285" s="50"/>
      <c r="U285" s="50"/>
      <c r="V285" s="50"/>
      <c r="W285" s="1885">
        <f t="shared" si="97"/>
        <v>0</v>
      </c>
      <c r="X285" s="1891">
        <f t="shared" si="98"/>
        <v>0</v>
      </c>
      <c r="Y285" s="1891">
        <f t="shared" si="99"/>
        <v>0</v>
      </c>
      <c r="Z285" s="50"/>
      <c r="AA285" s="50"/>
      <c r="AB285" s="48"/>
      <c r="AC285" s="48"/>
      <c r="AD285" s="48"/>
      <c r="AE285" s="45"/>
      <c r="AF285" s="51"/>
      <c r="AG285" s="42"/>
      <c r="AH285" s="52" t="s">
        <v>4928</v>
      </c>
      <c r="AI285" s="197"/>
      <c r="AJ285" s="2578"/>
      <c r="AK285" s="251"/>
      <c r="AL285" s="2578"/>
      <c r="AM285" s="2562"/>
      <c r="AN285" s="2562"/>
      <c r="AO285" s="2562"/>
      <c r="AP285" s="2562"/>
      <c r="AQ285" s="2562"/>
      <c r="AR285" s="2562"/>
      <c r="AS285" s="2562"/>
      <c r="AT285" s="252">
        <f t="shared" si="116"/>
        <v>1</v>
      </c>
      <c r="AU285" s="252">
        <f t="shared" si="117"/>
        <v>0</v>
      </c>
      <c r="AV285" s="252">
        <f t="shared" si="118"/>
        <v>0</v>
      </c>
      <c r="AW285" s="252">
        <f t="shared" si="119"/>
        <v>0</v>
      </c>
      <c r="AX285" s="252">
        <f t="shared" si="120"/>
        <v>0</v>
      </c>
      <c r="AY285" s="252">
        <f t="shared" si="121"/>
        <v>0</v>
      </c>
      <c r="AZ285" s="252">
        <f t="shared" si="122"/>
        <v>0</v>
      </c>
      <c r="BA285" s="237"/>
      <c r="BB285" s="237"/>
      <c r="BC285" s="2562"/>
      <c r="BD285" s="2562"/>
      <c r="BE285" s="2562"/>
      <c r="BF285" s="2562"/>
      <c r="BG285" s="252">
        <f t="shared" si="123"/>
        <v>0</v>
      </c>
      <c r="BH285" s="2562"/>
      <c r="BI285" s="237"/>
      <c r="BJ285" s="252">
        <f t="shared" si="124"/>
        <v>0</v>
      </c>
      <c r="BK285" s="252">
        <f t="shared" si="125"/>
        <v>0</v>
      </c>
      <c r="BL285" s="252">
        <f t="shared" si="126"/>
        <v>0</v>
      </c>
      <c r="BM285" s="252">
        <f t="shared" si="127"/>
        <v>0</v>
      </c>
      <c r="BN285" s="252">
        <f t="shared" si="128"/>
        <v>0</v>
      </c>
      <c r="BO285" s="252">
        <f t="shared" si="129"/>
        <v>1</v>
      </c>
      <c r="BP285" s="2578"/>
      <c r="BQ285" s="2562"/>
      <c r="BR285" s="2562"/>
      <c r="BS285" s="2585"/>
      <c r="BT285" s="2585"/>
      <c r="BU285" s="2585"/>
    </row>
    <row r="286" spans="1:73" s="22" customFormat="1" ht="15.75" hidden="1" customHeight="1" outlineLevel="1">
      <c r="A286" s="2585"/>
      <c r="B286" s="44"/>
      <c r="C286" s="45"/>
      <c r="D286" s="46"/>
      <c r="E286" s="46"/>
      <c r="F286" s="45"/>
      <c r="G286" s="46"/>
      <c r="H286" s="45"/>
      <c r="I286" s="45"/>
      <c r="J286" s="47"/>
      <c r="K286" s="48"/>
      <c r="L286" s="47"/>
      <c r="M286" s="1913"/>
      <c r="N286" s="48"/>
      <c r="O286" s="49"/>
      <c r="P286" s="49"/>
      <c r="Q286" s="1884">
        <f t="shared" si="115"/>
        <v>0</v>
      </c>
      <c r="R286" s="1885">
        <f t="shared" si="95"/>
        <v>0</v>
      </c>
      <c r="S286" s="1885">
        <f t="shared" si="96"/>
        <v>0</v>
      </c>
      <c r="T286" s="50"/>
      <c r="U286" s="50"/>
      <c r="V286" s="50"/>
      <c r="W286" s="1885">
        <f t="shared" si="97"/>
        <v>0</v>
      </c>
      <c r="X286" s="1891">
        <f t="shared" si="98"/>
        <v>0</v>
      </c>
      <c r="Y286" s="1891">
        <f t="shared" si="99"/>
        <v>0</v>
      </c>
      <c r="Z286" s="50"/>
      <c r="AA286" s="50"/>
      <c r="AB286" s="48"/>
      <c r="AC286" s="48"/>
      <c r="AD286" s="48"/>
      <c r="AE286" s="45"/>
      <c r="AF286" s="51"/>
      <c r="AG286" s="42"/>
      <c r="AH286" s="52" t="s">
        <v>4929</v>
      </c>
      <c r="AI286" s="197"/>
      <c r="AJ286" s="2578"/>
      <c r="AK286" s="251"/>
      <c r="AL286" s="2578"/>
      <c r="AM286" s="2562"/>
      <c r="AN286" s="2562"/>
      <c r="AO286" s="2562"/>
      <c r="AP286" s="2562"/>
      <c r="AQ286" s="2562"/>
      <c r="AR286" s="2562"/>
      <c r="AS286" s="2562"/>
      <c r="AT286" s="252">
        <f t="shared" si="116"/>
        <v>1</v>
      </c>
      <c r="AU286" s="252">
        <f t="shared" si="117"/>
        <v>0</v>
      </c>
      <c r="AV286" s="252">
        <f t="shared" si="118"/>
        <v>0</v>
      </c>
      <c r="AW286" s="252">
        <f t="shared" si="119"/>
        <v>0</v>
      </c>
      <c r="AX286" s="252">
        <f t="shared" si="120"/>
        <v>0</v>
      </c>
      <c r="AY286" s="252">
        <f t="shared" si="121"/>
        <v>0</v>
      </c>
      <c r="AZ286" s="252">
        <f t="shared" si="122"/>
        <v>0</v>
      </c>
      <c r="BA286" s="237"/>
      <c r="BB286" s="237"/>
      <c r="BC286" s="2562"/>
      <c r="BD286" s="2562"/>
      <c r="BE286" s="2562"/>
      <c r="BF286" s="2562"/>
      <c r="BG286" s="252">
        <f t="shared" si="123"/>
        <v>0</v>
      </c>
      <c r="BH286" s="2562"/>
      <c r="BI286" s="237"/>
      <c r="BJ286" s="252">
        <f t="shared" si="124"/>
        <v>0</v>
      </c>
      <c r="BK286" s="252">
        <f t="shared" si="125"/>
        <v>0</v>
      </c>
      <c r="BL286" s="252">
        <f t="shared" si="126"/>
        <v>0</v>
      </c>
      <c r="BM286" s="252">
        <f t="shared" si="127"/>
        <v>0</v>
      </c>
      <c r="BN286" s="252">
        <f t="shared" si="128"/>
        <v>0</v>
      </c>
      <c r="BO286" s="252">
        <f t="shared" si="129"/>
        <v>1</v>
      </c>
      <c r="BP286" s="2578"/>
      <c r="BQ286" s="2562"/>
      <c r="BR286" s="2562"/>
      <c r="BS286" s="2585"/>
      <c r="BT286" s="2585"/>
      <c r="BU286" s="2585"/>
    </row>
    <row r="287" spans="1:73" s="22" customFormat="1" ht="15.75" hidden="1" customHeight="1" outlineLevel="1">
      <c r="A287" s="2585"/>
      <c r="B287" s="44"/>
      <c r="C287" s="45"/>
      <c r="D287" s="46"/>
      <c r="E287" s="46"/>
      <c r="F287" s="45"/>
      <c r="G287" s="46"/>
      <c r="H287" s="45"/>
      <c r="I287" s="45"/>
      <c r="J287" s="47"/>
      <c r="K287" s="48"/>
      <c r="L287" s="47"/>
      <c r="M287" s="1913"/>
      <c r="N287" s="48"/>
      <c r="O287" s="49"/>
      <c r="P287" s="49"/>
      <c r="Q287" s="1884">
        <f t="shared" si="115"/>
        <v>0</v>
      </c>
      <c r="R287" s="1885">
        <f t="shared" si="95"/>
        <v>0</v>
      </c>
      <c r="S287" s="1885">
        <f t="shared" si="96"/>
        <v>0</v>
      </c>
      <c r="T287" s="50"/>
      <c r="U287" s="50"/>
      <c r="V287" s="50"/>
      <c r="W287" s="1885">
        <f t="shared" si="97"/>
        <v>0</v>
      </c>
      <c r="X287" s="1891">
        <f t="shared" si="98"/>
        <v>0</v>
      </c>
      <c r="Y287" s="1891">
        <f t="shared" si="99"/>
        <v>0</v>
      </c>
      <c r="Z287" s="50"/>
      <c r="AA287" s="50"/>
      <c r="AB287" s="48"/>
      <c r="AC287" s="48"/>
      <c r="AD287" s="48"/>
      <c r="AE287" s="45"/>
      <c r="AF287" s="51"/>
      <c r="AG287" s="42"/>
      <c r="AH287" s="52" t="s">
        <v>4930</v>
      </c>
      <c r="AI287" s="197"/>
      <c r="AJ287" s="2578"/>
      <c r="AK287" s="251"/>
      <c r="AL287" s="2578"/>
      <c r="AM287" s="2562"/>
      <c r="AN287" s="2562"/>
      <c r="AO287" s="2562"/>
      <c r="AP287" s="2562"/>
      <c r="AQ287" s="2562"/>
      <c r="AR287" s="2562"/>
      <c r="AS287" s="2562"/>
      <c r="AT287" s="252">
        <f t="shared" si="116"/>
        <v>1</v>
      </c>
      <c r="AU287" s="252">
        <f t="shared" si="117"/>
        <v>0</v>
      </c>
      <c r="AV287" s="252">
        <f t="shared" si="118"/>
        <v>0</v>
      </c>
      <c r="AW287" s="252">
        <f t="shared" si="119"/>
        <v>0</v>
      </c>
      <c r="AX287" s="252">
        <f t="shared" si="120"/>
        <v>0</v>
      </c>
      <c r="AY287" s="252">
        <f t="shared" si="121"/>
        <v>0</v>
      </c>
      <c r="AZ287" s="252">
        <f t="shared" si="122"/>
        <v>0</v>
      </c>
      <c r="BA287" s="237"/>
      <c r="BB287" s="237"/>
      <c r="BC287" s="2562"/>
      <c r="BD287" s="2562"/>
      <c r="BE287" s="2562"/>
      <c r="BF287" s="2562"/>
      <c r="BG287" s="252">
        <f t="shared" si="123"/>
        <v>0</v>
      </c>
      <c r="BH287" s="2562"/>
      <c r="BI287" s="237"/>
      <c r="BJ287" s="252">
        <f t="shared" si="124"/>
        <v>0</v>
      </c>
      <c r="BK287" s="252">
        <f t="shared" si="125"/>
        <v>0</v>
      </c>
      <c r="BL287" s="252">
        <f t="shared" si="126"/>
        <v>0</v>
      </c>
      <c r="BM287" s="252">
        <f t="shared" si="127"/>
        <v>0</v>
      </c>
      <c r="BN287" s="252">
        <f t="shared" si="128"/>
        <v>0</v>
      </c>
      <c r="BO287" s="252">
        <f t="shared" si="129"/>
        <v>1</v>
      </c>
      <c r="BP287" s="2578"/>
      <c r="BQ287" s="2562"/>
      <c r="BR287" s="2562"/>
      <c r="BS287" s="2585"/>
      <c r="BT287" s="2585"/>
      <c r="BU287" s="2585"/>
    </row>
    <row r="288" spans="1:73" s="22" customFormat="1" ht="15.75" hidden="1" customHeight="1" outlineLevel="1">
      <c r="A288" s="2585"/>
      <c r="B288" s="44"/>
      <c r="C288" s="45"/>
      <c r="D288" s="46"/>
      <c r="E288" s="46"/>
      <c r="F288" s="45"/>
      <c r="G288" s="46"/>
      <c r="H288" s="45"/>
      <c r="I288" s="45"/>
      <c r="J288" s="47"/>
      <c r="K288" s="48"/>
      <c r="L288" s="47"/>
      <c r="M288" s="1913"/>
      <c r="N288" s="48"/>
      <c r="O288" s="49"/>
      <c r="P288" s="49"/>
      <c r="Q288" s="1884">
        <f t="shared" si="115"/>
        <v>0</v>
      </c>
      <c r="R288" s="1885">
        <f t="shared" si="95"/>
        <v>0</v>
      </c>
      <c r="S288" s="1885">
        <f t="shared" si="96"/>
        <v>0</v>
      </c>
      <c r="T288" s="50"/>
      <c r="U288" s="50"/>
      <c r="V288" s="50"/>
      <c r="W288" s="1885">
        <f t="shared" si="97"/>
        <v>0</v>
      </c>
      <c r="X288" s="1891">
        <f t="shared" si="98"/>
        <v>0</v>
      </c>
      <c r="Y288" s="1891">
        <f t="shared" si="99"/>
        <v>0</v>
      </c>
      <c r="Z288" s="50"/>
      <c r="AA288" s="50"/>
      <c r="AB288" s="48"/>
      <c r="AC288" s="48"/>
      <c r="AD288" s="48"/>
      <c r="AE288" s="45"/>
      <c r="AF288" s="51"/>
      <c r="AG288" s="42"/>
      <c r="AH288" s="52" t="s">
        <v>4931</v>
      </c>
      <c r="AI288" s="197"/>
      <c r="AJ288" s="2578"/>
      <c r="AK288" s="251"/>
      <c r="AL288" s="2578"/>
      <c r="AM288" s="2562"/>
      <c r="AN288" s="2562"/>
      <c r="AO288" s="2562"/>
      <c r="AP288" s="2562"/>
      <c r="AQ288" s="2562"/>
      <c r="AR288" s="2562"/>
      <c r="AS288" s="2562"/>
      <c r="AT288" s="252">
        <f t="shared" si="116"/>
        <v>1</v>
      </c>
      <c r="AU288" s="252">
        <f t="shared" si="117"/>
        <v>0</v>
      </c>
      <c r="AV288" s="252">
        <f t="shared" si="118"/>
        <v>0</v>
      </c>
      <c r="AW288" s="252">
        <f t="shared" si="119"/>
        <v>0</v>
      </c>
      <c r="AX288" s="252">
        <f t="shared" si="120"/>
        <v>0</v>
      </c>
      <c r="AY288" s="252">
        <f t="shared" si="121"/>
        <v>0</v>
      </c>
      <c r="AZ288" s="252">
        <f t="shared" si="122"/>
        <v>0</v>
      </c>
      <c r="BA288" s="237"/>
      <c r="BB288" s="237"/>
      <c r="BC288" s="2562"/>
      <c r="BD288" s="2562"/>
      <c r="BE288" s="2562"/>
      <c r="BF288" s="2562"/>
      <c r="BG288" s="252">
        <f t="shared" si="123"/>
        <v>0</v>
      </c>
      <c r="BH288" s="2562"/>
      <c r="BI288" s="237"/>
      <c r="BJ288" s="252">
        <f t="shared" si="124"/>
        <v>0</v>
      </c>
      <c r="BK288" s="252">
        <f t="shared" si="125"/>
        <v>0</v>
      </c>
      <c r="BL288" s="252">
        <f t="shared" si="126"/>
        <v>0</v>
      </c>
      <c r="BM288" s="252">
        <f t="shared" si="127"/>
        <v>0</v>
      </c>
      <c r="BN288" s="252">
        <f t="shared" si="128"/>
        <v>0</v>
      </c>
      <c r="BO288" s="252">
        <f t="shared" si="129"/>
        <v>1</v>
      </c>
      <c r="BP288" s="2578"/>
      <c r="BQ288" s="2562"/>
      <c r="BR288" s="2562"/>
      <c r="BS288" s="2585"/>
      <c r="BT288" s="2585"/>
      <c r="BU288" s="2585"/>
    </row>
    <row r="289" spans="1:73" s="22" customFormat="1" ht="15.75" hidden="1" customHeight="1" outlineLevel="1">
      <c r="A289" s="2585"/>
      <c r="B289" s="44"/>
      <c r="C289" s="45"/>
      <c r="D289" s="46"/>
      <c r="E289" s="46"/>
      <c r="F289" s="45"/>
      <c r="G289" s="46"/>
      <c r="H289" s="45"/>
      <c r="I289" s="45"/>
      <c r="J289" s="47"/>
      <c r="K289" s="48"/>
      <c r="L289" s="47"/>
      <c r="M289" s="1913"/>
      <c r="N289" s="48"/>
      <c r="O289" s="49"/>
      <c r="P289" s="49"/>
      <c r="Q289" s="1884">
        <f t="shared" si="115"/>
        <v>0</v>
      </c>
      <c r="R289" s="1885">
        <f t="shared" si="95"/>
        <v>0</v>
      </c>
      <c r="S289" s="1885">
        <f t="shared" si="96"/>
        <v>0</v>
      </c>
      <c r="T289" s="50"/>
      <c r="U289" s="50"/>
      <c r="V289" s="50"/>
      <c r="W289" s="1885">
        <f t="shared" si="97"/>
        <v>0</v>
      </c>
      <c r="X289" s="1891">
        <f t="shared" si="98"/>
        <v>0</v>
      </c>
      <c r="Y289" s="1891">
        <f t="shared" si="99"/>
        <v>0</v>
      </c>
      <c r="Z289" s="50"/>
      <c r="AA289" s="50"/>
      <c r="AB289" s="48"/>
      <c r="AC289" s="48"/>
      <c r="AD289" s="48"/>
      <c r="AE289" s="45"/>
      <c r="AF289" s="51"/>
      <c r="AG289" s="42"/>
      <c r="AH289" s="52" t="s">
        <v>4932</v>
      </c>
      <c r="AI289" s="197"/>
      <c r="AJ289" s="2578"/>
      <c r="AK289" s="251"/>
      <c r="AL289" s="2578"/>
      <c r="AM289" s="2562"/>
      <c r="AN289" s="2562"/>
      <c r="AO289" s="2562"/>
      <c r="AP289" s="2562"/>
      <c r="AQ289" s="2562"/>
      <c r="AR289" s="2562"/>
      <c r="AS289" s="2562"/>
      <c r="AT289" s="252">
        <f t="shared" si="116"/>
        <v>1</v>
      </c>
      <c r="AU289" s="252">
        <f t="shared" si="117"/>
        <v>0</v>
      </c>
      <c r="AV289" s="252">
        <f t="shared" si="118"/>
        <v>0</v>
      </c>
      <c r="AW289" s="252">
        <f t="shared" si="119"/>
        <v>0</v>
      </c>
      <c r="AX289" s="252">
        <f t="shared" si="120"/>
        <v>0</v>
      </c>
      <c r="AY289" s="252">
        <f t="shared" si="121"/>
        <v>0</v>
      </c>
      <c r="AZ289" s="252">
        <f t="shared" si="122"/>
        <v>0</v>
      </c>
      <c r="BA289" s="237"/>
      <c r="BB289" s="237"/>
      <c r="BC289" s="2562"/>
      <c r="BD289" s="2562"/>
      <c r="BE289" s="2562"/>
      <c r="BF289" s="2562"/>
      <c r="BG289" s="252">
        <f t="shared" si="123"/>
        <v>0</v>
      </c>
      <c r="BH289" s="2562"/>
      <c r="BI289" s="237"/>
      <c r="BJ289" s="252">
        <f t="shared" si="124"/>
        <v>0</v>
      </c>
      <c r="BK289" s="252">
        <f t="shared" si="125"/>
        <v>0</v>
      </c>
      <c r="BL289" s="252">
        <f t="shared" si="126"/>
        <v>0</v>
      </c>
      <c r="BM289" s="252">
        <f t="shared" si="127"/>
        <v>0</v>
      </c>
      <c r="BN289" s="252">
        <f t="shared" si="128"/>
        <v>0</v>
      </c>
      <c r="BO289" s="252">
        <f t="shared" si="129"/>
        <v>1</v>
      </c>
      <c r="BP289" s="2578"/>
      <c r="BQ289" s="2562"/>
      <c r="BR289" s="2562"/>
      <c r="BS289" s="2585"/>
      <c r="BT289" s="2585"/>
      <c r="BU289" s="2585"/>
    </row>
    <row r="290" spans="1:73" s="22" customFormat="1" ht="15.75" hidden="1" customHeight="1" outlineLevel="1">
      <c r="A290" s="2585"/>
      <c r="B290" s="44"/>
      <c r="C290" s="45"/>
      <c r="D290" s="46"/>
      <c r="E290" s="46"/>
      <c r="F290" s="45"/>
      <c r="G290" s="46"/>
      <c r="H290" s="45"/>
      <c r="I290" s="45"/>
      <c r="J290" s="47"/>
      <c r="K290" s="48"/>
      <c r="L290" s="47"/>
      <c r="M290" s="1913"/>
      <c r="N290" s="48"/>
      <c r="O290" s="49"/>
      <c r="P290" s="49"/>
      <c r="Q290" s="1884">
        <f t="shared" si="115"/>
        <v>0</v>
      </c>
      <c r="R290" s="1885">
        <f t="shared" ref="R290:R311" si="130">IF(W290=0,0,((1+W290)/(1+$C$626))-1)</f>
        <v>0</v>
      </c>
      <c r="S290" s="1885">
        <f t="shared" ref="S290:S311" si="131">IF(W290=0,0,((1+W290)/(1+$C$627))-1)</f>
        <v>0</v>
      </c>
      <c r="T290" s="50"/>
      <c r="U290" s="50"/>
      <c r="V290" s="50"/>
      <c r="W290" s="1885">
        <f t="shared" ref="W290:W311" si="132">V290+U290</f>
        <v>0</v>
      </c>
      <c r="X290" s="1891">
        <f t="shared" ref="X290:X311" si="133">W290*P290</f>
        <v>0</v>
      </c>
      <c r="Y290" s="1891">
        <f t="shared" ref="Y290:Y311" si="134">X290</f>
        <v>0</v>
      </c>
      <c r="Z290" s="50"/>
      <c r="AA290" s="50"/>
      <c r="AB290" s="48"/>
      <c r="AC290" s="48"/>
      <c r="AD290" s="48"/>
      <c r="AE290" s="45"/>
      <c r="AF290" s="51"/>
      <c r="AG290" s="42"/>
      <c r="AH290" s="52" t="s">
        <v>4933</v>
      </c>
      <c r="AI290" s="197"/>
      <c r="AJ290" s="2578"/>
      <c r="AK290" s="251"/>
      <c r="AL290" s="2578"/>
      <c r="AM290" s="2562"/>
      <c r="AN290" s="2562"/>
      <c r="AO290" s="2562"/>
      <c r="AP290" s="2562"/>
      <c r="AQ290" s="2562"/>
      <c r="AR290" s="2562"/>
      <c r="AS290" s="2562"/>
      <c r="AT290" s="252">
        <f t="shared" si="116"/>
        <v>1</v>
      </c>
      <c r="AU290" s="252">
        <f t="shared" si="117"/>
        <v>0</v>
      </c>
      <c r="AV290" s="252">
        <f t="shared" si="118"/>
        <v>0</v>
      </c>
      <c r="AW290" s="252">
        <f t="shared" si="119"/>
        <v>0</v>
      </c>
      <c r="AX290" s="252">
        <f t="shared" si="120"/>
        <v>0</v>
      </c>
      <c r="AY290" s="252">
        <f t="shared" si="121"/>
        <v>0</v>
      </c>
      <c r="AZ290" s="252">
        <f t="shared" si="122"/>
        <v>0</v>
      </c>
      <c r="BA290" s="237"/>
      <c r="BB290" s="237"/>
      <c r="BC290" s="2562"/>
      <c r="BD290" s="2562"/>
      <c r="BE290" s="2562"/>
      <c r="BF290" s="2562"/>
      <c r="BG290" s="252">
        <f t="shared" si="123"/>
        <v>0</v>
      </c>
      <c r="BH290" s="2562"/>
      <c r="BI290" s="237"/>
      <c r="BJ290" s="252">
        <f t="shared" si="124"/>
        <v>0</v>
      </c>
      <c r="BK290" s="252">
        <f t="shared" si="125"/>
        <v>0</v>
      </c>
      <c r="BL290" s="252">
        <f t="shared" si="126"/>
        <v>0</v>
      </c>
      <c r="BM290" s="252">
        <f t="shared" si="127"/>
        <v>0</v>
      </c>
      <c r="BN290" s="252">
        <f t="shared" si="128"/>
        <v>0</v>
      </c>
      <c r="BO290" s="252">
        <f t="shared" si="129"/>
        <v>1</v>
      </c>
      <c r="BP290" s="2578"/>
      <c r="BQ290" s="2562"/>
      <c r="BR290" s="2562"/>
      <c r="BS290" s="2585"/>
      <c r="BT290" s="2585"/>
      <c r="BU290" s="2585"/>
    </row>
    <row r="291" spans="1:73" s="22" customFormat="1" ht="15.75" hidden="1" customHeight="1" outlineLevel="1">
      <c r="A291" s="2585"/>
      <c r="B291" s="44"/>
      <c r="C291" s="45"/>
      <c r="D291" s="46"/>
      <c r="E291" s="46"/>
      <c r="F291" s="45"/>
      <c r="G291" s="46"/>
      <c r="H291" s="45"/>
      <c r="I291" s="45"/>
      <c r="J291" s="47"/>
      <c r="K291" s="48"/>
      <c r="L291" s="47"/>
      <c r="M291" s="1913"/>
      <c r="N291" s="48"/>
      <c r="O291" s="49"/>
      <c r="P291" s="49"/>
      <c r="Q291" s="1884">
        <f t="shared" si="115"/>
        <v>0</v>
      </c>
      <c r="R291" s="1885">
        <f t="shared" si="130"/>
        <v>0</v>
      </c>
      <c r="S291" s="1885">
        <f t="shared" si="131"/>
        <v>0</v>
      </c>
      <c r="T291" s="50"/>
      <c r="U291" s="50"/>
      <c r="V291" s="50"/>
      <c r="W291" s="1885">
        <f t="shared" si="132"/>
        <v>0</v>
      </c>
      <c r="X291" s="1891">
        <f t="shared" si="133"/>
        <v>0</v>
      </c>
      <c r="Y291" s="1891">
        <f t="shared" si="134"/>
        <v>0</v>
      </c>
      <c r="Z291" s="50"/>
      <c r="AA291" s="50"/>
      <c r="AB291" s="48"/>
      <c r="AC291" s="48"/>
      <c r="AD291" s="48"/>
      <c r="AE291" s="45"/>
      <c r="AF291" s="51"/>
      <c r="AG291" s="42"/>
      <c r="AH291" s="52" t="s">
        <v>4934</v>
      </c>
      <c r="AI291" s="197"/>
      <c r="AJ291" s="2578"/>
      <c r="AK291" s="251"/>
      <c r="AL291" s="2578"/>
      <c r="AM291" s="2562"/>
      <c r="AN291" s="2562"/>
      <c r="AO291" s="2562"/>
      <c r="AP291" s="2562"/>
      <c r="AQ291" s="2562"/>
      <c r="AR291" s="2562"/>
      <c r="AS291" s="2562"/>
      <c r="AT291" s="252">
        <f t="shared" si="116"/>
        <v>1</v>
      </c>
      <c r="AU291" s="252">
        <f t="shared" si="117"/>
        <v>0</v>
      </c>
      <c r="AV291" s="252">
        <f t="shared" si="118"/>
        <v>0</v>
      </c>
      <c r="AW291" s="252">
        <f t="shared" si="119"/>
        <v>0</v>
      </c>
      <c r="AX291" s="252">
        <f t="shared" si="120"/>
        <v>0</v>
      </c>
      <c r="AY291" s="252">
        <f t="shared" si="121"/>
        <v>0</v>
      </c>
      <c r="AZ291" s="252">
        <f t="shared" si="122"/>
        <v>0</v>
      </c>
      <c r="BA291" s="237"/>
      <c r="BB291" s="237"/>
      <c r="BC291" s="2562"/>
      <c r="BD291" s="2562"/>
      <c r="BE291" s="2562"/>
      <c r="BF291" s="2562"/>
      <c r="BG291" s="252">
        <f t="shared" si="123"/>
        <v>0</v>
      </c>
      <c r="BH291" s="2562"/>
      <c r="BI291" s="237"/>
      <c r="BJ291" s="252">
        <f t="shared" si="124"/>
        <v>0</v>
      </c>
      <c r="BK291" s="252">
        <f t="shared" si="125"/>
        <v>0</v>
      </c>
      <c r="BL291" s="252">
        <f t="shared" si="126"/>
        <v>0</v>
      </c>
      <c r="BM291" s="252">
        <f t="shared" si="127"/>
        <v>0</v>
      </c>
      <c r="BN291" s="252">
        <f t="shared" si="128"/>
        <v>0</v>
      </c>
      <c r="BO291" s="252">
        <f t="shared" si="129"/>
        <v>1</v>
      </c>
      <c r="BP291" s="2578"/>
      <c r="BQ291" s="2562"/>
      <c r="BR291" s="2562"/>
      <c r="BS291" s="2585"/>
      <c r="BT291" s="2585"/>
      <c r="BU291" s="2585"/>
    </row>
    <row r="292" spans="1:73" s="22" customFormat="1" ht="15.75" hidden="1" customHeight="1" outlineLevel="1">
      <c r="A292" s="2585"/>
      <c r="B292" s="44"/>
      <c r="C292" s="45"/>
      <c r="D292" s="46"/>
      <c r="E292" s="46"/>
      <c r="F292" s="45"/>
      <c r="G292" s="46"/>
      <c r="H292" s="45"/>
      <c r="I292" s="45"/>
      <c r="J292" s="47"/>
      <c r="K292" s="48"/>
      <c r="L292" s="47"/>
      <c r="M292" s="1913"/>
      <c r="N292" s="48"/>
      <c r="O292" s="49"/>
      <c r="P292" s="49"/>
      <c r="Q292" s="1884">
        <f t="shared" ref="Q292:Q311" si="135">IFERROR(M292*O292,"")</f>
        <v>0</v>
      </c>
      <c r="R292" s="1885">
        <f t="shared" si="130"/>
        <v>0</v>
      </c>
      <c r="S292" s="1885">
        <f t="shared" si="131"/>
        <v>0</v>
      </c>
      <c r="T292" s="50"/>
      <c r="U292" s="50"/>
      <c r="V292" s="50"/>
      <c r="W292" s="1885">
        <f t="shared" si="132"/>
        <v>0</v>
      </c>
      <c r="X292" s="1891">
        <f t="shared" si="133"/>
        <v>0</v>
      </c>
      <c r="Y292" s="1891">
        <f t="shared" si="134"/>
        <v>0</v>
      </c>
      <c r="Z292" s="50"/>
      <c r="AA292" s="50"/>
      <c r="AB292" s="48"/>
      <c r="AC292" s="48"/>
      <c r="AD292" s="48"/>
      <c r="AE292" s="45"/>
      <c r="AF292" s="51"/>
      <c r="AG292" s="42"/>
      <c r="AH292" s="52" t="s">
        <v>4935</v>
      </c>
      <c r="AI292" s="197"/>
      <c r="AJ292" s="2578"/>
      <c r="AK292" s="251"/>
      <c r="AL292" s="2578"/>
      <c r="AM292" s="2562"/>
      <c r="AN292" s="2562"/>
      <c r="AO292" s="2562"/>
      <c r="AP292" s="2562"/>
      <c r="AQ292" s="2562"/>
      <c r="AR292" s="2562"/>
      <c r="AS292" s="2562"/>
      <c r="AT292" s="252">
        <f t="shared" si="116"/>
        <v>1</v>
      </c>
      <c r="AU292" s="252">
        <f t="shared" si="117"/>
        <v>0</v>
      </c>
      <c r="AV292" s="252">
        <f t="shared" si="118"/>
        <v>0</v>
      </c>
      <c r="AW292" s="252">
        <f t="shared" si="119"/>
        <v>0</v>
      </c>
      <c r="AX292" s="252">
        <f t="shared" si="120"/>
        <v>0</v>
      </c>
      <c r="AY292" s="252">
        <f t="shared" si="121"/>
        <v>0</v>
      </c>
      <c r="AZ292" s="252">
        <f t="shared" si="122"/>
        <v>0</v>
      </c>
      <c r="BA292" s="237"/>
      <c r="BB292" s="237"/>
      <c r="BC292" s="2562"/>
      <c r="BD292" s="2562"/>
      <c r="BE292" s="2562"/>
      <c r="BF292" s="2562"/>
      <c r="BG292" s="252">
        <f t="shared" si="123"/>
        <v>0</v>
      </c>
      <c r="BH292" s="2562"/>
      <c r="BI292" s="237"/>
      <c r="BJ292" s="252">
        <f t="shared" si="124"/>
        <v>0</v>
      </c>
      <c r="BK292" s="252">
        <f t="shared" si="125"/>
        <v>0</v>
      </c>
      <c r="BL292" s="252">
        <f t="shared" si="126"/>
        <v>0</v>
      </c>
      <c r="BM292" s="252">
        <f t="shared" si="127"/>
        <v>0</v>
      </c>
      <c r="BN292" s="252">
        <f t="shared" si="128"/>
        <v>0</v>
      </c>
      <c r="BO292" s="252">
        <f t="shared" si="129"/>
        <v>1</v>
      </c>
      <c r="BP292" s="2578"/>
      <c r="BQ292" s="2562"/>
      <c r="BR292" s="2562"/>
      <c r="BS292" s="2585"/>
      <c r="BT292" s="2585"/>
      <c r="BU292" s="2585"/>
    </row>
    <row r="293" spans="1:73" s="22" customFormat="1" ht="15.75" hidden="1" customHeight="1" outlineLevel="1">
      <c r="A293" s="2585"/>
      <c r="B293" s="44"/>
      <c r="C293" s="45"/>
      <c r="D293" s="46"/>
      <c r="E293" s="46"/>
      <c r="F293" s="45"/>
      <c r="G293" s="46"/>
      <c r="H293" s="45"/>
      <c r="I293" s="45"/>
      <c r="J293" s="47"/>
      <c r="K293" s="48"/>
      <c r="L293" s="47"/>
      <c r="M293" s="1913"/>
      <c r="N293" s="48"/>
      <c r="O293" s="49"/>
      <c r="P293" s="49"/>
      <c r="Q293" s="1884">
        <f t="shared" si="135"/>
        <v>0</v>
      </c>
      <c r="R293" s="1885">
        <f t="shared" si="130"/>
        <v>0</v>
      </c>
      <c r="S293" s="1885">
        <f t="shared" si="131"/>
        <v>0</v>
      </c>
      <c r="T293" s="50"/>
      <c r="U293" s="50"/>
      <c r="V293" s="50"/>
      <c r="W293" s="1885">
        <f t="shared" si="132"/>
        <v>0</v>
      </c>
      <c r="X293" s="1891">
        <f t="shared" si="133"/>
        <v>0</v>
      </c>
      <c r="Y293" s="1891">
        <f t="shared" si="134"/>
        <v>0</v>
      </c>
      <c r="Z293" s="50"/>
      <c r="AA293" s="50"/>
      <c r="AB293" s="48"/>
      <c r="AC293" s="48"/>
      <c r="AD293" s="48"/>
      <c r="AE293" s="45"/>
      <c r="AF293" s="51"/>
      <c r="AG293" s="42"/>
      <c r="AH293" s="52" t="s">
        <v>4936</v>
      </c>
      <c r="AI293" s="197"/>
      <c r="AJ293" s="2578"/>
      <c r="AK293" s="251"/>
      <c r="AL293" s="2578"/>
      <c r="AM293" s="2562"/>
      <c r="AN293" s="2562"/>
      <c r="AO293" s="2562"/>
      <c r="AP293" s="2562"/>
      <c r="AQ293" s="2562"/>
      <c r="AR293" s="2562"/>
      <c r="AS293" s="2562"/>
      <c r="AT293" s="252">
        <f t="shared" si="116"/>
        <v>1</v>
      </c>
      <c r="AU293" s="252">
        <f t="shared" si="117"/>
        <v>0</v>
      </c>
      <c r="AV293" s="252">
        <f t="shared" si="118"/>
        <v>0</v>
      </c>
      <c r="AW293" s="252">
        <f t="shared" si="119"/>
        <v>0</v>
      </c>
      <c r="AX293" s="252">
        <f t="shared" si="120"/>
        <v>0</v>
      </c>
      <c r="AY293" s="252">
        <f t="shared" si="121"/>
        <v>0</v>
      </c>
      <c r="AZ293" s="252">
        <f t="shared" si="122"/>
        <v>0</v>
      </c>
      <c r="BA293" s="237"/>
      <c r="BB293" s="237"/>
      <c r="BC293" s="2562"/>
      <c r="BD293" s="2562"/>
      <c r="BE293" s="2562"/>
      <c r="BF293" s="2562"/>
      <c r="BG293" s="252">
        <f t="shared" si="123"/>
        <v>0</v>
      </c>
      <c r="BH293" s="2562"/>
      <c r="BI293" s="237"/>
      <c r="BJ293" s="252">
        <f t="shared" si="124"/>
        <v>0</v>
      </c>
      <c r="BK293" s="252">
        <f t="shared" si="125"/>
        <v>0</v>
      </c>
      <c r="BL293" s="252">
        <f t="shared" si="126"/>
        <v>0</v>
      </c>
      <c r="BM293" s="252">
        <f t="shared" si="127"/>
        <v>0</v>
      </c>
      <c r="BN293" s="252">
        <f t="shared" si="128"/>
        <v>0</v>
      </c>
      <c r="BO293" s="252">
        <f t="shared" si="129"/>
        <v>1</v>
      </c>
      <c r="BP293" s="2578"/>
      <c r="BQ293" s="2562"/>
      <c r="BR293" s="2562"/>
      <c r="BS293" s="2585"/>
      <c r="BT293" s="2585"/>
      <c r="BU293" s="2585"/>
    </row>
    <row r="294" spans="1:73" s="22" customFormat="1" ht="15.75" hidden="1" customHeight="1" outlineLevel="1">
      <c r="A294" s="2585"/>
      <c r="B294" s="44"/>
      <c r="C294" s="45"/>
      <c r="D294" s="46"/>
      <c r="E294" s="46"/>
      <c r="F294" s="45"/>
      <c r="G294" s="46"/>
      <c r="H294" s="45"/>
      <c r="I294" s="45"/>
      <c r="J294" s="47"/>
      <c r="K294" s="48"/>
      <c r="L294" s="47"/>
      <c r="M294" s="1913"/>
      <c r="N294" s="48"/>
      <c r="O294" s="49"/>
      <c r="P294" s="49"/>
      <c r="Q294" s="1884">
        <f t="shared" si="135"/>
        <v>0</v>
      </c>
      <c r="R294" s="1885">
        <f t="shared" si="130"/>
        <v>0</v>
      </c>
      <c r="S294" s="1885">
        <f t="shared" si="131"/>
        <v>0</v>
      </c>
      <c r="T294" s="50"/>
      <c r="U294" s="50"/>
      <c r="V294" s="50"/>
      <c r="W294" s="1885">
        <f t="shared" si="132"/>
        <v>0</v>
      </c>
      <c r="X294" s="1891">
        <f t="shared" si="133"/>
        <v>0</v>
      </c>
      <c r="Y294" s="1891">
        <f t="shared" si="134"/>
        <v>0</v>
      </c>
      <c r="Z294" s="50"/>
      <c r="AA294" s="50"/>
      <c r="AB294" s="48"/>
      <c r="AC294" s="48"/>
      <c r="AD294" s="48"/>
      <c r="AE294" s="45"/>
      <c r="AF294" s="51"/>
      <c r="AG294" s="42"/>
      <c r="AH294" s="52" t="s">
        <v>4937</v>
      </c>
      <c r="AI294" s="197"/>
      <c r="AJ294" s="2578"/>
      <c r="AK294" s="251"/>
      <c r="AL294" s="2578"/>
      <c r="AM294" s="2562"/>
      <c r="AN294" s="2562"/>
      <c r="AO294" s="2562"/>
      <c r="AP294" s="2562"/>
      <c r="AQ294" s="2562"/>
      <c r="AR294" s="2562"/>
      <c r="AS294" s="2562"/>
      <c r="AT294" s="252">
        <f t="shared" si="116"/>
        <v>1</v>
      </c>
      <c r="AU294" s="252">
        <f t="shared" si="117"/>
        <v>0</v>
      </c>
      <c r="AV294" s="252">
        <f t="shared" si="118"/>
        <v>0</v>
      </c>
      <c r="AW294" s="252">
        <f t="shared" si="119"/>
        <v>0</v>
      </c>
      <c r="AX294" s="252">
        <f t="shared" si="120"/>
        <v>0</v>
      </c>
      <c r="AY294" s="252">
        <f t="shared" si="121"/>
        <v>0</v>
      </c>
      <c r="AZ294" s="252">
        <f t="shared" si="122"/>
        <v>0</v>
      </c>
      <c r="BA294" s="237"/>
      <c r="BB294" s="237"/>
      <c r="BC294" s="2562"/>
      <c r="BD294" s="2562"/>
      <c r="BE294" s="2562"/>
      <c r="BF294" s="2562"/>
      <c r="BG294" s="252">
        <f t="shared" si="123"/>
        <v>0</v>
      </c>
      <c r="BH294" s="2562"/>
      <c r="BI294" s="237"/>
      <c r="BJ294" s="252">
        <f t="shared" si="124"/>
        <v>0</v>
      </c>
      <c r="BK294" s="252">
        <f t="shared" si="125"/>
        <v>0</v>
      </c>
      <c r="BL294" s="252">
        <f t="shared" si="126"/>
        <v>0</v>
      </c>
      <c r="BM294" s="252">
        <f t="shared" si="127"/>
        <v>0</v>
      </c>
      <c r="BN294" s="252">
        <f t="shared" si="128"/>
        <v>0</v>
      </c>
      <c r="BO294" s="252">
        <f t="shared" si="129"/>
        <v>1</v>
      </c>
      <c r="BP294" s="2578"/>
      <c r="BQ294" s="2562"/>
      <c r="BR294" s="2562"/>
      <c r="BS294" s="2585"/>
      <c r="BT294" s="2585"/>
      <c r="BU294" s="2585"/>
    </row>
    <row r="295" spans="1:73" s="22" customFormat="1" ht="15.75" hidden="1" customHeight="1" outlineLevel="1">
      <c r="A295" s="2585"/>
      <c r="B295" s="44"/>
      <c r="C295" s="45"/>
      <c r="D295" s="46"/>
      <c r="E295" s="46"/>
      <c r="F295" s="45"/>
      <c r="G295" s="46"/>
      <c r="H295" s="45"/>
      <c r="I295" s="45"/>
      <c r="J295" s="47"/>
      <c r="K295" s="48"/>
      <c r="L295" s="47"/>
      <c r="M295" s="1913"/>
      <c r="N295" s="48"/>
      <c r="O295" s="49"/>
      <c r="P295" s="49"/>
      <c r="Q295" s="1884">
        <f t="shared" si="135"/>
        <v>0</v>
      </c>
      <c r="R295" s="1885">
        <f t="shared" si="130"/>
        <v>0</v>
      </c>
      <c r="S295" s="1885">
        <f t="shared" si="131"/>
        <v>0</v>
      </c>
      <c r="T295" s="50"/>
      <c r="U295" s="50"/>
      <c r="V295" s="50"/>
      <c r="W295" s="1885">
        <f t="shared" si="132"/>
        <v>0</v>
      </c>
      <c r="X295" s="1891">
        <f t="shared" si="133"/>
        <v>0</v>
      </c>
      <c r="Y295" s="1891">
        <f t="shared" si="134"/>
        <v>0</v>
      </c>
      <c r="Z295" s="50"/>
      <c r="AA295" s="50"/>
      <c r="AB295" s="48"/>
      <c r="AC295" s="48"/>
      <c r="AD295" s="48"/>
      <c r="AE295" s="45"/>
      <c r="AF295" s="51"/>
      <c r="AG295" s="42"/>
      <c r="AH295" s="52" t="s">
        <v>4938</v>
      </c>
      <c r="AI295" s="197"/>
      <c r="AJ295" s="2578"/>
      <c r="AK295" s="251"/>
      <c r="AL295" s="2578"/>
      <c r="AM295" s="2562"/>
      <c r="AN295" s="2562"/>
      <c r="AO295" s="2562"/>
      <c r="AP295" s="2562"/>
      <c r="AQ295" s="2562"/>
      <c r="AR295" s="2562"/>
      <c r="AS295" s="2562"/>
      <c r="AT295" s="252">
        <f t="shared" si="116"/>
        <v>1</v>
      </c>
      <c r="AU295" s="252">
        <f t="shared" si="117"/>
        <v>1</v>
      </c>
      <c r="AV295" s="252">
        <f t="shared" si="118"/>
        <v>1</v>
      </c>
      <c r="AW295" s="252">
        <f t="shared" si="119"/>
        <v>1</v>
      </c>
      <c r="AX295" s="252">
        <f t="shared" si="120"/>
        <v>1</v>
      </c>
      <c r="AY295" s="252">
        <f t="shared" si="121"/>
        <v>1</v>
      </c>
      <c r="AZ295" s="252">
        <f t="shared" si="122"/>
        <v>1</v>
      </c>
      <c r="BA295" s="237"/>
      <c r="BB295" s="237"/>
      <c r="BC295" s="2562"/>
      <c r="BD295" s="2562"/>
      <c r="BE295" s="2562"/>
      <c r="BF295" s="2562"/>
      <c r="BG295" s="252">
        <f t="shared" si="123"/>
        <v>0</v>
      </c>
      <c r="BH295" s="2562"/>
      <c r="BI295" s="237"/>
      <c r="BJ295" s="252">
        <f t="shared" si="124"/>
        <v>1</v>
      </c>
      <c r="BK295" s="252">
        <f t="shared" si="125"/>
        <v>1</v>
      </c>
      <c r="BL295" s="252">
        <f t="shared" si="126"/>
        <v>1</v>
      </c>
      <c r="BM295" s="252">
        <f t="shared" si="127"/>
        <v>1</v>
      </c>
      <c r="BN295" s="252">
        <f t="shared" si="128"/>
        <v>1</v>
      </c>
      <c r="BO295" s="252">
        <f t="shared" si="129"/>
        <v>1</v>
      </c>
      <c r="BP295" s="2578"/>
      <c r="BQ295" s="2562"/>
      <c r="BR295" s="2562"/>
      <c r="BS295" s="2585"/>
      <c r="BT295" s="2585"/>
      <c r="BU295" s="2585"/>
    </row>
    <row r="296" spans="1:73" s="22" customFormat="1" ht="15.75" hidden="1" customHeight="1" outlineLevel="1">
      <c r="A296" s="2585"/>
      <c r="B296" s="44"/>
      <c r="C296" s="45"/>
      <c r="D296" s="46"/>
      <c r="E296" s="46"/>
      <c r="F296" s="45"/>
      <c r="G296" s="46"/>
      <c r="H296" s="45"/>
      <c r="I296" s="45"/>
      <c r="J296" s="47"/>
      <c r="K296" s="48"/>
      <c r="L296" s="47"/>
      <c r="M296" s="1913"/>
      <c r="N296" s="48"/>
      <c r="O296" s="49"/>
      <c r="P296" s="49"/>
      <c r="Q296" s="1884">
        <f t="shared" si="135"/>
        <v>0</v>
      </c>
      <c r="R296" s="1885">
        <f t="shared" si="130"/>
        <v>0</v>
      </c>
      <c r="S296" s="1885">
        <f t="shared" si="131"/>
        <v>0</v>
      </c>
      <c r="T296" s="50"/>
      <c r="U296" s="50"/>
      <c r="V296" s="50"/>
      <c r="W296" s="1885">
        <f t="shared" si="132"/>
        <v>0</v>
      </c>
      <c r="X296" s="1891">
        <f t="shared" si="133"/>
        <v>0</v>
      </c>
      <c r="Y296" s="1891">
        <f t="shared" si="134"/>
        <v>0</v>
      </c>
      <c r="Z296" s="50"/>
      <c r="AA296" s="50"/>
      <c r="AB296" s="48"/>
      <c r="AC296" s="48"/>
      <c r="AD296" s="48"/>
      <c r="AE296" s="45"/>
      <c r="AF296" s="51"/>
      <c r="AG296" s="42"/>
      <c r="AH296" s="52" t="s">
        <v>4939</v>
      </c>
      <c r="AI296" s="197"/>
      <c r="AJ296" s="2578"/>
      <c r="AK296" s="251"/>
      <c r="AL296" s="2578"/>
      <c r="AM296" s="2562"/>
      <c r="AN296" s="2562"/>
      <c r="AO296" s="2562"/>
      <c r="AP296" s="2562"/>
      <c r="AQ296" s="2562"/>
      <c r="AR296" s="2562"/>
      <c r="AS296" s="2562"/>
      <c r="AT296" s="252">
        <f t="shared" si="116"/>
        <v>1</v>
      </c>
      <c r="AU296" s="252">
        <f t="shared" si="117"/>
        <v>1</v>
      </c>
      <c r="AV296" s="252">
        <f t="shared" si="118"/>
        <v>1</v>
      </c>
      <c r="AW296" s="252">
        <f t="shared" si="119"/>
        <v>1</v>
      </c>
      <c r="AX296" s="252">
        <f t="shared" si="120"/>
        <v>1</v>
      </c>
      <c r="AY296" s="252">
        <f t="shared" si="121"/>
        <v>1</v>
      </c>
      <c r="AZ296" s="252">
        <f t="shared" si="122"/>
        <v>1</v>
      </c>
      <c r="BA296" s="237"/>
      <c r="BB296" s="237"/>
      <c r="BC296" s="2562"/>
      <c r="BD296" s="2562"/>
      <c r="BE296" s="2562"/>
      <c r="BF296" s="2562"/>
      <c r="BG296" s="252">
        <f t="shared" si="123"/>
        <v>0</v>
      </c>
      <c r="BH296" s="2562"/>
      <c r="BI296" s="237"/>
      <c r="BJ296" s="252">
        <f t="shared" si="124"/>
        <v>1</v>
      </c>
      <c r="BK296" s="252">
        <f t="shared" si="125"/>
        <v>1</v>
      </c>
      <c r="BL296" s="252">
        <f t="shared" si="126"/>
        <v>1</v>
      </c>
      <c r="BM296" s="252">
        <f t="shared" si="127"/>
        <v>1</v>
      </c>
      <c r="BN296" s="252">
        <f t="shared" si="128"/>
        <v>1</v>
      </c>
      <c r="BO296" s="252">
        <f t="shared" si="129"/>
        <v>1</v>
      </c>
      <c r="BP296" s="2578"/>
      <c r="BQ296" s="2562"/>
      <c r="BR296" s="2562"/>
      <c r="BS296" s="2585"/>
      <c r="BT296" s="2585"/>
      <c r="BU296" s="2585"/>
    </row>
    <row r="297" spans="1:73" s="22" customFormat="1" ht="15.75" hidden="1" customHeight="1" outlineLevel="1">
      <c r="A297" s="2585"/>
      <c r="B297" s="44"/>
      <c r="C297" s="45"/>
      <c r="D297" s="46"/>
      <c r="E297" s="46"/>
      <c r="F297" s="45"/>
      <c r="G297" s="46"/>
      <c r="H297" s="45"/>
      <c r="I297" s="45"/>
      <c r="J297" s="47"/>
      <c r="K297" s="48"/>
      <c r="L297" s="47"/>
      <c r="M297" s="1913"/>
      <c r="N297" s="48"/>
      <c r="O297" s="49"/>
      <c r="P297" s="49"/>
      <c r="Q297" s="1884">
        <f t="shared" si="135"/>
        <v>0</v>
      </c>
      <c r="R297" s="1885">
        <f t="shared" si="130"/>
        <v>0</v>
      </c>
      <c r="S297" s="1885">
        <f t="shared" si="131"/>
        <v>0</v>
      </c>
      <c r="T297" s="50"/>
      <c r="U297" s="50"/>
      <c r="V297" s="50"/>
      <c r="W297" s="1885">
        <f t="shared" si="132"/>
        <v>0</v>
      </c>
      <c r="X297" s="1891">
        <f t="shared" si="133"/>
        <v>0</v>
      </c>
      <c r="Y297" s="1891">
        <f t="shared" si="134"/>
        <v>0</v>
      </c>
      <c r="Z297" s="50"/>
      <c r="AA297" s="50"/>
      <c r="AB297" s="48"/>
      <c r="AC297" s="48"/>
      <c r="AD297" s="48"/>
      <c r="AE297" s="45"/>
      <c r="AF297" s="51"/>
      <c r="AG297" s="42"/>
      <c r="AH297" s="52" t="s">
        <v>4940</v>
      </c>
      <c r="AI297" s="197"/>
      <c r="AJ297" s="2578"/>
      <c r="AK297" s="251"/>
      <c r="AL297" s="2578"/>
      <c r="AM297" s="2562"/>
      <c r="AN297" s="2562"/>
      <c r="AO297" s="2562"/>
      <c r="AP297" s="2562"/>
      <c r="AQ297" s="2562"/>
      <c r="AR297" s="2562"/>
      <c r="AS297" s="2562"/>
      <c r="AT297" s="252">
        <f t="shared" si="116"/>
        <v>1</v>
      </c>
      <c r="AU297" s="252">
        <f t="shared" si="117"/>
        <v>1</v>
      </c>
      <c r="AV297" s="252">
        <f t="shared" si="118"/>
        <v>1</v>
      </c>
      <c r="AW297" s="252">
        <f t="shared" si="119"/>
        <v>1</v>
      </c>
      <c r="AX297" s="252">
        <f t="shared" si="120"/>
        <v>1</v>
      </c>
      <c r="AY297" s="252">
        <f t="shared" si="121"/>
        <v>1</v>
      </c>
      <c r="AZ297" s="252">
        <f t="shared" si="122"/>
        <v>1</v>
      </c>
      <c r="BA297" s="237"/>
      <c r="BB297" s="237"/>
      <c r="BC297" s="2562"/>
      <c r="BD297" s="2562"/>
      <c r="BE297" s="2562"/>
      <c r="BF297" s="2562"/>
      <c r="BG297" s="252">
        <f t="shared" si="123"/>
        <v>0</v>
      </c>
      <c r="BH297" s="2562"/>
      <c r="BI297" s="237"/>
      <c r="BJ297" s="252">
        <f t="shared" si="124"/>
        <v>1</v>
      </c>
      <c r="BK297" s="252">
        <f t="shared" si="125"/>
        <v>1</v>
      </c>
      <c r="BL297" s="252">
        <f t="shared" si="126"/>
        <v>1</v>
      </c>
      <c r="BM297" s="252">
        <f t="shared" si="127"/>
        <v>1</v>
      </c>
      <c r="BN297" s="252">
        <f t="shared" si="128"/>
        <v>1</v>
      </c>
      <c r="BO297" s="252">
        <f t="shared" si="129"/>
        <v>1</v>
      </c>
      <c r="BP297" s="2578"/>
      <c r="BQ297" s="2562"/>
      <c r="BR297" s="2562"/>
      <c r="BS297" s="2585"/>
      <c r="BT297" s="2585"/>
      <c r="BU297" s="2585"/>
    </row>
    <row r="298" spans="1:73" s="22" customFormat="1" ht="15.75" hidden="1" customHeight="1" outlineLevel="1">
      <c r="A298" s="2585"/>
      <c r="B298" s="44"/>
      <c r="C298" s="45"/>
      <c r="D298" s="46"/>
      <c r="E298" s="46"/>
      <c r="F298" s="45"/>
      <c r="G298" s="46"/>
      <c r="H298" s="45"/>
      <c r="I298" s="45"/>
      <c r="J298" s="47"/>
      <c r="K298" s="48"/>
      <c r="L298" s="47"/>
      <c r="M298" s="1913"/>
      <c r="N298" s="48"/>
      <c r="O298" s="49"/>
      <c r="P298" s="49"/>
      <c r="Q298" s="1884">
        <f t="shared" si="135"/>
        <v>0</v>
      </c>
      <c r="R298" s="1885">
        <f t="shared" si="130"/>
        <v>0</v>
      </c>
      <c r="S298" s="1885">
        <f t="shared" si="131"/>
        <v>0</v>
      </c>
      <c r="T298" s="50"/>
      <c r="U298" s="50"/>
      <c r="V298" s="50"/>
      <c r="W298" s="1885">
        <f t="shared" si="132"/>
        <v>0</v>
      </c>
      <c r="X298" s="1891">
        <f t="shared" si="133"/>
        <v>0</v>
      </c>
      <c r="Y298" s="1891">
        <f t="shared" si="134"/>
        <v>0</v>
      </c>
      <c r="Z298" s="50"/>
      <c r="AA298" s="50"/>
      <c r="AB298" s="48"/>
      <c r="AC298" s="48"/>
      <c r="AD298" s="48"/>
      <c r="AE298" s="45"/>
      <c r="AF298" s="51"/>
      <c r="AG298" s="42"/>
      <c r="AH298" s="52" t="s">
        <v>4941</v>
      </c>
      <c r="AI298" s="197"/>
      <c r="AJ298" s="2578"/>
      <c r="AK298" s="251"/>
      <c r="AL298" s="2578"/>
      <c r="AM298" s="2562"/>
      <c r="AN298" s="2562"/>
      <c r="AO298" s="2562"/>
      <c r="AP298" s="2562"/>
      <c r="AQ298" s="2562"/>
      <c r="AR298" s="2562"/>
      <c r="AS298" s="2562"/>
      <c r="AT298" s="252">
        <f t="shared" si="116"/>
        <v>1</v>
      </c>
      <c r="AU298" s="252">
        <f t="shared" si="117"/>
        <v>1</v>
      </c>
      <c r="AV298" s="252">
        <f t="shared" si="118"/>
        <v>1</v>
      </c>
      <c r="AW298" s="252">
        <f t="shared" si="119"/>
        <v>1</v>
      </c>
      <c r="AX298" s="252">
        <f t="shared" si="120"/>
        <v>1</v>
      </c>
      <c r="AY298" s="252">
        <f t="shared" si="121"/>
        <v>1</v>
      </c>
      <c r="AZ298" s="252">
        <f t="shared" si="122"/>
        <v>1</v>
      </c>
      <c r="BA298" s="237"/>
      <c r="BB298" s="237"/>
      <c r="BC298" s="2562"/>
      <c r="BD298" s="2562"/>
      <c r="BE298" s="2562"/>
      <c r="BF298" s="2562"/>
      <c r="BG298" s="252">
        <f t="shared" si="123"/>
        <v>0</v>
      </c>
      <c r="BH298" s="2562"/>
      <c r="BI298" s="237"/>
      <c r="BJ298" s="252">
        <f t="shared" si="124"/>
        <v>1</v>
      </c>
      <c r="BK298" s="252">
        <f t="shared" si="125"/>
        <v>1</v>
      </c>
      <c r="BL298" s="252">
        <f t="shared" si="126"/>
        <v>1</v>
      </c>
      <c r="BM298" s="252">
        <f t="shared" si="127"/>
        <v>1</v>
      </c>
      <c r="BN298" s="252">
        <f t="shared" si="128"/>
        <v>1</v>
      </c>
      <c r="BO298" s="252">
        <f t="shared" si="129"/>
        <v>1</v>
      </c>
      <c r="BP298" s="2578"/>
      <c r="BQ298" s="2562"/>
      <c r="BR298" s="2562"/>
      <c r="BS298" s="2585"/>
      <c r="BT298" s="2585"/>
      <c r="BU298" s="2585"/>
    </row>
    <row r="299" spans="1:73" s="22" customFormat="1" ht="15.75" hidden="1" customHeight="1" outlineLevel="1">
      <c r="A299" s="2585"/>
      <c r="B299" s="44"/>
      <c r="C299" s="45"/>
      <c r="D299" s="46"/>
      <c r="E299" s="46"/>
      <c r="F299" s="45"/>
      <c r="G299" s="46"/>
      <c r="H299" s="45"/>
      <c r="I299" s="45"/>
      <c r="J299" s="47"/>
      <c r="K299" s="48"/>
      <c r="L299" s="47"/>
      <c r="M299" s="1913"/>
      <c r="N299" s="48"/>
      <c r="O299" s="49"/>
      <c r="P299" s="49"/>
      <c r="Q299" s="1884">
        <f t="shared" si="135"/>
        <v>0</v>
      </c>
      <c r="R299" s="1885">
        <f t="shared" si="130"/>
        <v>0</v>
      </c>
      <c r="S299" s="1885">
        <f t="shared" si="131"/>
        <v>0</v>
      </c>
      <c r="T299" s="50"/>
      <c r="U299" s="50"/>
      <c r="V299" s="50"/>
      <c r="W299" s="1885">
        <f t="shared" si="132"/>
        <v>0</v>
      </c>
      <c r="X299" s="1891">
        <f t="shared" si="133"/>
        <v>0</v>
      </c>
      <c r="Y299" s="1891">
        <f t="shared" si="134"/>
        <v>0</v>
      </c>
      <c r="Z299" s="50"/>
      <c r="AA299" s="50"/>
      <c r="AB299" s="48"/>
      <c r="AC299" s="48"/>
      <c r="AD299" s="48"/>
      <c r="AE299" s="45"/>
      <c r="AF299" s="51"/>
      <c r="AG299" s="42"/>
      <c r="AH299" s="52" t="s">
        <v>4942</v>
      </c>
      <c r="AI299" s="197"/>
      <c r="AJ299" s="2578"/>
      <c r="AK299" s="251"/>
      <c r="AL299" s="2578"/>
      <c r="AM299" s="2562"/>
      <c r="AN299" s="2562"/>
      <c r="AO299" s="2562"/>
      <c r="AP299" s="2562"/>
      <c r="AQ299" s="2562"/>
      <c r="AR299" s="2562"/>
      <c r="AS299" s="2562"/>
      <c r="AT299" s="252">
        <f t="shared" si="116"/>
        <v>1</v>
      </c>
      <c r="AU299" s="252">
        <f t="shared" si="117"/>
        <v>1</v>
      </c>
      <c r="AV299" s="252">
        <f t="shared" si="118"/>
        <v>1</v>
      </c>
      <c r="AW299" s="252">
        <f t="shared" si="119"/>
        <v>1</v>
      </c>
      <c r="AX299" s="252">
        <f t="shared" si="120"/>
        <v>1</v>
      </c>
      <c r="AY299" s="252">
        <f t="shared" si="121"/>
        <v>1</v>
      </c>
      <c r="AZ299" s="252">
        <f t="shared" si="122"/>
        <v>1</v>
      </c>
      <c r="BA299" s="237"/>
      <c r="BB299" s="237"/>
      <c r="BC299" s="2562"/>
      <c r="BD299" s="2562"/>
      <c r="BE299" s="2562"/>
      <c r="BF299" s="2562"/>
      <c r="BG299" s="252">
        <f t="shared" si="123"/>
        <v>0</v>
      </c>
      <c r="BH299" s="2562"/>
      <c r="BI299" s="237"/>
      <c r="BJ299" s="252">
        <f t="shared" si="124"/>
        <v>1</v>
      </c>
      <c r="BK299" s="252">
        <f t="shared" si="125"/>
        <v>1</v>
      </c>
      <c r="BL299" s="252">
        <f t="shared" si="126"/>
        <v>1</v>
      </c>
      <c r="BM299" s="252">
        <f t="shared" si="127"/>
        <v>1</v>
      </c>
      <c r="BN299" s="252">
        <f t="shared" si="128"/>
        <v>1</v>
      </c>
      <c r="BO299" s="252">
        <f t="shared" si="129"/>
        <v>1</v>
      </c>
      <c r="BP299" s="2578"/>
      <c r="BQ299" s="2562"/>
      <c r="BR299" s="2562"/>
      <c r="BS299" s="2585"/>
      <c r="BT299" s="2585"/>
      <c r="BU299" s="2585"/>
    </row>
    <row r="300" spans="1:73" s="22" customFormat="1" ht="15.75" hidden="1" customHeight="1" outlineLevel="1">
      <c r="A300" s="2585"/>
      <c r="B300" s="44"/>
      <c r="C300" s="45"/>
      <c r="D300" s="46"/>
      <c r="E300" s="46"/>
      <c r="F300" s="45"/>
      <c r="G300" s="46"/>
      <c r="H300" s="45"/>
      <c r="I300" s="45"/>
      <c r="J300" s="47"/>
      <c r="K300" s="48"/>
      <c r="L300" s="47"/>
      <c r="M300" s="1913"/>
      <c r="N300" s="48"/>
      <c r="O300" s="49"/>
      <c r="P300" s="49"/>
      <c r="Q300" s="1884">
        <f t="shared" si="135"/>
        <v>0</v>
      </c>
      <c r="R300" s="1885">
        <f t="shared" si="130"/>
        <v>0</v>
      </c>
      <c r="S300" s="1885">
        <f t="shared" si="131"/>
        <v>0</v>
      </c>
      <c r="T300" s="50"/>
      <c r="U300" s="50"/>
      <c r="V300" s="50"/>
      <c r="W300" s="1885">
        <f t="shared" si="132"/>
        <v>0</v>
      </c>
      <c r="X300" s="1891">
        <f t="shared" si="133"/>
        <v>0</v>
      </c>
      <c r="Y300" s="1891">
        <f t="shared" si="134"/>
        <v>0</v>
      </c>
      <c r="Z300" s="50"/>
      <c r="AA300" s="50"/>
      <c r="AB300" s="48"/>
      <c r="AC300" s="48"/>
      <c r="AD300" s="48"/>
      <c r="AE300" s="45"/>
      <c r="AF300" s="51"/>
      <c r="AG300" s="42"/>
      <c r="AH300" s="52" t="s">
        <v>4943</v>
      </c>
      <c r="AI300" s="197"/>
      <c r="AJ300" s="2578"/>
      <c r="AK300" s="251"/>
      <c r="AL300" s="2578"/>
      <c r="AM300" s="2562"/>
      <c r="AN300" s="2562"/>
      <c r="AO300" s="2562"/>
      <c r="AP300" s="2562"/>
      <c r="AQ300" s="2562"/>
      <c r="AR300" s="2562"/>
      <c r="AS300" s="2562"/>
      <c r="AT300" s="252">
        <f t="shared" si="116"/>
        <v>1</v>
      </c>
      <c r="AU300" s="252">
        <f t="shared" si="117"/>
        <v>1</v>
      </c>
      <c r="AV300" s="252">
        <f t="shared" si="118"/>
        <v>1</v>
      </c>
      <c r="AW300" s="252">
        <f t="shared" si="119"/>
        <v>1</v>
      </c>
      <c r="AX300" s="252">
        <f t="shared" si="120"/>
        <v>1</v>
      </c>
      <c r="AY300" s="252">
        <f t="shared" si="121"/>
        <v>1</v>
      </c>
      <c r="AZ300" s="252">
        <f t="shared" si="122"/>
        <v>1</v>
      </c>
      <c r="BA300" s="237"/>
      <c r="BB300" s="237"/>
      <c r="BC300" s="2562"/>
      <c r="BD300" s="2562"/>
      <c r="BE300" s="2562"/>
      <c r="BF300" s="2562"/>
      <c r="BG300" s="252">
        <f t="shared" si="123"/>
        <v>0</v>
      </c>
      <c r="BH300" s="2562"/>
      <c r="BI300" s="237"/>
      <c r="BJ300" s="252">
        <f t="shared" si="124"/>
        <v>1</v>
      </c>
      <c r="BK300" s="252">
        <f t="shared" si="125"/>
        <v>1</v>
      </c>
      <c r="BL300" s="252">
        <f t="shared" si="126"/>
        <v>1</v>
      </c>
      <c r="BM300" s="252">
        <f t="shared" si="127"/>
        <v>1</v>
      </c>
      <c r="BN300" s="252">
        <f t="shared" si="128"/>
        <v>1</v>
      </c>
      <c r="BO300" s="252">
        <f t="shared" si="129"/>
        <v>1</v>
      </c>
      <c r="BP300" s="2578"/>
      <c r="BQ300" s="2562"/>
      <c r="BR300" s="2562"/>
      <c r="BS300" s="2585"/>
      <c r="BT300" s="2585"/>
      <c r="BU300" s="2585"/>
    </row>
    <row r="301" spans="1:73" s="22" customFormat="1" ht="15.75" hidden="1" customHeight="1" outlineLevel="1">
      <c r="A301" s="2585"/>
      <c r="B301" s="44"/>
      <c r="C301" s="45"/>
      <c r="D301" s="46"/>
      <c r="E301" s="46"/>
      <c r="F301" s="45"/>
      <c r="G301" s="46"/>
      <c r="H301" s="45"/>
      <c r="I301" s="45"/>
      <c r="J301" s="47"/>
      <c r="K301" s="48"/>
      <c r="L301" s="47"/>
      <c r="M301" s="1913"/>
      <c r="N301" s="48"/>
      <c r="O301" s="49"/>
      <c r="P301" s="49"/>
      <c r="Q301" s="1884">
        <f t="shared" si="135"/>
        <v>0</v>
      </c>
      <c r="R301" s="1885">
        <f t="shared" si="130"/>
        <v>0</v>
      </c>
      <c r="S301" s="1885">
        <f t="shared" si="131"/>
        <v>0</v>
      </c>
      <c r="T301" s="50"/>
      <c r="U301" s="50"/>
      <c r="V301" s="50"/>
      <c r="W301" s="1885">
        <f t="shared" si="132"/>
        <v>0</v>
      </c>
      <c r="X301" s="1891">
        <f t="shared" si="133"/>
        <v>0</v>
      </c>
      <c r="Y301" s="1891">
        <f t="shared" si="134"/>
        <v>0</v>
      </c>
      <c r="Z301" s="50"/>
      <c r="AA301" s="50"/>
      <c r="AB301" s="48"/>
      <c r="AC301" s="48"/>
      <c r="AD301" s="48"/>
      <c r="AE301" s="45"/>
      <c r="AF301" s="51"/>
      <c r="AG301" s="42"/>
      <c r="AH301" s="52" t="s">
        <v>4944</v>
      </c>
      <c r="AI301" s="197"/>
      <c r="AJ301" s="2578"/>
      <c r="AK301" s="251"/>
      <c r="AL301" s="2578"/>
      <c r="AM301" s="2562"/>
      <c r="AN301" s="2562"/>
      <c r="AO301" s="2562"/>
      <c r="AP301" s="2562"/>
      <c r="AQ301" s="2562"/>
      <c r="AR301" s="2562"/>
      <c r="AS301" s="2562"/>
      <c r="AT301" s="252">
        <f t="shared" si="116"/>
        <v>1</v>
      </c>
      <c r="AU301" s="252">
        <f t="shared" si="117"/>
        <v>1</v>
      </c>
      <c r="AV301" s="252">
        <f t="shared" si="118"/>
        <v>1</v>
      </c>
      <c r="AW301" s="252">
        <f t="shared" si="119"/>
        <v>1</v>
      </c>
      <c r="AX301" s="252">
        <f t="shared" si="120"/>
        <v>1</v>
      </c>
      <c r="AY301" s="252">
        <f t="shared" si="121"/>
        <v>1</v>
      </c>
      <c r="AZ301" s="252">
        <f t="shared" si="122"/>
        <v>1</v>
      </c>
      <c r="BA301" s="237"/>
      <c r="BB301" s="237"/>
      <c r="BC301" s="2562"/>
      <c r="BD301" s="2562"/>
      <c r="BE301" s="2562"/>
      <c r="BF301" s="2562"/>
      <c r="BG301" s="252">
        <f t="shared" si="123"/>
        <v>0</v>
      </c>
      <c r="BH301" s="2562"/>
      <c r="BI301" s="237"/>
      <c r="BJ301" s="252">
        <f t="shared" si="124"/>
        <v>1</v>
      </c>
      <c r="BK301" s="252">
        <f t="shared" si="125"/>
        <v>1</v>
      </c>
      <c r="BL301" s="252">
        <f t="shared" si="126"/>
        <v>1</v>
      </c>
      <c r="BM301" s="252">
        <f t="shared" si="127"/>
        <v>1</v>
      </c>
      <c r="BN301" s="252">
        <f t="shared" si="128"/>
        <v>1</v>
      </c>
      <c r="BO301" s="252">
        <f t="shared" si="129"/>
        <v>1</v>
      </c>
      <c r="BP301" s="2578"/>
      <c r="BQ301" s="2562"/>
      <c r="BR301" s="2562"/>
      <c r="BS301" s="2585"/>
      <c r="BT301" s="2585"/>
      <c r="BU301" s="2585"/>
    </row>
    <row r="302" spans="1:73" s="22" customFormat="1" ht="15.75" hidden="1" customHeight="1" outlineLevel="1">
      <c r="A302" s="2585"/>
      <c r="B302" s="44"/>
      <c r="C302" s="45"/>
      <c r="D302" s="46"/>
      <c r="E302" s="46"/>
      <c r="F302" s="45"/>
      <c r="G302" s="46"/>
      <c r="H302" s="45"/>
      <c r="I302" s="45"/>
      <c r="J302" s="47"/>
      <c r="K302" s="48"/>
      <c r="L302" s="47"/>
      <c r="M302" s="1913"/>
      <c r="N302" s="48"/>
      <c r="O302" s="49"/>
      <c r="P302" s="49"/>
      <c r="Q302" s="1884">
        <f t="shared" si="135"/>
        <v>0</v>
      </c>
      <c r="R302" s="1885">
        <f t="shared" si="130"/>
        <v>0</v>
      </c>
      <c r="S302" s="1885">
        <f t="shared" si="131"/>
        <v>0</v>
      </c>
      <c r="T302" s="50"/>
      <c r="U302" s="50"/>
      <c r="V302" s="50"/>
      <c r="W302" s="1885">
        <f t="shared" si="132"/>
        <v>0</v>
      </c>
      <c r="X302" s="1891">
        <f t="shared" si="133"/>
        <v>0</v>
      </c>
      <c r="Y302" s="1891">
        <f t="shared" si="134"/>
        <v>0</v>
      </c>
      <c r="Z302" s="50"/>
      <c r="AA302" s="50"/>
      <c r="AB302" s="48"/>
      <c r="AC302" s="48"/>
      <c r="AD302" s="48"/>
      <c r="AE302" s="45"/>
      <c r="AF302" s="51"/>
      <c r="AG302" s="42"/>
      <c r="AH302" s="52" t="s">
        <v>4945</v>
      </c>
      <c r="AI302" s="197"/>
      <c r="AJ302" s="2578"/>
      <c r="AK302" s="251"/>
      <c r="AL302" s="2578"/>
      <c r="AM302" s="2562"/>
      <c r="AN302" s="2562"/>
      <c r="AO302" s="2562"/>
      <c r="AP302" s="2562"/>
      <c r="AQ302" s="2562"/>
      <c r="AR302" s="2562"/>
      <c r="AS302" s="2562"/>
      <c r="AT302" s="252">
        <f t="shared" si="116"/>
        <v>1</v>
      </c>
      <c r="AU302" s="252">
        <f t="shared" si="117"/>
        <v>1</v>
      </c>
      <c r="AV302" s="252">
        <f t="shared" si="118"/>
        <v>1</v>
      </c>
      <c r="AW302" s="252">
        <f t="shared" si="119"/>
        <v>1</v>
      </c>
      <c r="AX302" s="252">
        <f t="shared" si="120"/>
        <v>1</v>
      </c>
      <c r="AY302" s="252">
        <f t="shared" si="121"/>
        <v>1</v>
      </c>
      <c r="AZ302" s="252">
        <f t="shared" si="122"/>
        <v>1</v>
      </c>
      <c r="BA302" s="237"/>
      <c r="BB302" s="237"/>
      <c r="BC302" s="2562"/>
      <c r="BD302" s="2562"/>
      <c r="BE302" s="2562"/>
      <c r="BF302" s="2562"/>
      <c r="BG302" s="252">
        <f t="shared" si="123"/>
        <v>0</v>
      </c>
      <c r="BH302" s="2562"/>
      <c r="BI302" s="237"/>
      <c r="BJ302" s="252">
        <f t="shared" si="124"/>
        <v>1</v>
      </c>
      <c r="BK302" s="252">
        <f t="shared" si="125"/>
        <v>1</v>
      </c>
      <c r="BL302" s="252">
        <f t="shared" si="126"/>
        <v>1</v>
      </c>
      <c r="BM302" s="252">
        <f t="shared" si="127"/>
        <v>1</v>
      </c>
      <c r="BN302" s="252">
        <f t="shared" si="128"/>
        <v>1</v>
      </c>
      <c r="BO302" s="252">
        <f t="shared" si="129"/>
        <v>1</v>
      </c>
      <c r="BP302" s="2578"/>
      <c r="BQ302" s="2562"/>
      <c r="BR302" s="2562"/>
      <c r="BS302" s="2585"/>
      <c r="BT302" s="2585"/>
      <c r="BU302" s="2585"/>
    </row>
    <row r="303" spans="1:73" s="22" customFormat="1" ht="15.75" hidden="1" customHeight="1" outlineLevel="1">
      <c r="A303" s="2585"/>
      <c r="B303" s="44"/>
      <c r="C303" s="45"/>
      <c r="D303" s="46"/>
      <c r="E303" s="46"/>
      <c r="F303" s="45"/>
      <c r="G303" s="46"/>
      <c r="H303" s="45"/>
      <c r="I303" s="45"/>
      <c r="J303" s="47"/>
      <c r="K303" s="48"/>
      <c r="L303" s="47"/>
      <c r="M303" s="1913"/>
      <c r="N303" s="48"/>
      <c r="O303" s="49"/>
      <c r="P303" s="49"/>
      <c r="Q303" s="1884">
        <f t="shared" si="135"/>
        <v>0</v>
      </c>
      <c r="R303" s="1885">
        <f t="shared" si="130"/>
        <v>0</v>
      </c>
      <c r="S303" s="1885">
        <f t="shared" si="131"/>
        <v>0</v>
      </c>
      <c r="T303" s="50"/>
      <c r="U303" s="50"/>
      <c r="V303" s="50"/>
      <c r="W303" s="1885">
        <f t="shared" si="132"/>
        <v>0</v>
      </c>
      <c r="X303" s="1891">
        <f t="shared" si="133"/>
        <v>0</v>
      </c>
      <c r="Y303" s="1891">
        <f t="shared" si="134"/>
        <v>0</v>
      </c>
      <c r="Z303" s="50"/>
      <c r="AA303" s="50"/>
      <c r="AB303" s="48"/>
      <c r="AC303" s="48"/>
      <c r="AD303" s="48"/>
      <c r="AE303" s="45"/>
      <c r="AF303" s="51"/>
      <c r="AG303" s="42"/>
      <c r="AH303" s="52" t="s">
        <v>4946</v>
      </c>
      <c r="AI303" s="197"/>
      <c r="AJ303" s="2578"/>
      <c r="AK303" s="251"/>
      <c r="AL303" s="2578"/>
      <c r="AM303" s="2562"/>
      <c r="AN303" s="2562"/>
      <c r="AO303" s="2562"/>
      <c r="AP303" s="2562"/>
      <c r="AQ303" s="2562"/>
      <c r="AR303" s="2562"/>
      <c r="AS303" s="2562"/>
      <c r="AT303" s="252">
        <f t="shared" si="116"/>
        <v>1</v>
      </c>
      <c r="AU303" s="252">
        <f t="shared" si="117"/>
        <v>1</v>
      </c>
      <c r="AV303" s="252">
        <f t="shared" si="118"/>
        <v>1</v>
      </c>
      <c r="AW303" s="252">
        <f t="shared" si="119"/>
        <v>1</v>
      </c>
      <c r="AX303" s="252">
        <f t="shared" si="120"/>
        <v>1</v>
      </c>
      <c r="AY303" s="252">
        <f t="shared" si="121"/>
        <v>1</v>
      </c>
      <c r="AZ303" s="252">
        <f t="shared" si="122"/>
        <v>1</v>
      </c>
      <c r="BA303" s="237"/>
      <c r="BB303" s="237"/>
      <c r="BC303" s="2562"/>
      <c r="BD303" s="2562"/>
      <c r="BE303" s="2562"/>
      <c r="BF303" s="2562"/>
      <c r="BG303" s="252">
        <f t="shared" si="123"/>
        <v>0</v>
      </c>
      <c r="BH303" s="2562"/>
      <c r="BI303" s="237"/>
      <c r="BJ303" s="252">
        <f t="shared" si="124"/>
        <v>1</v>
      </c>
      <c r="BK303" s="252">
        <f t="shared" si="125"/>
        <v>1</v>
      </c>
      <c r="BL303" s="252">
        <f t="shared" si="126"/>
        <v>1</v>
      </c>
      <c r="BM303" s="252">
        <f t="shared" si="127"/>
        <v>1</v>
      </c>
      <c r="BN303" s="252">
        <f t="shared" si="128"/>
        <v>1</v>
      </c>
      <c r="BO303" s="252">
        <f t="shared" si="129"/>
        <v>1</v>
      </c>
      <c r="BP303" s="2578"/>
      <c r="BQ303" s="2562"/>
      <c r="BR303" s="2562"/>
      <c r="BS303" s="2585"/>
      <c r="BT303" s="2585"/>
      <c r="BU303" s="2585"/>
    </row>
    <row r="304" spans="1:73" s="22" customFormat="1" ht="15.75" hidden="1" customHeight="1" outlineLevel="1">
      <c r="A304" s="2585"/>
      <c r="B304" s="44"/>
      <c r="C304" s="45"/>
      <c r="D304" s="46"/>
      <c r="E304" s="46"/>
      <c r="F304" s="45"/>
      <c r="G304" s="46"/>
      <c r="H304" s="45"/>
      <c r="I304" s="45"/>
      <c r="J304" s="47"/>
      <c r="K304" s="48"/>
      <c r="L304" s="47"/>
      <c r="M304" s="1913"/>
      <c r="N304" s="48"/>
      <c r="O304" s="49"/>
      <c r="P304" s="49"/>
      <c r="Q304" s="1884">
        <f t="shared" si="135"/>
        <v>0</v>
      </c>
      <c r="R304" s="1885">
        <f t="shared" si="130"/>
        <v>0</v>
      </c>
      <c r="S304" s="1885">
        <f t="shared" si="131"/>
        <v>0</v>
      </c>
      <c r="T304" s="50"/>
      <c r="U304" s="50"/>
      <c r="V304" s="50"/>
      <c r="W304" s="1885">
        <f t="shared" si="132"/>
        <v>0</v>
      </c>
      <c r="X304" s="1891">
        <f t="shared" si="133"/>
        <v>0</v>
      </c>
      <c r="Y304" s="1891">
        <f t="shared" si="134"/>
        <v>0</v>
      </c>
      <c r="Z304" s="50"/>
      <c r="AA304" s="50"/>
      <c r="AB304" s="48"/>
      <c r="AC304" s="48"/>
      <c r="AD304" s="48"/>
      <c r="AE304" s="45"/>
      <c r="AF304" s="51"/>
      <c r="AG304" s="42"/>
      <c r="AH304" s="52" t="s">
        <v>4947</v>
      </c>
      <c r="AI304" s="197"/>
      <c r="AJ304" s="2578"/>
      <c r="AK304" s="251"/>
      <c r="AL304" s="2578"/>
      <c r="AM304" s="2562"/>
      <c r="AN304" s="2562"/>
      <c r="AO304" s="2562"/>
      <c r="AP304" s="2562"/>
      <c r="AQ304" s="2562"/>
      <c r="AR304" s="2562"/>
      <c r="AS304" s="2562"/>
      <c r="AT304" s="252">
        <f t="shared" si="116"/>
        <v>1</v>
      </c>
      <c r="AU304" s="252">
        <f t="shared" si="117"/>
        <v>1</v>
      </c>
      <c r="AV304" s="252">
        <f t="shared" si="118"/>
        <v>1</v>
      </c>
      <c r="AW304" s="252">
        <f t="shared" si="119"/>
        <v>1</v>
      </c>
      <c r="AX304" s="252">
        <f t="shared" si="120"/>
        <v>1</v>
      </c>
      <c r="AY304" s="252">
        <f t="shared" si="121"/>
        <v>1</v>
      </c>
      <c r="AZ304" s="252">
        <f t="shared" si="122"/>
        <v>1</v>
      </c>
      <c r="BA304" s="237"/>
      <c r="BB304" s="237"/>
      <c r="BC304" s="2562"/>
      <c r="BD304" s="2562"/>
      <c r="BE304" s="2562"/>
      <c r="BF304" s="2562"/>
      <c r="BG304" s="252">
        <f t="shared" si="123"/>
        <v>0</v>
      </c>
      <c r="BH304" s="2562"/>
      <c r="BI304" s="237"/>
      <c r="BJ304" s="252">
        <f t="shared" si="124"/>
        <v>1</v>
      </c>
      <c r="BK304" s="252">
        <f t="shared" si="125"/>
        <v>1</v>
      </c>
      <c r="BL304" s="252">
        <f t="shared" si="126"/>
        <v>1</v>
      </c>
      <c r="BM304" s="252">
        <f t="shared" si="127"/>
        <v>1</v>
      </c>
      <c r="BN304" s="252">
        <f t="shared" si="128"/>
        <v>1</v>
      </c>
      <c r="BO304" s="252">
        <f t="shared" si="129"/>
        <v>1</v>
      </c>
      <c r="BP304" s="2578"/>
      <c r="BQ304" s="2562"/>
      <c r="BR304" s="2562"/>
      <c r="BS304" s="2585"/>
      <c r="BT304" s="2585"/>
      <c r="BU304" s="2585"/>
    </row>
    <row r="305" spans="1:73" s="22" customFormat="1" ht="15.75" hidden="1" customHeight="1" outlineLevel="1">
      <c r="A305" s="2585"/>
      <c r="B305" s="44"/>
      <c r="C305" s="45"/>
      <c r="D305" s="46"/>
      <c r="E305" s="46"/>
      <c r="F305" s="45"/>
      <c r="G305" s="46"/>
      <c r="H305" s="45"/>
      <c r="I305" s="45"/>
      <c r="J305" s="47"/>
      <c r="K305" s="48"/>
      <c r="L305" s="47"/>
      <c r="M305" s="1913"/>
      <c r="N305" s="48"/>
      <c r="O305" s="49"/>
      <c r="P305" s="49"/>
      <c r="Q305" s="1884">
        <f t="shared" si="135"/>
        <v>0</v>
      </c>
      <c r="R305" s="1885">
        <f t="shared" si="130"/>
        <v>0</v>
      </c>
      <c r="S305" s="1885">
        <f t="shared" si="131"/>
        <v>0</v>
      </c>
      <c r="T305" s="50"/>
      <c r="U305" s="50"/>
      <c r="V305" s="50"/>
      <c r="W305" s="1885">
        <f t="shared" si="132"/>
        <v>0</v>
      </c>
      <c r="X305" s="1891">
        <f t="shared" si="133"/>
        <v>0</v>
      </c>
      <c r="Y305" s="1891">
        <f t="shared" si="134"/>
        <v>0</v>
      </c>
      <c r="Z305" s="50"/>
      <c r="AA305" s="50"/>
      <c r="AB305" s="48"/>
      <c r="AC305" s="48"/>
      <c r="AD305" s="48"/>
      <c r="AE305" s="45"/>
      <c r="AF305" s="51"/>
      <c r="AG305" s="42"/>
      <c r="AH305" s="52" t="s">
        <v>4948</v>
      </c>
      <c r="AI305" s="197"/>
      <c r="AJ305" s="2578"/>
      <c r="AK305" s="251"/>
      <c r="AL305" s="2578"/>
      <c r="AM305" s="2562"/>
      <c r="AN305" s="2562"/>
      <c r="AO305" s="2562"/>
      <c r="AP305" s="2562"/>
      <c r="AQ305" s="2562"/>
      <c r="AR305" s="2562"/>
      <c r="AS305" s="2562"/>
      <c r="AT305" s="252">
        <f t="shared" si="116"/>
        <v>1</v>
      </c>
      <c r="AU305" s="252">
        <f t="shared" si="117"/>
        <v>1</v>
      </c>
      <c r="AV305" s="252">
        <f t="shared" si="118"/>
        <v>1</v>
      </c>
      <c r="AW305" s="252">
        <f t="shared" si="119"/>
        <v>1</v>
      </c>
      <c r="AX305" s="252">
        <f t="shared" si="120"/>
        <v>1</v>
      </c>
      <c r="AY305" s="252">
        <f t="shared" si="121"/>
        <v>1</v>
      </c>
      <c r="AZ305" s="252">
        <f t="shared" si="122"/>
        <v>1</v>
      </c>
      <c r="BA305" s="237"/>
      <c r="BB305" s="237"/>
      <c r="BC305" s="2562"/>
      <c r="BD305" s="2562"/>
      <c r="BE305" s="2562"/>
      <c r="BF305" s="2562"/>
      <c r="BG305" s="252">
        <f t="shared" si="123"/>
        <v>0</v>
      </c>
      <c r="BH305" s="2562"/>
      <c r="BI305" s="237"/>
      <c r="BJ305" s="252">
        <f t="shared" si="124"/>
        <v>1</v>
      </c>
      <c r="BK305" s="252">
        <f t="shared" si="125"/>
        <v>1</v>
      </c>
      <c r="BL305" s="252">
        <f t="shared" si="126"/>
        <v>1</v>
      </c>
      <c r="BM305" s="252">
        <f t="shared" si="127"/>
        <v>1</v>
      </c>
      <c r="BN305" s="252">
        <f t="shared" si="128"/>
        <v>1</v>
      </c>
      <c r="BO305" s="252">
        <f t="shared" si="129"/>
        <v>1</v>
      </c>
      <c r="BP305" s="2578"/>
      <c r="BQ305" s="2562"/>
      <c r="BR305" s="2562"/>
      <c r="BS305" s="2585"/>
      <c r="BT305" s="2585"/>
      <c r="BU305" s="2585"/>
    </row>
    <row r="306" spans="1:73" s="22" customFormat="1" ht="15.75" hidden="1" customHeight="1" outlineLevel="1">
      <c r="A306" s="2585"/>
      <c r="B306" s="44"/>
      <c r="C306" s="45"/>
      <c r="D306" s="46"/>
      <c r="E306" s="46"/>
      <c r="F306" s="45"/>
      <c r="G306" s="46"/>
      <c r="H306" s="45"/>
      <c r="I306" s="45"/>
      <c r="J306" s="47"/>
      <c r="K306" s="48"/>
      <c r="L306" s="47"/>
      <c r="M306" s="1913"/>
      <c r="N306" s="48"/>
      <c r="O306" s="49"/>
      <c r="P306" s="49"/>
      <c r="Q306" s="1884">
        <f t="shared" si="135"/>
        <v>0</v>
      </c>
      <c r="R306" s="1885">
        <f t="shared" si="130"/>
        <v>0</v>
      </c>
      <c r="S306" s="1885">
        <f t="shared" si="131"/>
        <v>0</v>
      </c>
      <c r="T306" s="50"/>
      <c r="U306" s="50"/>
      <c r="V306" s="50"/>
      <c r="W306" s="1885">
        <f t="shared" si="132"/>
        <v>0</v>
      </c>
      <c r="X306" s="1891">
        <f t="shared" si="133"/>
        <v>0</v>
      </c>
      <c r="Y306" s="1891">
        <f t="shared" si="134"/>
        <v>0</v>
      </c>
      <c r="Z306" s="50"/>
      <c r="AA306" s="50"/>
      <c r="AB306" s="48"/>
      <c r="AC306" s="48"/>
      <c r="AD306" s="48"/>
      <c r="AE306" s="45"/>
      <c r="AF306" s="51"/>
      <c r="AG306" s="42"/>
      <c r="AH306" s="52" t="s">
        <v>4949</v>
      </c>
      <c r="AI306" s="197"/>
      <c r="AJ306" s="2578"/>
      <c r="AK306" s="251"/>
      <c r="AL306" s="2578"/>
      <c r="AM306" s="2562"/>
      <c r="AN306" s="2562"/>
      <c r="AO306" s="2562"/>
      <c r="AP306" s="2562"/>
      <c r="AQ306" s="2562"/>
      <c r="AR306" s="2562"/>
      <c r="AS306" s="2562"/>
      <c r="AT306" s="252">
        <f t="shared" si="116"/>
        <v>1</v>
      </c>
      <c r="AU306" s="252">
        <f t="shared" si="117"/>
        <v>1</v>
      </c>
      <c r="AV306" s="252">
        <f t="shared" si="118"/>
        <v>1</v>
      </c>
      <c r="AW306" s="252">
        <f t="shared" si="119"/>
        <v>1</v>
      </c>
      <c r="AX306" s="252">
        <f t="shared" si="120"/>
        <v>1</v>
      </c>
      <c r="AY306" s="252">
        <f t="shared" si="121"/>
        <v>1</v>
      </c>
      <c r="AZ306" s="252">
        <f t="shared" si="122"/>
        <v>1</v>
      </c>
      <c r="BA306" s="237"/>
      <c r="BB306" s="237"/>
      <c r="BC306" s="2562"/>
      <c r="BD306" s="2562"/>
      <c r="BE306" s="2562"/>
      <c r="BF306" s="2562"/>
      <c r="BG306" s="252">
        <f t="shared" si="123"/>
        <v>0</v>
      </c>
      <c r="BH306" s="2562"/>
      <c r="BI306" s="237"/>
      <c r="BJ306" s="252">
        <f t="shared" si="124"/>
        <v>1</v>
      </c>
      <c r="BK306" s="252">
        <f t="shared" si="125"/>
        <v>1</v>
      </c>
      <c r="BL306" s="252">
        <f t="shared" si="126"/>
        <v>1</v>
      </c>
      <c r="BM306" s="252">
        <f t="shared" si="127"/>
        <v>1</v>
      </c>
      <c r="BN306" s="252">
        <f t="shared" si="128"/>
        <v>1</v>
      </c>
      <c r="BO306" s="252">
        <f t="shared" si="129"/>
        <v>1</v>
      </c>
      <c r="BP306" s="2578"/>
      <c r="BQ306" s="2562"/>
      <c r="BR306" s="2562"/>
      <c r="BS306" s="2585"/>
      <c r="BT306" s="2585"/>
      <c r="BU306" s="2585"/>
    </row>
    <row r="307" spans="1:73" s="22" customFormat="1" ht="15.75" hidden="1" customHeight="1" outlineLevel="1">
      <c r="A307" s="2585"/>
      <c r="B307" s="44"/>
      <c r="C307" s="45"/>
      <c r="D307" s="46"/>
      <c r="E307" s="46"/>
      <c r="F307" s="45"/>
      <c r="G307" s="46"/>
      <c r="H307" s="45"/>
      <c r="I307" s="45"/>
      <c r="J307" s="47"/>
      <c r="K307" s="48"/>
      <c r="L307" s="47"/>
      <c r="M307" s="1913"/>
      <c r="N307" s="48"/>
      <c r="O307" s="49"/>
      <c r="P307" s="49"/>
      <c r="Q307" s="1884">
        <f t="shared" si="135"/>
        <v>0</v>
      </c>
      <c r="R307" s="1885">
        <f t="shared" si="130"/>
        <v>0</v>
      </c>
      <c r="S307" s="1885">
        <f t="shared" si="131"/>
        <v>0</v>
      </c>
      <c r="T307" s="50"/>
      <c r="U307" s="50"/>
      <c r="V307" s="50"/>
      <c r="W307" s="1885">
        <f t="shared" si="132"/>
        <v>0</v>
      </c>
      <c r="X307" s="1891">
        <f t="shared" si="133"/>
        <v>0</v>
      </c>
      <c r="Y307" s="1891">
        <f t="shared" si="134"/>
        <v>0</v>
      </c>
      <c r="Z307" s="50"/>
      <c r="AA307" s="50"/>
      <c r="AB307" s="48"/>
      <c r="AC307" s="48"/>
      <c r="AD307" s="48"/>
      <c r="AE307" s="45"/>
      <c r="AF307" s="51"/>
      <c r="AG307" s="42"/>
      <c r="AH307" s="52" t="s">
        <v>4950</v>
      </c>
      <c r="AI307" s="197"/>
      <c r="AJ307" s="2578"/>
      <c r="AK307" s="251"/>
      <c r="AL307" s="2578"/>
      <c r="AM307" s="2562"/>
      <c r="AN307" s="2562"/>
      <c r="AO307" s="2562"/>
      <c r="AP307" s="2562"/>
      <c r="AQ307" s="2562"/>
      <c r="AR307" s="2562"/>
      <c r="AS307" s="2562"/>
      <c r="AT307" s="252">
        <f t="shared" si="116"/>
        <v>1</v>
      </c>
      <c r="AU307" s="252">
        <f t="shared" si="117"/>
        <v>1</v>
      </c>
      <c r="AV307" s="252">
        <f t="shared" si="118"/>
        <v>1</v>
      </c>
      <c r="AW307" s="252">
        <f t="shared" si="119"/>
        <v>1</v>
      </c>
      <c r="AX307" s="252">
        <f t="shared" si="120"/>
        <v>1</v>
      </c>
      <c r="AY307" s="252">
        <f t="shared" si="121"/>
        <v>1</v>
      </c>
      <c r="AZ307" s="252">
        <f t="shared" si="122"/>
        <v>1</v>
      </c>
      <c r="BA307" s="237"/>
      <c r="BB307" s="237"/>
      <c r="BC307" s="2562"/>
      <c r="BD307" s="2562"/>
      <c r="BE307" s="2562"/>
      <c r="BF307" s="2562"/>
      <c r="BG307" s="252">
        <f t="shared" si="123"/>
        <v>0</v>
      </c>
      <c r="BH307" s="2562"/>
      <c r="BI307" s="237"/>
      <c r="BJ307" s="252">
        <f t="shared" si="124"/>
        <v>1</v>
      </c>
      <c r="BK307" s="252">
        <f t="shared" si="125"/>
        <v>1</v>
      </c>
      <c r="BL307" s="252">
        <f t="shared" si="126"/>
        <v>1</v>
      </c>
      <c r="BM307" s="252">
        <f t="shared" si="127"/>
        <v>1</v>
      </c>
      <c r="BN307" s="252">
        <f t="shared" si="128"/>
        <v>1</v>
      </c>
      <c r="BO307" s="252">
        <f t="shared" si="129"/>
        <v>1</v>
      </c>
      <c r="BP307" s="2578"/>
      <c r="BQ307" s="2562"/>
      <c r="BR307" s="2562"/>
      <c r="BS307" s="2585"/>
      <c r="BT307" s="2585"/>
      <c r="BU307" s="2585"/>
    </row>
    <row r="308" spans="1:73" s="22" customFormat="1" ht="15.75" hidden="1" customHeight="1" outlineLevel="1">
      <c r="A308" s="2585"/>
      <c r="B308" s="44"/>
      <c r="C308" s="45"/>
      <c r="D308" s="46"/>
      <c r="E308" s="46"/>
      <c r="F308" s="45"/>
      <c r="G308" s="46"/>
      <c r="H308" s="45"/>
      <c r="I308" s="45"/>
      <c r="J308" s="47"/>
      <c r="K308" s="48"/>
      <c r="L308" s="47"/>
      <c r="M308" s="1913"/>
      <c r="N308" s="48"/>
      <c r="O308" s="49"/>
      <c r="P308" s="49"/>
      <c r="Q308" s="1884">
        <f t="shared" si="135"/>
        <v>0</v>
      </c>
      <c r="R308" s="1885">
        <f t="shared" si="130"/>
        <v>0</v>
      </c>
      <c r="S308" s="1885">
        <f t="shared" si="131"/>
        <v>0</v>
      </c>
      <c r="T308" s="50"/>
      <c r="U308" s="50"/>
      <c r="V308" s="50"/>
      <c r="W308" s="1885">
        <f t="shared" si="132"/>
        <v>0</v>
      </c>
      <c r="X308" s="1891">
        <f t="shared" si="133"/>
        <v>0</v>
      </c>
      <c r="Y308" s="1891">
        <f t="shared" si="134"/>
        <v>0</v>
      </c>
      <c r="Z308" s="50"/>
      <c r="AA308" s="50"/>
      <c r="AB308" s="48"/>
      <c r="AC308" s="48"/>
      <c r="AD308" s="48"/>
      <c r="AE308" s="45"/>
      <c r="AF308" s="51"/>
      <c r="AG308" s="42"/>
      <c r="AH308" s="52" t="s">
        <v>4951</v>
      </c>
      <c r="AI308" s="197"/>
      <c r="AJ308" s="2578"/>
      <c r="AK308" s="251"/>
      <c r="AL308" s="2578"/>
      <c r="AM308" s="2562"/>
      <c r="AN308" s="2562"/>
      <c r="AO308" s="2562"/>
      <c r="AP308" s="2562"/>
      <c r="AQ308" s="2562"/>
      <c r="AR308" s="2562"/>
      <c r="AS308" s="2562"/>
      <c r="AT308" s="252">
        <f t="shared" si="116"/>
        <v>1</v>
      </c>
      <c r="AU308" s="252">
        <f t="shared" si="117"/>
        <v>1</v>
      </c>
      <c r="AV308" s="252">
        <f t="shared" si="118"/>
        <v>1</v>
      </c>
      <c r="AW308" s="252">
        <f t="shared" si="119"/>
        <v>1</v>
      </c>
      <c r="AX308" s="252">
        <f t="shared" si="120"/>
        <v>1</v>
      </c>
      <c r="AY308" s="252">
        <f t="shared" si="121"/>
        <v>1</v>
      </c>
      <c r="AZ308" s="252">
        <f t="shared" si="122"/>
        <v>1</v>
      </c>
      <c r="BA308" s="237"/>
      <c r="BB308" s="237"/>
      <c r="BC308" s="2562"/>
      <c r="BD308" s="2562"/>
      <c r="BE308" s="2562"/>
      <c r="BF308" s="2562"/>
      <c r="BG308" s="252">
        <f t="shared" si="123"/>
        <v>0</v>
      </c>
      <c r="BH308" s="2562"/>
      <c r="BI308" s="237"/>
      <c r="BJ308" s="252">
        <f t="shared" si="124"/>
        <v>1</v>
      </c>
      <c r="BK308" s="252">
        <f t="shared" si="125"/>
        <v>1</v>
      </c>
      <c r="BL308" s="252">
        <f t="shared" si="126"/>
        <v>1</v>
      </c>
      <c r="BM308" s="252">
        <f t="shared" si="127"/>
        <v>1</v>
      </c>
      <c r="BN308" s="252">
        <f t="shared" si="128"/>
        <v>1</v>
      </c>
      <c r="BO308" s="252">
        <f t="shared" si="129"/>
        <v>1</v>
      </c>
      <c r="BP308" s="2578"/>
      <c r="BQ308" s="2562"/>
      <c r="BR308" s="2562"/>
      <c r="BS308" s="2585"/>
      <c r="BT308" s="2585"/>
      <c r="BU308" s="2585"/>
    </row>
    <row r="309" spans="1:73" s="22" customFormat="1" ht="15.75" hidden="1" customHeight="1" outlineLevel="1">
      <c r="A309" s="2585"/>
      <c r="B309" s="44"/>
      <c r="C309" s="45"/>
      <c r="D309" s="46"/>
      <c r="E309" s="46"/>
      <c r="F309" s="45"/>
      <c r="G309" s="46"/>
      <c r="H309" s="45"/>
      <c r="I309" s="45"/>
      <c r="J309" s="47"/>
      <c r="K309" s="48"/>
      <c r="L309" s="47"/>
      <c r="M309" s="1913"/>
      <c r="N309" s="48"/>
      <c r="O309" s="49"/>
      <c r="P309" s="49"/>
      <c r="Q309" s="1884">
        <f t="shared" si="135"/>
        <v>0</v>
      </c>
      <c r="R309" s="1885">
        <f t="shared" si="130"/>
        <v>0</v>
      </c>
      <c r="S309" s="1885">
        <f t="shared" si="131"/>
        <v>0</v>
      </c>
      <c r="T309" s="50"/>
      <c r="U309" s="50"/>
      <c r="V309" s="50"/>
      <c r="W309" s="1885">
        <f t="shared" si="132"/>
        <v>0</v>
      </c>
      <c r="X309" s="1891">
        <f t="shared" si="133"/>
        <v>0</v>
      </c>
      <c r="Y309" s="1891">
        <f t="shared" si="134"/>
        <v>0</v>
      </c>
      <c r="Z309" s="50"/>
      <c r="AA309" s="50"/>
      <c r="AB309" s="48"/>
      <c r="AC309" s="48"/>
      <c r="AD309" s="48"/>
      <c r="AE309" s="45"/>
      <c r="AF309" s="51"/>
      <c r="AG309" s="42"/>
      <c r="AH309" s="52" t="s">
        <v>4952</v>
      </c>
      <c r="AI309" s="197"/>
      <c r="AJ309" s="2578"/>
      <c r="AK309" s="251"/>
      <c r="AL309" s="2578"/>
      <c r="AM309" s="2562"/>
      <c r="AN309" s="2562"/>
      <c r="AO309" s="2562"/>
      <c r="AP309" s="2562"/>
      <c r="AQ309" s="2562"/>
      <c r="AR309" s="2562"/>
      <c r="AS309" s="2562"/>
      <c r="AT309" s="252">
        <f t="shared" si="116"/>
        <v>1</v>
      </c>
      <c r="AU309" s="252">
        <f t="shared" si="117"/>
        <v>1</v>
      </c>
      <c r="AV309" s="252">
        <f t="shared" si="118"/>
        <v>1</v>
      </c>
      <c r="AW309" s="252">
        <f t="shared" si="119"/>
        <v>1</v>
      </c>
      <c r="AX309" s="252">
        <f t="shared" si="120"/>
        <v>1</v>
      </c>
      <c r="AY309" s="252">
        <f t="shared" si="121"/>
        <v>1</v>
      </c>
      <c r="AZ309" s="252">
        <f t="shared" si="122"/>
        <v>1</v>
      </c>
      <c r="BA309" s="237"/>
      <c r="BB309" s="237"/>
      <c r="BC309" s="2562"/>
      <c r="BD309" s="2562"/>
      <c r="BE309" s="2562"/>
      <c r="BF309" s="2562"/>
      <c r="BG309" s="252">
        <f t="shared" si="123"/>
        <v>0</v>
      </c>
      <c r="BH309" s="2562"/>
      <c r="BI309" s="237"/>
      <c r="BJ309" s="252">
        <f t="shared" si="124"/>
        <v>1</v>
      </c>
      <c r="BK309" s="252">
        <f t="shared" si="125"/>
        <v>1</v>
      </c>
      <c r="BL309" s="252">
        <f t="shared" si="126"/>
        <v>1</v>
      </c>
      <c r="BM309" s="252">
        <f t="shared" si="127"/>
        <v>1</v>
      </c>
      <c r="BN309" s="252">
        <f t="shared" si="128"/>
        <v>1</v>
      </c>
      <c r="BO309" s="252">
        <f t="shared" si="129"/>
        <v>1</v>
      </c>
      <c r="BP309" s="2578"/>
      <c r="BQ309" s="2562"/>
      <c r="BR309" s="2562"/>
      <c r="BS309" s="2585"/>
      <c r="BT309" s="2585"/>
      <c r="BU309" s="2585"/>
    </row>
    <row r="310" spans="1:73" s="22" customFormat="1" ht="15.75" hidden="1" customHeight="1" outlineLevel="1">
      <c r="A310" s="2585"/>
      <c r="B310" s="44"/>
      <c r="C310" s="45"/>
      <c r="D310" s="46"/>
      <c r="E310" s="46"/>
      <c r="F310" s="45"/>
      <c r="G310" s="46"/>
      <c r="H310" s="45"/>
      <c r="I310" s="45"/>
      <c r="J310" s="47"/>
      <c r="K310" s="48"/>
      <c r="L310" s="47"/>
      <c r="M310" s="1913"/>
      <c r="N310" s="48"/>
      <c r="O310" s="49"/>
      <c r="P310" s="49"/>
      <c r="Q310" s="1884">
        <f t="shared" si="135"/>
        <v>0</v>
      </c>
      <c r="R310" s="1885">
        <f t="shared" si="130"/>
        <v>0</v>
      </c>
      <c r="S310" s="1885">
        <f t="shared" si="131"/>
        <v>0</v>
      </c>
      <c r="T310" s="50"/>
      <c r="U310" s="50"/>
      <c r="V310" s="50"/>
      <c r="W310" s="1885">
        <f t="shared" si="132"/>
        <v>0</v>
      </c>
      <c r="X310" s="1891">
        <f t="shared" si="133"/>
        <v>0</v>
      </c>
      <c r="Y310" s="1891">
        <f t="shared" si="134"/>
        <v>0</v>
      </c>
      <c r="Z310" s="50"/>
      <c r="AA310" s="50"/>
      <c r="AB310" s="48"/>
      <c r="AC310" s="48"/>
      <c r="AD310" s="48"/>
      <c r="AE310" s="45"/>
      <c r="AF310" s="51"/>
      <c r="AG310" s="42"/>
      <c r="AH310" s="52" t="s">
        <v>4953</v>
      </c>
      <c r="AI310" s="197"/>
      <c r="AJ310" s="2578"/>
      <c r="AK310" s="251"/>
      <c r="AL310" s="2578"/>
      <c r="AM310" s="2562"/>
      <c r="AN310" s="2562"/>
      <c r="AO310" s="2562"/>
      <c r="AP310" s="2562"/>
      <c r="AQ310" s="2562"/>
      <c r="AR310" s="2562"/>
      <c r="AS310" s="2562"/>
      <c r="AT310" s="252">
        <f t="shared" si="116"/>
        <v>1</v>
      </c>
      <c r="AU310" s="252">
        <f t="shared" si="117"/>
        <v>1</v>
      </c>
      <c r="AV310" s="252">
        <f t="shared" si="118"/>
        <v>1</v>
      </c>
      <c r="AW310" s="252">
        <f t="shared" si="119"/>
        <v>1</v>
      </c>
      <c r="AX310" s="252">
        <f t="shared" si="120"/>
        <v>1</v>
      </c>
      <c r="AY310" s="252">
        <f t="shared" si="121"/>
        <v>1</v>
      </c>
      <c r="AZ310" s="252">
        <f t="shared" si="122"/>
        <v>1</v>
      </c>
      <c r="BA310" s="237"/>
      <c r="BB310" s="237"/>
      <c r="BC310" s="2562"/>
      <c r="BD310" s="2562"/>
      <c r="BE310" s="2562"/>
      <c r="BF310" s="2562"/>
      <c r="BG310" s="252">
        <f t="shared" si="123"/>
        <v>0</v>
      </c>
      <c r="BH310" s="2562"/>
      <c r="BI310" s="237"/>
      <c r="BJ310" s="252">
        <f t="shared" si="124"/>
        <v>1</v>
      </c>
      <c r="BK310" s="252">
        <f t="shared" si="125"/>
        <v>1</v>
      </c>
      <c r="BL310" s="252">
        <f t="shared" si="126"/>
        <v>1</v>
      </c>
      <c r="BM310" s="252">
        <f t="shared" si="127"/>
        <v>1</v>
      </c>
      <c r="BN310" s="252">
        <f t="shared" si="128"/>
        <v>1</v>
      </c>
      <c r="BO310" s="252">
        <f t="shared" si="129"/>
        <v>1</v>
      </c>
      <c r="BP310" s="2578"/>
      <c r="BQ310" s="2562"/>
      <c r="BR310" s="2562"/>
      <c r="BS310" s="2585"/>
      <c r="BT310" s="2585"/>
      <c r="BU310" s="2585"/>
    </row>
    <row r="311" spans="1:73" s="22" customFormat="1" ht="15.75" hidden="1" customHeight="1" outlineLevel="1">
      <c r="A311" s="2585"/>
      <c r="B311" s="44"/>
      <c r="C311" s="45"/>
      <c r="D311" s="46"/>
      <c r="E311" s="46"/>
      <c r="F311" s="45"/>
      <c r="G311" s="46"/>
      <c r="H311" s="45"/>
      <c r="I311" s="45"/>
      <c r="J311" s="47"/>
      <c r="K311" s="48"/>
      <c r="L311" s="47"/>
      <c r="M311" s="1913"/>
      <c r="N311" s="48"/>
      <c r="O311" s="49"/>
      <c r="P311" s="49"/>
      <c r="Q311" s="1884">
        <f t="shared" si="135"/>
        <v>0</v>
      </c>
      <c r="R311" s="1885">
        <f t="shared" si="130"/>
        <v>0</v>
      </c>
      <c r="S311" s="1885">
        <f t="shared" si="131"/>
        <v>0</v>
      </c>
      <c r="T311" s="50"/>
      <c r="U311" s="50"/>
      <c r="V311" s="50"/>
      <c r="W311" s="1885">
        <f t="shared" si="132"/>
        <v>0</v>
      </c>
      <c r="X311" s="1891">
        <f t="shared" si="133"/>
        <v>0</v>
      </c>
      <c r="Y311" s="1891">
        <f t="shared" si="134"/>
        <v>0</v>
      </c>
      <c r="Z311" s="50"/>
      <c r="AA311" s="50"/>
      <c r="AB311" s="48"/>
      <c r="AC311" s="48"/>
      <c r="AD311" s="48"/>
      <c r="AE311" s="45"/>
      <c r="AF311" s="51"/>
      <c r="AG311" s="42"/>
      <c r="AH311" s="52" t="s">
        <v>4954</v>
      </c>
      <c r="AI311" s="197"/>
      <c r="AJ311" s="2578"/>
      <c r="AK311" s="251"/>
      <c r="AL311" s="2578"/>
      <c r="AM311" s="2562"/>
      <c r="AN311" s="2562"/>
      <c r="AO311" s="2562"/>
      <c r="AP311" s="2562"/>
      <c r="AQ311" s="2562"/>
      <c r="AR311" s="2562"/>
      <c r="AS311" s="2562"/>
      <c r="AT311" s="252">
        <f t="shared" si="116"/>
        <v>1</v>
      </c>
      <c r="AU311" s="252">
        <f t="shared" si="117"/>
        <v>1</v>
      </c>
      <c r="AV311" s="252">
        <f t="shared" si="118"/>
        <v>1</v>
      </c>
      <c r="AW311" s="252">
        <f t="shared" si="119"/>
        <v>1</v>
      </c>
      <c r="AX311" s="252">
        <f t="shared" si="120"/>
        <v>1</v>
      </c>
      <c r="AY311" s="252">
        <f t="shared" si="121"/>
        <v>1</v>
      </c>
      <c r="AZ311" s="252">
        <f t="shared" si="122"/>
        <v>1</v>
      </c>
      <c r="BA311" s="237"/>
      <c r="BB311" s="237"/>
      <c r="BC311" s="2562"/>
      <c r="BD311" s="2562"/>
      <c r="BE311" s="2562"/>
      <c r="BF311" s="2562"/>
      <c r="BG311" s="252">
        <f t="shared" si="123"/>
        <v>0</v>
      </c>
      <c r="BH311" s="2562"/>
      <c r="BI311" s="237"/>
      <c r="BJ311" s="252">
        <f t="shared" si="124"/>
        <v>1</v>
      </c>
      <c r="BK311" s="252">
        <f t="shared" si="125"/>
        <v>1</v>
      </c>
      <c r="BL311" s="252">
        <f t="shared" si="126"/>
        <v>1</v>
      </c>
      <c r="BM311" s="252">
        <f t="shared" si="127"/>
        <v>1</v>
      </c>
      <c r="BN311" s="252">
        <f t="shared" si="128"/>
        <v>1</v>
      </c>
      <c r="BO311" s="252">
        <f t="shared" si="129"/>
        <v>1</v>
      </c>
      <c r="BP311" s="2578"/>
      <c r="BQ311" s="2562"/>
      <c r="BR311" s="2562"/>
      <c r="BS311" s="2585"/>
      <c r="BT311" s="2585"/>
      <c r="BU311" s="2585"/>
    </row>
    <row r="312" spans="1:73" s="22" customFormat="1" ht="15.75" customHeight="1" collapsed="1" thickBot="1">
      <c r="A312" s="2585"/>
      <c r="B312" s="53" t="s">
        <v>4955</v>
      </c>
      <c r="C312" s="1915"/>
      <c r="D312" s="1915"/>
      <c r="E312" s="1915"/>
      <c r="F312" s="1916"/>
      <c r="G312" s="1916"/>
      <c r="H312" s="1917"/>
      <c r="I312" s="1917"/>
      <c r="J312" s="1918"/>
      <c r="K312" s="1919"/>
      <c r="L312" s="1918"/>
      <c r="M312" s="1920"/>
      <c r="N312" s="1887">
        <f>SUM(N162:N311)</f>
        <v>169.93959006000014</v>
      </c>
      <c r="O312" s="1887">
        <f>SUM(O162:O311)</f>
        <v>-249.85599999999997</v>
      </c>
      <c r="P312" s="1887">
        <f>SUM(P162:P311)</f>
        <v>-249.85599999999997</v>
      </c>
      <c r="Q312" s="1886">
        <f>SUM(Q162:Q311)</f>
        <v>-20116.621355192747</v>
      </c>
      <c r="R312" s="1920"/>
      <c r="S312" s="1920"/>
      <c r="T312" s="1920"/>
      <c r="U312" s="1920"/>
      <c r="V312" s="1920"/>
      <c r="W312" s="1920"/>
      <c r="X312" s="1887">
        <f>SUM(X162:X311)</f>
        <v>6.8598908840000314</v>
      </c>
      <c r="Y312" s="1887">
        <f>SUM(Y162:Y311)</f>
        <v>6.8598908840000314</v>
      </c>
      <c r="Z312" s="1928"/>
      <c r="AA312" s="1928"/>
      <c r="AB312" s="1887">
        <f>SUM(AB162:AB311)</f>
        <v>-3.3346724999999999</v>
      </c>
      <c r="AC312" s="1887">
        <f>SUM(AC162:AC311)</f>
        <v>707.86291229100857</v>
      </c>
      <c r="AD312" s="1887">
        <f>SUM(AD162:AD311)</f>
        <v>709.67738584183121</v>
      </c>
      <c r="AE312" s="1917"/>
      <c r="AF312" s="1922"/>
      <c r="AG312" s="42"/>
      <c r="AH312" s="54" t="s">
        <v>4956</v>
      </c>
      <c r="AI312" s="197"/>
      <c r="AJ312" s="2578"/>
      <c r="AK312" s="251"/>
      <c r="AL312" s="2578"/>
      <c r="AM312" s="2562"/>
      <c r="AN312" s="2562"/>
      <c r="AO312" s="2562"/>
      <c r="AP312" s="2562"/>
      <c r="AQ312" s="2562"/>
      <c r="AR312" s="2562"/>
      <c r="AS312" s="2562"/>
      <c r="AT312" s="2562"/>
      <c r="AU312" s="2562"/>
      <c r="AV312" s="2562"/>
      <c r="AW312" s="2562"/>
      <c r="AX312" s="2562"/>
      <c r="AY312" s="2562"/>
      <c r="AZ312" s="2562"/>
      <c r="BA312" s="2562"/>
      <c r="BB312" s="2562"/>
      <c r="BC312" s="2562"/>
      <c r="BD312" s="2562"/>
      <c r="BE312" s="2562"/>
      <c r="BF312" s="2562"/>
      <c r="BG312" s="2562"/>
      <c r="BH312" s="2562"/>
      <c r="BI312" s="2562"/>
      <c r="BJ312" s="2562"/>
      <c r="BK312" s="2562"/>
      <c r="BL312" s="2562"/>
      <c r="BM312" s="2562"/>
      <c r="BN312" s="2562"/>
      <c r="BO312" s="252">
        <f t="shared" ref="BO312" si="136" xml:space="preserve"> IF( ISNUMBER(AF312 ), 0, 1 )</f>
        <v>1</v>
      </c>
      <c r="BP312" s="2578"/>
      <c r="BQ312" s="2562"/>
      <c r="BR312" s="2562"/>
      <c r="BS312" s="2585"/>
      <c r="BT312" s="2585"/>
      <c r="BU312" s="2585"/>
    </row>
    <row r="313" spans="1:73" s="22" customFormat="1" ht="15.75" customHeight="1" thickTop="1" thickBot="1">
      <c r="A313" s="2585"/>
      <c r="B313" s="56"/>
      <c r="C313" s="1929"/>
      <c r="D313" s="1929"/>
      <c r="E313" s="1929"/>
      <c r="F313" s="1924"/>
      <c r="G313" s="1924"/>
      <c r="H313" s="1924"/>
      <c r="I313" s="1924"/>
      <c r="J313" s="1925"/>
      <c r="K313" s="1926"/>
      <c r="L313" s="1925"/>
      <c r="M313" s="1926"/>
      <c r="N313" s="1926"/>
      <c r="O313" s="1927"/>
      <c r="P313" s="1927"/>
      <c r="Q313" s="1927"/>
      <c r="R313" s="1926"/>
      <c r="S313" s="1926"/>
      <c r="T313" s="1926"/>
      <c r="U313" s="1926"/>
      <c r="V313" s="1926"/>
      <c r="W313" s="1926"/>
      <c r="X313" s="1927"/>
      <c r="Y313" s="1927"/>
      <c r="Z313" s="1927"/>
      <c r="AA313" s="1927"/>
      <c r="AB313" s="1930"/>
      <c r="AC313" s="1930"/>
      <c r="AD313" s="1930"/>
      <c r="AE313" s="1924"/>
      <c r="AF313" s="1930"/>
      <c r="AG313" s="42"/>
      <c r="AH313" s="28"/>
      <c r="AI313" s="197"/>
      <c r="AJ313" s="2578"/>
      <c r="AK313" s="2562"/>
      <c r="AL313" s="2578"/>
      <c r="AM313" s="2562"/>
      <c r="AN313" s="2562"/>
      <c r="AO313" s="2562"/>
      <c r="AP313" s="2562"/>
      <c r="AQ313" s="2562"/>
      <c r="AR313" s="2562"/>
      <c r="AS313" s="2562"/>
      <c r="AT313" s="2562"/>
      <c r="AU313" s="2562"/>
      <c r="AV313" s="2562"/>
      <c r="AW313" s="2562"/>
      <c r="AX313" s="2562"/>
      <c r="AY313" s="2562"/>
      <c r="AZ313" s="2562"/>
      <c r="BA313" s="2562"/>
      <c r="BB313" s="2562"/>
      <c r="BC313" s="2562"/>
      <c r="BD313" s="2562"/>
      <c r="BE313" s="2562"/>
      <c r="BF313" s="2562"/>
      <c r="BG313" s="2562"/>
      <c r="BH313" s="2562"/>
      <c r="BI313" s="2562"/>
      <c r="BJ313" s="2562"/>
      <c r="BK313" s="2562"/>
      <c r="BL313" s="2562"/>
      <c r="BM313" s="2562"/>
      <c r="BN313" s="2562"/>
      <c r="BO313" s="2562"/>
      <c r="BP313" s="2578"/>
      <c r="BQ313" s="2562"/>
      <c r="BR313" s="2562"/>
      <c r="BS313" s="2585"/>
      <c r="BT313" s="2585"/>
      <c r="BU313" s="2585"/>
    </row>
    <row r="314" spans="1:73" s="22" customFormat="1" ht="15.75" customHeight="1" thickTop="1" thickBot="1">
      <c r="A314" s="2585"/>
      <c r="B314" s="33" t="s">
        <v>4957</v>
      </c>
      <c r="C314" s="1924"/>
      <c r="D314" s="1924"/>
      <c r="E314" s="1924"/>
      <c r="F314" s="1924"/>
      <c r="G314" s="1924"/>
      <c r="H314" s="1924"/>
      <c r="I314" s="1924"/>
      <c r="J314" s="1925"/>
      <c r="K314" s="1926"/>
      <c r="L314" s="1925"/>
      <c r="M314" s="1926"/>
      <c r="N314" s="1926"/>
      <c r="O314" s="1927"/>
      <c r="P314" s="1927"/>
      <c r="Q314" s="1927"/>
      <c r="R314" s="1926"/>
      <c r="S314" s="1926"/>
      <c r="T314" s="1926"/>
      <c r="U314" s="1926"/>
      <c r="V314" s="1926"/>
      <c r="W314" s="1926"/>
      <c r="X314" s="1927"/>
      <c r="Y314" s="1927"/>
      <c r="Z314" s="1927"/>
      <c r="AA314" s="1927"/>
      <c r="AB314" s="1930"/>
      <c r="AC314" s="1930"/>
      <c r="AD314" s="1930"/>
      <c r="AE314" s="1924"/>
      <c r="AF314" s="1930"/>
      <c r="AG314" s="42"/>
      <c r="AH314" s="28"/>
      <c r="AI314" s="197"/>
      <c r="AJ314" s="2578"/>
      <c r="AK314" s="2562"/>
      <c r="AL314" s="2578"/>
      <c r="AM314" s="2562"/>
      <c r="AN314" s="2562"/>
      <c r="AO314" s="2562"/>
      <c r="AP314" s="2562"/>
      <c r="AQ314" s="2562"/>
      <c r="AR314" s="2562"/>
      <c r="AS314" s="2562"/>
      <c r="AT314" s="2562"/>
      <c r="AU314" s="2562"/>
      <c r="AV314" s="2562"/>
      <c r="AW314" s="2562"/>
      <c r="AX314" s="2562"/>
      <c r="AY314" s="2562"/>
      <c r="AZ314" s="2562"/>
      <c r="BA314" s="2562"/>
      <c r="BB314" s="2562"/>
      <c r="BC314" s="2562"/>
      <c r="BD314" s="2562"/>
      <c r="BE314" s="2562"/>
      <c r="BF314" s="2562"/>
      <c r="BG314" s="2562"/>
      <c r="BH314" s="2562"/>
      <c r="BI314" s="2562"/>
      <c r="BJ314" s="2562"/>
      <c r="BK314" s="2562"/>
      <c r="BL314" s="2562"/>
      <c r="BM314" s="2562"/>
      <c r="BN314" s="2562"/>
      <c r="BO314" s="2562"/>
      <c r="BP314" s="2578"/>
      <c r="BQ314" s="2562"/>
      <c r="BR314" s="2562"/>
      <c r="BS314" s="2585"/>
      <c r="BT314" s="2585"/>
      <c r="BU314" s="2585"/>
    </row>
    <row r="315" spans="1:73" s="22" customFormat="1" ht="15.75" customHeight="1" outlineLevel="1" thickTop="1">
      <c r="A315" s="2585"/>
      <c r="B315" s="35" t="s">
        <v>4743</v>
      </c>
      <c r="C315" s="36" t="s">
        <v>50</v>
      </c>
      <c r="D315" s="37" t="s">
        <v>4505</v>
      </c>
      <c r="E315" s="37" t="s">
        <v>4429</v>
      </c>
      <c r="F315" s="36" t="s">
        <v>4459</v>
      </c>
      <c r="G315" s="36" t="s">
        <v>4515</v>
      </c>
      <c r="H315" s="36" t="s">
        <v>4459</v>
      </c>
      <c r="I315" s="36" t="s">
        <v>4433</v>
      </c>
      <c r="J315" s="38" t="s">
        <v>4744</v>
      </c>
      <c r="K315" s="39">
        <v>100</v>
      </c>
      <c r="L315" s="38">
        <v>50457</v>
      </c>
      <c r="M315" s="1911">
        <v>14.891666666666667</v>
      </c>
      <c r="N315" s="39">
        <v>7.71</v>
      </c>
      <c r="O315" s="39">
        <v>9.3970000000000002</v>
      </c>
      <c r="P315" s="39">
        <v>13.250999999999999</v>
      </c>
      <c r="Q315" s="1882">
        <f>IFERROR(M315*O315,"")</f>
        <v>139.93699166666667</v>
      </c>
      <c r="R315" s="40">
        <v>3.5400000000000001E-2</v>
      </c>
      <c r="S315" s="1931"/>
      <c r="T315" s="1931"/>
      <c r="U315" s="1931"/>
      <c r="V315" s="1931"/>
      <c r="W315" s="1883">
        <f t="shared" ref="W315:W378" si="137">IF(R315=0,0,((1+R315)*(1+C$626))-1)</f>
        <v>0.17526701700154579</v>
      </c>
      <c r="X315" s="1890">
        <f t="shared" ref="X315:X378" si="138">W315*P315</f>
        <v>2.3224632422874834</v>
      </c>
      <c r="Y315" s="1890">
        <f t="shared" ref="Y315:Y378" si="139" xml:space="preserve"> R315*P315</f>
        <v>0.46908539999999999</v>
      </c>
      <c r="Z315" s="40">
        <v>0</v>
      </c>
      <c r="AA315" s="40">
        <v>0</v>
      </c>
      <c r="AB315" s="39">
        <v>0</v>
      </c>
      <c r="AC315" s="39">
        <v>8.804073449006907</v>
      </c>
      <c r="AD315" s="39">
        <v>8.804073449006907</v>
      </c>
      <c r="AE315" s="36" t="s">
        <v>4517</v>
      </c>
      <c r="AF315" s="41" t="s">
        <v>4745</v>
      </c>
      <c r="AG315" s="42"/>
      <c r="AH315" s="43" t="s">
        <v>4958</v>
      </c>
      <c r="AI315" s="197"/>
      <c r="AJ315" s="2578"/>
      <c r="AK315" s="251"/>
      <c r="AL315" s="2578"/>
      <c r="AM315" s="2562"/>
      <c r="AN315" s="2562"/>
      <c r="AO315" s="2562"/>
      <c r="AP315" s="2562"/>
      <c r="AQ315" s="2562"/>
      <c r="AR315" s="2562"/>
      <c r="AS315" s="2562"/>
      <c r="AT315" s="252">
        <f t="shared" ref="AT315:AT378" si="140" xml:space="preserve"> IF( ISNUMBER(J315 ), 0, 1 )</f>
        <v>1</v>
      </c>
      <c r="AU315" s="252">
        <f t="shared" ref="AU315:AU378" si="141" xml:space="preserve"> IF( ISNUMBER(K315 ), 0, 1 )</f>
        <v>0</v>
      </c>
      <c r="AV315" s="252">
        <f t="shared" ref="AV315:AV378" si="142" xml:space="preserve"> IF( ISNUMBER(L315 ), 0, 1 )</f>
        <v>0</v>
      </c>
      <c r="AW315" s="252">
        <f t="shared" ref="AW315:AW378" si="143" xml:space="preserve"> IF( ISNUMBER(M315 ), 0, 1 )</f>
        <v>0</v>
      </c>
      <c r="AX315" s="252">
        <f t="shared" ref="AX315:AX378" si="144" xml:space="preserve"> IF( ISNUMBER(N315 ), 0, 1 )</f>
        <v>0</v>
      </c>
      <c r="AY315" s="252">
        <f t="shared" ref="AY315:AY378" si="145" xml:space="preserve"> IF( ISNUMBER(O315 ), 0, 1 )</f>
        <v>0</v>
      </c>
      <c r="AZ315" s="252">
        <f t="shared" ref="AZ315:AZ378" si="146" xml:space="preserve"> IF( ISNUMBER(P315 ), 0, 1 )</f>
        <v>0</v>
      </c>
      <c r="BA315" s="237"/>
      <c r="BB315" s="252">
        <f t="shared" ref="BB315:BB378" si="147" xml:space="preserve"> IF( ISNUMBER(R315 ), 0, 1 )</f>
        <v>0</v>
      </c>
      <c r="BC315" s="237"/>
      <c r="BD315" s="237"/>
      <c r="BE315" s="237"/>
      <c r="BF315" s="237"/>
      <c r="BG315" s="237"/>
      <c r="BH315" s="237"/>
      <c r="BI315" s="237"/>
      <c r="BJ315" s="252">
        <f t="shared" ref="BJ315:BJ378" si="148" xml:space="preserve"> IF( ISNUMBER(Z315 ), 0, 1 )</f>
        <v>0</v>
      </c>
      <c r="BK315" s="252">
        <f t="shared" ref="BK315:BK378" si="149" xml:space="preserve"> IF( ISNUMBER(AA315 ), 0, 1 )</f>
        <v>0</v>
      </c>
      <c r="BL315" s="252">
        <f t="shared" ref="BL315:BL378" si="150" xml:space="preserve"> IF( ISNUMBER(AB315 ), 0, 1 )</f>
        <v>0</v>
      </c>
      <c r="BM315" s="252">
        <f t="shared" ref="BM315:BM378" si="151" xml:space="preserve"> IF( ISNUMBER(AC315 ), 0, 1 )</f>
        <v>0</v>
      </c>
      <c r="BN315" s="252">
        <f t="shared" ref="BN315:BN378" si="152" xml:space="preserve"> IF( ISNUMBER(AD315 ), 0, 1 )</f>
        <v>0</v>
      </c>
      <c r="BO315" s="252">
        <f t="shared" ref="BO315:BO378" si="153" xml:space="preserve"> IF( ISNUMBER(AF315 ), 0, 1 )</f>
        <v>1</v>
      </c>
      <c r="BP315" s="2578"/>
      <c r="BQ315" s="2562"/>
      <c r="BR315" s="2562"/>
      <c r="BS315" s="2585"/>
      <c r="BT315" s="2585"/>
      <c r="BU315" s="2585"/>
    </row>
    <row r="316" spans="1:73" s="22" customFormat="1" ht="15.75" customHeight="1" outlineLevel="1">
      <c r="A316" s="2585"/>
      <c r="B316" s="44" t="s">
        <v>4747</v>
      </c>
      <c r="C316" s="45" t="s">
        <v>50</v>
      </c>
      <c r="D316" s="46" t="s">
        <v>4505</v>
      </c>
      <c r="E316" s="46" t="s">
        <v>4429</v>
      </c>
      <c r="F316" s="45" t="s">
        <v>4459</v>
      </c>
      <c r="G316" s="46" t="s">
        <v>4515</v>
      </c>
      <c r="H316" s="45" t="s">
        <v>4459</v>
      </c>
      <c r="I316" s="45" t="s">
        <v>4433</v>
      </c>
      <c r="J316" s="47" t="s">
        <v>4744</v>
      </c>
      <c r="K316" s="48">
        <v>100</v>
      </c>
      <c r="L316" s="47">
        <v>50457</v>
      </c>
      <c r="M316" s="1913">
        <v>14.891666666666667</v>
      </c>
      <c r="N316" s="48">
        <v>7.71</v>
      </c>
      <c r="O316" s="49">
        <v>9.3970000000000002</v>
      </c>
      <c r="P316" s="49">
        <v>13.250999999999999</v>
      </c>
      <c r="Q316" s="1884">
        <f>IFERROR(M316*O316,"")</f>
        <v>139.93699166666667</v>
      </c>
      <c r="R316" s="50">
        <v>3.5400000000000001E-2</v>
      </c>
      <c r="S316" s="1932"/>
      <c r="T316" s="1932"/>
      <c r="U316" s="1932"/>
      <c r="V316" s="1932"/>
      <c r="W316" s="1885">
        <f t="shared" si="137"/>
        <v>0.17526701700154579</v>
      </c>
      <c r="X316" s="1891">
        <f t="shared" si="138"/>
        <v>2.3224632422874834</v>
      </c>
      <c r="Y316" s="1891">
        <f t="shared" si="139"/>
        <v>0.46908539999999999</v>
      </c>
      <c r="Z316" s="50">
        <v>0</v>
      </c>
      <c r="AA316" s="50">
        <v>0</v>
      </c>
      <c r="AB316" s="48">
        <v>0</v>
      </c>
      <c r="AC316" s="48">
        <v>8.804073449006907</v>
      </c>
      <c r="AD316" s="48">
        <v>8.804073449006907</v>
      </c>
      <c r="AE316" s="45" t="s">
        <v>4517</v>
      </c>
      <c r="AF316" s="51" t="s">
        <v>4745</v>
      </c>
      <c r="AG316" s="42"/>
      <c r="AH316" s="52" t="s">
        <v>4959</v>
      </c>
      <c r="AI316" s="197"/>
      <c r="AJ316" s="2578"/>
      <c r="AK316" s="251"/>
      <c r="AL316" s="2578"/>
      <c r="AM316" s="2562"/>
      <c r="AN316" s="2562"/>
      <c r="AO316" s="2562"/>
      <c r="AP316" s="2562"/>
      <c r="AQ316" s="2562"/>
      <c r="AR316" s="2562"/>
      <c r="AS316" s="2562"/>
      <c r="AT316" s="252">
        <f t="shared" si="140"/>
        <v>1</v>
      </c>
      <c r="AU316" s="252">
        <f t="shared" si="141"/>
        <v>0</v>
      </c>
      <c r="AV316" s="252">
        <f t="shared" si="142"/>
        <v>0</v>
      </c>
      <c r="AW316" s="252">
        <f t="shared" si="143"/>
        <v>0</v>
      </c>
      <c r="AX316" s="252">
        <f t="shared" si="144"/>
        <v>0</v>
      </c>
      <c r="AY316" s="252">
        <f t="shared" si="145"/>
        <v>0</v>
      </c>
      <c r="AZ316" s="252">
        <f t="shared" si="146"/>
        <v>0</v>
      </c>
      <c r="BA316" s="237"/>
      <c r="BB316" s="252">
        <f t="shared" si="147"/>
        <v>0</v>
      </c>
      <c r="BC316" s="237"/>
      <c r="BD316" s="237"/>
      <c r="BE316" s="237"/>
      <c r="BF316" s="237"/>
      <c r="BG316" s="237"/>
      <c r="BH316" s="237"/>
      <c r="BI316" s="237"/>
      <c r="BJ316" s="252">
        <f t="shared" si="148"/>
        <v>0</v>
      </c>
      <c r="BK316" s="252">
        <f t="shared" si="149"/>
        <v>0</v>
      </c>
      <c r="BL316" s="252">
        <f t="shared" si="150"/>
        <v>0</v>
      </c>
      <c r="BM316" s="252">
        <f t="shared" si="151"/>
        <v>0</v>
      </c>
      <c r="BN316" s="252">
        <f t="shared" si="152"/>
        <v>0</v>
      </c>
      <c r="BO316" s="252">
        <f t="shared" si="153"/>
        <v>1</v>
      </c>
      <c r="BP316" s="2578"/>
      <c r="BQ316" s="2562"/>
      <c r="BR316" s="2562"/>
      <c r="BS316" s="2585"/>
      <c r="BT316" s="2585"/>
      <c r="BU316" s="2585"/>
    </row>
    <row r="317" spans="1:73" s="22" customFormat="1" ht="15.75" customHeight="1" outlineLevel="1">
      <c r="A317" s="2585"/>
      <c r="B317" s="44" t="s">
        <v>4749</v>
      </c>
      <c r="C317" s="45" t="s">
        <v>50</v>
      </c>
      <c r="D317" s="46" t="s">
        <v>4505</v>
      </c>
      <c r="E317" s="46" t="s">
        <v>4429</v>
      </c>
      <c r="F317" s="45" t="s">
        <v>4459</v>
      </c>
      <c r="G317" s="46" t="s">
        <v>4515</v>
      </c>
      <c r="H317" s="45" t="s">
        <v>4459</v>
      </c>
      <c r="I317" s="45" t="s">
        <v>4433</v>
      </c>
      <c r="J317" s="47" t="s">
        <v>4744</v>
      </c>
      <c r="K317" s="48">
        <v>100</v>
      </c>
      <c r="L317" s="47">
        <v>50457</v>
      </c>
      <c r="M317" s="1913">
        <v>14.891666666666667</v>
      </c>
      <c r="N317" s="48">
        <v>3.25</v>
      </c>
      <c r="O317" s="49">
        <v>3.9609999999999999</v>
      </c>
      <c r="P317" s="49">
        <v>5.5860000000000003</v>
      </c>
      <c r="Q317" s="1884">
        <f t="shared" ref="Q317:Q380" si="154">IFERROR(M317*O317,"")</f>
        <v>58.985891666666667</v>
      </c>
      <c r="R317" s="50">
        <v>3.4317E-2</v>
      </c>
      <c r="S317" s="1932"/>
      <c r="T317" s="1932"/>
      <c r="U317" s="1932"/>
      <c r="V317" s="1932"/>
      <c r="W317" s="1885">
        <f t="shared" si="137"/>
        <v>0.17403771993817618</v>
      </c>
      <c r="X317" s="1891">
        <f t="shared" si="138"/>
        <v>0.97217470357465219</v>
      </c>
      <c r="Y317" s="1891">
        <f t="shared" si="139"/>
        <v>0.19169476200000002</v>
      </c>
      <c r="Z317" s="50">
        <v>0</v>
      </c>
      <c r="AA317" s="50">
        <v>0</v>
      </c>
      <c r="AB317" s="48">
        <v>0</v>
      </c>
      <c r="AC317" s="48">
        <v>3.6253590441259438</v>
      </c>
      <c r="AD317" s="48">
        <v>3.6253590441259438</v>
      </c>
      <c r="AE317" s="45" t="s">
        <v>4517</v>
      </c>
      <c r="AF317" s="51" t="s">
        <v>4745</v>
      </c>
      <c r="AG317" s="42"/>
      <c r="AH317" s="52" t="s">
        <v>4960</v>
      </c>
      <c r="AI317" s="197"/>
      <c r="AJ317" s="2578"/>
      <c r="AK317" s="251"/>
      <c r="AL317" s="2578"/>
      <c r="AM317" s="2562"/>
      <c r="AN317" s="2562"/>
      <c r="AO317" s="2562"/>
      <c r="AP317" s="2562"/>
      <c r="AQ317" s="2562"/>
      <c r="AR317" s="2562"/>
      <c r="AS317" s="2562"/>
      <c r="AT317" s="252">
        <f t="shared" si="140"/>
        <v>1</v>
      </c>
      <c r="AU317" s="252">
        <f t="shared" si="141"/>
        <v>0</v>
      </c>
      <c r="AV317" s="252">
        <f t="shared" si="142"/>
        <v>0</v>
      </c>
      <c r="AW317" s="252">
        <f t="shared" si="143"/>
        <v>0</v>
      </c>
      <c r="AX317" s="252">
        <f t="shared" si="144"/>
        <v>0</v>
      </c>
      <c r="AY317" s="252">
        <f t="shared" si="145"/>
        <v>0</v>
      </c>
      <c r="AZ317" s="252">
        <f t="shared" si="146"/>
        <v>0</v>
      </c>
      <c r="BA317" s="237"/>
      <c r="BB317" s="252">
        <f t="shared" si="147"/>
        <v>0</v>
      </c>
      <c r="BC317" s="237"/>
      <c r="BD317" s="237"/>
      <c r="BE317" s="237"/>
      <c r="BF317" s="237"/>
      <c r="BG317" s="237"/>
      <c r="BH317" s="237"/>
      <c r="BI317" s="237"/>
      <c r="BJ317" s="252">
        <f t="shared" si="148"/>
        <v>0</v>
      </c>
      <c r="BK317" s="252">
        <f t="shared" si="149"/>
        <v>0</v>
      </c>
      <c r="BL317" s="252">
        <f t="shared" si="150"/>
        <v>0</v>
      </c>
      <c r="BM317" s="252">
        <f t="shared" si="151"/>
        <v>0</v>
      </c>
      <c r="BN317" s="252">
        <f t="shared" si="152"/>
        <v>0</v>
      </c>
      <c r="BO317" s="252">
        <f t="shared" si="153"/>
        <v>1</v>
      </c>
      <c r="BP317" s="2578"/>
      <c r="BQ317" s="2562"/>
      <c r="BR317" s="2562"/>
      <c r="BS317" s="2585"/>
      <c r="BT317" s="2585"/>
      <c r="BU317" s="2585"/>
    </row>
    <row r="318" spans="1:73" s="22" customFormat="1" ht="15.75" customHeight="1" outlineLevel="1">
      <c r="A318" s="2585"/>
      <c r="B318" s="44" t="s">
        <v>4751</v>
      </c>
      <c r="C318" s="45" t="s">
        <v>50</v>
      </c>
      <c r="D318" s="46" t="s">
        <v>4505</v>
      </c>
      <c r="E318" s="46" t="s">
        <v>4429</v>
      </c>
      <c r="F318" s="45" t="s">
        <v>4459</v>
      </c>
      <c r="G318" s="46" t="s">
        <v>4515</v>
      </c>
      <c r="H318" s="45" t="s">
        <v>4459</v>
      </c>
      <c r="I318" s="45" t="s">
        <v>4433</v>
      </c>
      <c r="J318" s="47" t="s">
        <v>4744</v>
      </c>
      <c r="K318" s="48">
        <v>100</v>
      </c>
      <c r="L318" s="47">
        <v>52283</v>
      </c>
      <c r="M318" s="1913">
        <v>19.891666666666666</v>
      </c>
      <c r="N318" s="48">
        <v>7.71</v>
      </c>
      <c r="O318" s="49">
        <v>9.0069999999999997</v>
      </c>
      <c r="P318" s="49">
        <v>13.250999999999999</v>
      </c>
      <c r="Q318" s="1884">
        <f t="shared" si="154"/>
        <v>179.16424166666664</v>
      </c>
      <c r="R318" s="50">
        <v>3.5819999999999998E-2</v>
      </c>
      <c r="S318" s="1932"/>
      <c r="T318" s="1932"/>
      <c r="U318" s="1932"/>
      <c r="V318" s="1932"/>
      <c r="W318" s="1885">
        <f t="shared" si="137"/>
        <v>0.17574375270479137</v>
      </c>
      <c r="X318" s="1891">
        <f t="shared" si="138"/>
        <v>2.3287804670911902</v>
      </c>
      <c r="Y318" s="1891">
        <f t="shared" si="139"/>
        <v>0.47465081999999997</v>
      </c>
      <c r="Z318" s="50">
        <v>0</v>
      </c>
      <c r="AA318" s="50">
        <v>0</v>
      </c>
      <c r="AB318" s="48">
        <v>0</v>
      </c>
      <c r="AC318" s="48">
        <v>10.461400103743701</v>
      </c>
      <c r="AD318" s="48">
        <v>10.461400103743701</v>
      </c>
      <c r="AE318" s="45" t="s">
        <v>4517</v>
      </c>
      <c r="AF318" s="51" t="s">
        <v>4745</v>
      </c>
      <c r="AG318" s="42"/>
      <c r="AH318" s="52" t="s">
        <v>4961</v>
      </c>
      <c r="AI318" s="197"/>
      <c r="AJ318" s="2578"/>
      <c r="AK318" s="251"/>
      <c r="AL318" s="2578"/>
      <c r="AM318" s="2562"/>
      <c r="AN318" s="2562"/>
      <c r="AO318" s="2562"/>
      <c r="AP318" s="2562"/>
      <c r="AQ318" s="2562"/>
      <c r="AR318" s="2562"/>
      <c r="AS318" s="2562"/>
      <c r="AT318" s="252">
        <f t="shared" si="140"/>
        <v>1</v>
      </c>
      <c r="AU318" s="252">
        <f t="shared" si="141"/>
        <v>0</v>
      </c>
      <c r="AV318" s="252">
        <f t="shared" si="142"/>
        <v>0</v>
      </c>
      <c r="AW318" s="252">
        <f t="shared" si="143"/>
        <v>0</v>
      </c>
      <c r="AX318" s="252">
        <f t="shared" si="144"/>
        <v>0</v>
      </c>
      <c r="AY318" s="252">
        <f t="shared" si="145"/>
        <v>0</v>
      </c>
      <c r="AZ318" s="252">
        <f t="shared" si="146"/>
        <v>0</v>
      </c>
      <c r="BA318" s="237"/>
      <c r="BB318" s="252">
        <f t="shared" si="147"/>
        <v>0</v>
      </c>
      <c r="BC318" s="237"/>
      <c r="BD318" s="237"/>
      <c r="BE318" s="237"/>
      <c r="BF318" s="237"/>
      <c r="BG318" s="237"/>
      <c r="BH318" s="237"/>
      <c r="BI318" s="237"/>
      <c r="BJ318" s="252">
        <f t="shared" si="148"/>
        <v>0</v>
      </c>
      <c r="BK318" s="252">
        <f t="shared" si="149"/>
        <v>0</v>
      </c>
      <c r="BL318" s="252">
        <f t="shared" si="150"/>
        <v>0</v>
      </c>
      <c r="BM318" s="252">
        <f t="shared" si="151"/>
        <v>0</v>
      </c>
      <c r="BN318" s="252">
        <f t="shared" si="152"/>
        <v>0</v>
      </c>
      <c r="BO318" s="252">
        <f t="shared" si="153"/>
        <v>1</v>
      </c>
      <c r="BP318" s="2578"/>
      <c r="BQ318" s="2562"/>
      <c r="BR318" s="2562"/>
      <c r="BS318" s="2585"/>
      <c r="BT318" s="2585"/>
      <c r="BU318" s="2585"/>
    </row>
    <row r="319" spans="1:73" s="22" customFormat="1" ht="15.75" customHeight="1" outlineLevel="1">
      <c r="A319" s="2585"/>
      <c r="B319" s="44" t="s">
        <v>4753</v>
      </c>
      <c r="C319" s="45" t="s">
        <v>50</v>
      </c>
      <c r="D319" s="46" t="s">
        <v>4505</v>
      </c>
      <c r="E319" s="46" t="s">
        <v>4429</v>
      </c>
      <c r="F319" s="45" t="s">
        <v>4459</v>
      </c>
      <c r="G319" s="46" t="s">
        <v>4515</v>
      </c>
      <c r="H319" s="45" t="s">
        <v>4459</v>
      </c>
      <c r="I319" s="45" t="s">
        <v>4433</v>
      </c>
      <c r="J319" s="47" t="s">
        <v>4744</v>
      </c>
      <c r="K319" s="48">
        <v>100</v>
      </c>
      <c r="L319" s="47">
        <v>52283</v>
      </c>
      <c r="M319" s="1913">
        <v>19.891666666666666</v>
      </c>
      <c r="N319" s="48">
        <v>7.71</v>
      </c>
      <c r="O319" s="49">
        <v>9.0069999999999997</v>
      </c>
      <c r="P319" s="49">
        <v>13.250999999999999</v>
      </c>
      <c r="Q319" s="1884">
        <f t="shared" si="154"/>
        <v>179.16424166666664</v>
      </c>
      <c r="R319" s="50">
        <v>3.5819999999999998E-2</v>
      </c>
      <c r="S319" s="1932"/>
      <c r="T319" s="1932"/>
      <c r="U319" s="1932"/>
      <c r="V319" s="1932"/>
      <c r="W319" s="1885">
        <f t="shared" si="137"/>
        <v>0.17574375270479137</v>
      </c>
      <c r="X319" s="1891">
        <f t="shared" si="138"/>
        <v>2.3287804670911902</v>
      </c>
      <c r="Y319" s="1891">
        <f t="shared" si="139"/>
        <v>0.47465081999999997</v>
      </c>
      <c r="Z319" s="50">
        <v>0</v>
      </c>
      <c r="AA319" s="50">
        <v>0</v>
      </c>
      <c r="AB319" s="48">
        <v>0</v>
      </c>
      <c r="AC319" s="48">
        <v>10.461400103743701</v>
      </c>
      <c r="AD319" s="48">
        <v>10.461400103743701</v>
      </c>
      <c r="AE319" s="45" t="s">
        <v>4517</v>
      </c>
      <c r="AF319" s="51" t="s">
        <v>4745</v>
      </c>
      <c r="AG319" s="42"/>
      <c r="AH319" s="52" t="s">
        <v>4962</v>
      </c>
      <c r="AI319" s="197"/>
      <c r="AJ319" s="2578"/>
      <c r="AK319" s="251"/>
      <c r="AL319" s="2578"/>
      <c r="AM319" s="2562"/>
      <c r="AN319" s="2562"/>
      <c r="AO319" s="2562"/>
      <c r="AP319" s="2562"/>
      <c r="AQ319" s="2562"/>
      <c r="AR319" s="2562"/>
      <c r="AS319" s="2562"/>
      <c r="AT319" s="252">
        <f t="shared" si="140"/>
        <v>1</v>
      </c>
      <c r="AU319" s="252">
        <f t="shared" si="141"/>
        <v>0</v>
      </c>
      <c r="AV319" s="252">
        <f t="shared" si="142"/>
        <v>0</v>
      </c>
      <c r="AW319" s="252">
        <f t="shared" si="143"/>
        <v>0</v>
      </c>
      <c r="AX319" s="252">
        <f t="shared" si="144"/>
        <v>0</v>
      </c>
      <c r="AY319" s="252">
        <f t="shared" si="145"/>
        <v>0</v>
      </c>
      <c r="AZ319" s="252">
        <f t="shared" si="146"/>
        <v>0</v>
      </c>
      <c r="BA319" s="237"/>
      <c r="BB319" s="252">
        <f t="shared" si="147"/>
        <v>0</v>
      </c>
      <c r="BC319" s="237"/>
      <c r="BD319" s="237"/>
      <c r="BE319" s="237"/>
      <c r="BF319" s="237"/>
      <c r="BG319" s="237"/>
      <c r="BH319" s="237"/>
      <c r="BI319" s="237"/>
      <c r="BJ319" s="252">
        <f t="shared" si="148"/>
        <v>0</v>
      </c>
      <c r="BK319" s="252">
        <f t="shared" si="149"/>
        <v>0</v>
      </c>
      <c r="BL319" s="252">
        <f t="shared" si="150"/>
        <v>0</v>
      </c>
      <c r="BM319" s="252">
        <f t="shared" si="151"/>
        <v>0</v>
      </c>
      <c r="BN319" s="252">
        <f t="shared" si="152"/>
        <v>0</v>
      </c>
      <c r="BO319" s="252">
        <f t="shared" si="153"/>
        <v>1</v>
      </c>
      <c r="BP319" s="2578"/>
      <c r="BQ319" s="2562"/>
      <c r="BR319" s="2562"/>
      <c r="BS319" s="2585"/>
      <c r="BT319" s="2585"/>
      <c r="BU319" s="2585"/>
    </row>
    <row r="320" spans="1:73" s="22" customFormat="1" ht="15.75" customHeight="1" outlineLevel="1">
      <c r="A320" s="2585"/>
      <c r="B320" s="44" t="s">
        <v>4755</v>
      </c>
      <c r="C320" s="45" t="s">
        <v>50</v>
      </c>
      <c r="D320" s="46" t="s">
        <v>4505</v>
      </c>
      <c r="E320" s="46" t="s">
        <v>4429</v>
      </c>
      <c r="F320" s="45" t="s">
        <v>4459</v>
      </c>
      <c r="G320" s="46" t="s">
        <v>4515</v>
      </c>
      <c r="H320" s="45" t="s">
        <v>4459</v>
      </c>
      <c r="I320" s="45" t="s">
        <v>4433</v>
      </c>
      <c r="J320" s="47" t="s">
        <v>4744</v>
      </c>
      <c r="K320" s="48">
        <v>100</v>
      </c>
      <c r="L320" s="47">
        <v>46074</v>
      </c>
      <c r="M320" s="1913">
        <v>2.8916666666666666</v>
      </c>
      <c r="N320" s="48">
        <v>98.971433000000005</v>
      </c>
      <c r="O320" s="49">
        <v>160.137</v>
      </c>
      <c r="P320" s="49">
        <v>170.09700000000001</v>
      </c>
      <c r="Q320" s="1884">
        <f t="shared" si="154"/>
        <v>463.06282499999998</v>
      </c>
      <c r="R320" s="50">
        <v>4.3499999999999997E-2</v>
      </c>
      <c r="S320" s="1932"/>
      <c r="T320" s="1932"/>
      <c r="U320" s="1932"/>
      <c r="V320" s="1932"/>
      <c r="W320" s="1885">
        <f t="shared" si="137"/>
        <v>0.18446120556414236</v>
      </c>
      <c r="X320" s="1891">
        <f t="shared" si="138"/>
        <v>31.376297682843926</v>
      </c>
      <c r="Y320" s="1891">
        <f t="shared" si="139"/>
        <v>7.3992195000000001</v>
      </c>
      <c r="Z320" s="50">
        <v>0</v>
      </c>
      <c r="AA320" s="50">
        <v>0</v>
      </c>
      <c r="AB320" s="48">
        <v>0</v>
      </c>
      <c r="AC320" s="48">
        <v>91.446663296140215</v>
      </c>
      <c r="AD320" s="48">
        <v>91.446663296140215</v>
      </c>
      <c r="AE320" s="45" t="s">
        <v>4756</v>
      </c>
      <c r="AF320" s="51" t="s">
        <v>4757</v>
      </c>
      <c r="AG320" s="42"/>
      <c r="AH320" s="52" t="s">
        <v>4963</v>
      </c>
      <c r="AI320" s="197"/>
      <c r="AJ320" s="2578"/>
      <c r="AK320" s="251"/>
      <c r="AL320" s="2578"/>
      <c r="AM320" s="2562"/>
      <c r="AN320" s="2562"/>
      <c r="AO320" s="2562"/>
      <c r="AP320" s="2562"/>
      <c r="AQ320" s="2562"/>
      <c r="AR320" s="2562"/>
      <c r="AS320" s="2562"/>
      <c r="AT320" s="252">
        <f t="shared" si="140"/>
        <v>1</v>
      </c>
      <c r="AU320" s="252">
        <f t="shared" si="141"/>
        <v>0</v>
      </c>
      <c r="AV320" s="252">
        <f t="shared" si="142"/>
        <v>0</v>
      </c>
      <c r="AW320" s="252">
        <f t="shared" si="143"/>
        <v>0</v>
      </c>
      <c r="AX320" s="252">
        <f t="shared" si="144"/>
        <v>0</v>
      </c>
      <c r="AY320" s="252">
        <f t="shared" si="145"/>
        <v>0</v>
      </c>
      <c r="AZ320" s="252">
        <f t="shared" si="146"/>
        <v>0</v>
      </c>
      <c r="BA320" s="237"/>
      <c r="BB320" s="252">
        <f t="shared" si="147"/>
        <v>0</v>
      </c>
      <c r="BC320" s="237"/>
      <c r="BD320" s="237"/>
      <c r="BE320" s="237"/>
      <c r="BF320" s="237"/>
      <c r="BG320" s="237"/>
      <c r="BH320" s="237"/>
      <c r="BI320" s="237"/>
      <c r="BJ320" s="252">
        <f t="shared" si="148"/>
        <v>0</v>
      </c>
      <c r="BK320" s="252">
        <f t="shared" si="149"/>
        <v>0</v>
      </c>
      <c r="BL320" s="252">
        <f t="shared" si="150"/>
        <v>0</v>
      </c>
      <c r="BM320" s="252">
        <f t="shared" si="151"/>
        <v>0</v>
      </c>
      <c r="BN320" s="252">
        <f t="shared" si="152"/>
        <v>0</v>
      </c>
      <c r="BO320" s="252">
        <f t="shared" si="153"/>
        <v>1</v>
      </c>
      <c r="BP320" s="2578"/>
      <c r="BQ320" s="2562"/>
      <c r="BR320" s="2562"/>
      <c r="BS320" s="2585"/>
      <c r="BT320" s="2585"/>
      <c r="BU320" s="2585"/>
    </row>
    <row r="321" spans="1:73" s="22" customFormat="1" ht="15.75" customHeight="1" outlineLevel="1">
      <c r="A321" s="2585"/>
      <c r="B321" s="44" t="s">
        <v>4759</v>
      </c>
      <c r="C321" s="45" t="s">
        <v>50</v>
      </c>
      <c r="D321" s="46" t="s">
        <v>4505</v>
      </c>
      <c r="E321" s="46" t="s">
        <v>4429</v>
      </c>
      <c r="F321" s="45" t="s">
        <v>4459</v>
      </c>
      <c r="G321" s="46" t="s">
        <v>4515</v>
      </c>
      <c r="H321" s="45" t="s">
        <v>4459</v>
      </c>
      <c r="I321" s="45" t="s">
        <v>4433</v>
      </c>
      <c r="J321" s="47" t="s">
        <v>4744</v>
      </c>
      <c r="K321" s="48">
        <v>100</v>
      </c>
      <c r="L321" s="47">
        <v>46074</v>
      </c>
      <c r="M321" s="1913">
        <v>2.8916666666666666</v>
      </c>
      <c r="N321" s="48">
        <v>77.975696999999997</v>
      </c>
      <c r="O321" s="49">
        <v>126.166</v>
      </c>
      <c r="P321" s="49">
        <v>134.01300000000001</v>
      </c>
      <c r="Q321" s="1884">
        <f t="shared" si="154"/>
        <v>364.83001666666667</v>
      </c>
      <c r="R321" s="50">
        <v>4.3499999999999997E-2</v>
      </c>
      <c r="S321" s="1932"/>
      <c r="T321" s="1932"/>
      <c r="U321" s="1932"/>
      <c r="V321" s="1932"/>
      <c r="W321" s="1885">
        <f t="shared" si="137"/>
        <v>0.18446120556414236</v>
      </c>
      <c r="X321" s="1891">
        <f t="shared" si="138"/>
        <v>24.720199541267412</v>
      </c>
      <c r="Y321" s="1891">
        <f t="shared" si="139"/>
        <v>5.8295655000000002</v>
      </c>
      <c r="Z321" s="50">
        <v>0</v>
      </c>
      <c r="AA321" s="50">
        <v>0</v>
      </c>
      <c r="AB321" s="48">
        <v>0</v>
      </c>
      <c r="AC321" s="48">
        <v>72.04722690656665</v>
      </c>
      <c r="AD321" s="48">
        <v>72.04722690656665</v>
      </c>
      <c r="AE321" s="45" t="s">
        <v>4517</v>
      </c>
      <c r="AF321" s="51" t="s">
        <v>4745</v>
      </c>
      <c r="AG321" s="42"/>
      <c r="AH321" s="52" t="s">
        <v>4964</v>
      </c>
      <c r="AI321" s="197"/>
      <c r="AJ321" s="2578"/>
      <c r="AK321" s="251"/>
      <c r="AL321" s="2578"/>
      <c r="AM321" s="2562"/>
      <c r="AN321" s="2562"/>
      <c r="AO321" s="2562"/>
      <c r="AP321" s="2562"/>
      <c r="AQ321" s="2562"/>
      <c r="AR321" s="2562"/>
      <c r="AS321" s="2562"/>
      <c r="AT321" s="252">
        <f t="shared" si="140"/>
        <v>1</v>
      </c>
      <c r="AU321" s="252">
        <f t="shared" si="141"/>
        <v>0</v>
      </c>
      <c r="AV321" s="252">
        <f t="shared" si="142"/>
        <v>0</v>
      </c>
      <c r="AW321" s="252">
        <f t="shared" si="143"/>
        <v>0</v>
      </c>
      <c r="AX321" s="252">
        <f t="shared" si="144"/>
        <v>0</v>
      </c>
      <c r="AY321" s="252">
        <f t="shared" si="145"/>
        <v>0</v>
      </c>
      <c r="AZ321" s="252">
        <f t="shared" si="146"/>
        <v>0</v>
      </c>
      <c r="BA321" s="237"/>
      <c r="BB321" s="252">
        <f t="shared" si="147"/>
        <v>0</v>
      </c>
      <c r="BC321" s="237"/>
      <c r="BD321" s="237"/>
      <c r="BE321" s="237"/>
      <c r="BF321" s="237"/>
      <c r="BG321" s="237"/>
      <c r="BH321" s="237"/>
      <c r="BI321" s="237"/>
      <c r="BJ321" s="252">
        <f t="shared" si="148"/>
        <v>0</v>
      </c>
      <c r="BK321" s="252">
        <f t="shared" si="149"/>
        <v>0</v>
      </c>
      <c r="BL321" s="252">
        <f t="shared" si="150"/>
        <v>0</v>
      </c>
      <c r="BM321" s="252">
        <f t="shared" si="151"/>
        <v>0</v>
      </c>
      <c r="BN321" s="252">
        <f t="shared" si="152"/>
        <v>0</v>
      </c>
      <c r="BO321" s="252">
        <f t="shared" si="153"/>
        <v>1</v>
      </c>
      <c r="BP321" s="2578"/>
      <c r="BQ321" s="2562"/>
      <c r="BR321" s="2562"/>
      <c r="BS321" s="2585"/>
      <c r="BT321" s="2585"/>
      <c r="BU321" s="2585"/>
    </row>
    <row r="322" spans="1:73" s="22" customFormat="1" ht="15.75" customHeight="1" outlineLevel="1">
      <c r="A322" s="2585"/>
      <c r="B322" s="44" t="s">
        <v>4761</v>
      </c>
      <c r="C322" s="45" t="s">
        <v>50</v>
      </c>
      <c r="D322" s="46" t="s">
        <v>4505</v>
      </c>
      <c r="E322" s="46" t="s">
        <v>4429</v>
      </c>
      <c r="F322" s="45" t="s">
        <v>4459</v>
      </c>
      <c r="G322" s="46" t="s">
        <v>4515</v>
      </c>
      <c r="H322" s="45" t="s">
        <v>4459</v>
      </c>
      <c r="I322" s="45" t="s">
        <v>4433</v>
      </c>
      <c r="J322" s="47" t="s">
        <v>4744</v>
      </c>
      <c r="K322" s="48">
        <v>100</v>
      </c>
      <c r="L322" s="47">
        <v>50457</v>
      </c>
      <c r="M322" s="1913">
        <v>14.891666666666667</v>
      </c>
      <c r="N322" s="48">
        <v>4.8936000000000002</v>
      </c>
      <c r="O322" s="49">
        <v>4.8940000000000001</v>
      </c>
      <c r="P322" s="49">
        <v>8.41</v>
      </c>
      <c r="Q322" s="1884">
        <f t="shared" si="154"/>
        <v>72.87981666666667</v>
      </c>
      <c r="R322" s="50">
        <v>1.4630000000000001E-2</v>
      </c>
      <c r="S322" s="1932"/>
      <c r="T322" s="1932"/>
      <c r="U322" s="1932"/>
      <c r="V322" s="1932"/>
      <c r="W322" s="1885">
        <f t="shared" si="137"/>
        <v>0.15169130139103548</v>
      </c>
      <c r="X322" s="1891">
        <f t="shared" si="138"/>
        <v>1.2757238446986083</v>
      </c>
      <c r="Y322" s="1891">
        <f t="shared" si="139"/>
        <v>0.1230383</v>
      </c>
      <c r="Z322" s="50">
        <v>0</v>
      </c>
      <c r="AA322" s="50">
        <v>0</v>
      </c>
      <c r="AB322" s="48">
        <v>0</v>
      </c>
      <c r="AC322" s="48">
        <v>3.6796133269616518</v>
      </c>
      <c r="AD322" s="48">
        <v>3.6796133269616518</v>
      </c>
      <c r="AE322" s="45" t="s">
        <v>4517</v>
      </c>
      <c r="AF322" s="51" t="s">
        <v>4965</v>
      </c>
      <c r="AG322" s="42"/>
      <c r="AH322" s="52" t="s">
        <v>4966</v>
      </c>
      <c r="AI322" s="197"/>
      <c r="AJ322" s="2578"/>
      <c r="AK322" s="251"/>
      <c r="AL322" s="2578"/>
      <c r="AM322" s="2562"/>
      <c r="AN322" s="2562"/>
      <c r="AO322" s="2562"/>
      <c r="AP322" s="2562"/>
      <c r="AQ322" s="2562"/>
      <c r="AR322" s="2562"/>
      <c r="AS322" s="2562"/>
      <c r="AT322" s="252">
        <f t="shared" si="140"/>
        <v>1</v>
      </c>
      <c r="AU322" s="252">
        <f t="shared" si="141"/>
        <v>0</v>
      </c>
      <c r="AV322" s="252">
        <f t="shared" si="142"/>
        <v>0</v>
      </c>
      <c r="AW322" s="252">
        <f t="shared" si="143"/>
        <v>0</v>
      </c>
      <c r="AX322" s="252">
        <f t="shared" si="144"/>
        <v>0</v>
      </c>
      <c r="AY322" s="252">
        <f t="shared" si="145"/>
        <v>0</v>
      </c>
      <c r="AZ322" s="252">
        <f t="shared" si="146"/>
        <v>0</v>
      </c>
      <c r="BA322" s="237"/>
      <c r="BB322" s="252">
        <f t="shared" si="147"/>
        <v>0</v>
      </c>
      <c r="BC322" s="237"/>
      <c r="BD322" s="237"/>
      <c r="BE322" s="237"/>
      <c r="BF322" s="237"/>
      <c r="BG322" s="237"/>
      <c r="BH322" s="237"/>
      <c r="BI322" s="237"/>
      <c r="BJ322" s="252">
        <f t="shared" si="148"/>
        <v>0</v>
      </c>
      <c r="BK322" s="252">
        <f t="shared" si="149"/>
        <v>0</v>
      </c>
      <c r="BL322" s="252">
        <f t="shared" si="150"/>
        <v>0</v>
      </c>
      <c r="BM322" s="252">
        <f t="shared" si="151"/>
        <v>0</v>
      </c>
      <c r="BN322" s="252">
        <f t="shared" si="152"/>
        <v>0</v>
      </c>
      <c r="BO322" s="252">
        <f t="shared" si="153"/>
        <v>1</v>
      </c>
      <c r="BP322" s="2578"/>
      <c r="BQ322" s="2562"/>
      <c r="BR322" s="2562"/>
      <c r="BS322" s="2585"/>
      <c r="BT322" s="2585"/>
      <c r="BU322" s="2585"/>
    </row>
    <row r="323" spans="1:73" s="22" customFormat="1" ht="15.75" customHeight="1" outlineLevel="1">
      <c r="A323" s="2585"/>
      <c r="B323" s="44" t="s">
        <v>4763</v>
      </c>
      <c r="C323" s="45" t="s">
        <v>50</v>
      </c>
      <c r="D323" s="46" t="s">
        <v>4505</v>
      </c>
      <c r="E323" s="46" t="s">
        <v>4429</v>
      </c>
      <c r="F323" s="45" t="s">
        <v>4459</v>
      </c>
      <c r="G323" s="46" t="s">
        <v>4515</v>
      </c>
      <c r="H323" s="45" t="s">
        <v>4459</v>
      </c>
      <c r="I323" s="45" t="s">
        <v>4433</v>
      </c>
      <c r="J323" s="47" t="s">
        <v>4744</v>
      </c>
      <c r="K323" s="48">
        <v>100</v>
      </c>
      <c r="L323" s="47">
        <v>50457</v>
      </c>
      <c r="M323" s="1913">
        <v>14.891666666666667</v>
      </c>
      <c r="N323" s="48">
        <v>10.268000000000001</v>
      </c>
      <c r="O323" s="49">
        <v>10.268000000000001</v>
      </c>
      <c r="P323" s="49">
        <v>17.646999999999998</v>
      </c>
      <c r="Q323" s="1884">
        <f t="shared" si="154"/>
        <v>152.90763333333337</v>
      </c>
      <c r="R323" s="50">
        <v>1.78E-2</v>
      </c>
      <c r="S323" s="1932"/>
      <c r="T323" s="1932"/>
      <c r="U323" s="1932"/>
      <c r="V323" s="1932"/>
      <c r="W323" s="1885">
        <f t="shared" si="137"/>
        <v>0.15528952086553338</v>
      </c>
      <c r="X323" s="1891">
        <f t="shared" si="138"/>
        <v>2.7403941747140674</v>
      </c>
      <c r="Y323" s="1891">
        <f t="shared" si="139"/>
        <v>0.31411659999999997</v>
      </c>
      <c r="Z323" s="50">
        <v>0</v>
      </c>
      <c r="AA323" s="50">
        <v>0</v>
      </c>
      <c r="AB323" s="48">
        <v>0</v>
      </c>
      <c r="AC323" s="48">
        <v>8.5118412318319479</v>
      </c>
      <c r="AD323" s="48">
        <v>8.5118412318319479</v>
      </c>
      <c r="AE323" s="45" t="s">
        <v>4517</v>
      </c>
      <c r="AF323" s="51" t="s">
        <v>4967</v>
      </c>
      <c r="AG323" s="42"/>
      <c r="AH323" s="52" t="s">
        <v>4968</v>
      </c>
      <c r="AI323" s="197"/>
      <c r="AJ323" s="2578"/>
      <c r="AK323" s="251"/>
      <c r="AL323" s="2578"/>
      <c r="AM323" s="2562"/>
      <c r="AN323" s="2562"/>
      <c r="AO323" s="2562"/>
      <c r="AP323" s="2562"/>
      <c r="AQ323" s="2562"/>
      <c r="AR323" s="2562"/>
      <c r="AS323" s="2562"/>
      <c r="AT323" s="252">
        <f t="shared" si="140"/>
        <v>1</v>
      </c>
      <c r="AU323" s="252">
        <f t="shared" si="141"/>
        <v>0</v>
      </c>
      <c r="AV323" s="252">
        <f t="shared" si="142"/>
        <v>0</v>
      </c>
      <c r="AW323" s="252">
        <f t="shared" si="143"/>
        <v>0</v>
      </c>
      <c r="AX323" s="252">
        <f t="shared" si="144"/>
        <v>0</v>
      </c>
      <c r="AY323" s="252">
        <f t="shared" si="145"/>
        <v>0</v>
      </c>
      <c r="AZ323" s="252">
        <f t="shared" si="146"/>
        <v>0</v>
      </c>
      <c r="BA323" s="237"/>
      <c r="BB323" s="252">
        <f t="shared" si="147"/>
        <v>0</v>
      </c>
      <c r="BC323" s="237"/>
      <c r="BD323" s="237"/>
      <c r="BE323" s="237"/>
      <c r="BF323" s="237"/>
      <c r="BG323" s="237"/>
      <c r="BH323" s="237"/>
      <c r="BI323" s="237"/>
      <c r="BJ323" s="252">
        <f t="shared" si="148"/>
        <v>0</v>
      </c>
      <c r="BK323" s="252">
        <f t="shared" si="149"/>
        <v>0</v>
      </c>
      <c r="BL323" s="252">
        <f t="shared" si="150"/>
        <v>0</v>
      </c>
      <c r="BM323" s="252">
        <f t="shared" si="151"/>
        <v>0</v>
      </c>
      <c r="BN323" s="252">
        <f t="shared" si="152"/>
        <v>0</v>
      </c>
      <c r="BO323" s="252">
        <f t="shared" si="153"/>
        <v>1</v>
      </c>
      <c r="BP323" s="2578"/>
      <c r="BQ323" s="2562"/>
      <c r="BR323" s="2562"/>
      <c r="BS323" s="2585"/>
      <c r="BT323" s="2585"/>
      <c r="BU323" s="2585"/>
    </row>
    <row r="324" spans="1:73" s="22" customFormat="1" ht="15.75" customHeight="1" outlineLevel="1">
      <c r="A324" s="2585"/>
      <c r="B324" s="44" t="s">
        <v>4765</v>
      </c>
      <c r="C324" s="45" t="s">
        <v>50</v>
      </c>
      <c r="D324" s="46" t="s">
        <v>4505</v>
      </c>
      <c r="E324" s="46" t="s">
        <v>4429</v>
      </c>
      <c r="F324" s="45" t="s">
        <v>4459</v>
      </c>
      <c r="G324" s="46" t="s">
        <v>4515</v>
      </c>
      <c r="H324" s="45" t="s">
        <v>4459</v>
      </c>
      <c r="I324" s="45" t="s">
        <v>4433</v>
      </c>
      <c r="J324" s="47" t="s">
        <v>4744</v>
      </c>
      <c r="K324" s="48">
        <v>100</v>
      </c>
      <c r="L324" s="47">
        <v>50457</v>
      </c>
      <c r="M324" s="1913">
        <v>14.891666666666667</v>
      </c>
      <c r="N324" s="48">
        <v>42.90164</v>
      </c>
      <c r="O324" s="49">
        <v>42.902000000000001</v>
      </c>
      <c r="P324" s="49">
        <v>73.733000000000004</v>
      </c>
      <c r="Q324" s="1884">
        <f t="shared" si="154"/>
        <v>638.88228333333336</v>
      </c>
      <c r="R324" s="50">
        <v>1.2370000000000001E-2</v>
      </c>
      <c r="S324" s="1932"/>
      <c r="T324" s="1932"/>
      <c r="U324" s="1932"/>
      <c r="V324" s="1932"/>
      <c r="W324" s="1885">
        <f t="shared" si="137"/>
        <v>0.14912600927357023</v>
      </c>
      <c r="X324" s="1891">
        <f t="shared" si="138"/>
        <v>10.995508041768154</v>
      </c>
      <c r="Y324" s="1891">
        <f t="shared" si="139"/>
        <v>0.91207721000000008</v>
      </c>
      <c r="Z324" s="50">
        <v>0</v>
      </c>
      <c r="AA324" s="50">
        <v>0</v>
      </c>
      <c r="AB324" s="48">
        <v>0</v>
      </c>
      <c r="AC324" s="48">
        <v>29.903018958590923</v>
      </c>
      <c r="AD324" s="48">
        <v>29.903018958590923</v>
      </c>
      <c r="AE324" s="45" t="s">
        <v>4517</v>
      </c>
      <c r="AF324" s="51" t="s">
        <v>4967</v>
      </c>
      <c r="AG324" s="42"/>
      <c r="AH324" s="52" t="s">
        <v>4969</v>
      </c>
      <c r="AI324" s="197"/>
      <c r="AJ324" s="2578"/>
      <c r="AK324" s="251"/>
      <c r="AL324" s="2578"/>
      <c r="AM324" s="2562"/>
      <c r="AN324" s="2562"/>
      <c r="AO324" s="2562"/>
      <c r="AP324" s="2562"/>
      <c r="AQ324" s="2562"/>
      <c r="AR324" s="2562"/>
      <c r="AS324" s="2562"/>
      <c r="AT324" s="252">
        <f t="shared" si="140"/>
        <v>1</v>
      </c>
      <c r="AU324" s="252">
        <f t="shared" si="141"/>
        <v>0</v>
      </c>
      <c r="AV324" s="252">
        <f t="shared" si="142"/>
        <v>0</v>
      </c>
      <c r="AW324" s="252">
        <f t="shared" si="143"/>
        <v>0</v>
      </c>
      <c r="AX324" s="252">
        <f t="shared" si="144"/>
        <v>0</v>
      </c>
      <c r="AY324" s="252">
        <f t="shared" si="145"/>
        <v>0</v>
      </c>
      <c r="AZ324" s="252">
        <f t="shared" si="146"/>
        <v>0</v>
      </c>
      <c r="BA324" s="237"/>
      <c r="BB324" s="252">
        <f t="shared" si="147"/>
        <v>0</v>
      </c>
      <c r="BC324" s="237"/>
      <c r="BD324" s="237"/>
      <c r="BE324" s="237"/>
      <c r="BF324" s="237"/>
      <c r="BG324" s="237"/>
      <c r="BH324" s="237"/>
      <c r="BI324" s="237"/>
      <c r="BJ324" s="252">
        <f t="shared" si="148"/>
        <v>0</v>
      </c>
      <c r="BK324" s="252">
        <f t="shared" si="149"/>
        <v>0</v>
      </c>
      <c r="BL324" s="252">
        <f t="shared" si="150"/>
        <v>0</v>
      </c>
      <c r="BM324" s="252">
        <f t="shared" si="151"/>
        <v>0</v>
      </c>
      <c r="BN324" s="252">
        <f t="shared" si="152"/>
        <v>0</v>
      </c>
      <c r="BO324" s="252">
        <f t="shared" si="153"/>
        <v>1</v>
      </c>
      <c r="BP324" s="2578"/>
      <c r="BQ324" s="2562"/>
      <c r="BR324" s="2562"/>
      <c r="BS324" s="2585"/>
      <c r="BT324" s="2585"/>
      <c r="BU324" s="2585"/>
    </row>
    <row r="325" spans="1:73" s="22" customFormat="1" ht="15.75" customHeight="1" outlineLevel="1">
      <c r="A325" s="2585"/>
      <c r="B325" s="44" t="s">
        <v>4767</v>
      </c>
      <c r="C325" s="45" t="s">
        <v>50</v>
      </c>
      <c r="D325" s="46" t="s">
        <v>4505</v>
      </c>
      <c r="E325" s="46" t="s">
        <v>4429</v>
      </c>
      <c r="F325" s="45" t="s">
        <v>4459</v>
      </c>
      <c r="G325" s="46" t="s">
        <v>4515</v>
      </c>
      <c r="H325" s="45" t="s">
        <v>4459</v>
      </c>
      <c r="I325" s="45" t="s">
        <v>4433</v>
      </c>
      <c r="J325" s="47" t="s">
        <v>4744</v>
      </c>
      <c r="K325" s="48">
        <v>100</v>
      </c>
      <c r="L325" s="47">
        <v>50457</v>
      </c>
      <c r="M325" s="1913">
        <v>14.891666666666667</v>
      </c>
      <c r="N325" s="48">
        <v>1.2829120000000001</v>
      </c>
      <c r="O325" s="49">
        <v>1.575</v>
      </c>
      <c r="P325" s="49">
        <v>2.2050000000000001</v>
      </c>
      <c r="Q325" s="1884">
        <f t="shared" si="154"/>
        <v>23.454375000000002</v>
      </c>
      <c r="R325" s="50">
        <v>1.4810000000000002E-2</v>
      </c>
      <c r="S325" s="1932"/>
      <c r="T325" s="1932"/>
      <c r="U325" s="1932"/>
      <c r="V325" s="1932"/>
      <c r="W325" s="1885">
        <f t="shared" si="137"/>
        <v>0.15189561669242657</v>
      </c>
      <c r="X325" s="1891">
        <f t="shared" si="138"/>
        <v>0.33492983480680061</v>
      </c>
      <c r="Y325" s="1891">
        <f t="shared" si="139"/>
        <v>3.2656050000000006E-2</v>
      </c>
      <c r="Z325" s="50">
        <v>0</v>
      </c>
      <c r="AA325" s="50">
        <v>0</v>
      </c>
      <c r="AB325" s="48">
        <v>0</v>
      </c>
      <c r="AC325" s="48">
        <v>1.3074188931726394</v>
      </c>
      <c r="AD325" s="48">
        <v>1.3074188931726394</v>
      </c>
      <c r="AE325" s="45" t="s">
        <v>4517</v>
      </c>
      <c r="AF325" s="51" t="s">
        <v>4967</v>
      </c>
      <c r="AG325" s="42"/>
      <c r="AH325" s="52" t="s">
        <v>4970</v>
      </c>
      <c r="AI325" s="197"/>
      <c r="AJ325" s="2578"/>
      <c r="AK325" s="251"/>
      <c r="AL325" s="2578"/>
      <c r="AM325" s="2562"/>
      <c r="AN325" s="2562"/>
      <c r="AO325" s="2562"/>
      <c r="AP325" s="2562"/>
      <c r="AQ325" s="2562"/>
      <c r="AR325" s="2562"/>
      <c r="AS325" s="2562"/>
      <c r="AT325" s="252">
        <f t="shared" si="140"/>
        <v>1</v>
      </c>
      <c r="AU325" s="252">
        <f t="shared" si="141"/>
        <v>0</v>
      </c>
      <c r="AV325" s="252">
        <f t="shared" si="142"/>
        <v>0</v>
      </c>
      <c r="AW325" s="252">
        <f t="shared" si="143"/>
        <v>0</v>
      </c>
      <c r="AX325" s="252">
        <f t="shared" si="144"/>
        <v>0</v>
      </c>
      <c r="AY325" s="252">
        <f t="shared" si="145"/>
        <v>0</v>
      </c>
      <c r="AZ325" s="252">
        <f t="shared" si="146"/>
        <v>0</v>
      </c>
      <c r="BA325" s="237"/>
      <c r="BB325" s="252">
        <f t="shared" si="147"/>
        <v>0</v>
      </c>
      <c r="BC325" s="237"/>
      <c r="BD325" s="237"/>
      <c r="BE325" s="237"/>
      <c r="BF325" s="237"/>
      <c r="BG325" s="237"/>
      <c r="BH325" s="237"/>
      <c r="BI325" s="237"/>
      <c r="BJ325" s="252">
        <f t="shared" si="148"/>
        <v>0</v>
      </c>
      <c r="BK325" s="252">
        <f t="shared" si="149"/>
        <v>0</v>
      </c>
      <c r="BL325" s="252">
        <f t="shared" si="150"/>
        <v>0</v>
      </c>
      <c r="BM325" s="252">
        <f t="shared" si="151"/>
        <v>0</v>
      </c>
      <c r="BN325" s="252">
        <f t="shared" si="152"/>
        <v>0</v>
      </c>
      <c r="BO325" s="252">
        <f t="shared" si="153"/>
        <v>1</v>
      </c>
      <c r="BP325" s="2578"/>
      <c r="BQ325" s="2562"/>
      <c r="BR325" s="2562"/>
      <c r="BS325" s="2585"/>
      <c r="BT325" s="2585"/>
      <c r="BU325" s="2585"/>
    </row>
    <row r="326" spans="1:73" s="22" customFormat="1" ht="15.75" customHeight="1" outlineLevel="1">
      <c r="A326" s="2585"/>
      <c r="B326" s="44" t="s">
        <v>4769</v>
      </c>
      <c r="C326" s="45" t="s">
        <v>50</v>
      </c>
      <c r="D326" s="46" t="s">
        <v>4505</v>
      </c>
      <c r="E326" s="46" t="s">
        <v>4429</v>
      </c>
      <c r="F326" s="45" t="s">
        <v>4459</v>
      </c>
      <c r="G326" s="46" t="s">
        <v>4515</v>
      </c>
      <c r="H326" s="45" t="s">
        <v>4459</v>
      </c>
      <c r="I326" s="45" t="s">
        <v>4433</v>
      </c>
      <c r="J326" s="47" t="s">
        <v>4744</v>
      </c>
      <c r="K326" s="48">
        <v>100</v>
      </c>
      <c r="L326" s="47">
        <v>50457</v>
      </c>
      <c r="M326" s="1913">
        <v>14.891666666666667</v>
      </c>
      <c r="N326" s="48">
        <v>7.1959999999999997</v>
      </c>
      <c r="O326" s="49">
        <v>8.8360000000000003</v>
      </c>
      <c r="P326" s="49">
        <v>12.367000000000001</v>
      </c>
      <c r="Q326" s="1884">
        <f t="shared" si="154"/>
        <v>131.58276666666669</v>
      </c>
      <c r="R326" s="50">
        <v>1.5510000000000001E-2</v>
      </c>
      <c r="S326" s="1932"/>
      <c r="T326" s="1932"/>
      <c r="U326" s="1932"/>
      <c r="V326" s="1932"/>
      <c r="W326" s="1885">
        <f t="shared" si="137"/>
        <v>0.15269017619783609</v>
      </c>
      <c r="X326" s="1891">
        <f t="shared" si="138"/>
        <v>1.888319409038639</v>
      </c>
      <c r="Y326" s="1891">
        <f t="shared" si="139"/>
        <v>0.19181217000000003</v>
      </c>
      <c r="Z326" s="50">
        <v>0</v>
      </c>
      <c r="AA326" s="50">
        <v>0</v>
      </c>
      <c r="AB326" s="48">
        <v>0</v>
      </c>
      <c r="AC326" s="48">
        <v>7.4559796869919897</v>
      </c>
      <c r="AD326" s="48">
        <v>7.4559796869919897</v>
      </c>
      <c r="AE326" s="45" t="s">
        <v>4517</v>
      </c>
      <c r="AF326" s="51" t="s">
        <v>4967</v>
      </c>
      <c r="AG326" s="42"/>
      <c r="AH326" s="52" t="s">
        <v>4971</v>
      </c>
      <c r="AI326" s="197"/>
      <c r="AJ326" s="2578"/>
      <c r="AK326" s="251"/>
      <c r="AL326" s="2578"/>
      <c r="AM326" s="2562"/>
      <c r="AN326" s="2562"/>
      <c r="AO326" s="2562"/>
      <c r="AP326" s="2562"/>
      <c r="AQ326" s="2562"/>
      <c r="AR326" s="2562"/>
      <c r="AS326" s="2562"/>
      <c r="AT326" s="252">
        <f t="shared" si="140"/>
        <v>1</v>
      </c>
      <c r="AU326" s="252">
        <f t="shared" si="141"/>
        <v>0</v>
      </c>
      <c r="AV326" s="252">
        <f t="shared" si="142"/>
        <v>0</v>
      </c>
      <c r="AW326" s="252">
        <f t="shared" si="143"/>
        <v>0</v>
      </c>
      <c r="AX326" s="252">
        <f t="shared" si="144"/>
        <v>0</v>
      </c>
      <c r="AY326" s="252">
        <f t="shared" si="145"/>
        <v>0</v>
      </c>
      <c r="AZ326" s="252">
        <f t="shared" si="146"/>
        <v>0</v>
      </c>
      <c r="BA326" s="237"/>
      <c r="BB326" s="252">
        <f t="shared" si="147"/>
        <v>0</v>
      </c>
      <c r="BC326" s="237"/>
      <c r="BD326" s="237"/>
      <c r="BE326" s="237"/>
      <c r="BF326" s="237"/>
      <c r="BG326" s="237"/>
      <c r="BH326" s="237"/>
      <c r="BI326" s="237"/>
      <c r="BJ326" s="252">
        <f t="shared" si="148"/>
        <v>0</v>
      </c>
      <c r="BK326" s="252">
        <f t="shared" si="149"/>
        <v>0</v>
      </c>
      <c r="BL326" s="252">
        <f t="shared" si="150"/>
        <v>0</v>
      </c>
      <c r="BM326" s="252">
        <f t="shared" si="151"/>
        <v>0</v>
      </c>
      <c r="BN326" s="252">
        <f t="shared" si="152"/>
        <v>0</v>
      </c>
      <c r="BO326" s="252">
        <f t="shared" si="153"/>
        <v>1</v>
      </c>
      <c r="BP326" s="2578"/>
      <c r="BQ326" s="2562"/>
      <c r="BR326" s="2562"/>
      <c r="BS326" s="2585"/>
      <c r="BT326" s="2585"/>
      <c r="BU326" s="2585"/>
    </row>
    <row r="327" spans="1:73" s="22" customFormat="1" ht="15.75" customHeight="1" outlineLevel="1">
      <c r="A327" s="2585"/>
      <c r="B327" s="44" t="s">
        <v>4771</v>
      </c>
      <c r="C327" s="45" t="s">
        <v>50</v>
      </c>
      <c r="D327" s="46" t="s">
        <v>4505</v>
      </c>
      <c r="E327" s="46" t="s">
        <v>4429</v>
      </c>
      <c r="F327" s="45" t="s">
        <v>4459</v>
      </c>
      <c r="G327" s="46" t="s">
        <v>4515</v>
      </c>
      <c r="H327" s="45" t="s">
        <v>4459</v>
      </c>
      <c r="I327" s="45" t="s">
        <v>4433</v>
      </c>
      <c r="J327" s="47" t="s">
        <v>4744</v>
      </c>
      <c r="K327" s="48">
        <v>100</v>
      </c>
      <c r="L327" s="47">
        <v>50457</v>
      </c>
      <c r="M327" s="1913">
        <v>14.891666666666667</v>
      </c>
      <c r="N327" s="48">
        <v>8.0470299999999995</v>
      </c>
      <c r="O327" s="49">
        <v>9.8810000000000002</v>
      </c>
      <c r="P327" s="49">
        <v>13.83</v>
      </c>
      <c r="Q327" s="1884">
        <f t="shared" si="154"/>
        <v>147.14455833333335</v>
      </c>
      <c r="R327" s="50">
        <v>1.6109999999999999E-2</v>
      </c>
      <c r="S327" s="1932"/>
      <c r="T327" s="1932"/>
      <c r="U327" s="1932"/>
      <c r="V327" s="1932"/>
      <c r="W327" s="1885">
        <f t="shared" si="137"/>
        <v>0.15337122720247298</v>
      </c>
      <c r="X327" s="1891">
        <f t="shared" si="138"/>
        <v>2.1211240722102014</v>
      </c>
      <c r="Y327" s="1891">
        <f t="shared" si="139"/>
        <v>0.22280129999999998</v>
      </c>
      <c r="Z327" s="50">
        <v>0</v>
      </c>
      <c r="AA327" s="50">
        <v>0</v>
      </c>
      <c r="AB327" s="48">
        <v>0</v>
      </c>
      <c r="AC327" s="48">
        <v>8.4551939886777117</v>
      </c>
      <c r="AD327" s="48">
        <v>8.4551939886777117</v>
      </c>
      <c r="AE327" s="45" t="s">
        <v>4517</v>
      </c>
      <c r="AF327" s="51" t="s">
        <v>4967</v>
      </c>
      <c r="AG327" s="42"/>
      <c r="AH327" s="52" t="s">
        <v>4972</v>
      </c>
      <c r="AI327" s="197"/>
      <c r="AJ327" s="2578"/>
      <c r="AK327" s="251"/>
      <c r="AL327" s="2578"/>
      <c r="AM327" s="2562"/>
      <c r="AN327" s="2562"/>
      <c r="AO327" s="2562"/>
      <c r="AP327" s="2562"/>
      <c r="AQ327" s="2562"/>
      <c r="AR327" s="2562"/>
      <c r="AS327" s="2562"/>
      <c r="AT327" s="252">
        <f t="shared" si="140"/>
        <v>1</v>
      </c>
      <c r="AU327" s="252">
        <f t="shared" si="141"/>
        <v>0</v>
      </c>
      <c r="AV327" s="252">
        <f t="shared" si="142"/>
        <v>0</v>
      </c>
      <c r="AW327" s="252">
        <f t="shared" si="143"/>
        <v>0</v>
      </c>
      <c r="AX327" s="252">
        <f t="shared" si="144"/>
        <v>0</v>
      </c>
      <c r="AY327" s="252">
        <f t="shared" si="145"/>
        <v>0</v>
      </c>
      <c r="AZ327" s="252">
        <f t="shared" si="146"/>
        <v>0</v>
      </c>
      <c r="BA327" s="237"/>
      <c r="BB327" s="252">
        <f t="shared" si="147"/>
        <v>0</v>
      </c>
      <c r="BC327" s="237"/>
      <c r="BD327" s="237"/>
      <c r="BE327" s="237"/>
      <c r="BF327" s="237"/>
      <c r="BG327" s="237"/>
      <c r="BH327" s="237"/>
      <c r="BI327" s="237"/>
      <c r="BJ327" s="252">
        <f t="shared" si="148"/>
        <v>0</v>
      </c>
      <c r="BK327" s="252">
        <f t="shared" si="149"/>
        <v>0</v>
      </c>
      <c r="BL327" s="252">
        <f t="shared" si="150"/>
        <v>0</v>
      </c>
      <c r="BM327" s="252">
        <f t="shared" si="151"/>
        <v>0</v>
      </c>
      <c r="BN327" s="252">
        <f t="shared" si="152"/>
        <v>0</v>
      </c>
      <c r="BO327" s="252">
        <f t="shared" si="153"/>
        <v>1</v>
      </c>
      <c r="BP327" s="2578"/>
      <c r="BQ327" s="2562"/>
      <c r="BR327" s="2562"/>
      <c r="BS327" s="2585"/>
      <c r="BT327" s="2585"/>
      <c r="BU327" s="2585"/>
    </row>
    <row r="328" spans="1:73" s="22" customFormat="1" ht="15.75" customHeight="1" outlineLevel="1">
      <c r="A328" s="2585"/>
      <c r="B328" s="44" t="s">
        <v>4773</v>
      </c>
      <c r="C328" s="45" t="s">
        <v>50</v>
      </c>
      <c r="D328" s="46" t="s">
        <v>4505</v>
      </c>
      <c r="E328" s="46" t="s">
        <v>4429</v>
      </c>
      <c r="F328" s="45" t="s">
        <v>4459</v>
      </c>
      <c r="G328" s="46" t="s">
        <v>4515</v>
      </c>
      <c r="H328" s="45" t="s">
        <v>4459</v>
      </c>
      <c r="I328" s="45" t="s">
        <v>4433</v>
      </c>
      <c r="J328" s="47" t="s">
        <v>4744</v>
      </c>
      <c r="K328" s="48">
        <v>100</v>
      </c>
      <c r="L328" s="47">
        <v>50457</v>
      </c>
      <c r="M328" s="1913">
        <v>14.891666666666667</v>
      </c>
      <c r="N328" s="48">
        <v>28.459337999999999</v>
      </c>
      <c r="O328" s="49">
        <v>34.944000000000003</v>
      </c>
      <c r="P328" s="49">
        <v>48.911999999999999</v>
      </c>
      <c r="Q328" s="1884">
        <f t="shared" si="154"/>
        <v>520.37440000000004</v>
      </c>
      <c r="R328" s="50">
        <v>1.291E-2</v>
      </c>
      <c r="S328" s="1932"/>
      <c r="T328" s="1932"/>
      <c r="U328" s="1932"/>
      <c r="V328" s="1932"/>
      <c r="W328" s="1885">
        <f t="shared" si="137"/>
        <v>0.14973895517774349</v>
      </c>
      <c r="X328" s="1891">
        <f t="shared" si="138"/>
        <v>7.3240317756537898</v>
      </c>
      <c r="Y328" s="1891">
        <f t="shared" si="139"/>
        <v>0.63145392</v>
      </c>
      <c r="Z328" s="50">
        <v>0</v>
      </c>
      <c r="AA328" s="50">
        <v>0</v>
      </c>
      <c r="AB328" s="48">
        <v>0</v>
      </c>
      <c r="AC328" s="48">
        <v>27.687942784082534</v>
      </c>
      <c r="AD328" s="48">
        <v>27.687942784082534</v>
      </c>
      <c r="AE328" s="45" t="s">
        <v>4517</v>
      </c>
      <c r="AF328" s="51" t="s">
        <v>4967</v>
      </c>
      <c r="AG328" s="42"/>
      <c r="AH328" s="52" t="s">
        <v>4973</v>
      </c>
      <c r="AI328" s="197"/>
      <c r="AJ328" s="2578"/>
      <c r="AK328" s="251"/>
      <c r="AL328" s="2578"/>
      <c r="AM328" s="2562"/>
      <c r="AN328" s="2562"/>
      <c r="AO328" s="2562"/>
      <c r="AP328" s="2562"/>
      <c r="AQ328" s="2562"/>
      <c r="AR328" s="2562"/>
      <c r="AS328" s="2562"/>
      <c r="AT328" s="252">
        <f t="shared" si="140"/>
        <v>1</v>
      </c>
      <c r="AU328" s="252">
        <f t="shared" si="141"/>
        <v>0</v>
      </c>
      <c r="AV328" s="252">
        <f t="shared" si="142"/>
        <v>0</v>
      </c>
      <c r="AW328" s="252">
        <f t="shared" si="143"/>
        <v>0</v>
      </c>
      <c r="AX328" s="252">
        <f t="shared" si="144"/>
        <v>0</v>
      </c>
      <c r="AY328" s="252">
        <f t="shared" si="145"/>
        <v>0</v>
      </c>
      <c r="AZ328" s="252">
        <f t="shared" si="146"/>
        <v>0</v>
      </c>
      <c r="BA328" s="237"/>
      <c r="BB328" s="252">
        <f t="shared" si="147"/>
        <v>0</v>
      </c>
      <c r="BC328" s="237"/>
      <c r="BD328" s="237"/>
      <c r="BE328" s="237"/>
      <c r="BF328" s="237"/>
      <c r="BG328" s="237"/>
      <c r="BH328" s="237"/>
      <c r="BI328" s="237"/>
      <c r="BJ328" s="252">
        <f t="shared" si="148"/>
        <v>0</v>
      </c>
      <c r="BK328" s="252">
        <f t="shared" si="149"/>
        <v>0</v>
      </c>
      <c r="BL328" s="252">
        <f t="shared" si="150"/>
        <v>0</v>
      </c>
      <c r="BM328" s="252">
        <f t="shared" si="151"/>
        <v>0</v>
      </c>
      <c r="BN328" s="252">
        <f t="shared" si="152"/>
        <v>0</v>
      </c>
      <c r="BO328" s="252">
        <f t="shared" si="153"/>
        <v>1</v>
      </c>
      <c r="BP328" s="2578"/>
      <c r="BQ328" s="2562"/>
      <c r="BR328" s="2562"/>
      <c r="BS328" s="2585"/>
      <c r="BT328" s="2585"/>
      <c r="BU328" s="2585"/>
    </row>
    <row r="329" spans="1:73" s="22" customFormat="1" ht="15.75" customHeight="1" outlineLevel="1">
      <c r="A329" s="2585"/>
      <c r="B329" s="44" t="s">
        <v>4775</v>
      </c>
      <c r="C329" s="45" t="s">
        <v>50</v>
      </c>
      <c r="D329" s="46" t="s">
        <v>4505</v>
      </c>
      <c r="E329" s="46" t="s">
        <v>4429</v>
      </c>
      <c r="F329" s="45" t="s">
        <v>4459</v>
      </c>
      <c r="G329" s="46" t="s">
        <v>4515</v>
      </c>
      <c r="H329" s="45" t="s">
        <v>4459</v>
      </c>
      <c r="I329" s="45" t="s">
        <v>4433</v>
      </c>
      <c r="J329" s="47" t="s">
        <v>4744</v>
      </c>
      <c r="K329" s="48">
        <v>100</v>
      </c>
      <c r="L329" s="47">
        <v>51553</v>
      </c>
      <c r="M329" s="1913">
        <v>17.891666666666666</v>
      </c>
      <c r="N329" s="48">
        <v>15.42</v>
      </c>
      <c r="O329" s="49">
        <v>18.933</v>
      </c>
      <c r="P329" s="49">
        <v>26.501999999999999</v>
      </c>
      <c r="Q329" s="1884">
        <f t="shared" si="154"/>
        <v>338.74292499999996</v>
      </c>
      <c r="R329" s="50">
        <v>1.6820000000000002E-2</v>
      </c>
      <c r="S329" s="1932"/>
      <c r="T329" s="1932"/>
      <c r="U329" s="1932"/>
      <c r="V329" s="1932"/>
      <c r="W329" s="1885">
        <f t="shared" si="137"/>
        <v>0.15417713755795992</v>
      </c>
      <c r="X329" s="1891">
        <f t="shared" si="138"/>
        <v>4.0860024995610535</v>
      </c>
      <c r="Y329" s="1891">
        <f t="shared" si="139"/>
        <v>0.44576364000000002</v>
      </c>
      <c r="Z329" s="50">
        <v>0</v>
      </c>
      <c r="AA329" s="50">
        <v>0</v>
      </c>
      <c r="AB329" s="48">
        <v>0</v>
      </c>
      <c r="AC329" s="48">
        <v>18.846442666641732</v>
      </c>
      <c r="AD329" s="48">
        <v>18.846442666641732</v>
      </c>
      <c r="AE329" s="45" t="s">
        <v>4517</v>
      </c>
      <c r="AF329" s="51" t="s">
        <v>4974</v>
      </c>
      <c r="AG329" s="42"/>
      <c r="AH329" s="52" t="s">
        <v>4975</v>
      </c>
      <c r="AI329" s="197"/>
      <c r="AJ329" s="2578"/>
      <c r="AK329" s="251"/>
      <c r="AL329" s="2578"/>
      <c r="AM329" s="2562"/>
      <c r="AN329" s="2562"/>
      <c r="AO329" s="2562"/>
      <c r="AP329" s="2562"/>
      <c r="AQ329" s="2562"/>
      <c r="AR329" s="2562"/>
      <c r="AS329" s="2562"/>
      <c r="AT329" s="252">
        <f t="shared" si="140"/>
        <v>1</v>
      </c>
      <c r="AU329" s="252">
        <f t="shared" si="141"/>
        <v>0</v>
      </c>
      <c r="AV329" s="252">
        <f t="shared" si="142"/>
        <v>0</v>
      </c>
      <c r="AW329" s="252">
        <f t="shared" si="143"/>
        <v>0</v>
      </c>
      <c r="AX329" s="252">
        <f t="shared" si="144"/>
        <v>0</v>
      </c>
      <c r="AY329" s="252">
        <f t="shared" si="145"/>
        <v>0</v>
      </c>
      <c r="AZ329" s="252">
        <f t="shared" si="146"/>
        <v>0</v>
      </c>
      <c r="BA329" s="237"/>
      <c r="BB329" s="252">
        <f t="shared" si="147"/>
        <v>0</v>
      </c>
      <c r="BC329" s="237"/>
      <c r="BD329" s="237"/>
      <c r="BE329" s="237"/>
      <c r="BF329" s="237"/>
      <c r="BG329" s="237"/>
      <c r="BH329" s="237"/>
      <c r="BI329" s="237"/>
      <c r="BJ329" s="252">
        <f t="shared" si="148"/>
        <v>0</v>
      </c>
      <c r="BK329" s="252">
        <f t="shared" si="149"/>
        <v>0</v>
      </c>
      <c r="BL329" s="252">
        <f t="shared" si="150"/>
        <v>0</v>
      </c>
      <c r="BM329" s="252">
        <f t="shared" si="151"/>
        <v>0</v>
      </c>
      <c r="BN329" s="252">
        <f t="shared" si="152"/>
        <v>0</v>
      </c>
      <c r="BO329" s="252">
        <f t="shared" si="153"/>
        <v>1</v>
      </c>
      <c r="BP329" s="2578"/>
      <c r="BQ329" s="2562"/>
      <c r="BR329" s="2562"/>
      <c r="BS329" s="2585"/>
      <c r="BT329" s="2585"/>
      <c r="BU329" s="2585"/>
    </row>
    <row r="330" spans="1:73" s="22" customFormat="1" ht="15.75" customHeight="1" outlineLevel="1">
      <c r="A330" s="2585"/>
      <c r="B330" s="44" t="s">
        <v>4777</v>
      </c>
      <c r="C330" s="45" t="s">
        <v>50</v>
      </c>
      <c r="D330" s="46" t="s">
        <v>4505</v>
      </c>
      <c r="E330" s="46" t="s">
        <v>4429</v>
      </c>
      <c r="F330" s="45" t="s">
        <v>4459</v>
      </c>
      <c r="G330" s="46" t="s">
        <v>4515</v>
      </c>
      <c r="H330" s="45" t="s">
        <v>4459</v>
      </c>
      <c r="I330" s="45" t="s">
        <v>4433</v>
      </c>
      <c r="J330" s="47" t="s">
        <v>4744</v>
      </c>
      <c r="K330" s="48">
        <v>100</v>
      </c>
      <c r="L330" s="47">
        <v>52283</v>
      </c>
      <c r="M330" s="1913">
        <v>19.891666666666666</v>
      </c>
      <c r="N330" s="48">
        <v>7.1959999999999997</v>
      </c>
      <c r="O330" s="49">
        <v>7.1959999999999997</v>
      </c>
      <c r="P330" s="49">
        <v>12.367000000000001</v>
      </c>
      <c r="Q330" s="1884">
        <f t="shared" si="154"/>
        <v>143.14043333333333</v>
      </c>
      <c r="R330" s="50">
        <v>1.384E-2</v>
      </c>
      <c r="S330" s="1932"/>
      <c r="T330" s="1932"/>
      <c r="U330" s="1932"/>
      <c r="V330" s="1932"/>
      <c r="W330" s="1885">
        <f t="shared" si="137"/>
        <v>0.15079458423493053</v>
      </c>
      <c r="X330" s="1891">
        <f t="shared" si="138"/>
        <v>1.864876623233386</v>
      </c>
      <c r="Y330" s="1891">
        <f t="shared" si="139"/>
        <v>0.17115928</v>
      </c>
      <c r="Z330" s="50">
        <v>0</v>
      </c>
      <c r="AA330" s="50">
        <v>0</v>
      </c>
      <c r="AB330" s="48">
        <v>0</v>
      </c>
      <c r="AC330" s="48">
        <v>6.921759227015464</v>
      </c>
      <c r="AD330" s="48">
        <v>6.921759227015464</v>
      </c>
      <c r="AE330" s="45" t="s">
        <v>4517</v>
      </c>
      <c r="AF330" s="51" t="s">
        <v>4967</v>
      </c>
      <c r="AG330" s="42"/>
      <c r="AH330" s="52" t="s">
        <v>4976</v>
      </c>
      <c r="AI330" s="197"/>
      <c r="AJ330" s="2578"/>
      <c r="AK330" s="251"/>
      <c r="AL330" s="2578"/>
      <c r="AM330" s="2562"/>
      <c r="AN330" s="2562"/>
      <c r="AO330" s="2562"/>
      <c r="AP330" s="2562"/>
      <c r="AQ330" s="2562"/>
      <c r="AR330" s="2562"/>
      <c r="AS330" s="2562"/>
      <c r="AT330" s="252">
        <f t="shared" si="140"/>
        <v>1</v>
      </c>
      <c r="AU330" s="252">
        <f t="shared" si="141"/>
        <v>0</v>
      </c>
      <c r="AV330" s="252">
        <f t="shared" si="142"/>
        <v>0</v>
      </c>
      <c r="AW330" s="252">
        <f t="shared" si="143"/>
        <v>0</v>
      </c>
      <c r="AX330" s="252">
        <f t="shared" si="144"/>
        <v>0</v>
      </c>
      <c r="AY330" s="252">
        <f t="shared" si="145"/>
        <v>0</v>
      </c>
      <c r="AZ330" s="252">
        <f t="shared" si="146"/>
        <v>0</v>
      </c>
      <c r="BA330" s="237"/>
      <c r="BB330" s="252">
        <f t="shared" si="147"/>
        <v>0</v>
      </c>
      <c r="BC330" s="237"/>
      <c r="BD330" s="237"/>
      <c r="BE330" s="237"/>
      <c r="BF330" s="237"/>
      <c r="BG330" s="237"/>
      <c r="BH330" s="237"/>
      <c r="BI330" s="237"/>
      <c r="BJ330" s="252">
        <f t="shared" si="148"/>
        <v>0</v>
      </c>
      <c r="BK330" s="252">
        <f t="shared" si="149"/>
        <v>0</v>
      </c>
      <c r="BL330" s="252">
        <f t="shared" si="150"/>
        <v>0</v>
      </c>
      <c r="BM330" s="252">
        <f t="shared" si="151"/>
        <v>0</v>
      </c>
      <c r="BN330" s="252">
        <f t="shared" si="152"/>
        <v>0</v>
      </c>
      <c r="BO330" s="252">
        <f t="shared" si="153"/>
        <v>1</v>
      </c>
      <c r="BP330" s="2578"/>
      <c r="BQ330" s="2562"/>
      <c r="BR330" s="2562"/>
      <c r="BS330" s="2585"/>
      <c r="BT330" s="2585"/>
      <c r="BU330" s="2585"/>
    </row>
    <row r="331" spans="1:73" s="22" customFormat="1" ht="15.75" customHeight="1" outlineLevel="1">
      <c r="A331" s="2585"/>
      <c r="B331" s="44" t="s">
        <v>4779</v>
      </c>
      <c r="C331" s="45" t="s">
        <v>50</v>
      </c>
      <c r="D331" s="46" t="s">
        <v>4505</v>
      </c>
      <c r="E331" s="46" t="s">
        <v>4429</v>
      </c>
      <c r="F331" s="45" t="s">
        <v>4459</v>
      </c>
      <c r="G331" s="46" t="s">
        <v>4515</v>
      </c>
      <c r="H331" s="45" t="s">
        <v>4459</v>
      </c>
      <c r="I331" s="45" t="s">
        <v>4433</v>
      </c>
      <c r="J331" s="47" t="s">
        <v>4744</v>
      </c>
      <c r="K331" s="48">
        <v>100</v>
      </c>
      <c r="L331" s="47">
        <v>52283</v>
      </c>
      <c r="M331" s="1913">
        <v>19.891666666666666</v>
      </c>
      <c r="N331" s="48">
        <v>26.490995000000002</v>
      </c>
      <c r="O331" s="49">
        <v>32.527000000000001</v>
      </c>
      <c r="P331" s="49">
        <v>45.529000000000003</v>
      </c>
      <c r="Q331" s="1884">
        <f t="shared" si="154"/>
        <v>647.0162416666667</v>
      </c>
      <c r="R331" s="50">
        <v>1.5090000000000001E-2</v>
      </c>
      <c r="S331" s="1932"/>
      <c r="T331" s="1932"/>
      <c r="U331" s="1932"/>
      <c r="V331" s="1932"/>
      <c r="W331" s="1885">
        <f t="shared" si="137"/>
        <v>0.15221344049459051</v>
      </c>
      <c r="X331" s="1891">
        <f t="shared" si="138"/>
        <v>6.9301257322782117</v>
      </c>
      <c r="Y331" s="1891">
        <f t="shared" si="139"/>
        <v>0.68703261000000004</v>
      </c>
      <c r="Z331" s="50">
        <v>0</v>
      </c>
      <c r="AA331" s="50">
        <v>0</v>
      </c>
      <c r="AB331" s="48">
        <v>0</v>
      </c>
      <c r="AC331" s="48">
        <v>33.495795709123243</v>
      </c>
      <c r="AD331" s="48">
        <v>33.495795709123243</v>
      </c>
      <c r="AE331" s="45" t="s">
        <v>4517</v>
      </c>
      <c r="AF331" s="51" t="s">
        <v>4967</v>
      </c>
      <c r="AG331" s="42"/>
      <c r="AH331" s="52" t="s">
        <v>4977</v>
      </c>
      <c r="AI331" s="197"/>
      <c r="AJ331" s="2578"/>
      <c r="AK331" s="251"/>
      <c r="AL331" s="2578"/>
      <c r="AM331" s="2562"/>
      <c r="AN331" s="2562"/>
      <c r="AO331" s="2562"/>
      <c r="AP331" s="2562"/>
      <c r="AQ331" s="2562"/>
      <c r="AR331" s="2562"/>
      <c r="AS331" s="2562"/>
      <c r="AT331" s="252">
        <f t="shared" si="140"/>
        <v>1</v>
      </c>
      <c r="AU331" s="252">
        <f t="shared" si="141"/>
        <v>0</v>
      </c>
      <c r="AV331" s="252">
        <f t="shared" si="142"/>
        <v>0</v>
      </c>
      <c r="AW331" s="252">
        <f t="shared" si="143"/>
        <v>0</v>
      </c>
      <c r="AX331" s="252">
        <f t="shared" si="144"/>
        <v>0</v>
      </c>
      <c r="AY331" s="252">
        <f t="shared" si="145"/>
        <v>0</v>
      </c>
      <c r="AZ331" s="252">
        <f t="shared" si="146"/>
        <v>0</v>
      </c>
      <c r="BA331" s="237"/>
      <c r="BB331" s="252">
        <f t="shared" si="147"/>
        <v>0</v>
      </c>
      <c r="BC331" s="237"/>
      <c r="BD331" s="237"/>
      <c r="BE331" s="237"/>
      <c r="BF331" s="237"/>
      <c r="BG331" s="237"/>
      <c r="BH331" s="237"/>
      <c r="BI331" s="237"/>
      <c r="BJ331" s="252">
        <f t="shared" si="148"/>
        <v>0</v>
      </c>
      <c r="BK331" s="252">
        <f t="shared" si="149"/>
        <v>0</v>
      </c>
      <c r="BL331" s="252">
        <f t="shared" si="150"/>
        <v>0</v>
      </c>
      <c r="BM331" s="252">
        <f t="shared" si="151"/>
        <v>0</v>
      </c>
      <c r="BN331" s="252">
        <f t="shared" si="152"/>
        <v>0</v>
      </c>
      <c r="BO331" s="252">
        <f t="shared" si="153"/>
        <v>1</v>
      </c>
      <c r="BP331" s="2578"/>
      <c r="BQ331" s="2562"/>
      <c r="BR331" s="2562"/>
      <c r="BS331" s="2585"/>
      <c r="BT331" s="2585"/>
      <c r="BU331" s="2585"/>
    </row>
    <row r="332" spans="1:73" s="22" customFormat="1" ht="15.75" customHeight="1" outlineLevel="1">
      <c r="A332" s="2585"/>
      <c r="B332" s="44" t="s">
        <v>4781</v>
      </c>
      <c r="C332" s="45" t="s">
        <v>50</v>
      </c>
      <c r="D332" s="46" t="s">
        <v>4505</v>
      </c>
      <c r="E332" s="46" t="s">
        <v>4429</v>
      </c>
      <c r="F332" s="45" t="s">
        <v>4459</v>
      </c>
      <c r="G332" s="46" t="s">
        <v>4515</v>
      </c>
      <c r="H332" s="45" t="s">
        <v>4459</v>
      </c>
      <c r="I332" s="45" t="s">
        <v>4433</v>
      </c>
      <c r="J332" s="47" t="s">
        <v>4744</v>
      </c>
      <c r="K332" s="48">
        <v>100</v>
      </c>
      <c r="L332" s="47">
        <v>50457</v>
      </c>
      <c r="M332" s="1913">
        <v>14.891666666666667</v>
      </c>
      <c r="N332" s="48">
        <v>1.736035</v>
      </c>
      <c r="O332" s="49">
        <v>2.2919999999999998</v>
      </c>
      <c r="P332" s="49">
        <v>2.984</v>
      </c>
      <c r="Q332" s="1884">
        <f t="shared" si="154"/>
        <v>34.131700000000002</v>
      </c>
      <c r="R332" s="50">
        <v>2.3809999999999998E-2</v>
      </c>
      <c r="S332" s="1932"/>
      <c r="T332" s="1932"/>
      <c r="U332" s="1932"/>
      <c r="V332" s="1932"/>
      <c r="W332" s="1885">
        <f t="shared" si="137"/>
        <v>0.16211138176197859</v>
      </c>
      <c r="X332" s="1891">
        <f t="shared" si="138"/>
        <v>0.4837403631777441</v>
      </c>
      <c r="Y332" s="1891">
        <f t="shared" si="139"/>
        <v>7.1049039999999994E-2</v>
      </c>
      <c r="Z332" s="50">
        <v>0</v>
      </c>
      <c r="AA332" s="50">
        <v>0</v>
      </c>
      <c r="AB332" s="48">
        <v>0</v>
      </c>
      <c r="AC332" s="48">
        <v>0.46431210665242023</v>
      </c>
      <c r="AD332" s="48">
        <v>0.46431210665242023</v>
      </c>
      <c r="AE332" s="45" t="s">
        <v>4517</v>
      </c>
      <c r="AF332" s="51" t="s">
        <v>4782</v>
      </c>
      <c r="AG332" s="42"/>
      <c r="AH332" s="52" t="s">
        <v>4978</v>
      </c>
      <c r="AI332" s="197"/>
      <c r="AJ332" s="2578"/>
      <c r="AK332" s="251"/>
      <c r="AL332" s="2578"/>
      <c r="AM332" s="2562"/>
      <c r="AN332" s="2562"/>
      <c r="AO332" s="2562"/>
      <c r="AP332" s="2562"/>
      <c r="AQ332" s="2562"/>
      <c r="AR332" s="2562"/>
      <c r="AS332" s="2562"/>
      <c r="AT332" s="252">
        <f t="shared" si="140"/>
        <v>1</v>
      </c>
      <c r="AU332" s="252">
        <f t="shared" si="141"/>
        <v>0</v>
      </c>
      <c r="AV332" s="252">
        <f t="shared" si="142"/>
        <v>0</v>
      </c>
      <c r="AW332" s="252">
        <f t="shared" si="143"/>
        <v>0</v>
      </c>
      <c r="AX332" s="252">
        <f t="shared" si="144"/>
        <v>0</v>
      </c>
      <c r="AY332" s="252">
        <f t="shared" si="145"/>
        <v>0</v>
      </c>
      <c r="AZ332" s="252">
        <f t="shared" si="146"/>
        <v>0</v>
      </c>
      <c r="BA332" s="237"/>
      <c r="BB332" s="252">
        <f t="shared" si="147"/>
        <v>0</v>
      </c>
      <c r="BC332" s="237"/>
      <c r="BD332" s="237"/>
      <c r="BE332" s="237"/>
      <c r="BF332" s="237"/>
      <c r="BG332" s="237"/>
      <c r="BH332" s="237"/>
      <c r="BI332" s="237"/>
      <c r="BJ332" s="252">
        <f t="shared" si="148"/>
        <v>0</v>
      </c>
      <c r="BK332" s="252">
        <f t="shared" si="149"/>
        <v>0</v>
      </c>
      <c r="BL332" s="252">
        <f t="shared" si="150"/>
        <v>0</v>
      </c>
      <c r="BM332" s="252">
        <f t="shared" si="151"/>
        <v>0</v>
      </c>
      <c r="BN332" s="252">
        <f t="shared" si="152"/>
        <v>0</v>
      </c>
      <c r="BO332" s="252">
        <f t="shared" si="153"/>
        <v>1</v>
      </c>
      <c r="BP332" s="2578"/>
      <c r="BQ332" s="2562"/>
      <c r="BR332" s="2562"/>
      <c r="BS332" s="2585"/>
      <c r="BT332" s="2585"/>
      <c r="BU332" s="2585"/>
    </row>
    <row r="333" spans="1:73" s="22" customFormat="1" ht="15.75" customHeight="1" outlineLevel="1">
      <c r="A333" s="2585"/>
      <c r="B333" s="44" t="s">
        <v>4784</v>
      </c>
      <c r="C333" s="45" t="s">
        <v>50</v>
      </c>
      <c r="D333" s="46" t="s">
        <v>4505</v>
      </c>
      <c r="E333" s="46" t="s">
        <v>4429</v>
      </c>
      <c r="F333" s="45" t="s">
        <v>4459</v>
      </c>
      <c r="G333" s="46" t="s">
        <v>4515</v>
      </c>
      <c r="H333" s="45" t="s">
        <v>4459</v>
      </c>
      <c r="I333" s="45" t="s">
        <v>4433</v>
      </c>
      <c r="J333" s="47" t="s">
        <v>4744</v>
      </c>
      <c r="K333" s="48">
        <v>100</v>
      </c>
      <c r="L333" s="47">
        <v>50457</v>
      </c>
      <c r="M333" s="1913">
        <v>14.891666666666667</v>
      </c>
      <c r="N333" s="48">
        <v>6.248526</v>
      </c>
      <c r="O333" s="49">
        <v>8.2509999999999994</v>
      </c>
      <c r="P333" s="49">
        <v>10.739000000000001</v>
      </c>
      <c r="Q333" s="1884">
        <f t="shared" si="154"/>
        <v>122.87114166666666</v>
      </c>
      <c r="R333" s="50">
        <v>2.3709999999999998E-2</v>
      </c>
      <c r="S333" s="1932"/>
      <c r="T333" s="1932"/>
      <c r="U333" s="1932"/>
      <c r="V333" s="1932"/>
      <c r="W333" s="1885">
        <f t="shared" si="137"/>
        <v>0.16199787326120552</v>
      </c>
      <c r="X333" s="1891">
        <f t="shared" si="138"/>
        <v>1.7396951609520861</v>
      </c>
      <c r="Y333" s="1891">
        <f t="shared" si="139"/>
        <v>0.25462169000000001</v>
      </c>
      <c r="Z333" s="50">
        <v>0</v>
      </c>
      <c r="AA333" s="50">
        <v>0</v>
      </c>
      <c r="AB333" s="48">
        <v>0</v>
      </c>
      <c r="AC333" s="48">
        <v>1.6549580870757263</v>
      </c>
      <c r="AD333" s="48">
        <v>1.6549580870757263</v>
      </c>
      <c r="AE333" s="45" t="s">
        <v>4517</v>
      </c>
      <c r="AF333" s="51" t="s">
        <v>4782</v>
      </c>
      <c r="AG333" s="42"/>
      <c r="AH333" s="52" t="s">
        <v>4979</v>
      </c>
      <c r="AI333" s="197"/>
      <c r="AJ333" s="2578"/>
      <c r="AK333" s="251"/>
      <c r="AL333" s="2578"/>
      <c r="AM333" s="2562"/>
      <c r="AN333" s="2562"/>
      <c r="AO333" s="2562"/>
      <c r="AP333" s="2562"/>
      <c r="AQ333" s="2562"/>
      <c r="AR333" s="2562"/>
      <c r="AS333" s="2562"/>
      <c r="AT333" s="252">
        <f t="shared" si="140"/>
        <v>1</v>
      </c>
      <c r="AU333" s="252">
        <f t="shared" si="141"/>
        <v>0</v>
      </c>
      <c r="AV333" s="252">
        <f t="shared" si="142"/>
        <v>0</v>
      </c>
      <c r="AW333" s="252">
        <f t="shared" si="143"/>
        <v>0</v>
      </c>
      <c r="AX333" s="252">
        <f t="shared" si="144"/>
        <v>0</v>
      </c>
      <c r="AY333" s="252">
        <f t="shared" si="145"/>
        <v>0</v>
      </c>
      <c r="AZ333" s="252">
        <f t="shared" si="146"/>
        <v>0</v>
      </c>
      <c r="BA333" s="237"/>
      <c r="BB333" s="252">
        <f t="shared" si="147"/>
        <v>0</v>
      </c>
      <c r="BC333" s="237"/>
      <c r="BD333" s="237"/>
      <c r="BE333" s="237"/>
      <c r="BF333" s="237"/>
      <c r="BG333" s="237"/>
      <c r="BH333" s="237"/>
      <c r="BI333" s="237"/>
      <c r="BJ333" s="252">
        <f t="shared" si="148"/>
        <v>0</v>
      </c>
      <c r="BK333" s="252">
        <f t="shared" si="149"/>
        <v>0</v>
      </c>
      <c r="BL333" s="252">
        <f t="shared" si="150"/>
        <v>0</v>
      </c>
      <c r="BM333" s="252">
        <f t="shared" si="151"/>
        <v>0</v>
      </c>
      <c r="BN333" s="252">
        <f t="shared" si="152"/>
        <v>0</v>
      </c>
      <c r="BO333" s="252">
        <f t="shared" si="153"/>
        <v>1</v>
      </c>
      <c r="BP333" s="2578"/>
      <c r="BQ333" s="2562"/>
      <c r="BR333" s="2562"/>
      <c r="BS333" s="2585"/>
      <c r="BT333" s="2585"/>
      <c r="BU333" s="2585"/>
    </row>
    <row r="334" spans="1:73" s="22" customFormat="1" ht="15.75" customHeight="1" outlineLevel="1">
      <c r="A334" s="2585"/>
      <c r="B334" s="44" t="s">
        <v>4786</v>
      </c>
      <c r="C334" s="45" t="s">
        <v>50</v>
      </c>
      <c r="D334" s="46" t="s">
        <v>4505</v>
      </c>
      <c r="E334" s="46" t="s">
        <v>4429</v>
      </c>
      <c r="F334" s="45" t="s">
        <v>4459</v>
      </c>
      <c r="G334" s="46" t="s">
        <v>4515</v>
      </c>
      <c r="H334" s="45" t="s">
        <v>4459</v>
      </c>
      <c r="I334" s="45" t="s">
        <v>4433</v>
      </c>
      <c r="J334" s="47" t="s">
        <v>4744</v>
      </c>
      <c r="K334" s="48">
        <v>100</v>
      </c>
      <c r="L334" s="47">
        <v>52283</v>
      </c>
      <c r="M334" s="1913">
        <v>19.891666666666666</v>
      </c>
      <c r="N334" s="48">
        <v>1.736035</v>
      </c>
      <c r="O334" s="49">
        <v>2.1640000000000001</v>
      </c>
      <c r="P334" s="49">
        <v>2.984</v>
      </c>
      <c r="Q334" s="1884">
        <f t="shared" si="154"/>
        <v>43.045566666666666</v>
      </c>
      <c r="R334" s="50">
        <v>2.3429999999999999E-2</v>
      </c>
      <c r="S334" s="1932"/>
      <c r="T334" s="1932"/>
      <c r="U334" s="1932"/>
      <c r="V334" s="1932"/>
      <c r="W334" s="1885">
        <f t="shared" si="137"/>
        <v>0.1616800494590418</v>
      </c>
      <c r="X334" s="1891">
        <f t="shared" si="138"/>
        <v>0.48245326758578072</v>
      </c>
      <c r="Y334" s="1891">
        <f t="shared" si="139"/>
        <v>6.9915119999999997E-2</v>
      </c>
      <c r="Z334" s="50">
        <v>0</v>
      </c>
      <c r="AA334" s="50">
        <v>0</v>
      </c>
      <c r="AB334" s="48">
        <v>0</v>
      </c>
      <c r="AC334" s="48">
        <v>0.80023563338348602</v>
      </c>
      <c r="AD334" s="48">
        <v>0.80023563338348602</v>
      </c>
      <c r="AE334" s="45" t="s">
        <v>4517</v>
      </c>
      <c r="AF334" s="51" t="s">
        <v>4782</v>
      </c>
      <c r="AG334" s="42"/>
      <c r="AH334" s="52" t="s">
        <v>4980</v>
      </c>
      <c r="AI334" s="197"/>
      <c r="AJ334" s="2578"/>
      <c r="AK334" s="251"/>
      <c r="AL334" s="2578"/>
      <c r="AM334" s="2562"/>
      <c r="AN334" s="2562"/>
      <c r="AO334" s="2562"/>
      <c r="AP334" s="2562"/>
      <c r="AQ334" s="2562"/>
      <c r="AR334" s="2562"/>
      <c r="AS334" s="2562"/>
      <c r="AT334" s="252">
        <f t="shared" si="140"/>
        <v>1</v>
      </c>
      <c r="AU334" s="252">
        <f t="shared" si="141"/>
        <v>0</v>
      </c>
      <c r="AV334" s="252">
        <f t="shared" si="142"/>
        <v>0</v>
      </c>
      <c r="AW334" s="252">
        <f t="shared" si="143"/>
        <v>0</v>
      </c>
      <c r="AX334" s="252">
        <f t="shared" si="144"/>
        <v>0</v>
      </c>
      <c r="AY334" s="252">
        <f t="shared" si="145"/>
        <v>0</v>
      </c>
      <c r="AZ334" s="252">
        <f t="shared" si="146"/>
        <v>0</v>
      </c>
      <c r="BA334" s="237"/>
      <c r="BB334" s="252">
        <f t="shared" si="147"/>
        <v>0</v>
      </c>
      <c r="BC334" s="237"/>
      <c r="BD334" s="237"/>
      <c r="BE334" s="237"/>
      <c r="BF334" s="237"/>
      <c r="BG334" s="237"/>
      <c r="BH334" s="237"/>
      <c r="BI334" s="237"/>
      <c r="BJ334" s="252">
        <f t="shared" si="148"/>
        <v>0</v>
      </c>
      <c r="BK334" s="252">
        <f t="shared" si="149"/>
        <v>0</v>
      </c>
      <c r="BL334" s="252">
        <f t="shared" si="150"/>
        <v>0</v>
      </c>
      <c r="BM334" s="252">
        <f t="shared" si="151"/>
        <v>0</v>
      </c>
      <c r="BN334" s="252">
        <f t="shared" si="152"/>
        <v>0</v>
      </c>
      <c r="BO334" s="252">
        <f t="shared" si="153"/>
        <v>1</v>
      </c>
      <c r="BP334" s="2578"/>
      <c r="BQ334" s="2562"/>
      <c r="BR334" s="2562"/>
      <c r="BS334" s="2585"/>
      <c r="BT334" s="2585"/>
      <c r="BU334" s="2585"/>
    </row>
    <row r="335" spans="1:73" s="22" customFormat="1" ht="15.75" customHeight="1" outlineLevel="1">
      <c r="A335" s="2585"/>
      <c r="B335" s="44" t="s">
        <v>4788</v>
      </c>
      <c r="C335" s="45" t="s">
        <v>50</v>
      </c>
      <c r="D335" s="46" t="s">
        <v>4505</v>
      </c>
      <c r="E335" s="46" t="s">
        <v>4429</v>
      </c>
      <c r="F335" s="45" t="s">
        <v>4459</v>
      </c>
      <c r="G335" s="46" t="s">
        <v>4515</v>
      </c>
      <c r="H335" s="45" t="s">
        <v>4459</v>
      </c>
      <c r="I335" s="45" t="s">
        <v>4433</v>
      </c>
      <c r="J335" s="47" t="s">
        <v>4744</v>
      </c>
      <c r="K335" s="48">
        <v>100</v>
      </c>
      <c r="L335" s="47">
        <v>52283</v>
      </c>
      <c r="M335" s="1913">
        <v>19.891666666666666</v>
      </c>
      <c r="N335" s="48">
        <v>13.683964</v>
      </c>
      <c r="O335" s="49">
        <v>17.055</v>
      </c>
      <c r="P335" s="49">
        <v>23.518000000000001</v>
      </c>
      <c r="Q335" s="1884">
        <f t="shared" si="154"/>
        <v>339.25237499999997</v>
      </c>
      <c r="R335" s="50">
        <v>2.3330000000000004E-2</v>
      </c>
      <c r="S335" s="1932"/>
      <c r="T335" s="1932"/>
      <c r="U335" s="1932"/>
      <c r="V335" s="1932"/>
      <c r="W335" s="1885">
        <f t="shared" si="137"/>
        <v>0.16156654095826894</v>
      </c>
      <c r="X335" s="1891">
        <f t="shared" si="138"/>
        <v>3.7997219102565691</v>
      </c>
      <c r="Y335" s="1891">
        <f t="shared" si="139"/>
        <v>0.54867494000000006</v>
      </c>
      <c r="Z335" s="50">
        <v>0</v>
      </c>
      <c r="AA335" s="50">
        <v>0</v>
      </c>
      <c r="AB335" s="48">
        <v>0</v>
      </c>
      <c r="AC335" s="48">
        <v>6.2602263790886559</v>
      </c>
      <c r="AD335" s="48">
        <v>6.2602263790886559</v>
      </c>
      <c r="AE335" s="45" t="s">
        <v>4517</v>
      </c>
      <c r="AF335" s="51" t="s">
        <v>4782</v>
      </c>
      <c r="AG335" s="42"/>
      <c r="AH335" s="52" t="s">
        <v>4981</v>
      </c>
      <c r="AI335" s="197"/>
      <c r="AJ335" s="2578"/>
      <c r="AK335" s="251"/>
      <c r="AL335" s="2578"/>
      <c r="AM335" s="2562"/>
      <c r="AN335" s="2562"/>
      <c r="AO335" s="2562"/>
      <c r="AP335" s="2562"/>
      <c r="AQ335" s="2562"/>
      <c r="AR335" s="2562"/>
      <c r="AS335" s="2562"/>
      <c r="AT335" s="252">
        <f t="shared" si="140"/>
        <v>1</v>
      </c>
      <c r="AU335" s="252">
        <f t="shared" si="141"/>
        <v>0</v>
      </c>
      <c r="AV335" s="252">
        <f t="shared" si="142"/>
        <v>0</v>
      </c>
      <c r="AW335" s="252">
        <f t="shared" si="143"/>
        <v>0</v>
      </c>
      <c r="AX335" s="252">
        <f t="shared" si="144"/>
        <v>0</v>
      </c>
      <c r="AY335" s="252">
        <f t="shared" si="145"/>
        <v>0</v>
      </c>
      <c r="AZ335" s="252">
        <f t="shared" si="146"/>
        <v>0</v>
      </c>
      <c r="BA335" s="237"/>
      <c r="BB335" s="252">
        <f t="shared" si="147"/>
        <v>0</v>
      </c>
      <c r="BC335" s="237"/>
      <c r="BD335" s="237"/>
      <c r="BE335" s="237"/>
      <c r="BF335" s="237"/>
      <c r="BG335" s="237"/>
      <c r="BH335" s="237"/>
      <c r="BI335" s="237"/>
      <c r="BJ335" s="252">
        <f t="shared" si="148"/>
        <v>0</v>
      </c>
      <c r="BK335" s="252">
        <f t="shared" si="149"/>
        <v>0</v>
      </c>
      <c r="BL335" s="252">
        <f t="shared" si="150"/>
        <v>0</v>
      </c>
      <c r="BM335" s="252">
        <f t="shared" si="151"/>
        <v>0</v>
      </c>
      <c r="BN335" s="252">
        <f t="shared" si="152"/>
        <v>0</v>
      </c>
      <c r="BO335" s="252">
        <f t="shared" si="153"/>
        <v>1</v>
      </c>
      <c r="BP335" s="2578"/>
      <c r="BQ335" s="2562"/>
      <c r="BR335" s="2562"/>
      <c r="BS335" s="2585"/>
      <c r="BT335" s="2585"/>
      <c r="BU335" s="2585"/>
    </row>
    <row r="336" spans="1:73" s="22" customFormat="1" ht="15.75" customHeight="1" outlineLevel="1">
      <c r="A336" s="2585"/>
      <c r="B336" s="44" t="s">
        <v>4790</v>
      </c>
      <c r="C336" s="45" t="s">
        <v>50</v>
      </c>
      <c r="D336" s="46" t="s">
        <v>4505</v>
      </c>
      <c r="E336" s="46" t="s">
        <v>4429</v>
      </c>
      <c r="F336" s="45" t="s">
        <v>4459</v>
      </c>
      <c r="G336" s="46" t="s">
        <v>4515</v>
      </c>
      <c r="H336" s="45" t="s">
        <v>4459</v>
      </c>
      <c r="I336" s="45" t="s">
        <v>4433</v>
      </c>
      <c r="J336" s="47" t="s">
        <v>4744</v>
      </c>
      <c r="K336" s="48">
        <v>100</v>
      </c>
      <c r="L336" s="47">
        <v>52283</v>
      </c>
      <c r="M336" s="1913">
        <v>19.891666666666666</v>
      </c>
      <c r="N336" s="48">
        <v>18.494285000000001</v>
      </c>
      <c r="O336" s="49">
        <v>23.05</v>
      </c>
      <c r="P336" s="49">
        <v>31.785</v>
      </c>
      <c r="Q336" s="1884">
        <f t="shared" si="154"/>
        <v>458.50291666666664</v>
      </c>
      <c r="R336" s="50">
        <v>3.2529999999999996E-2</v>
      </c>
      <c r="S336" s="1932"/>
      <c r="T336" s="1932"/>
      <c r="U336" s="1932"/>
      <c r="V336" s="1932"/>
      <c r="W336" s="1885">
        <f t="shared" si="137"/>
        <v>0.17200932302936622</v>
      </c>
      <c r="X336" s="1891">
        <f t="shared" si="138"/>
        <v>5.4673163324884051</v>
      </c>
      <c r="Y336" s="1891">
        <f t="shared" si="139"/>
        <v>1.0339660499999999</v>
      </c>
      <c r="Z336" s="50">
        <v>0</v>
      </c>
      <c r="AA336" s="50">
        <v>0</v>
      </c>
      <c r="AB336" s="48">
        <v>0</v>
      </c>
      <c r="AC336" s="48">
        <v>30.15018267448642</v>
      </c>
      <c r="AD336" s="48">
        <v>30.15018267448642</v>
      </c>
      <c r="AE336" s="45" t="s">
        <v>4517</v>
      </c>
      <c r="AF336" s="51" t="s">
        <v>4791</v>
      </c>
      <c r="AG336" s="42"/>
      <c r="AH336" s="52" t="s">
        <v>4982</v>
      </c>
      <c r="AI336" s="197"/>
      <c r="AJ336" s="2578"/>
      <c r="AK336" s="251"/>
      <c r="AL336" s="2578"/>
      <c r="AM336" s="2562"/>
      <c r="AN336" s="2562"/>
      <c r="AO336" s="2562"/>
      <c r="AP336" s="2562"/>
      <c r="AQ336" s="2562"/>
      <c r="AR336" s="2562"/>
      <c r="AS336" s="2562"/>
      <c r="AT336" s="252">
        <f t="shared" si="140"/>
        <v>1</v>
      </c>
      <c r="AU336" s="252">
        <f t="shared" si="141"/>
        <v>0</v>
      </c>
      <c r="AV336" s="252">
        <f t="shared" si="142"/>
        <v>0</v>
      </c>
      <c r="AW336" s="252">
        <f t="shared" si="143"/>
        <v>0</v>
      </c>
      <c r="AX336" s="252">
        <f t="shared" si="144"/>
        <v>0</v>
      </c>
      <c r="AY336" s="252">
        <f t="shared" si="145"/>
        <v>0</v>
      </c>
      <c r="AZ336" s="252">
        <f t="shared" si="146"/>
        <v>0</v>
      </c>
      <c r="BA336" s="237"/>
      <c r="BB336" s="252">
        <f t="shared" si="147"/>
        <v>0</v>
      </c>
      <c r="BC336" s="237"/>
      <c r="BD336" s="237"/>
      <c r="BE336" s="237"/>
      <c r="BF336" s="237"/>
      <c r="BG336" s="237"/>
      <c r="BH336" s="237"/>
      <c r="BI336" s="237"/>
      <c r="BJ336" s="252">
        <f t="shared" si="148"/>
        <v>0</v>
      </c>
      <c r="BK336" s="252">
        <f t="shared" si="149"/>
        <v>0</v>
      </c>
      <c r="BL336" s="252">
        <f t="shared" si="150"/>
        <v>0</v>
      </c>
      <c r="BM336" s="252">
        <f t="shared" si="151"/>
        <v>0</v>
      </c>
      <c r="BN336" s="252">
        <f t="shared" si="152"/>
        <v>0</v>
      </c>
      <c r="BO336" s="252">
        <f t="shared" si="153"/>
        <v>1</v>
      </c>
      <c r="BP336" s="2578"/>
      <c r="BQ336" s="2562"/>
      <c r="BR336" s="2562"/>
      <c r="BS336" s="2585"/>
      <c r="BT336" s="2585"/>
      <c r="BU336" s="2585"/>
    </row>
    <row r="337" spans="1:73" s="22" customFormat="1" ht="15.75" customHeight="1" outlineLevel="1">
      <c r="A337" s="2585"/>
      <c r="B337" s="44" t="s">
        <v>4793</v>
      </c>
      <c r="C337" s="45" t="s">
        <v>50</v>
      </c>
      <c r="D337" s="46" t="s">
        <v>4505</v>
      </c>
      <c r="E337" s="46" t="s">
        <v>4429</v>
      </c>
      <c r="F337" s="45" t="s">
        <v>4459</v>
      </c>
      <c r="G337" s="46" t="s">
        <v>4515</v>
      </c>
      <c r="H337" s="45" t="s">
        <v>4459</v>
      </c>
      <c r="I337" s="45" t="s">
        <v>4433</v>
      </c>
      <c r="J337" s="47" t="s">
        <v>4744</v>
      </c>
      <c r="K337" s="48">
        <v>100</v>
      </c>
      <c r="L337" s="47">
        <v>52283</v>
      </c>
      <c r="M337" s="1913">
        <v>19.891666666666666</v>
      </c>
      <c r="N337" s="48">
        <v>1.7360949999999999</v>
      </c>
      <c r="O337" s="49">
        <v>1.93</v>
      </c>
      <c r="P337" s="49">
        <v>2.984</v>
      </c>
      <c r="Q337" s="1884">
        <f t="shared" si="154"/>
        <v>38.390916666666662</v>
      </c>
      <c r="R337" s="50">
        <v>3.0929999999999999E-2</v>
      </c>
      <c r="S337" s="1932"/>
      <c r="T337" s="1932"/>
      <c r="U337" s="1932"/>
      <c r="V337" s="1932"/>
      <c r="W337" s="1885">
        <f t="shared" si="137"/>
        <v>0.17019318701700148</v>
      </c>
      <c r="X337" s="1891">
        <f t="shared" si="138"/>
        <v>0.50785647005873236</v>
      </c>
      <c r="Y337" s="1891">
        <f t="shared" si="139"/>
        <v>9.2295119999999994E-2</v>
      </c>
      <c r="Z337" s="50">
        <v>0</v>
      </c>
      <c r="AA337" s="50">
        <v>0</v>
      </c>
      <c r="AB337" s="48">
        <v>0</v>
      </c>
      <c r="AC337" s="48">
        <v>2.6184967596040312</v>
      </c>
      <c r="AD337" s="48">
        <v>2.6184967596040312</v>
      </c>
      <c r="AE337" s="45" t="s">
        <v>4517</v>
      </c>
      <c r="AF337" s="51" t="s">
        <v>4791</v>
      </c>
      <c r="AG337" s="42"/>
      <c r="AH337" s="52" t="s">
        <v>4983</v>
      </c>
      <c r="AI337" s="197"/>
      <c r="AJ337" s="2578"/>
      <c r="AK337" s="251"/>
      <c r="AL337" s="2578"/>
      <c r="AM337" s="2562"/>
      <c r="AN337" s="2562"/>
      <c r="AO337" s="2562"/>
      <c r="AP337" s="2562"/>
      <c r="AQ337" s="2562"/>
      <c r="AR337" s="2562"/>
      <c r="AS337" s="2562"/>
      <c r="AT337" s="252">
        <f t="shared" si="140"/>
        <v>1</v>
      </c>
      <c r="AU337" s="252">
        <f t="shared" si="141"/>
        <v>0</v>
      </c>
      <c r="AV337" s="252">
        <f t="shared" si="142"/>
        <v>0</v>
      </c>
      <c r="AW337" s="252">
        <f t="shared" si="143"/>
        <v>0</v>
      </c>
      <c r="AX337" s="252">
        <f t="shared" si="144"/>
        <v>0</v>
      </c>
      <c r="AY337" s="252">
        <f t="shared" si="145"/>
        <v>0</v>
      </c>
      <c r="AZ337" s="252">
        <f t="shared" si="146"/>
        <v>0</v>
      </c>
      <c r="BA337" s="237"/>
      <c r="BB337" s="252">
        <f t="shared" si="147"/>
        <v>0</v>
      </c>
      <c r="BC337" s="237"/>
      <c r="BD337" s="237"/>
      <c r="BE337" s="237"/>
      <c r="BF337" s="237"/>
      <c r="BG337" s="237"/>
      <c r="BH337" s="237"/>
      <c r="BI337" s="237"/>
      <c r="BJ337" s="252">
        <f t="shared" si="148"/>
        <v>0</v>
      </c>
      <c r="BK337" s="252">
        <f t="shared" si="149"/>
        <v>0</v>
      </c>
      <c r="BL337" s="252">
        <f t="shared" si="150"/>
        <v>0</v>
      </c>
      <c r="BM337" s="252">
        <f t="shared" si="151"/>
        <v>0</v>
      </c>
      <c r="BN337" s="252">
        <f t="shared" si="152"/>
        <v>0</v>
      </c>
      <c r="BO337" s="252">
        <f t="shared" si="153"/>
        <v>1</v>
      </c>
      <c r="BP337" s="2578"/>
      <c r="BQ337" s="2562"/>
      <c r="BR337" s="2562"/>
      <c r="BS337" s="2585"/>
      <c r="BT337" s="2585"/>
      <c r="BU337" s="2585"/>
    </row>
    <row r="338" spans="1:73" s="22" customFormat="1" ht="15.75" customHeight="1" outlineLevel="1">
      <c r="A338" s="2585"/>
      <c r="B338" s="44" t="s">
        <v>4796</v>
      </c>
      <c r="C338" s="45" t="s">
        <v>50</v>
      </c>
      <c r="D338" s="46" t="s">
        <v>4505</v>
      </c>
      <c r="E338" s="46" t="s">
        <v>4429</v>
      </c>
      <c r="F338" s="45" t="s">
        <v>4459</v>
      </c>
      <c r="G338" s="46" t="s">
        <v>4515</v>
      </c>
      <c r="H338" s="45" t="s">
        <v>4459</v>
      </c>
      <c r="I338" s="45" t="s">
        <v>4433</v>
      </c>
      <c r="J338" s="47" t="s">
        <v>4744</v>
      </c>
      <c r="K338" s="48">
        <v>100</v>
      </c>
      <c r="L338" s="47">
        <v>52283</v>
      </c>
      <c r="M338" s="1913">
        <v>19.891666666666666</v>
      </c>
      <c r="N338" s="48">
        <v>37.192667999999998</v>
      </c>
      <c r="O338" s="49">
        <v>41.338999999999999</v>
      </c>
      <c r="P338" s="49">
        <v>63.920999999999999</v>
      </c>
      <c r="Q338" s="1884">
        <f t="shared" si="154"/>
        <v>822.30160833333332</v>
      </c>
      <c r="R338" s="50">
        <v>3.0829999999999996E-2</v>
      </c>
      <c r="S338" s="1932"/>
      <c r="T338" s="1932"/>
      <c r="U338" s="1932"/>
      <c r="V338" s="1932"/>
      <c r="W338" s="1885">
        <f t="shared" si="137"/>
        <v>0.17007967851622863</v>
      </c>
      <c r="X338" s="1891">
        <f t="shared" si="138"/>
        <v>10.87166313043585</v>
      </c>
      <c r="Y338" s="1891">
        <f t="shared" si="139"/>
        <v>1.9706844299999997</v>
      </c>
      <c r="Z338" s="50">
        <v>0</v>
      </c>
      <c r="AA338" s="50">
        <v>0</v>
      </c>
      <c r="AB338" s="48">
        <v>0</v>
      </c>
      <c r="AC338" s="48">
        <v>52.606391360102585</v>
      </c>
      <c r="AD338" s="48">
        <v>52.606391360102585</v>
      </c>
      <c r="AE338" s="45" t="s">
        <v>4517</v>
      </c>
      <c r="AF338" s="51" t="s">
        <v>4791</v>
      </c>
      <c r="AG338" s="42"/>
      <c r="AH338" s="52" t="s">
        <v>4984</v>
      </c>
      <c r="AI338" s="197"/>
      <c r="AJ338" s="2578"/>
      <c r="AK338" s="251"/>
      <c r="AL338" s="2578"/>
      <c r="AM338" s="2562"/>
      <c r="AN338" s="2562"/>
      <c r="AO338" s="2562"/>
      <c r="AP338" s="2562"/>
      <c r="AQ338" s="2562"/>
      <c r="AR338" s="2562"/>
      <c r="AS338" s="2562"/>
      <c r="AT338" s="252">
        <f t="shared" si="140"/>
        <v>1</v>
      </c>
      <c r="AU338" s="252">
        <f t="shared" si="141"/>
        <v>0</v>
      </c>
      <c r="AV338" s="252">
        <f t="shared" si="142"/>
        <v>0</v>
      </c>
      <c r="AW338" s="252">
        <f t="shared" si="143"/>
        <v>0</v>
      </c>
      <c r="AX338" s="252">
        <f t="shared" si="144"/>
        <v>0</v>
      </c>
      <c r="AY338" s="252">
        <f t="shared" si="145"/>
        <v>0</v>
      </c>
      <c r="AZ338" s="252">
        <f t="shared" si="146"/>
        <v>0</v>
      </c>
      <c r="BA338" s="237"/>
      <c r="BB338" s="252">
        <f t="shared" si="147"/>
        <v>0</v>
      </c>
      <c r="BC338" s="237"/>
      <c r="BD338" s="237"/>
      <c r="BE338" s="237"/>
      <c r="BF338" s="237"/>
      <c r="BG338" s="237"/>
      <c r="BH338" s="237"/>
      <c r="BI338" s="237"/>
      <c r="BJ338" s="252">
        <f t="shared" si="148"/>
        <v>0</v>
      </c>
      <c r="BK338" s="252">
        <f t="shared" si="149"/>
        <v>0</v>
      </c>
      <c r="BL338" s="252">
        <f t="shared" si="150"/>
        <v>0</v>
      </c>
      <c r="BM338" s="252">
        <f t="shared" si="151"/>
        <v>0</v>
      </c>
      <c r="BN338" s="252">
        <f t="shared" si="152"/>
        <v>0</v>
      </c>
      <c r="BO338" s="252">
        <f t="shared" si="153"/>
        <v>1</v>
      </c>
      <c r="BP338" s="2578"/>
      <c r="BQ338" s="2562"/>
      <c r="BR338" s="2562"/>
      <c r="BS338" s="2585"/>
      <c r="BT338" s="2585"/>
      <c r="BU338" s="2585"/>
    </row>
    <row r="339" spans="1:73" s="22" customFormat="1" ht="15.75" customHeight="1" outlineLevel="1">
      <c r="A339" s="2585"/>
      <c r="B339" s="44" t="s">
        <v>4798</v>
      </c>
      <c r="C339" s="45" t="s">
        <v>50</v>
      </c>
      <c r="D339" s="46" t="s">
        <v>4505</v>
      </c>
      <c r="E339" s="46" t="s">
        <v>4429</v>
      </c>
      <c r="F339" s="45" t="s">
        <v>4459</v>
      </c>
      <c r="G339" s="46" t="s">
        <v>4515</v>
      </c>
      <c r="H339" s="45" t="s">
        <v>4459</v>
      </c>
      <c r="I339" s="45" t="s">
        <v>4433</v>
      </c>
      <c r="J339" s="47" t="s">
        <v>4744</v>
      </c>
      <c r="K339" s="48">
        <v>100</v>
      </c>
      <c r="L339" s="47">
        <v>54109</v>
      </c>
      <c r="M339" s="1913">
        <v>24.891666666666666</v>
      </c>
      <c r="N339" s="48">
        <v>7.1959999999999997</v>
      </c>
      <c r="O339" s="49">
        <v>7.1959999999999997</v>
      </c>
      <c r="P339" s="49">
        <v>12.367000000000001</v>
      </c>
      <c r="Q339" s="1884">
        <f t="shared" si="154"/>
        <v>179.12043333333332</v>
      </c>
      <c r="R339" s="50">
        <v>1.3979999999999999E-2</v>
      </c>
      <c r="S339" s="1932"/>
      <c r="T339" s="1932"/>
      <c r="U339" s="1932"/>
      <c r="V339" s="1932"/>
      <c r="W339" s="1885">
        <f t="shared" si="137"/>
        <v>0.15095349613601239</v>
      </c>
      <c r="X339" s="1891">
        <f t="shared" si="138"/>
        <v>1.8668418867140653</v>
      </c>
      <c r="Y339" s="1891">
        <f t="shared" si="139"/>
        <v>0.17289066</v>
      </c>
      <c r="Z339" s="50">
        <v>0</v>
      </c>
      <c r="AA339" s="50">
        <v>0</v>
      </c>
      <c r="AB339" s="48">
        <v>0</v>
      </c>
      <c r="AC339" s="48">
        <v>9.7167724907383519</v>
      </c>
      <c r="AD339" s="48">
        <v>9.7167724907383519</v>
      </c>
      <c r="AE339" s="45" t="s">
        <v>4517</v>
      </c>
      <c r="AF339" s="51" t="s">
        <v>4985</v>
      </c>
      <c r="AG339" s="42"/>
      <c r="AH339" s="52" t="s">
        <v>4986</v>
      </c>
      <c r="AI339" s="197"/>
      <c r="AJ339" s="2578"/>
      <c r="AK339" s="251"/>
      <c r="AL339" s="2578"/>
      <c r="AM339" s="2562"/>
      <c r="AN339" s="2562"/>
      <c r="AO339" s="2562"/>
      <c r="AP339" s="2562"/>
      <c r="AQ339" s="2562"/>
      <c r="AR339" s="2562"/>
      <c r="AS339" s="2562"/>
      <c r="AT339" s="252">
        <f t="shared" si="140"/>
        <v>1</v>
      </c>
      <c r="AU339" s="252">
        <f t="shared" si="141"/>
        <v>0</v>
      </c>
      <c r="AV339" s="252">
        <f t="shared" si="142"/>
        <v>0</v>
      </c>
      <c r="AW339" s="252">
        <f t="shared" si="143"/>
        <v>0</v>
      </c>
      <c r="AX339" s="252">
        <f t="shared" si="144"/>
        <v>0</v>
      </c>
      <c r="AY339" s="252">
        <f t="shared" si="145"/>
        <v>0</v>
      </c>
      <c r="AZ339" s="252">
        <f t="shared" si="146"/>
        <v>0</v>
      </c>
      <c r="BA339" s="237"/>
      <c r="BB339" s="252">
        <f t="shared" si="147"/>
        <v>0</v>
      </c>
      <c r="BC339" s="237"/>
      <c r="BD339" s="237"/>
      <c r="BE339" s="237"/>
      <c r="BF339" s="237"/>
      <c r="BG339" s="237"/>
      <c r="BH339" s="237"/>
      <c r="BI339" s="237"/>
      <c r="BJ339" s="252">
        <f t="shared" si="148"/>
        <v>0</v>
      </c>
      <c r="BK339" s="252">
        <f t="shared" si="149"/>
        <v>0</v>
      </c>
      <c r="BL339" s="252">
        <f t="shared" si="150"/>
        <v>0</v>
      </c>
      <c r="BM339" s="252">
        <f t="shared" si="151"/>
        <v>0</v>
      </c>
      <c r="BN339" s="252">
        <f t="shared" si="152"/>
        <v>0</v>
      </c>
      <c r="BO339" s="252">
        <f t="shared" si="153"/>
        <v>1</v>
      </c>
      <c r="BP339" s="2578"/>
      <c r="BQ339" s="2562"/>
      <c r="BR339" s="2562"/>
      <c r="BS339" s="2585"/>
      <c r="BT339" s="2585"/>
      <c r="BU339" s="2585"/>
    </row>
    <row r="340" spans="1:73" s="22" customFormat="1" ht="15.75" customHeight="1" outlineLevel="1">
      <c r="A340" s="2585"/>
      <c r="B340" s="44" t="s">
        <v>4800</v>
      </c>
      <c r="C340" s="45" t="s">
        <v>50</v>
      </c>
      <c r="D340" s="46" t="s">
        <v>4505</v>
      </c>
      <c r="E340" s="46" t="s">
        <v>4429</v>
      </c>
      <c r="F340" s="45" t="s">
        <v>4459</v>
      </c>
      <c r="G340" s="46" t="s">
        <v>4515</v>
      </c>
      <c r="H340" s="45" t="s">
        <v>4459</v>
      </c>
      <c r="I340" s="45" t="s">
        <v>4433</v>
      </c>
      <c r="J340" s="47" t="s">
        <v>4744</v>
      </c>
      <c r="K340" s="48">
        <v>100</v>
      </c>
      <c r="L340" s="47">
        <v>57762</v>
      </c>
      <c r="M340" s="1913">
        <v>34.891666666666666</v>
      </c>
      <c r="N340" s="48">
        <v>7.1959999999999997</v>
      </c>
      <c r="O340" s="49">
        <v>7.1959999999999997</v>
      </c>
      <c r="P340" s="49">
        <v>12.367000000000001</v>
      </c>
      <c r="Q340" s="1884">
        <f t="shared" si="154"/>
        <v>251.0804333333333</v>
      </c>
      <c r="R340" s="50">
        <v>1.1739999999999999E-2</v>
      </c>
      <c r="S340" s="1932"/>
      <c r="T340" s="1932"/>
      <c r="U340" s="1932"/>
      <c r="V340" s="1932"/>
      <c r="W340" s="1885">
        <f t="shared" si="137"/>
        <v>0.14841090571870175</v>
      </c>
      <c r="X340" s="1891">
        <f t="shared" si="138"/>
        <v>1.8353976710231847</v>
      </c>
      <c r="Y340" s="1891">
        <f t="shared" si="139"/>
        <v>0.14518857999999998</v>
      </c>
      <c r="Z340" s="50">
        <v>0</v>
      </c>
      <c r="AA340" s="50">
        <v>0</v>
      </c>
      <c r="AB340" s="48">
        <v>0</v>
      </c>
      <c r="AC340" s="48">
        <v>13.081515502830795</v>
      </c>
      <c r="AD340" s="48">
        <v>13.081515502830795</v>
      </c>
      <c r="AE340" s="45" t="s">
        <v>4517</v>
      </c>
      <c r="AF340" s="51" t="s">
        <v>4985</v>
      </c>
      <c r="AG340" s="42"/>
      <c r="AH340" s="52" t="s">
        <v>4987</v>
      </c>
      <c r="AI340" s="197"/>
      <c r="AJ340" s="2578"/>
      <c r="AK340" s="251"/>
      <c r="AL340" s="2578"/>
      <c r="AM340" s="2562"/>
      <c r="AN340" s="2562"/>
      <c r="AO340" s="2562"/>
      <c r="AP340" s="2562"/>
      <c r="AQ340" s="2562"/>
      <c r="AR340" s="2562"/>
      <c r="AS340" s="2562"/>
      <c r="AT340" s="252">
        <f t="shared" si="140"/>
        <v>1</v>
      </c>
      <c r="AU340" s="252">
        <f t="shared" si="141"/>
        <v>0</v>
      </c>
      <c r="AV340" s="252">
        <f t="shared" si="142"/>
        <v>0</v>
      </c>
      <c r="AW340" s="252">
        <f t="shared" si="143"/>
        <v>0</v>
      </c>
      <c r="AX340" s="252">
        <f t="shared" si="144"/>
        <v>0</v>
      </c>
      <c r="AY340" s="252">
        <f t="shared" si="145"/>
        <v>0</v>
      </c>
      <c r="AZ340" s="252">
        <f t="shared" si="146"/>
        <v>0</v>
      </c>
      <c r="BA340" s="237"/>
      <c r="BB340" s="252">
        <f t="shared" si="147"/>
        <v>0</v>
      </c>
      <c r="BC340" s="237"/>
      <c r="BD340" s="237"/>
      <c r="BE340" s="237"/>
      <c r="BF340" s="237"/>
      <c r="BG340" s="237"/>
      <c r="BH340" s="237"/>
      <c r="BI340" s="237"/>
      <c r="BJ340" s="252">
        <f t="shared" si="148"/>
        <v>0</v>
      </c>
      <c r="BK340" s="252">
        <f t="shared" si="149"/>
        <v>0</v>
      </c>
      <c r="BL340" s="252">
        <f t="shared" si="150"/>
        <v>0</v>
      </c>
      <c r="BM340" s="252">
        <f t="shared" si="151"/>
        <v>0</v>
      </c>
      <c r="BN340" s="252">
        <f t="shared" si="152"/>
        <v>0</v>
      </c>
      <c r="BO340" s="252">
        <f t="shared" si="153"/>
        <v>1</v>
      </c>
      <c r="BP340" s="2578"/>
      <c r="BQ340" s="2562"/>
      <c r="BR340" s="2562"/>
      <c r="BS340" s="2585"/>
      <c r="BT340" s="2585"/>
      <c r="BU340" s="2585"/>
    </row>
    <row r="341" spans="1:73" s="22" customFormat="1" ht="15.75" customHeight="1" outlineLevel="1">
      <c r="A341" s="2585"/>
      <c r="B341" s="44" t="s">
        <v>4802</v>
      </c>
      <c r="C341" s="45" t="s">
        <v>50</v>
      </c>
      <c r="D341" s="46" t="s">
        <v>4505</v>
      </c>
      <c r="E341" s="46" t="s">
        <v>4429</v>
      </c>
      <c r="F341" s="45" t="s">
        <v>4459</v>
      </c>
      <c r="G341" s="46" t="s">
        <v>4515</v>
      </c>
      <c r="H341" s="45" t="s">
        <v>4459</v>
      </c>
      <c r="I341" s="45" t="s">
        <v>4433</v>
      </c>
      <c r="J341" s="47" t="s">
        <v>4744</v>
      </c>
      <c r="K341" s="48">
        <v>100</v>
      </c>
      <c r="L341" s="47">
        <v>59588</v>
      </c>
      <c r="M341" s="1913">
        <v>39.891666666666666</v>
      </c>
      <c r="N341" s="48">
        <v>7.3079999999999998</v>
      </c>
      <c r="O341" s="49">
        <v>7.3079999999999998</v>
      </c>
      <c r="P341" s="49">
        <v>12.56</v>
      </c>
      <c r="Q341" s="1884">
        <f t="shared" si="154"/>
        <v>291.5283</v>
      </c>
      <c r="R341" s="50">
        <v>1.1859999999999999E-2</v>
      </c>
      <c r="S341" s="1932"/>
      <c r="T341" s="1932"/>
      <c r="U341" s="1932"/>
      <c r="V341" s="1932"/>
      <c r="W341" s="1885">
        <f t="shared" si="137"/>
        <v>0.14854711591962899</v>
      </c>
      <c r="X341" s="1891">
        <f t="shared" si="138"/>
        <v>1.8657517759505402</v>
      </c>
      <c r="Y341" s="1891">
        <f t="shared" si="139"/>
        <v>0.1489616</v>
      </c>
      <c r="Z341" s="50">
        <v>0</v>
      </c>
      <c r="AA341" s="50">
        <v>0</v>
      </c>
      <c r="AB341" s="48">
        <v>0</v>
      </c>
      <c r="AC341" s="48">
        <v>15.373762811869202</v>
      </c>
      <c r="AD341" s="48">
        <v>15.373762811869202</v>
      </c>
      <c r="AE341" s="45" t="s">
        <v>4517</v>
      </c>
      <c r="AF341" s="51" t="s">
        <v>4985</v>
      </c>
      <c r="AG341" s="42"/>
      <c r="AH341" s="52" t="s">
        <v>4988</v>
      </c>
      <c r="AI341" s="197"/>
      <c r="AJ341" s="2578"/>
      <c r="AK341" s="251"/>
      <c r="AL341" s="2578"/>
      <c r="AM341" s="2562"/>
      <c r="AN341" s="2562"/>
      <c r="AO341" s="2562"/>
      <c r="AP341" s="2562"/>
      <c r="AQ341" s="2562"/>
      <c r="AR341" s="2562"/>
      <c r="AS341" s="2562"/>
      <c r="AT341" s="252">
        <f t="shared" si="140"/>
        <v>1</v>
      </c>
      <c r="AU341" s="252">
        <f t="shared" si="141"/>
        <v>0</v>
      </c>
      <c r="AV341" s="252">
        <f t="shared" si="142"/>
        <v>0</v>
      </c>
      <c r="AW341" s="252">
        <f t="shared" si="143"/>
        <v>0</v>
      </c>
      <c r="AX341" s="252">
        <f t="shared" si="144"/>
        <v>0</v>
      </c>
      <c r="AY341" s="252">
        <f t="shared" si="145"/>
        <v>0</v>
      </c>
      <c r="AZ341" s="252">
        <f t="shared" si="146"/>
        <v>0</v>
      </c>
      <c r="BA341" s="237"/>
      <c r="BB341" s="252">
        <f t="shared" si="147"/>
        <v>0</v>
      </c>
      <c r="BC341" s="237"/>
      <c r="BD341" s="237"/>
      <c r="BE341" s="237"/>
      <c r="BF341" s="237"/>
      <c r="BG341" s="237"/>
      <c r="BH341" s="237"/>
      <c r="BI341" s="237"/>
      <c r="BJ341" s="252">
        <f t="shared" si="148"/>
        <v>0</v>
      </c>
      <c r="BK341" s="252">
        <f t="shared" si="149"/>
        <v>0</v>
      </c>
      <c r="BL341" s="252">
        <f t="shared" si="150"/>
        <v>0</v>
      </c>
      <c r="BM341" s="252">
        <f t="shared" si="151"/>
        <v>0</v>
      </c>
      <c r="BN341" s="252">
        <f t="shared" si="152"/>
        <v>0</v>
      </c>
      <c r="BO341" s="252">
        <f t="shared" si="153"/>
        <v>1</v>
      </c>
      <c r="BP341" s="2578"/>
      <c r="BQ341" s="2562"/>
      <c r="BR341" s="2562"/>
      <c r="BS341" s="2585"/>
      <c r="BT341" s="2585"/>
      <c r="BU341" s="2585"/>
    </row>
    <row r="342" spans="1:73" s="22" customFormat="1" ht="15.75" customHeight="1" outlineLevel="1">
      <c r="A342" s="2585"/>
      <c r="B342" s="44" t="s">
        <v>4804</v>
      </c>
      <c r="C342" s="45" t="s">
        <v>50</v>
      </c>
      <c r="D342" s="46" t="s">
        <v>4505</v>
      </c>
      <c r="E342" s="46" t="s">
        <v>4429</v>
      </c>
      <c r="F342" s="45" t="s">
        <v>4459</v>
      </c>
      <c r="G342" s="46" t="s">
        <v>4515</v>
      </c>
      <c r="H342" s="45" t="s">
        <v>4459</v>
      </c>
      <c r="I342" s="45" t="s">
        <v>4433</v>
      </c>
      <c r="J342" s="47" t="s">
        <v>4744</v>
      </c>
      <c r="K342" s="48">
        <v>100</v>
      </c>
      <c r="L342" s="47">
        <v>50457</v>
      </c>
      <c r="M342" s="1913">
        <v>14.891666666666667</v>
      </c>
      <c r="N342" s="48">
        <v>3.1749999999999998</v>
      </c>
      <c r="O342" s="49">
        <v>3.87</v>
      </c>
      <c r="P342" s="49">
        <v>5.4569999999999999</v>
      </c>
      <c r="Q342" s="1884">
        <f t="shared" si="154"/>
        <v>57.630750000000006</v>
      </c>
      <c r="R342" s="50">
        <v>5.237E-2</v>
      </c>
      <c r="S342" s="1932"/>
      <c r="T342" s="1932"/>
      <c r="U342" s="1932"/>
      <c r="V342" s="1932"/>
      <c r="W342" s="1885">
        <f t="shared" si="137"/>
        <v>0.19452940958268927</v>
      </c>
      <c r="X342" s="1891">
        <f t="shared" si="138"/>
        <v>1.0615469880927353</v>
      </c>
      <c r="Y342" s="1891">
        <f t="shared" si="139"/>
        <v>0.28578309000000002</v>
      </c>
      <c r="Z342" s="50">
        <v>0</v>
      </c>
      <c r="AA342" s="50">
        <v>0</v>
      </c>
      <c r="AB342" s="48">
        <v>0</v>
      </c>
      <c r="AC342" s="48">
        <v>7.0502755361114646</v>
      </c>
      <c r="AD342" s="48">
        <v>7.0502755361114646</v>
      </c>
      <c r="AE342" s="45" t="s">
        <v>4517</v>
      </c>
      <c r="AF342" s="51" t="s">
        <v>4863</v>
      </c>
      <c r="AG342" s="42"/>
      <c r="AH342" s="52" t="s">
        <v>4989</v>
      </c>
      <c r="AI342" s="197"/>
      <c r="AJ342" s="2578"/>
      <c r="AK342" s="251"/>
      <c r="AL342" s="2578"/>
      <c r="AM342" s="2562"/>
      <c r="AN342" s="2562"/>
      <c r="AO342" s="2562"/>
      <c r="AP342" s="2562"/>
      <c r="AQ342" s="2562"/>
      <c r="AR342" s="2562"/>
      <c r="AS342" s="2562"/>
      <c r="AT342" s="252">
        <f t="shared" si="140"/>
        <v>1</v>
      </c>
      <c r="AU342" s="252">
        <f t="shared" si="141"/>
        <v>0</v>
      </c>
      <c r="AV342" s="252">
        <f t="shared" si="142"/>
        <v>0</v>
      </c>
      <c r="AW342" s="252">
        <f t="shared" si="143"/>
        <v>0</v>
      </c>
      <c r="AX342" s="252">
        <f t="shared" si="144"/>
        <v>0</v>
      </c>
      <c r="AY342" s="252">
        <f t="shared" si="145"/>
        <v>0</v>
      </c>
      <c r="AZ342" s="252">
        <f t="shared" si="146"/>
        <v>0</v>
      </c>
      <c r="BA342" s="237"/>
      <c r="BB342" s="252">
        <f t="shared" si="147"/>
        <v>0</v>
      </c>
      <c r="BC342" s="237"/>
      <c r="BD342" s="237"/>
      <c r="BE342" s="237"/>
      <c r="BF342" s="237"/>
      <c r="BG342" s="237"/>
      <c r="BH342" s="237"/>
      <c r="BI342" s="237"/>
      <c r="BJ342" s="252">
        <f t="shared" si="148"/>
        <v>0</v>
      </c>
      <c r="BK342" s="252">
        <f t="shared" si="149"/>
        <v>0</v>
      </c>
      <c r="BL342" s="252">
        <f t="shared" si="150"/>
        <v>0</v>
      </c>
      <c r="BM342" s="252">
        <f t="shared" si="151"/>
        <v>0</v>
      </c>
      <c r="BN342" s="252">
        <f t="shared" si="152"/>
        <v>0</v>
      </c>
      <c r="BO342" s="252">
        <f t="shared" si="153"/>
        <v>1</v>
      </c>
      <c r="BP342" s="2578"/>
      <c r="BQ342" s="2562"/>
      <c r="BR342" s="2562"/>
      <c r="BS342" s="2585"/>
      <c r="BT342" s="2585"/>
      <c r="BU342" s="2585"/>
    </row>
    <row r="343" spans="1:73" s="22" customFormat="1" ht="15.75" customHeight="1" outlineLevel="1">
      <c r="A343" s="2585"/>
      <c r="B343" s="44" t="s">
        <v>4806</v>
      </c>
      <c r="C343" s="45" t="s">
        <v>50</v>
      </c>
      <c r="D343" s="46" t="s">
        <v>4505</v>
      </c>
      <c r="E343" s="46" t="s">
        <v>4429</v>
      </c>
      <c r="F343" s="45" t="s">
        <v>4459</v>
      </c>
      <c r="G343" s="46" t="s">
        <v>4515</v>
      </c>
      <c r="H343" s="45" t="s">
        <v>4459</v>
      </c>
      <c r="I343" s="45" t="s">
        <v>4433</v>
      </c>
      <c r="J343" s="47" t="s">
        <v>4744</v>
      </c>
      <c r="K343" s="48">
        <v>100</v>
      </c>
      <c r="L343" s="47">
        <v>52283</v>
      </c>
      <c r="M343" s="1913">
        <v>19.891666666666666</v>
      </c>
      <c r="N343" s="48">
        <v>25.544454999999999</v>
      </c>
      <c r="O343" s="49">
        <v>29.841000000000001</v>
      </c>
      <c r="P343" s="49">
        <v>43.902000000000001</v>
      </c>
      <c r="Q343" s="1884">
        <f t="shared" si="154"/>
        <v>593.58722499999999</v>
      </c>
      <c r="R343" s="50">
        <v>5.237E-2</v>
      </c>
      <c r="S343" s="1932"/>
      <c r="T343" s="1932"/>
      <c r="U343" s="1932"/>
      <c r="V343" s="1932"/>
      <c r="W343" s="1885">
        <f t="shared" si="137"/>
        <v>0.19452940958268927</v>
      </c>
      <c r="X343" s="1891">
        <f t="shared" si="138"/>
        <v>8.5402301394992239</v>
      </c>
      <c r="Y343" s="1891">
        <f t="shared" si="139"/>
        <v>2.29914774</v>
      </c>
      <c r="Z343" s="50">
        <v>0</v>
      </c>
      <c r="AA343" s="50">
        <v>0</v>
      </c>
      <c r="AB343" s="48">
        <v>0</v>
      </c>
      <c r="AC343" s="48">
        <v>56.722975171590612</v>
      </c>
      <c r="AD343" s="48">
        <v>56.722975171590612</v>
      </c>
      <c r="AE343" s="45" t="s">
        <v>4517</v>
      </c>
      <c r="AF343" s="51" t="s">
        <v>4863</v>
      </c>
      <c r="AG343" s="42"/>
      <c r="AH343" s="52" t="s">
        <v>4990</v>
      </c>
      <c r="AI343" s="197"/>
      <c r="AJ343" s="2578"/>
      <c r="AK343" s="251"/>
      <c r="AL343" s="2578"/>
      <c r="AM343" s="2562"/>
      <c r="AN343" s="2562"/>
      <c r="AO343" s="2562"/>
      <c r="AP343" s="2562"/>
      <c r="AQ343" s="2562"/>
      <c r="AR343" s="2562"/>
      <c r="AS343" s="2562"/>
      <c r="AT343" s="252">
        <f t="shared" si="140"/>
        <v>1</v>
      </c>
      <c r="AU343" s="252">
        <f t="shared" si="141"/>
        <v>0</v>
      </c>
      <c r="AV343" s="252">
        <f t="shared" si="142"/>
        <v>0</v>
      </c>
      <c r="AW343" s="252">
        <f t="shared" si="143"/>
        <v>0</v>
      </c>
      <c r="AX343" s="252">
        <f t="shared" si="144"/>
        <v>0</v>
      </c>
      <c r="AY343" s="252">
        <f t="shared" si="145"/>
        <v>0</v>
      </c>
      <c r="AZ343" s="252">
        <f t="shared" si="146"/>
        <v>0</v>
      </c>
      <c r="BA343" s="237"/>
      <c r="BB343" s="252">
        <f t="shared" si="147"/>
        <v>0</v>
      </c>
      <c r="BC343" s="237"/>
      <c r="BD343" s="237"/>
      <c r="BE343" s="237"/>
      <c r="BF343" s="237"/>
      <c r="BG343" s="237"/>
      <c r="BH343" s="237"/>
      <c r="BI343" s="237"/>
      <c r="BJ343" s="252">
        <f t="shared" si="148"/>
        <v>0</v>
      </c>
      <c r="BK343" s="252">
        <f t="shared" si="149"/>
        <v>0</v>
      </c>
      <c r="BL343" s="252">
        <f t="shared" si="150"/>
        <v>0</v>
      </c>
      <c r="BM343" s="252">
        <f t="shared" si="151"/>
        <v>0</v>
      </c>
      <c r="BN343" s="252">
        <f t="shared" si="152"/>
        <v>0</v>
      </c>
      <c r="BO343" s="252">
        <f t="shared" si="153"/>
        <v>1</v>
      </c>
      <c r="BP343" s="2578"/>
      <c r="BQ343" s="2562"/>
      <c r="BR343" s="2562"/>
      <c r="BS343" s="2585"/>
      <c r="BT343" s="2585"/>
      <c r="BU343" s="2585"/>
    </row>
    <row r="344" spans="1:73" s="22" customFormat="1" ht="15.75" customHeight="1" outlineLevel="1">
      <c r="A344" s="2585"/>
      <c r="B344" s="44" t="s">
        <v>4808</v>
      </c>
      <c r="C344" s="45" t="s">
        <v>50</v>
      </c>
      <c r="D344" s="46" t="s">
        <v>4505</v>
      </c>
      <c r="E344" s="46" t="s">
        <v>4429</v>
      </c>
      <c r="F344" s="45" t="s">
        <v>4459</v>
      </c>
      <c r="G344" s="46" t="s">
        <v>4515</v>
      </c>
      <c r="H344" s="45" t="s">
        <v>4459</v>
      </c>
      <c r="I344" s="45" t="s">
        <v>4433</v>
      </c>
      <c r="J344" s="47" t="s">
        <v>4744</v>
      </c>
      <c r="K344" s="48">
        <v>100</v>
      </c>
      <c r="L344" s="47">
        <v>57762</v>
      </c>
      <c r="M344" s="1913">
        <v>34.891666666666666</v>
      </c>
      <c r="N344" s="48">
        <v>15.42</v>
      </c>
      <c r="O344" s="49">
        <v>16.553000000000001</v>
      </c>
      <c r="P344" s="49">
        <v>26.501999999999999</v>
      </c>
      <c r="Q344" s="1884">
        <f t="shared" si="154"/>
        <v>577.56175833333339</v>
      </c>
      <c r="R344" s="50">
        <v>5.237E-2</v>
      </c>
      <c r="S344" s="1932"/>
      <c r="T344" s="1932"/>
      <c r="U344" s="1932"/>
      <c r="V344" s="1932"/>
      <c r="W344" s="1885">
        <f t="shared" si="137"/>
        <v>0.19452940958268927</v>
      </c>
      <c r="X344" s="1891">
        <f t="shared" si="138"/>
        <v>5.1554184127604312</v>
      </c>
      <c r="Y344" s="1891">
        <f t="shared" si="139"/>
        <v>1.38790974</v>
      </c>
      <c r="Z344" s="50">
        <v>0</v>
      </c>
      <c r="AA344" s="50">
        <v>0</v>
      </c>
      <c r="AB344" s="48">
        <v>0</v>
      </c>
      <c r="AC344" s="48">
        <v>34.241023233650012</v>
      </c>
      <c r="AD344" s="48">
        <v>34.241023233650012</v>
      </c>
      <c r="AE344" s="45" t="s">
        <v>4517</v>
      </c>
      <c r="AF344" s="51" t="s">
        <v>4863</v>
      </c>
      <c r="AG344" s="42"/>
      <c r="AH344" s="52" t="s">
        <v>4991</v>
      </c>
      <c r="AI344" s="197"/>
      <c r="AJ344" s="2578"/>
      <c r="AK344" s="251"/>
      <c r="AL344" s="2578"/>
      <c r="AM344" s="2562"/>
      <c r="AN344" s="2562"/>
      <c r="AO344" s="2562"/>
      <c r="AP344" s="2562"/>
      <c r="AQ344" s="2562"/>
      <c r="AR344" s="2562"/>
      <c r="AS344" s="2562"/>
      <c r="AT344" s="252">
        <f t="shared" si="140"/>
        <v>1</v>
      </c>
      <c r="AU344" s="252">
        <f t="shared" si="141"/>
        <v>0</v>
      </c>
      <c r="AV344" s="252">
        <f t="shared" si="142"/>
        <v>0</v>
      </c>
      <c r="AW344" s="252">
        <f t="shared" si="143"/>
        <v>0</v>
      </c>
      <c r="AX344" s="252">
        <f t="shared" si="144"/>
        <v>0</v>
      </c>
      <c r="AY344" s="252">
        <f t="shared" si="145"/>
        <v>0</v>
      </c>
      <c r="AZ344" s="252">
        <f t="shared" si="146"/>
        <v>0</v>
      </c>
      <c r="BA344" s="237"/>
      <c r="BB344" s="252">
        <f t="shared" si="147"/>
        <v>0</v>
      </c>
      <c r="BC344" s="237"/>
      <c r="BD344" s="237"/>
      <c r="BE344" s="237"/>
      <c r="BF344" s="237"/>
      <c r="BG344" s="237"/>
      <c r="BH344" s="237"/>
      <c r="BI344" s="237"/>
      <c r="BJ344" s="252">
        <f t="shared" si="148"/>
        <v>0</v>
      </c>
      <c r="BK344" s="252">
        <f t="shared" si="149"/>
        <v>0</v>
      </c>
      <c r="BL344" s="252">
        <f t="shared" si="150"/>
        <v>0</v>
      </c>
      <c r="BM344" s="252">
        <f t="shared" si="151"/>
        <v>0</v>
      </c>
      <c r="BN344" s="252">
        <f t="shared" si="152"/>
        <v>0</v>
      </c>
      <c r="BO344" s="252">
        <f t="shared" si="153"/>
        <v>1</v>
      </c>
      <c r="BP344" s="2578"/>
      <c r="BQ344" s="2562"/>
      <c r="BR344" s="2562"/>
      <c r="BS344" s="2585"/>
      <c r="BT344" s="2585"/>
      <c r="BU344" s="2585"/>
    </row>
    <row r="345" spans="1:73" s="22" customFormat="1" ht="15.75" customHeight="1" outlineLevel="1">
      <c r="A345" s="2585"/>
      <c r="B345" s="44" t="s">
        <v>4810</v>
      </c>
      <c r="C345" s="45" t="s">
        <v>50</v>
      </c>
      <c r="D345" s="46" t="s">
        <v>4505</v>
      </c>
      <c r="E345" s="46" t="s">
        <v>4429</v>
      </c>
      <c r="F345" s="45" t="s">
        <v>4459</v>
      </c>
      <c r="G345" s="46" t="s">
        <v>4515</v>
      </c>
      <c r="H345" s="45" t="s">
        <v>4459</v>
      </c>
      <c r="I345" s="45" t="s">
        <v>4433</v>
      </c>
      <c r="J345" s="47" t="s">
        <v>4744</v>
      </c>
      <c r="K345" s="48">
        <v>100</v>
      </c>
      <c r="L345" s="47">
        <v>59588</v>
      </c>
      <c r="M345" s="1913">
        <v>39.891666666666666</v>
      </c>
      <c r="N345" s="48">
        <v>15.66</v>
      </c>
      <c r="O345" s="49">
        <v>16.538</v>
      </c>
      <c r="P345" s="49">
        <v>26.914000000000001</v>
      </c>
      <c r="Q345" s="1884">
        <f t="shared" si="154"/>
        <v>659.72838333333334</v>
      </c>
      <c r="R345" s="50">
        <v>5.237E-2</v>
      </c>
      <c r="S345" s="1932"/>
      <c r="T345" s="1932"/>
      <c r="U345" s="1932"/>
      <c r="V345" s="1932"/>
      <c r="W345" s="1885">
        <f t="shared" si="137"/>
        <v>0.19452940958268927</v>
      </c>
      <c r="X345" s="1891">
        <f t="shared" si="138"/>
        <v>5.2355645295084994</v>
      </c>
      <c r="Y345" s="1891">
        <f t="shared" si="139"/>
        <v>1.40948618</v>
      </c>
      <c r="Z345" s="50">
        <v>0</v>
      </c>
      <c r="AA345" s="50">
        <v>0</v>
      </c>
      <c r="AB345" s="48">
        <v>0</v>
      </c>
      <c r="AC345" s="48">
        <v>34.773957447403319</v>
      </c>
      <c r="AD345" s="48">
        <v>34.773957447403319</v>
      </c>
      <c r="AE345" s="45" t="s">
        <v>4517</v>
      </c>
      <c r="AF345" s="51" t="s">
        <v>4863</v>
      </c>
      <c r="AG345" s="42"/>
      <c r="AH345" s="52" t="s">
        <v>4992</v>
      </c>
      <c r="AI345" s="197"/>
      <c r="AJ345" s="2578"/>
      <c r="AK345" s="251"/>
      <c r="AL345" s="2578"/>
      <c r="AM345" s="2562"/>
      <c r="AN345" s="2562"/>
      <c r="AO345" s="2562"/>
      <c r="AP345" s="2562"/>
      <c r="AQ345" s="2562"/>
      <c r="AR345" s="2562"/>
      <c r="AS345" s="2562"/>
      <c r="AT345" s="252">
        <f t="shared" si="140"/>
        <v>1</v>
      </c>
      <c r="AU345" s="252">
        <f t="shared" si="141"/>
        <v>0</v>
      </c>
      <c r="AV345" s="252">
        <f t="shared" si="142"/>
        <v>0</v>
      </c>
      <c r="AW345" s="252">
        <f t="shared" si="143"/>
        <v>0</v>
      </c>
      <c r="AX345" s="252">
        <f t="shared" si="144"/>
        <v>0</v>
      </c>
      <c r="AY345" s="252">
        <f t="shared" si="145"/>
        <v>0</v>
      </c>
      <c r="AZ345" s="252">
        <f t="shared" si="146"/>
        <v>0</v>
      </c>
      <c r="BA345" s="237"/>
      <c r="BB345" s="252">
        <f t="shared" si="147"/>
        <v>0</v>
      </c>
      <c r="BC345" s="237"/>
      <c r="BD345" s="237"/>
      <c r="BE345" s="237"/>
      <c r="BF345" s="237"/>
      <c r="BG345" s="237"/>
      <c r="BH345" s="237"/>
      <c r="BI345" s="237"/>
      <c r="BJ345" s="252">
        <f t="shared" si="148"/>
        <v>0</v>
      </c>
      <c r="BK345" s="252">
        <f t="shared" si="149"/>
        <v>0</v>
      </c>
      <c r="BL345" s="252">
        <f t="shared" si="150"/>
        <v>0</v>
      </c>
      <c r="BM345" s="252">
        <f t="shared" si="151"/>
        <v>0</v>
      </c>
      <c r="BN345" s="252">
        <f t="shared" si="152"/>
        <v>0</v>
      </c>
      <c r="BO345" s="252">
        <f t="shared" si="153"/>
        <v>1</v>
      </c>
      <c r="BP345" s="2578"/>
      <c r="BQ345" s="2562"/>
      <c r="BR345" s="2562"/>
      <c r="BS345" s="2585"/>
      <c r="BT345" s="2585"/>
      <c r="BU345" s="2585"/>
    </row>
    <row r="346" spans="1:73" s="22" customFormat="1" ht="15.75" customHeight="1" outlineLevel="1">
      <c r="A346" s="2585"/>
      <c r="B346" s="44" t="s">
        <v>4812</v>
      </c>
      <c r="C346" s="45" t="s">
        <v>50</v>
      </c>
      <c r="D346" s="46" t="s">
        <v>4505</v>
      </c>
      <c r="E346" s="46" t="s">
        <v>4429</v>
      </c>
      <c r="F346" s="45" t="s">
        <v>4459</v>
      </c>
      <c r="G346" s="46" t="s">
        <v>4515</v>
      </c>
      <c r="H346" s="45" t="s">
        <v>4459</v>
      </c>
      <c r="I346" s="45" t="s">
        <v>4433</v>
      </c>
      <c r="J346" s="47" t="s">
        <v>4744</v>
      </c>
      <c r="K346" s="48">
        <v>100</v>
      </c>
      <c r="L346" s="47">
        <v>52283</v>
      </c>
      <c r="M346" s="1913">
        <v>19.891666666666666</v>
      </c>
      <c r="N346" s="48">
        <v>6.2695150000000002</v>
      </c>
      <c r="O346" s="49">
        <v>7.3239999999999998</v>
      </c>
      <c r="P346" s="49">
        <v>10.775</v>
      </c>
      <c r="Q346" s="1884">
        <f t="shared" si="154"/>
        <v>145.68656666666666</v>
      </c>
      <c r="R346" s="50">
        <v>5.1924999999999999E-2</v>
      </c>
      <c r="S346" s="1932"/>
      <c r="T346" s="1932"/>
      <c r="U346" s="1932"/>
      <c r="V346" s="1932"/>
      <c r="W346" s="1885">
        <f t="shared" si="137"/>
        <v>0.19402429675425048</v>
      </c>
      <c r="X346" s="1891">
        <f t="shared" si="138"/>
        <v>2.0906117975270488</v>
      </c>
      <c r="Y346" s="1891">
        <f t="shared" si="139"/>
        <v>0.55949187499999997</v>
      </c>
      <c r="Z346" s="50">
        <v>0</v>
      </c>
      <c r="AA346" s="50">
        <v>0</v>
      </c>
      <c r="AB346" s="48">
        <v>0</v>
      </c>
      <c r="AC346" s="48">
        <v>14.462435759279709</v>
      </c>
      <c r="AD346" s="48">
        <v>14.462435759279709</v>
      </c>
      <c r="AE346" s="45" t="s">
        <v>4517</v>
      </c>
      <c r="AF346" s="51" t="s">
        <v>4863</v>
      </c>
      <c r="AG346" s="42"/>
      <c r="AH346" s="52" t="s">
        <v>4993</v>
      </c>
      <c r="AI346" s="197"/>
      <c r="AJ346" s="2578"/>
      <c r="AK346" s="251"/>
      <c r="AL346" s="2578"/>
      <c r="AM346" s="2562"/>
      <c r="AN346" s="2562"/>
      <c r="AO346" s="2562"/>
      <c r="AP346" s="2562"/>
      <c r="AQ346" s="2562"/>
      <c r="AR346" s="2562"/>
      <c r="AS346" s="2562"/>
      <c r="AT346" s="252">
        <f t="shared" si="140"/>
        <v>1</v>
      </c>
      <c r="AU346" s="252">
        <f t="shared" si="141"/>
        <v>0</v>
      </c>
      <c r="AV346" s="252">
        <f t="shared" si="142"/>
        <v>0</v>
      </c>
      <c r="AW346" s="252">
        <f t="shared" si="143"/>
        <v>0</v>
      </c>
      <c r="AX346" s="252">
        <f t="shared" si="144"/>
        <v>0</v>
      </c>
      <c r="AY346" s="252">
        <f t="shared" si="145"/>
        <v>0</v>
      </c>
      <c r="AZ346" s="252">
        <f t="shared" si="146"/>
        <v>0</v>
      </c>
      <c r="BA346" s="237"/>
      <c r="BB346" s="252">
        <f t="shared" si="147"/>
        <v>0</v>
      </c>
      <c r="BC346" s="237"/>
      <c r="BD346" s="237"/>
      <c r="BE346" s="237"/>
      <c r="BF346" s="237"/>
      <c r="BG346" s="237"/>
      <c r="BH346" s="237"/>
      <c r="BI346" s="237"/>
      <c r="BJ346" s="252">
        <f t="shared" si="148"/>
        <v>0</v>
      </c>
      <c r="BK346" s="252">
        <f t="shared" si="149"/>
        <v>0</v>
      </c>
      <c r="BL346" s="252">
        <f t="shared" si="150"/>
        <v>0</v>
      </c>
      <c r="BM346" s="252">
        <f t="shared" si="151"/>
        <v>0</v>
      </c>
      <c r="BN346" s="252">
        <f t="shared" si="152"/>
        <v>0</v>
      </c>
      <c r="BO346" s="252">
        <f t="shared" si="153"/>
        <v>1</v>
      </c>
      <c r="BP346" s="2578"/>
      <c r="BQ346" s="2562"/>
      <c r="BR346" s="2562"/>
      <c r="BS346" s="2585"/>
      <c r="BT346" s="2585"/>
      <c r="BU346" s="2585"/>
    </row>
    <row r="347" spans="1:73" s="22" customFormat="1" ht="15.75" customHeight="1" outlineLevel="1">
      <c r="A347" s="2585"/>
      <c r="B347" s="44" t="s">
        <v>4814</v>
      </c>
      <c r="C347" s="45" t="s">
        <v>50</v>
      </c>
      <c r="D347" s="46" t="s">
        <v>4505</v>
      </c>
      <c r="E347" s="46" t="s">
        <v>4429</v>
      </c>
      <c r="F347" s="45" t="s">
        <v>4459</v>
      </c>
      <c r="G347" s="46" t="s">
        <v>4515</v>
      </c>
      <c r="H347" s="45" t="s">
        <v>4459</v>
      </c>
      <c r="I347" s="45" t="s">
        <v>4433</v>
      </c>
      <c r="J347" s="47" t="s">
        <v>4744</v>
      </c>
      <c r="K347" s="48">
        <v>100</v>
      </c>
      <c r="L347" s="47">
        <v>54109</v>
      </c>
      <c r="M347" s="1913">
        <v>24.891666666666666</v>
      </c>
      <c r="N347" s="48">
        <v>9.9689700000000006</v>
      </c>
      <c r="O347" s="49">
        <v>11.233000000000001</v>
      </c>
      <c r="P347" s="49">
        <v>17.132999999999999</v>
      </c>
      <c r="Q347" s="1884">
        <f t="shared" si="154"/>
        <v>279.60809166666667</v>
      </c>
      <c r="R347" s="50">
        <v>5.1924999999999999E-2</v>
      </c>
      <c r="S347" s="1932"/>
      <c r="T347" s="1932"/>
      <c r="U347" s="1932"/>
      <c r="V347" s="1932"/>
      <c r="W347" s="1885">
        <f t="shared" si="137"/>
        <v>0.19402429675425048</v>
      </c>
      <c r="X347" s="1891">
        <f t="shared" si="138"/>
        <v>3.3242182762905732</v>
      </c>
      <c r="Y347" s="1891">
        <f t="shared" si="139"/>
        <v>0.88963102499999991</v>
      </c>
      <c r="Z347" s="50">
        <v>0</v>
      </c>
      <c r="AA347" s="50">
        <v>0</v>
      </c>
      <c r="AB347" s="48">
        <v>0</v>
      </c>
      <c r="AC347" s="48">
        <v>22.996290496344077</v>
      </c>
      <c r="AD347" s="48">
        <v>22.996290496344077</v>
      </c>
      <c r="AE347" s="45" t="s">
        <v>4517</v>
      </c>
      <c r="AF347" s="51" t="s">
        <v>4863</v>
      </c>
      <c r="AG347" s="42"/>
      <c r="AH347" s="52" t="s">
        <v>4994</v>
      </c>
      <c r="AI347" s="197"/>
      <c r="AJ347" s="2578"/>
      <c r="AK347" s="251"/>
      <c r="AL347" s="2578"/>
      <c r="AM347" s="2562"/>
      <c r="AN347" s="2562"/>
      <c r="AO347" s="2562"/>
      <c r="AP347" s="2562"/>
      <c r="AQ347" s="2562"/>
      <c r="AR347" s="2562"/>
      <c r="AS347" s="2562"/>
      <c r="AT347" s="252">
        <f t="shared" si="140"/>
        <v>1</v>
      </c>
      <c r="AU347" s="252">
        <f t="shared" si="141"/>
        <v>0</v>
      </c>
      <c r="AV347" s="252">
        <f t="shared" si="142"/>
        <v>0</v>
      </c>
      <c r="AW347" s="252">
        <f t="shared" si="143"/>
        <v>0</v>
      </c>
      <c r="AX347" s="252">
        <f t="shared" si="144"/>
        <v>0</v>
      </c>
      <c r="AY347" s="252">
        <f t="shared" si="145"/>
        <v>0</v>
      </c>
      <c r="AZ347" s="252">
        <f t="shared" si="146"/>
        <v>0</v>
      </c>
      <c r="BA347" s="237"/>
      <c r="BB347" s="252">
        <f t="shared" si="147"/>
        <v>0</v>
      </c>
      <c r="BC347" s="237"/>
      <c r="BD347" s="237"/>
      <c r="BE347" s="237"/>
      <c r="BF347" s="237"/>
      <c r="BG347" s="237"/>
      <c r="BH347" s="237"/>
      <c r="BI347" s="237"/>
      <c r="BJ347" s="252">
        <f t="shared" si="148"/>
        <v>0</v>
      </c>
      <c r="BK347" s="252">
        <f t="shared" si="149"/>
        <v>0</v>
      </c>
      <c r="BL347" s="252">
        <f t="shared" si="150"/>
        <v>0</v>
      </c>
      <c r="BM347" s="252">
        <f t="shared" si="151"/>
        <v>0</v>
      </c>
      <c r="BN347" s="252">
        <f t="shared" si="152"/>
        <v>0</v>
      </c>
      <c r="BO347" s="252">
        <f t="shared" si="153"/>
        <v>1</v>
      </c>
      <c r="BP347" s="2578"/>
      <c r="BQ347" s="2562"/>
      <c r="BR347" s="2562"/>
      <c r="BS347" s="2585"/>
      <c r="BT347" s="2585"/>
      <c r="BU347" s="2585"/>
    </row>
    <row r="348" spans="1:73" s="22" customFormat="1" ht="15.75" customHeight="1" outlineLevel="1">
      <c r="A348" s="2585"/>
      <c r="B348" s="44" t="s">
        <v>4816</v>
      </c>
      <c r="C348" s="45" t="s">
        <v>50</v>
      </c>
      <c r="D348" s="46" t="s">
        <v>4505</v>
      </c>
      <c r="E348" s="46" t="s">
        <v>4429</v>
      </c>
      <c r="F348" s="45" t="s">
        <v>4459</v>
      </c>
      <c r="G348" s="46" t="s">
        <v>4515</v>
      </c>
      <c r="H348" s="45" t="s">
        <v>4459</v>
      </c>
      <c r="I348" s="45" t="s">
        <v>4433</v>
      </c>
      <c r="J348" s="47" t="s">
        <v>4744</v>
      </c>
      <c r="K348" s="48">
        <v>100</v>
      </c>
      <c r="L348" s="47">
        <v>57762</v>
      </c>
      <c r="M348" s="1913">
        <v>34.891666666666666</v>
      </c>
      <c r="N348" s="48">
        <v>6.2695150000000002</v>
      </c>
      <c r="O348" s="49">
        <v>6.73</v>
      </c>
      <c r="P348" s="49">
        <v>10.775</v>
      </c>
      <c r="Q348" s="1884">
        <f t="shared" si="154"/>
        <v>234.82091666666668</v>
      </c>
      <c r="R348" s="50">
        <v>5.1924999999999999E-2</v>
      </c>
      <c r="S348" s="1932"/>
      <c r="T348" s="1932"/>
      <c r="U348" s="1932"/>
      <c r="V348" s="1932"/>
      <c r="W348" s="1885">
        <f t="shared" si="137"/>
        <v>0.19402429675425048</v>
      </c>
      <c r="X348" s="1891">
        <f t="shared" si="138"/>
        <v>2.0906117975270488</v>
      </c>
      <c r="Y348" s="1891">
        <f t="shared" si="139"/>
        <v>0.55949187499999997</v>
      </c>
      <c r="Z348" s="50">
        <v>0</v>
      </c>
      <c r="AA348" s="50">
        <v>0</v>
      </c>
      <c r="AB348" s="48">
        <v>0</v>
      </c>
      <c r="AC348" s="48">
        <v>14.462435759279709</v>
      </c>
      <c r="AD348" s="48">
        <v>14.462435759279709</v>
      </c>
      <c r="AE348" s="45" t="s">
        <v>4517</v>
      </c>
      <c r="AF348" s="51" t="s">
        <v>4863</v>
      </c>
      <c r="AG348" s="42"/>
      <c r="AH348" s="52" t="s">
        <v>4995</v>
      </c>
      <c r="AI348" s="197"/>
      <c r="AJ348" s="2578"/>
      <c r="AK348" s="251"/>
      <c r="AL348" s="2578"/>
      <c r="AM348" s="2562"/>
      <c r="AN348" s="2562"/>
      <c r="AO348" s="2562"/>
      <c r="AP348" s="2562"/>
      <c r="AQ348" s="2562"/>
      <c r="AR348" s="2562"/>
      <c r="AS348" s="2562"/>
      <c r="AT348" s="252">
        <f t="shared" si="140"/>
        <v>1</v>
      </c>
      <c r="AU348" s="252">
        <f t="shared" si="141"/>
        <v>0</v>
      </c>
      <c r="AV348" s="252">
        <f t="shared" si="142"/>
        <v>0</v>
      </c>
      <c r="AW348" s="252">
        <f t="shared" si="143"/>
        <v>0</v>
      </c>
      <c r="AX348" s="252">
        <f t="shared" si="144"/>
        <v>0</v>
      </c>
      <c r="AY348" s="252">
        <f t="shared" si="145"/>
        <v>0</v>
      </c>
      <c r="AZ348" s="252">
        <f t="shared" si="146"/>
        <v>0</v>
      </c>
      <c r="BA348" s="237"/>
      <c r="BB348" s="252">
        <f t="shared" si="147"/>
        <v>0</v>
      </c>
      <c r="BC348" s="237"/>
      <c r="BD348" s="237"/>
      <c r="BE348" s="237"/>
      <c r="BF348" s="237"/>
      <c r="BG348" s="237"/>
      <c r="BH348" s="237"/>
      <c r="BI348" s="237"/>
      <c r="BJ348" s="252">
        <f t="shared" si="148"/>
        <v>0</v>
      </c>
      <c r="BK348" s="252">
        <f t="shared" si="149"/>
        <v>0</v>
      </c>
      <c r="BL348" s="252">
        <f t="shared" si="150"/>
        <v>0</v>
      </c>
      <c r="BM348" s="252">
        <f t="shared" si="151"/>
        <v>0</v>
      </c>
      <c r="BN348" s="252">
        <f t="shared" si="152"/>
        <v>0</v>
      </c>
      <c r="BO348" s="252">
        <f t="shared" si="153"/>
        <v>1</v>
      </c>
      <c r="BP348" s="2578"/>
      <c r="BQ348" s="2562"/>
      <c r="BR348" s="2562"/>
      <c r="BS348" s="2585"/>
      <c r="BT348" s="2585"/>
      <c r="BU348" s="2585"/>
    </row>
    <row r="349" spans="1:73" s="22" customFormat="1" ht="15.75" customHeight="1" outlineLevel="1">
      <c r="A349" s="2585"/>
      <c r="B349" s="44" t="s">
        <v>4818</v>
      </c>
      <c r="C349" s="45" t="s">
        <v>50</v>
      </c>
      <c r="D349" s="46" t="s">
        <v>4505</v>
      </c>
      <c r="E349" s="46" t="s">
        <v>4429</v>
      </c>
      <c r="F349" s="45" t="s">
        <v>4459</v>
      </c>
      <c r="G349" s="46" t="s">
        <v>4515</v>
      </c>
      <c r="H349" s="45" t="s">
        <v>4459</v>
      </c>
      <c r="I349" s="45" t="s">
        <v>4433</v>
      </c>
      <c r="J349" s="47" t="s">
        <v>4744</v>
      </c>
      <c r="K349" s="48">
        <v>100</v>
      </c>
      <c r="L349" s="47">
        <v>59588</v>
      </c>
      <c r="M349" s="1913">
        <v>39.891666666666666</v>
      </c>
      <c r="N349" s="48">
        <v>3.7570250000000001</v>
      </c>
      <c r="O349" s="49">
        <v>3.968</v>
      </c>
      <c r="P349" s="49">
        <v>6.4569999999999999</v>
      </c>
      <c r="Q349" s="1884">
        <f t="shared" si="154"/>
        <v>158.29013333333333</v>
      </c>
      <c r="R349" s="50">
        <v>5.1924999999999999E-2</v>
      </c>
      <c r="S349" s="1932"/>
      <c r="T349" s="1932"/>
      <c r="U349" s="1932"/>
      <c r="V349" s="1932"/>
      <c r="W349" s="1885">
        <f t="shared" si="137"/>
        <v>0.19402429675425048</v>
      </c>
      <c r="X349" s="1891">
        <f t="shared" si="138"/>
        <v>1.2528148841421953</v>
      </c>
      <c r="Y349" s="1891">
        <f t="shared" si="139"/>
        <v>0.33527972499999997</v>
      </c>
      <c r="Z349" s="50">
        <v>0</v>
      </c>
      <c r="AA349" s="50">
        <v>0</v>
      </c>
      <c r="AB349" s="48">
        <v>0</v>
      </c>
      <c r="AC349" s="48">
        <v>8.6666564652142704</v>
      </c>
      <c r="AD349" s="48">
        <v>8.6666564652142704</v>
      </c>
      <c r="AE349" s="45" t="s">
        <v>4517</v>
      </c>
      <c r="AF349" s="51" t="s">
        <v>4863</v>
      </c>
      <c r="AG349" s="42"/>
      <c r="AH349" s="52" t="s">
        <v>4996</v>
      </c>
      <c r="AI349" s="197"/>
      <c r="AJ349" s="2578"/>
      <c r="AK349" s="251"/>
      <c r="AL349" s="2578"/>
      <c r="AM349" s="2562"/>
      <c r="AN349" s="2562"/>
      <c r="AO349" s="2562"/>
      <c r="AP349" s="2562"/>
      <c r="AQ349" s="2562"/>
      <c r="AR349" s="2562"/>
      <c r="AS349" s="2562"/>
      <c r="AT349" s="252">
        <f t="shared" si="140"/>
        <v>1</v>
      </c>
      <c r="AU349" s="252">
        <f t="shared" si="141"/>
        <v>0</v>
      </c>
      <c r="AV349" s="252">
        <f t="shared" si="142"/>
        <v>0</v>
      </c>
      <c r="AW349" s="252">
        <f t="shared" si="143"/>
        <v>0</v>
      </c>
      <c r="AX349" s="252">
        <f t="shared" si="144"/>
        <v>0</v>
      </c>
      <c r="AY349" s="252">
        <f t="shared" si="145"/>
        <v>0</v>
      </c>
      <c r="AZ349" s="252">
        <f t="shared" si="146"/>
        <v>0</v>
      </c>
      <c r="BA349" s="237"/>
      <c r="BB349" s="252">
        <f t="shared" si="147"/>
        <v>0</v>
      </c>
      <c r="BC349" s="237"/>
      <c r="BD349" s="237"/>
      <c r="BE349" s="237"/>
      <c r="BF349" s="237"/>
      <c r="BG349" s="237"/>
      <c r="BH349" s="237"/>
      <c r="BI349" s="237"/>
      <c r="BJ349" s="252">
        <f t="shared" si="148"/>
        <v>0</v>
      </c>
      <c r="BK349" s="252">
        <f t="shared" si="149"/>
        <v>0</v>
      </c>
      <c r="BL349" s="252">
        <f t="shared" si="150"/>
        <v>0</v>
      </c>
      <c r="BM349" s="252">
        <f t="shared" si="151"/>
        <v>0</v>
      </c>
      <c r="BN349" s="252">
        <f t="shared" si="152"/>
        <v>0</v>
      </c>
      <c r="BO349" s="252">
        <f t="shared" si="153"/>
        <v>1</v>
      </c>
      <c r="BP349" s="2578"/>
      <c r="BQ349" s="2562"/>
      <c r="BR349" s="2562"/>
      <c r="BS349" s="2585"/>
      <c r="BT349" s="2585"/>
      <c r="BU349" s="2585"/>
    </row>
    <row r="350" spans="1:73" s="22" customFormat="1" ht="15.75" customHeight="1" outlineLevel="1">
      <c r="A350" s="2585"/>
      <c r="B350" s="44" t="s">
        <v>4820</v>
      </c>
      <c r="C350" s="45" t="s">
        <v>50</v>
      </c>
      <c r="D350" s="46" t="s">
        <v>4505</v>
      </c>
      <c r="E350" s="46" t="s">
        <v>4429</v>
      </c>
      <c r="F350" s="45" t="s">
        <v>4459</v>
      </c>
      <c r="G350" s="46" t="s">
        <v>4515</v>
      </c>
      <c r="H350" s="45" t="s">
        <v>4459</v>
      </c>
      <c r="I350" s="45" t="s">
        <v>4433</v>
      </c>
      <c r="J350" s="47" t="s">
        <v>4744</v>
      </c>
      <c r="K350" s="48">
        <v>100</v>
      </c>
      <c r="L350" s="47">
        <v>54109</v>
      </c>
      <c r="M350" s="1913">
        <v>24.891666666666666</v>
      </c>
      <c r="N350" s="48">
        <v>6.4249999999999998</v>
      </c>
      <c r="O350" s="49">
        <v>7.24</v>
      </c>
      <c r="P350" s="49">
        <v>11.042</v>
      </c>
      <c r="Q350" s="1884">
        <f t="shared" si="154"/>
        <v>180.21566666666666</v>
      </c>
      <c r="R350" s="50">
        <v>5.4850000000000003E-2</v>
      </c>
      <c r="S350" s="1932"/>
      <c r="T350" s="1932"/>
      <c r="U350" s="1932"/>
      <c r="V350" s="1932"/>
      <c r="W350" s="1885">
        <f t="shared" si="137"/>
        <v>0.19734442040185485</v>
      </c>
      <c r="X350" s="1891">
        <f t="shared" si="138"/>
        <v>2.1790770900772811</v>
      </c>
      <c r="Y350" s="1891">
        <f t="shared" si="139"/>
        <v>0.60565370000000007</v>
      </c>
      <c r="Z350" s="50">
        <v>0</v>
      </c>
      <c r="AA350" s="50">
        <v>0</v>
      </c>
      <c r="AB350" s="48">
        <v>0</v>
      </c>
      <c r="AC350" s="48">
        <v>18.264913503464086</v>
      </c>
      <c r="AD350" s="48">
        <v>18.264913503464086</v>
      </c>
      <c r="AE350" s="45" t="s">
        <v>4517</v>
      </c>
      <c r="AF350" s="51" t="s">
        <v>4863</v>
      </c>
      <c r="AG350" s="42"/>
      <c r="AH350" s="52" t="s">
        <v>4997</v>
      </c>
      <c r="AI350" s="197"/>
      <c r="AJ350" s="2578"/>
      <c r="AK350" s="251"/>
      <c r="AL350" s="2578"/>
      <c r="AM350" s="2562"/>
      <c r="AN350" s="2562"/>
      <c r="AO350" s="2562"/>
      <c r="AP350" s="2562"/>
      <c r="AQ350" s="2562"/>
      <c r="AR350" s="2562"/>
      <c r="AS350" s="2562"/>
      <c r="AT350" s="252">
        <f t="shared" si="140"/>
        <v>1</v>
      </c>
      <c r="AU350" s="252">
        <f t="shared" si="141"/>
        <v>0</v>
      </c>
      <c r="AV350" s="252">
        <f t="shared" si="142"/>
        <v>0</v>
      </c>
      <c r="AW350" s="252">
        <f t="shared" si="143"/>
        <v>0</v>
      </c>
      <c r="AX350" s="252">
        <f t="shared" si="144"/>
        <v>0</v>
      </c>
      <c r="AY350" s="252">
        <f t="shared" si="145"/>
        <v>0</v>
      </c>
      <c r="AZ350" s="252">
        <f t="shared" si="146"/>
        <v>0</v>
      </c>
      <c r="BA350" s="237"/>
      <c r="BB350" s="252">
        <f t="shared" si="147"/>
        <v>0</v>
      </c>
      <c r="BC350" s="237"/>
      <c r="BD350" s="237"/>
      <c r="BE350" s="237"/>
      <c r="BF350" s="237"/>
      <c r="BG350" s="237"/>
      <c r="BH350" s="237"/>
      <c r="BI350" s="237"/>
      <c r="BJ350" s="252">
        <f t="shared" si="148"/>
        <v>0</v>
      </c>
      <c r="BK350" s="252">
        <f t="shared" si="149"/>
        <v>0</v>
      </c>
      <c r="BL350" s="252">
        <f t="shared" si="150"/>
        <v>0</v>
      </c>
      <c r="BM350" s="252">
        <f t="shared" si="151"/>
        <v>0</v>
      </c>
      <c r="BN350" s="252">
        <f t="shared" si="152"/>
        <v>0</v>
      </c>
      <c r="BO350" s="252">
        <f t="shared" si="153"/>
        <v>1</v>
      </c>
      <c r="BP350" s="2578"/>
      <c r="BQ350" s="2562"/>
      <c r="BR350" s="2562"/>
      <c r="BS350" s="2585"/>
      <c r="BT350" s="2585"/>
      <c r="BU350" s="2585"/>
    </row>
    <row r="351" spans="1:73" s="22" customFormat="1" ht="15.75" customHeight="1" outlineLevel="1">
      <c r="A351" s="2585"/>
      <c r="B351" s="44" t="s">
        <v>4822</v>
      </c>
      <c r="C351" s="45" t="s">
        <v>50</v>
      </c>
      <c r="D351" s="46" t="s">
        <v>4505</v>
      </c>
      <c r="E351" s="46" t="s">
        <v>4429</v>
      </c>
      <c r="F351" s="45" t="s">
        <v>4459</v>
      </c>
      <c r="G351" s="46" t="s">
        <v>4515</v>
      </c>
      <c r="H351" s="45" t="s">
        <v>4459</v>
      </c>
      <c r="I351" s="45" t="s">
        <v>4433</v>
      </c>
      <c r="J351" s="47" t="s">
        <v>4744</v>
      </c>
      <c r="K351" s="48">
        <v>100</v>
      </c>
      <c r="L351" s="47">
        <v>57762</v>
      </c>
      <c r="M351" s="1913">
        <v>34.891666666666666</v>
      </c>
      <c r="N351" s="48">
        <v>10.124454999999999</v>
      </c>
      <c r="O351" s="49">
        <v>10.869</v>
      </c>
      <c r="P351" s="49">
        <v>17.399999999999999</v>
      </c>
      <c r="Q351" s="1884">
        <f t="shared" si="154"/>
        <v>379.23752500000001</v>
      </c>
      <c r="R351" s="50">
        <v>5.4850000000000003E-2</v>
      </c>
      <c r="S351" s="1932"/>
      <c r="T351" s="1932"/>
      <c r="U351" s="1932"/>
      <c r="V351" s="1932"/>
      <c r="W351" s="1885">
        <f t="shared" si="137"/>
        <v>0.19734442040185485</v>
      </c>
      <c r="X351" s="1891">
        <f t="shared" si="138"/>
        <v>3.4337929149922739</v>
      </c>
      <c r="Y351" s="1891">
        <f t="shared" si="139"/>
        <v>0.95438999999999996</v>
      </c>
      <c r="Z351" s="50">
        <v>0</v>
      </c>
      <c r="AA351" s="50">
        <v>0</v>
      </c>
      <c r="AB351" s="48">
        <v>0</v>
      </c>
      <c r="AC351" s="48">
        <v>28.78168013147307</v>
      </c>
      <c r="AD351" s="48">
        <v>28.78168013147307</v>
      </c>
      <c r="AE351" s="45" t="s">
        <v>4517</v>
      </c>
      <c r="AF351" s="51" t="s">
        <v>4863</v>
      </c>
      <c r="AG351" s="42"/>
      <c r="AH351" s="52" t="s">
        <v>4998</v>
      </c>
      <c r="AI351" s="197"/>
      <c r="AJ351" s="2578"/>
      <c r="AK351" s="251"/>
      <c r="AL351" s="2578"/>
      <c r="AM351" s="2562"/>
      <c r="AN351" s="2562"/>
      <c r="AO351" s="2562"/>
      <c r="AP351" s="2562"/>
      <c r="AQ351" s="2562"/>
      <c r="AR351" s="2562"/>
      <c r="AS351" s="2562"/>
      <c r="AT351" s="252">
        <f t="shared" si="140"/>
        <v>1</v>
      </c>
      <c r="AU351" s="252">
        <f t="shared" si="141"/>
        <v>0</v>
      </c>
      <c r="AV351" s="252">
        <f t="shared" si="142"/>
        <v>0</v>
      </c>
      <c r="AW351" s="252">
        <f t="shared" si="143"/>
        <v>0</v>
      </c>
      <c r="AX351" s="252">
        <f t="shared" si="144"/>
        <v>0</v>
      </c>
      <c r="AY351" s="252">
        <f t="shared" si="145"/>
        <v>0</v>
      </c>
      <c r="AZ351" s="252">
        <f t="shared" si="146"/>
        <v>0</v>
      </c>
      <c r="BA351" s="237"/>
      <c r="BB351" s="252">
        <f t="shared" si="147"/>
        <v>0</v>
      </c>
      <c r="BC351" s="237"/>
      <c r="BD351" s="237"/>
      <c r="BE351" s="237"/>
      <c r="BF351" s="237"/>
      <c r="BG351" s="237"/>
      <c r="BH351" s="237"/>
      <c r="BI351" s="237"/>
      <c r="BJ351" s="252">
        <f t="shared" si="148"/>
        <v>0</v>
      </c>
      <c r="BK351" s="252">
        <f t="shared" si="149"/>
        <v>0</v>
      </c>
      <c r="BL351" s="252">
        <f t="shared" si="150"/>
        <v>0</v>
      </c>
      <c r="BM351" s="252">
        <f t="shared" si="151"/>
        <v>0</v>
      </c>
      <c r="BN351" s="252">
        <f t="shared" si="152"/>
        <v>0</v>
      </c>
      <c r="BO351" s="252">
        <f t="shared" si="153"/>
        <v>1</v>
      </c>
      <c r="BP351" s="2578"/>
      <c r="BQ351" s="2562"/>
      <c r="BR351" s="2562"/>
      <c r="BS351" s="2585"/>
      <c r="BT351" s="2585"/>
      <c r="BU351" s="2585"/>
    </row>
    <row r="352" spans="1:73" s="22" customFormat="1" ht="15.75" customHeight="1" outlineLevel="1">
      <c r="A352" s="2585"/>
      <c r="B352" s="44" t="s">
        <v>4824</v>
      </c>
      <c r="C352" s="45" t="s">
        <v>50</v>
      </c>
      <c r="D352" s="46" t="s">
        <v>4505</v>
      </c>
      <c r="E352" s="46" t="s">
        <v>4429</v>
      </c>
      <c r="F352" s="45" t="s">
        <v>4459</v>
      </c>
      <c r="G352" s="46" t="s">
        <v>4515</v>
      </c>
      <c r="H352" s="45" t="s">
        <v>4459</v>
      </c>
      <c r="I352" s="45" t="s">
        <v>4433</v>
      </c>
      <c r="J352" s="47" t="s">
        <v>4744</v>
      </c>
      <c r="K352" s="48">
        <v>100</v>
      </c>
      <c r="L352" s="47">
        <v>59588</v>
      </c>
      <c r="M352" s="1913">
        <v>39.891666666666666</v>
      </c>
      <c r="N352" s="48">
        <v>12.892094999999999</v>
      </c>
      <c r="O352" s="49">
        <v>13.615</v>
      </c>
      <c r="P352" s="49">
        <v>22.157</v>
      </c>
      <c r="Q352" s="1884">
        <f t="shared" si="154"/>
        <v>543.12504166666668</v>
      </c>
      <c r="R352" s="50">
        <v>5.4850000000000003E-2</v>
      </c>
      <c r="S352" s="1932"/>
      <c r="T352" s="1932"/>
      <c r="U352" s="1932"/>
      <c r="V352" s="1932"/>
      <c r="W352" s="1885">
        <f t="shared" si="137"/>
        <v>0.19734442040185485</v>
      </c>
      <c r="X352" s="1891">
        <f t="shared" si="138"/>
        <v>4.3725603228438983</v>
      </c>
      <c r="Y352" s="1891">
        <f t="shared" si="139"/>
        <v>1.21531145</v>
      </c>
      <c r="Z352" s="50">
        <v>0</v>
      </c>
      <c r="AA352" s="50">
        <v>0</v>
      </c>
      <c r="AB352" s="48">
        <v>0</v>
      </c>
      <c r="AC352" s="48">
        <v>36.649494171741928</v>
      </c>
      <c r="AD352" s="48">
        <v>36.649494171741928</v>
      </c>
      <c r="AE352" s="45" t="s">
        <v>4517</v>
      </c>
      <c r="AF352" s="51" t="s">
        <v>4863</v>
      </c>
      <c r="AG352" s="42"/>
      <c r="AH352" s="52" t="s">
        <v>4999</v>
      </c>
      <c r="AI352" s="197"/>
      <c r="AJ352" s="2578"/>
      <c r="AK352" s="251"/>
      <c r="AL352" s="2578"/>
      <c r="AM352" s="2562"/>
      <c r="AN352" s="2562"/>
      <c r="AO352" s="2562"/>
      <c r="AP352" s="2562"/>
      <c r="AQ352" s="2562"/>
      <c r="AR352" s="2562"/>
      <c r="AS352" s="2562"/>
      <c r="AT352" s="252">
        <f t="shared" si="140"/>
        <v>1</v>
      </c>
      <c r="AU352" s="252">
        <f t="shared" si="141"/>
        <v>0</v>
      </c>
      <c r="AV352" s="252">
        <f t="shared" si="142"/>
        <v>0</v>
      </c>
      <c r="AW352" s="252">
        <f t="shared" si="143"/>
        <v>0</v>
      </c>
      <c r="AX352" s="252">
        <f t="shared" si="144"/>
        <v>0</v>
      </c>
      <c r="AY352" s="252">
        <f t="shared" si="145"/>
        <v>0</v>
      </c>
      <c r="AZ352" s="252">
        <f t="shared" si="146"/>
        <v>0</v>
      </c>
      <c r="BA352" s="237"/>
      <c r="BB352" s="252">
        <f t="shared" si="147"/>
        <v>0</v>
      </c>
      <c r="BC352" s="237"/>
      <c r="BD352" s="237"/>
      <c r="BE352" s="237"/>
      <c r="BF352" s="237"/>
      <c r="BG352" s="237"/>
      <c r="BH352" s="237"/>
      <c r="BI352" s="237"/>
      <c r="BJ352" s="252">
        <f t="shared" si="148"/>
        <v>0</v>
      </c>
      <c r="BK352" s="252">
        <f t="shared" si="149"/>
        <v>0</v>
      </c>
      <c r="BL352" s="252">
        <f t="shared" si="150"/>
        <v>0</v>
      </c>
      <c r="BM352" s="252">
        <f t="shared" si="151"/>
        <v>0</v>
      </c>
      <c r="BN352" s="252">
        <f t="shared" si="152"/>
        <v>0</v>
      </c>
      <c r="BO352" s="252">
        <f t="shared" si="153"/>
        <v>1</v>
      </c>
      <c r="BP352" s="2578"/>
      <c r="BQ352" s="2562"/>
      <c r="BR352" s="2562"/>
      <c r="BS352" s="2585"/>
      <c r="BT352" s="2585"/>
      <c r="BU352" s="2585"/>
    </row>
    <row r="353" spans="1:73" s="22" customFormat="1" ht="15.75" customHeight="1" outlineLevel="1">
      <c r="A353" s="2585"/>
      <c r="B353" s="44" t="s">
        <v>4826</v>
      </c>
      <c r="C353" s="45" t="s">
        <v>50</v>
      </c>
      <c r="D353" s="46" t="s">
        <v>4505</v>
      </c>
      <c r="E353" s="46" t="s">
        <v>4429</v>
      </c>
      <c r="F353" s="45" t="s">
        <v>4459</v>
      </c>
      <c r="G353" s="46" t="s">
        <v>4515</v>
      </c>
      <c r="H353" s="45" t="s">
        <v>4459</v>
      </c>
      <c r="I353" s="45" t="s">
        <v>4433</v>
      </c>
      <c r="J353" s="47" t="s">
        <v>4744</v>
      </c>
      <c r="K353" s="48">
        <v>100</v>
      </c>
      <c r="L353" s="47">
        <v>54109</v>
      </c>
      <c r="M353" s="1913">
        <v>24.891666666666666</v>
      </c>
      <c r="N353" s="48">
        <v>225.51922999999999</v>
      </c>
      <c r="O353" s="49">
        <v>276.90300000000002</v>
      </c>
      <c r="P353" s="49">
        <v>387.58800000000002</v>
      </c>
      <c r="Q353" s="1884">
        <f t="shared" si="154"/>
        <v>6892.5771750000004</v>
      </c>
      <c r="R353" s="50">
        <v>1.7909999999999999E-2</v>
      </c>
      <c r="S353" s="1932"/>
      <c r="T353" s="1932"/>
      <c r="U353" s="1932"/>
      <c r="V353" s="1932"/>
      <c r="W353" s="1885">
        <f t="shared" si="137"/>
        <v>0.15541438021638343</v>
      </c>
      <c r="X353" s="1891">
        <f t="shared" si="138"/>
        <v>60.236748799307627</v>
      </c>
      <c r="Y353" s="1891">
        <f t="shared" si="139"/>
        <v>6.9417010799999996</v>
      </c>
      <c r="Z353" s="50">
        <v>0</v>
      </c>
      <c r="AA353" s="50">
        <v>0</v>
      </c>
      <c r="AB353" s="48">
        <v>0</v>
      </c>
      <c r="AC353" s="48">
        <v>347.62120897199679</v>
      </c>
      <c r="AD353" s="48">
        <v>347.62120897199679</v>
      </c>
      <c r="AE353" s="45" t="s">
        <v>4517</v>
      </c>
      <c r="AF353" s="51" t="s">
        <v>5000</v>
      </c>
      <c r="AG353" s="42"/>
      <c r="AH353" s="52" t="s">
        <v>5001</v>
      </c>
      <c r="AI353" s="197"/>
      <c r="AJ353" s="2578"/>
      <c r="AK353" s="251"/>
      <c r="AL353" s="2578"/>
      <c r="AM353" s="2562"/>
      <c r="AN353" s="2562"/>
      <c r="AO353" s="2562"/>
      <c r="AP353" s="2562"/>
      <c r="AQ353" s="2562"/>
      <c r="AR353" s="2562"/>
      <c r="AS353" s="2562"/>
      <c r="AT353" s="252">
        <f t="shared" si="140"/>
        <v>1</v>
      </c>
      <c r="AU353" s="252">
        <f t="shared" si="141"/>
        <v>0</v>
      </c>
      <c r="AV353" s="252">
        <f t="shared" si="142"/>
        <v>0</v>
      </c>
      <c r="AW353" s="252">
        <f t="shared" si="143"/>
        <v>0</v>
      </c>
      <c r="AX353" s="252">
        <f t="shared" si="144"/>
        <v>0</v>
      </c>
      <c r="AY353" s="252">
        <f t="shared" si="145"/>
        <v>0</v>
      </c>
      <c r="AZ353" s="252">
        <f t="shared" si="146"/>
        <v>0</v>
      </c>
      <c r="BA353" s="237"/>
      <c r="BB353" s="252">
        <f t="shared" si="147"/>
        <v>0</v>
      </c>
      <c r="BC353" s="237"/>
      <c r="BD353" s="237"/>
      <c r="BE353" s="237"/>
      <c r="BF353" s="237"/>
      <c r="BG353" s="237"/>
      <c r="BH353" s="237"/>
      <c r="BI353" s="237"/>
      <c r="BJ353" s="252">
        <f t="shared" si="148"/>
        <v>0</v>
      </c>
      <c r="BK353" s="252">
        <f t="shared" si="149"/>
        <v>0</v>
      </c>
      <c r="BL353" s="252">
        <f t="shared" si="150"/>
        <v>0</v>
      </c>
      <c r="BM353" s="252">
        <f t="shared" si="151"/>
        <v>0</v>
      </c>
      <c r="BN353" s="252">
        <f t="shared" si="152"/>
        <v>0</v>
      </c>
      <c r="BO353" s="252">
        <f t="shared" si="153"/>
        <v>1</v>
      </c>
      <c r="BP353" s="2578"/>
      <c r="BQ353" s="2562"/>
      <c r="BR353" s="2562"/>
      <c r="BS353" s="2585"/>
      <c r="BT353" s="2585"/>
      <c r="BU353" s="2585"/>
    </row>
    <row r="354" spans="1:73" s="22" customFormat="1" ht="15.75" customHeight="1" outlineLevel="1">
      <c r="A354" s="2585"/>
      <c r="B354" s="44" t="s">
        <v>4828</v>
      </c>
      <c r="C354" s="45" t="s">
        <v>50</v>
      </c>
      <c r="D354" s="46" t="s">
        <v>4505</v>
      </c>
      <c r="E354" s="46" t="s">
        <v>4429</v>
      </c>
      <c r="F354" s="45" t="s">
        <v>4459</v>
      </c>
      <c r="G354" s="46" t="s">
        <v>4515</v>
      </c>
      <c r="H354" s="45" t="s">
        <v>4459</v>
      </c>
      <c r="I354" s="45" t="s">
        <v>4433</v>
      </c>
      <c r="J354" s="47" t="s">
        <v>4744</v>
      </c>
      <c r="K354" s="48">
        <v>100</v>
      </c>
      <c r="L354" s="47">
        <v>50457</v>
      </c>
      <c r="M354" s="1913">
        <v>14.891666666666667</v>
      </c>
      <c r="N354" s="48">
        <v>15.524492</v>
      </c>
      <c r="O354" s="49">
        <v>18.041</v>
      </c>
      <c r="P354" s="49">
        <v>26.681000000000001</v>
      </c>
      <c r="Q354" s="1884">
        <f t="shared" si="154"/>
        <v>268.66055833333337</v>
      </c>
      <c r="R354" s="50">
        <v>2.0129399999999999E-2</v>
      </c>
      <c r="S354" s="1932"/>
      <c r="T354" s="1932"/>
      <c r="U354" s="1932"/>
      <c r="V354" s="1932"/>
      <c r="W354" s="1885">
        <f t="shared" si="137"/>
        <v>0.15793358788253475</v>
      </c>
      <c r="X354" s="1891">
        <f t="shared" si="138"/>
        <v>4.2138260582939102</v>
      </c>
      <c r="Y354" s="1891">
        <f t="shared" si="139"/>
        <v>0.53707252139999995</v>
      </c>
      <c r="Z354" s="50">
        <v>0</v>
      </c>
      <c r="AA354" s="50">
        <v>0</v>
      </c>
      <c r="AB354" s="48">
        <v>0</v>
      </c>
      <c r="AC354" s="48">
        <v>0.38114495780767638</v>
      </c>
      <c r="AD354" s="48">
        <v>0.38114495780767638</v>
      </c>
      <c r="AE354" s="45" t="s">
        <v>4517</v>
      </c>
      <c r="AF354" s="51" t="s">
        <v>4829</v>
      </c>
      <c r="AG354" s="42"/>
      <c r="AH354" s="52" t="s">
        <v>5002</v>
      </c>
      <c r="AI354" s="197"/>
      <c r="AJ354" s="2578"/>
      <c r="AK354" s="251"/>
      <c r="AL354" s="2578"/>
      <c r="AM354" s="2562"/>
      <c r="AN354" s="2562"/>
      <c r="AO354" s="2562"/>
      <c r="AP354" s="2562"/>
      <c r="AQ354" s="2562"/>
      <c r="AR354" s="2562"/>
      <c r="AS354" s="2562"/>
      <c r="AT354" s="252">
        <f t="shared" si="140"/>
        <v>1</v>
      </c>
      <c r="AU354" s="252">
        <f t="shared" si="141"/>
        <v>0</v>
      </c>
      <c r="AV354" s="252">
        <f t="shared" si="142"/>
        <v>0</v>
      </c>
      <c r="AW354" s="252">
        <f t="shared" si="143"/>
        <v>0</v>
      </c>
      <c r="AX354" s="252">
        <f t="shared" si="144"/>
        <v>0</v>
      </c>
      <c r="AY354" s="252">
        <f t="shared" si="145"/>
        <v>0</v>
      </c>
      <c r="AZ354" s="252">
        <f t="shared" si="146"/>
        <v>0</v>
      </c>
      <c r="BA354" s="237"/>
      <c r="BB354" s="252">
        <f t="shared" si="147"/>
        <v>0</v>
      </c>
      <c r="BC354" s="237"/>
      <c r="BD354" s="237"/>
      <c r="BE354" s="237"/>
      <c r="BF354" s="237"/>
      <c r="BG354" s="237"/>
      <c r="BH354" s="237"/>
      <c r="BI354" s="237"/>
      <c r="BJ354" s="252">
        <f t="shared" si="148"/>
        <v>0</v>
      </c>
      <c r="BK354" s="252">
        <f t="shared" si="149"/>
        <v>0</v>
      </c>
      <c r="BL354" s="252">
        <f t="shared" si="150"/>
        <v>0</v>
      </c>
      <c r="BM354" s="252">
        <f t="shared" si="151"/>
        <v>0</v>
      </c>
      <c r="BN354" s="252">
        <f t="shared" si="152"/>
        <v>0</v>
      </c>
      <c r="BO354" s="252">
        <f t="shared" si="153"/>
        <v>1</v>
      </c>
      <c r="BP354" s="2578"/>
      <c r="BQ354" s="2562"/>
      <c r="BR354" s="2562"/>
      <c r="BS354" s="2585"/>
      <c r="BT354" s="2585"/>
      <c r="BU354" s="2585"/>
    </row>
    <row r="355" spans="1:73" s="22" customFormat="1" ht="15.75" customHeight="1" outlineLevel="1">
      <c r="A355" s="2585"/>
      <c r="B355" s="44" t="s">
        <v>4831</v>
      </c>
      <c r="C355" s="45" t="s">
        <v>50</v>
      </c>
      <c r="D355" s="46" t="s">
        <v>4505</v>
      </c>
      <c r="E355" s="46" t="s">
        <v>4429</v>
      </c>
      <c r="F355" s="45" t="s">
        <v>4459</v>
      </c>
      <c r="G355" s="46" t="s">
        <v>4515</v>
      </c>
      <c r="H355" s="45" t="s">
        <v>4459</v>
      </c>
      <c r="I355" s="45" t="s">
        <v>4433</v>
      </c>
      <c r="J355" s="47" t="s">
        <v>4744</v>
      </c>
      <c r="K355" s="48">
        <v>100</v>
      </c>
      <c r="L355" s="47">
        <v>50457</v>
      </c>
      <c r="M355" s="1913">
        <v>14.891666666666667</v>
      </c>
      <c r="N355" s="48">
        <v>1.9405615000000001</v>
      </c>
      <c r="O355" s="49">
        <v>2.2549999999999999</v>
      </c>
      <c r="P355" s="49">
        <v>3.335</v>
      </c>
      <c r="Q355" s="1884">
        <f t="shared" si="154"/>
        <v>33.580708333333334</v>
      </c>
      <c r="R355" s="50">
        <v>2.0129399999999999E-2</v>
      </c>
      <c r="S355" s="1932"/>
      <c r="T355" s="1932"/>
      <c r="U355" s="1932"/>
      <c r="V355" s="1932"/>
      <c r="W355" s="1885">
        <f t="shared" si="137"/>
        <v>0.15793358788253475</v>
      </c>
      <c r="X355" s="1891">
        <f t="shared" si="138"/>
        <v>0.52670851558825338</v>
      </c>
      <c r="Y355" s="1891">
        <f t="shared" si="139"/>
        <v>6.7131548999999999E-2</v>
      </c>
      <c r="Z355" s="50">
        <v>0</v>
      </c>
      <c r="AA355" s="50">
        <v>0</v>
      </c>
      <c r="AB355" s="48">
        <v>0</v>
      </c>
      <c r="AC355" s="48">
        <v>2.4277375251062477E-3</v>
      </c>
      <c r="AD355" s="48">
        <v>2.4277375251062477E-3</v>
      </c>
      <c r="AE355" s="45" t="s">
        <v>4517</v>
      </c>
      <c r="AF355" s="51" t="s">
        <v>4829</v>
      </c>
      <c r="AG355" s="42"/>
      <c r="AH355" s="52" t="s">
        <v>5003</v>
      </c>
      <c r="AI355" s="197"/>
      <c r="AJ355" s="2578"/>
      <c r="AK355" s="251"/>
      <c r="AL355" s="2578"/>
      <c r="AM355" s="2562"/>
      <c r="AN355" s="2562"/>
      <c r="AO355" s="2562"/>
      <c r="AP355" s="2562"/>
      <c r="AQ355" s="2562"/>
      <c r="AR355" s="2562"/>
      <c r="AS355" s="2562"/>
      <c r="AT355" s="252">
        <f t="shared" si="140"/>
        <v>1</v>
      </c>
      <c r="AU355" s="252">
        <f t="shared" si="141"/>
        <v>0</v>
      </c>
      <c r="AV355" s="252">
        <f t="shared" si="142"/>
        <v>0</v>
      </c>
      <c r="AW355" s="252">
        <f t="shared" si="143"/>
        <v>0</v>
      </c>
      <c r="AX355" s="252">
        <f t="shared" si="144"/>
        <v>0</v>
      </c>
      <c r="AY355" s="252">
        <f t="shared" si="145"/>
        <v>0</v>
      </c>
      <c r="AZ355" s="252">
        <f t="shared" si="146"/>
        <v>0</v>
      </c>
      <c r="BA355" s="237"/>
      <c r="BB355" s="252">
        <f t="shared" si="147"/>
        <v>0</v>
      </c>
      <c r="BC355" s="237"/>
      <c r="BD355" s="237"/>
      <c r="BE355" s="237"/>
      <c r="BF355" s="237"/>
      <c r="BG355" s="237"/>
      <c r="BH355" s="237"/>
      <c r="BI355" s="237"/>
      <c r="BJ355" s="252">
        <f t="shared" si="148"/>
        <v>0</v>
      </c>
      <c r="BK355" s="252">
        <f t="shared" si="149"/>
        <v>0</v>
      </c>
      <c r="BL355" s="252">
        <f t="shared" si="150"/>
        <v>0</v>
      </c>
      <c r="BM355" s="252">
        <f t="shared" si="151"/>
        <v>0</v>
      </c>
      <c r="BN355" s="252">
        <f t="shared" si="152"/>
        <v>0</v>
      </c>
      <c r="BO355" s="252">
        <f t="shared" si="153"/>
        <v>1</v>
      </c>
      <c r="BP355" s="2578"/>
      <c r="BQ355" s="2562"/>
      <c r="BR355" s="2562"/>
      <c r="BS355" s="2585"/>
      <c r="BT355" s="2585"/>
      <c r="BU355" s="2585"/>
    </row>
    <row r="356" spans="1:73" s="22" customFormat="1" ht="15.75" customHeight="1" outlineLevel="1">
      <c r="A356" s="2585"/>
      <c r="B356" s="44" t="s">
        <v>4833</v>
      </c>
      <c r="C356" s="45" t="s">
        <v>50</v>
      </c>
      <c r="D356" s="46" t="s">
        <v>4505</v>
      </c>
      <c r="E356" s="46" t="s">
        <v>4429</v>
      </c>
      <c r="F356" s="45" t="s">
        <v>4459</v>
      </c>
      <c r="G356" s="46" t="s">
        <v>4515</v>
      </c>
      <c r="H356" s="45" t="s">
        <v>4459</v>
      </c>
      <c r="I356" s="45" t="s">
        <v>4433</v>
      </c>
      <c r="J356" s="47" t="s">
        <v>4744</v>
      </c>
      <c r="K356" s="48">
        <v>100</v>
      </c>
      <c r="L356" s="47">
        <v>50457</v>
      </c>
      <c r="M356" s="1913">
        <v>14.891666666666667</v>
      </c>
      <c r="N356" s="48">
        <v>1.9405615000000001</v>
      </c>
      <c r="O356" s="49">
        <v>2.2549999999999999</v>
      </c>
      <c r="P356" s="49">
        <v>3.335</v>
      </c>
      <c r="Q356" s="1884">
        <f t="shared" si="154"/>
        <v>33.580708333333334</v>
      </c>
      <c r="R356" s="50">
        <v>2.0129399999999999E-2</v>
      </c>
      <c r="S356" s="1932"/>
      <c r="T356" s="1932"/>
      <c r="U356" s="1932"/>
      <c r="V356" s="1932"/>
      <c r="W356" s="1885">
        <f t="shared" si="137"/>
        <v>0.15793358788253475</v>
      </c>
      <c r="X356" s="1891">
        <f t="shared" si="138"/>
        <v>0.52670851558825338</v>
      </c>
      <c r="Y356" s="1891">
        <f t="shared" si="139"/>
        <v>6.7131548999999999E-2</v>
      </c>
      <c r="Z356" s="50">
        <v>0</v>
      </c>
      <c r="AA356" s="50">
        <v>0</v>
      </c>
      <c r="AB356" s="48">
        <v>0</v>
      </c>
      <c r="AC356" s="48">
        <v>2.4642697179055686E-3</v>
      </c>
      <c r="AD356" s="48">
        <v>2.4642697179055686E-3</v>
      </c>
      <c r="AE356" s="45" t="s">
        <v>4517</v>
      </c>
      <c r="AF356" s="51" t="s">
        <v>4829</v>
      </c>
      <c r="AG356" s="42"/>
      <c r="AH356" s="52" t="s">
        <v>5004</v>
      </c>
      <c r="AI356" s="197"/>
      <c r="AJ356" s="2578"/>
      <c r="AK356" s="251"/>
      <c r="AL356" s="2578"/>
      <c r="AM356" s="2562"/>
      <c r="AN356" s="2562"/>
      <c r="AO356" s="2562"/>
      <c r="AP356" s="2562"/>
      <c r="AQ356" s="2562"/>
      <c r="AR356" s="2562"/>
      <c r="AS356" s="2562"/>
      <c r="AT356" s="252">
        <f t="shared" si="140"/>
        <v>1</v>
      </c>
      <c r="AU356" s="252">
        <f t="shared" si="141"/>
        <v>0</v>
      </c>
      <c r="AV356" s="252">
        <f t="shared" si="142"/>
        <v>0</v>
      </c>
      <c r="AW356" s="252">
        <f t="shared" si="143"/>
        <v>0</v>
      </c>
      <c r="AX356" s="252">
        <f t="shared" si="144"/>
        <v>0</v>
      </c>
      <c r="AY356" s="252">
        <f t="shared" si="145"/>
        <v>0</v>
      </c>
      <c r="AZ356" s="252">
        <f t="shared" si="146"/>
        <v>0</v>
      </c>
      <c r="BA356" s="237"/>
      <c r="BB356" s="252">
        <f t="shared" si="147"/>
        <v>0</v>
      </c>
      <c r="BC356" s="237"/>
      <c r="BD356" s="237"/>
      <c r="BE356" s="237"/>
      <c r="BF356" s="237"/>
      <c r="BG356" s="237"/>
      <c r="BH356" s="237"/>
      <c r="BI356" s="237"/>
      <c r="BJ356" s="252">
        <f t="shared" si="148"/>
        <v>0</v>
      </c>
      <c r="BK356" s="252">
        <f t="shared" si="149"/>
        <v>0</v>
      </c>
      <c r="BL356" s="252">
        <f t="shared" si="150"/>
        <v>0</v>
      </c>
      <c r="BM356" s="252">
        <f t="shared" si="151"/>
        <v>0</v>
      </c>
      <c r="BN356" s="252">
        <f t="shared" si="152"/>
        <v>0</v>
      </c>
      <c r="BO356" s="252">
        <f t="shared" si="153"/>
        <v>1</v>
      </c>
      <c r="BP356" s="2578"/>
      <c r="BQ356" s="2562"/>
      <c r="BR356" s="2562"/>
      <c r="BS356" s="2585"/>
      <c r="BT356" s="2585"/>
      <c r="BU356" s="2585"/>
    </row>
    <row r="357" spans="1:73" s="22" customFormat="1" ht="15.75" customHeight="1" outlineLevel="1">
      <c r="A357" s="2585"/>
      <c r="B357" s="44" t="s">
        <v>4835</v>
      </c>
      <c r="C357" s="45" t="s">
        <v>50</v>
      </c>
      <c r="D357" s="46" t="s">
        <v>4505</v>
      </c>
      <c r="E357" s="46" t="s">
        <v>4429</v>
      </c>
      <c r="F357" s="45" t="s">
        <v>4459</v>
      </c>
      <c r="G357" s="46" t="s">
        <v>4515</v>
      </c>
      <c r="H357" s="45" t="s">
        <v>4459</v>
      </c>
      <c r="I357" s="45" t="s">
        <v>4433</v>
      </c>
      <c r="J357" s="47" t="s">
        <v>4744</v>
      </c>
      <c r="K357" s="48">
        <v>100</v>
      </c>
      <c r="L357" s="47">
        <v>52283</v>
      </c>
      <c r="M357" s="1913">
        <v>19.891666666666666</v>
      </c>
      <c r="N357" s="48">
        <v>25.075273599999999</v>
      </c>
      <c r="O357" s="49">
        <v>28.199000000000002</v>
      </c>
      <c r="P357" s="49">
        <v>43.095999999999997</v>
      </c>
      <c r="Q357" s="1884">
        <f t="shared" si="154"/>
        <v>560.92510833333336</v>
      </c>
      <c r="R357" s="50">
        <v>1.98985E-2</v>
      </c>
      <c r="S357" s="1932"/>
      <c r="T357" s="1932"/>
      <c r="U357" s="1932"/>
      <c r="V357" s="1932"/>
      <c r="W357" s="1885">
        <f t="shared" si="137"/>
        <v>0.15767149675425052</v>
      </c>
      <c r="X357" s="1891">
        <f t="shared" si="138"/>
        <v>6.7950108241211797</v>
      </c>
      <c r="Y357" s="1891">
        <f t="shared" si="139"/>
        <v>0.85754575599999994</v>
      </c>
      <c r="Z357" s="50">
        <v>0</v>
      </c>
      <c r="AA357" s="50">
        <v>0</v>
      </c>
      <c r="AB357" s="48">
        <v>0</v>
      </c>
      <c r="AC357" s="48">
        <v>-1.1937397703904244</v>
      </c>
      <c r="AD357" s="48">
        <v>-1.1937397703904244</v>
      </c>
      <c r="AE357" s="45" t="s">
        <v>4517</v>
      </c>
      <c r="AF357" s="51" t="s">
        <v>4829</v>
      </c>
      <c r="AG357" s="42"/>
      <c r="AH357" s="52" t="s">
        <v>5005</v>
      </c>
      <c r="AI357" s="197"/>
      <c r="AJ357" s="2578"/>
      <c r="AK357" s="251"/>
      <c r="AL357" s="2578"/>
      <c r="AM357" s="2562"/>
      <c r="AN357" s="2562"/>
      <c r="AO357" s="2562"/>
      <c r="AP357" s="2562"/>
      <c r="AQ357" s="2562"/>
      <c r="AR357" s="2562"/>
      <c r="AS357" s="2562"/>
      <c r="AT357" s="252">
        <f t="shared" si="140"/>
        <v>1</v>
      </c>
      <c r="AU357" s="252">
        <f t="shared" si="141"/>
        <v>0</v>
      </c>
      <c r="AV357" s="252">
        <f t="shared" si="142"/>
        <v>0</v>
      </c>
      <c r="AW357" s="252">
        <f t="shared" si="143"/>
        <v>0</v>
      </c>
      <c r="AX357" s="252">
        <f t="shared" si="144"/>
        <v>0</v>
      </c>
      <c r="AY357" s="252">
        <f t="shared" si="145"/>
        <v>0</v>
      </c>
      <c r="AZ357" s="252">
        <f t="shared" si="146"/>
        <v>0</v>
      </c>
      <c r="BA357" s="237"/>
      <c r="BB357" s="252">
        <f t="shared" si="147"/>
        <v>0</v>
      </c>
      <c r="BC357" s="237"/>
      <c r="BD357" s="237"/>
      <c r="BE357" s="237"/>
      <c r="BF357" s="237"/>
      <c r="BG357" s="237"/>
      <c r="BH357" s="237"/>
      <c r="BI357" s="237"/>
      <c r="BJ357" s="252">
        <f t="shared" si="148"/>
        <v>0</v>
      </c>
      <c r="BK357" s="252">
        <f t="shared" si="149"/>
        <v>0</v>
      </c>
      <c r="BL357" s="252">
        <f t="shared" si="150"/>
        <v>0</v>
      </c>
      <c r="BM357" s="252">
        <f t="shared" si="151"/>
        <v>0</v>
      </c>
      <c r="BN357" s="252">
        <f t="shared" si="152"/>
        <v>0</v>
      </c>
      <c r="BO357" s="252">
        <f t="shared" si="153"/>
        <v>1</v>
      </c>
      <c r="BP357" s="2578"/>
      <c r="BQ357" s="2562"/>
      <c r="BR357" s="2562"/>
      <c r="BS357" s="2585"/>
      <c r="BT357" s="2585"/>
      <c r="BU357" s="2585"/>
    </row>
    <row r="358" spans="1:73" s="22" customFormat="1" ht="15.75" customHeight="1" outlineLevel="1">
      <c r="A358" s="2585"/>
      <c r="B358" s="44" t="s">
        <v>4837</v>
      </c>
      <c r="C358" s="45" t="s">
        <v>50</v>
      </c>
      <c r="D358" s="46" t="s">
        <v>4505</v>
      </c>
      <c r="E358" s="46" t="s">
        <v>4429</v>
      </c>
      <c r="F358" s="45" t="s">
        <v>4459</v>
      </c>
      <c r="G358" s="46" t="s">
        <v>4515</v>
      </c>
      <c r="H358" s="45" t="s">
        <v>4459</v>
      </c>
      <c r="I358" s="45" t="s">
        <v>4433</v>
      </c>
      <c r="J358" s="47" t="s">
        <v>4744</v>
      </c>
      <c r="K358" s="48">
        <v>100</v>
      </c>
      <c r="L358" s="47">
        <v>52283</v>
      </c>
      <c r="M358" s="1913">
        <v>19.891666666666666</v>
      </c>
      <c r="N358" s="48">
        <v>3.1344091999999999</v>
      </c>
      <c r="O358" s="49">
        <v>3.5249999999999999</v>
      </c>
      <c r="P358" s="49">
        <v>5.3869999999999996</v>
      </c>
      <c r="Q358" s="1884">
        <f t="shared" si="154"/>
        <v>70.118124999999992</v>
      </c>
      <c r="R358" s="50">
        <v>1.98985E-2</v>
      </c>
      <c r="S358" s="1932"/>
      <c r="T358" s="1932"/>
      <c r="U358" s="1932"/>
      <c r="V358" s="1932"/>
      <c r="W358" s="1885">
        <f t="shared" si="137"/>
        <v>0.15767149675425052</v>
      </c>
      <c r="X358" s="1891">
        <f t="shared" si="138"/>
        <v>0.84937635301514747</v>
      </c>
      <c r="Y358" s="1891">
        <f t="shared" si="139"/>
        <v>0.10719321949999999</v>
      </c>
      <c r="Z358" s="50">
        <v>0</v>
      </c>
      <c r="AA358" s="50">
        <v>0</v>
      </c>
      <c r="AB358" s="48">
        <v>0</v>
      </c>
      <c r="AC358" s="48">
        <v>-0.22819825911293412</v>
      </c>
      <c r="AD358" s="48">
        <v>-0.22819825911293412</v>
      </c>
      <c r="AE358" s="45" t="s">
        <v>4517</v>
      </c>
      <c r="AF358" s="51" t="s">
        <v>4829</v>
      </c>
      <c r="AG358" s="42"/>
      <c r="AH358" s="52" t="s">
        <v>5006</v>
      </c>
      <c r="AI358" s="197"/>
      <c r="AJ358" s="2578"/>
      <c r="AK358" s="251"/>
      <c r="AL358" s="2578"/>
      <c r="AM358" s="2562"/>
      <c r="AN358" s="2562"/>
      <c r="AO358" s="2562"/>
      <c r="AP358" s="2562"/>
      <c r="AQ358" s="2562"/>
      <c r="AR358" s="2562"/>
      <c r="AS358" s="2562"/>
      <c r="AT358" s="252">
        <f t="shared" si="140"/>
        <v>1</v>
      </c>
      <c r="AU358" s="252">
        <f t="shared" si="141"/>
        <v>0</v>
      </c>
      <c r="AV358" s="252">
        <f t="shared" si="142"/>
        <v>0</v>
      </c>
      <c r="AW358" s="252">
        <f t="shared" si="143"/>
        <v>0</v>
      </c>
      <c r="AX358" s="252">
        <f t="shared" si="144"/>
        <v>0</v>
      </c>
      <c r="AY358" s="252">
        <f t="shared" si="145"/>
        <v>0</v>
      </c>
      <c r="AZ358" s="252">
        <f t="shared" si="146"/>
        <v>0</v>
      </c>
      <c r="BA358" s="237"/>
      <c r="BB358" s="252">
        <f t="shared" si="147"/>
        <v>0</v>
      </c>
      <c r="BC358" s="237"/>
      <c r="BD358" s="237"/>
      <c r="BE358" s="237"/>
      <c r="BF358" s="237"/>
      <c r="BG358" s="237"/>
      <c r="BH358" s="237"/>
      <c r="BI358" s="237"/>
      <c r="BJ358" s="252">
        <f t="shared" si="148"/>
        <v>0</v>
      </c>
      <c r="BK358" s="252">
        <f t="shared" si="149"/>
        <v>0</v>
      </c>
      <c r="BL358" s="252">
        <f t="shared" si="150"/>
        <v>0</v>
      </c>
      <c r="BM358" s="252">
        <f t="shared" si="151"/>
        <v>0</v>
      </c>
      <c r="BN358" s="252">
        <f t="shared" si="152"/>
        <v>0</v>
      </c>
      <c r="BO358" s="252">
        <f t="shared" si="153"/>
        <v>1</v>
      </c>
      <c r="BP358" s="2578"/>
      <c r="BQ358" s="2562"/>
      <c r="BR358" s="2562"/>
      <c r="BS358" s="2585"/>
      <c r="BT358" s="2585"/>
      <c r="BU358" s="2585"/>
    </row>
    <row r="359" spans="1:73" s="22" customFormat="1" ht="15.75" customHeight="1" outlineLevel="1">
      <c r="A359" s="2585"/>
      <c r="B359" s="44" t="s">
        <v>4839</v>
      </c>
      <c r="C359" s="45" t="s">
        <v>50</v>
      </c>
      <c r="D359" s="46" t="s">
        <v>4505</v>
      </c>
      <c r="E359" s="46" t="s">
        <v>4429</v>
      </c>
      <c r="F359" s="45" t="s">
        <v>4459</v>
      </c>
      <c r="G359" s="46" t="s">
        <v>4515</v>
      </c>
      <c r="H359" s="45" t="s">
        <v>4459</v>
      </c>
      <c r="I359" s="45" t="s">
        <v>4433</v>
      </c>
      <c r="J359" s="47" t="s">
        <v>4744</v>
      </c>
      <c r="K359" s="48">
        <v>100</v>
      </c>
      <c r="L359" s="47">
        <v>52283</v>
      </c>
      <c r="M359" s="1913">
        <v>19.891666666666666</v>
      </c>
      <c r="N359" s="48">
        <v>3.1344091999999999</v>
      </c>
      <c r="O359" s="49">
        <v>3.5249999999999999</v>
      </c>
      <c r="P359" s="49">
        <v>5.3869999999999996</v>
      </c>
      <c r="Q359" s="1884">
        <f t="shared" si="154"/>
        <v>70.118124999999992</v>
      </c>
      <c r="R359" s="50">
        <v>1.98985E-2</v>
      </c>
      <c r="S359" s="1932"/>
      <c r="T359" s="1932"/>
      <c r="U359" s="1932"/>
      <c r="V359" s="1932"/>
      <c r="W359" s="1885">
        <f t="shared" si="137"/>
        <v>0.15767149675425052</v>
      </c>
      <c r="X359" s="1891">
        <f t="shared" si="138"/>
        <v>0.84937635301514747</v>
      </c>
      <c r="Y359" s="1891">
        <f t="shared" si="139"/>
        <v>0.10719321949999999</v>
      </c>
      <c r="Z359" s="50">
        <v>0</v>
      </c>
      <c r="AA359" s="50">
        <v>0</v>
      </c>
      <c r="AB359" s="48">
        <v>0</v>
      </c>
      <c r="AC359" s="48">
        <v>-0.22802861819692405</v>
      </c>
      <c r="AD359" s="48">
        <v>-0.22802861819692405</v>
      </c>
      <c r="AE359" s="45" t="s">
        <v>4517</v>
      </c>
      <c r="AF359" s="51" t="s">
        <v>4829</v>
      </c>
      <c r="AG359" s="42"/>
      <c r="AH359" s="52" t="s">
        <v>5007</v>
      </c>
      <c r="AI359" s="197"/>
      <c r="AJ359" s="2578"/>
      <c r="AK359" s="251"/>
      <c r="AL359" s="2578"/>
      <c r="AM359" s="2562"/>
      <c r="AN359" s="2562"/>
      <c r="AO359" s="2562"/>
      <c r="AP359" s="2562"/>
      <c r="AQ359" s="2562"/>
      <c r="AR359" s="2562"/>
      <c r="AS359" s="2562"/>
      <c r="AT359" s="252">
        <f t="shared" si="140"/>
        <v>1</v>
      </c>
      <c r="AU359" s="252">
        <f t="shared" si="141"/>
        <v>0</v>
      </c>
      <c r="AV359" s="252">
        <f t="shared" si="142"/>
        <v>0</v>
      </c>
      <c r="AW359" s="252">
        <f t="shared" si="143"/>
        <v>0</v>
      </c>
      <c r="AX359" s="252">
        <f t="shared" si="144"/>
        <v>0</v>
      </c>
      <c r="AY359" s="252">
        <f t="shared" si="145"/>
        <v>0</v>
      </c>
      <c r="AZ359" s="252">
        <f t="shared" si="146"/>
        <v>0</v>
      </c>
      <c r="BA359" s="237"/>
      <c r="BB359" s="252">
        <f t="shared" si="147"/>
        <v>0</v>
      </c>
      <c r="BC359" s="237"/>
      <c r="BD359" s="237"/>
      <c r="BE359" s="237"/>
      <c r="BF359" s="237"/>
      <c r="BG359" s="237"/>
      <c r="BH359" s="237"/>
      <c r="BI359" s="237"/>
      <c r="BJ359" s="252">
        <f t="shared" si="148"/>
        <v>0</v>
      </c>
      <c r="BK359" s="252">
        <f t="shared" si="149"/>
        <v>0</v>
      </c>
      <c r="BL359" s="252">
        <f t="shared" si="150"/>
        <v>0</v>
      </c>
      <c r="BM359" s="252">
        <f t="shared" si="151"/>
        <v>0</v>
      </c>
      <c r="BN359" s="252">
        <f t="shared" si="152"/>
        <v>0</v>
      </c>
      <c r="BO359" s="252">
        <f t="shared" si="153"/>
        <v>1</v>
      </c>
      <c r="BP359" s="2578"/>
      <c r="BQ359" s="2562"/>
      <c r="BR359" s="2562"/>
      <c r="BS359" s="2585"/>
      <c r="BT359" s="2585"/>
      <c r="BU359" s="2585"/>
    </row>
    <row r="360" spans="1:73" s="22" customFormat="1" ht="15.75" customHeight="1" outlineLevel="1">
      <c r="A360" s="2585"/>
      <c r="B360" s="44" t="s">
        <v>4841</v>
      </c>
      <c r="C360" s="45" t="s">
        <v>50</v>
      </c>
      <c r="D360" s="46" t="s">
        <v>4505</v>
      </c>
      <c r="E360" s="46" t="s">
        <v>4429</v>
      </c>
      <c r="F360" s="45" t="s">
        <v>4459</v>
      </c>
      <c r="G360" s="46" t="s">
        <v>4515</v>
      </c>
      <c r="H360" s="45" t="s">
        <v>4459</v>
      </c>
      <c r="I360" s="45" t="s">
        <v>4433</v>
      </c>
      <c r="J360" s="47" t="s">
        <v>4744</v>
      </c>
      <c r="K360" s="48">
        <v>100</v>
      </c>
      <c r="L360" s="47">
        <v>54109</v>
      </c>
      <c r="M360" s="1913">
        <v>24.891666666666666</v>
      </c>
      <c r="N360" s="48">
        <v>32.834319999999998</v>
      </c>
      <c r="O360" s="49">
        <v>35.917000000000002</v>
      </c>
      <c r="P360" s="49">
        <v>56.430999999999997</v>
      </c>
      <c r="Q360" s="1884">
        <f t="shared" si="154"/>
        <v>894.03399166666668</v>
      </c>
      <c r="R360" s="50">
        <v>1.50355E-2</v>
      </c>
      <c r="S360" s="1932"/>
      <c r="T360" s="1932"/>
      <c r="U360" s="1932"/>
      <c r="V360" s="1932"/>
      <c r="W360" s="1885">
        <f t="shared" si="137"/>
        <v>0.15215157836166915</v>
      </c>
      <c r="X360" s="1891">
        <f t="shared" si="138"/>
        <v>8.586065718527351</v>
      </c>
      <c r="Y360" s="1891">
        <f t="shared" si="139"/>
        <v>0.84846830049999999</v>
      </c>
      <c r="Z360" s="50">
        <v>0</v>
      </c>
      <c r="AA360" s="50">
        <v>0</v>
      </c>
      <c r="AB360" s="48">
        <v>0</v>
      </c>
      <c r="AC360" s="48">
        <v>-0.74978849359901056</v>
      </c>
      <c r="AD360" s="48">
        <v>-0.74978849359901056</v>
      </c>
      <c r="AE360" s="45" t="s">
        <v>4517</v>
      </c>
      <c r="AF360" s="51" t="s">
        <v>4829</v>
      </c>
      <c r="AG360" s="42"/>
      <c r="AH360" s="52" t="s">
        <v>5008</v>
      </c>
      <c r="AI360" s="197"/>
      <c r="AJ360" s="2578"/>
      <c r="AK360" s="251"/>
      <c r="AL360" s="2578"/>
      <c r="AM360" s="2562"/>
      <c r="AN360" s="2562"/>
      <c r="AO360" s="2562"/>
      <c r="AP360" s="2562"/>
      <c r="AQ360" s="2562"/>
      <c r="AR360" s="2562"/>
      <c r="AS360" s="2562"/>
      <c r="AT360" s="252">
        <f t="shared" si="140"/>
        <v>1</v>
      </c>
      <c r="AU360" s="252">
        <f t="shared" si="141"/>
        <v>0</v>
      </c>
      <c r="AV360" s="252">
        <f t="shared" si="142"/>
        <v>0</v>
      </c>
      <c r="AW360" s="252">
        <f t="shared" si="143"/>
        <v>0</v>
      </c>
      <c r="AX360" s="252">
        <f t="shared" si="144"/>
        <v>0</v>
      </c>
      <c r="AY360" s="252">
        <f t="shared" si="145"/>
        <v>0</v>
      </c>
      <c r="AZ360" s="252">
        <f t="shared" si="146"/>
        <v>0</v>
      </c>
      <c r="BA360" s="237"/>
      <c r="BB360" s="252">
        <f t="shared" si="147"/>
        <v>0</v>
      </c>
      <c r="BC360" s="237"/>
      <c r="BD360" s="237"/>
      <c r="BE360" s="237"/>
      <c r="BF360" s="237"/>
      <c r="BG360" s="237"/>
      <c r="BH360" s="237"/>
      <c r="BI360" s="237"/>
      <c r="BJ360" s="252">
        <f t="shared" si="148"/>
        <v>0</v>
      </c>
      <c r="BK360" s="252">
        <f t="shared" si="149"/>
        <v>0</v>
      </c>
      <c r="BL360" s="252">
        <f t="shared" si="150"/>
        <v>0</v>
      </c>
      <c r="BM360" s="252">
        <f t="shared" si="151"/>
        <v>0</v>
      </c>
      <c r="BN360" s="252">
        <f t="shared" si="152"/>
        <v>0</v>
      </c>
      <c r="BO360" s="252">
        <f t="shared" si="153"/>
        <v>1</v>
      </c>
      <c r="BP360" s="2578"/>
      <c r="BQ360" s="2562"/>
      <c r="BR360" s="2562"/>
      <c r="BS360" s="2585"/>
      <c r="BT360" s="2585"/>
      <c r="BU360" s="2585"/>
    </row>
    <row r="361" spans="1:73" s="22" customFormat="1" ht="15.75" customHeight="1" outlineLevel="1">
      <c r="A361" s="2585"/>
      <c r="B361" s="44" t="s">
        <v>4843</v>
      </c>
      <c r="C361" s="45" t="s">
        <v>50</v>
      </c>
      <c r="D361" s="46" t="s">
        <v>4505</v>
      </c>
      <c r="E361" s="46" t="s">
        <v>4429</v>
      </c>
      <c r="F361" s="45" t="s">
        <v>4459</v>
      </c>
      <c r="G361" s="46" t="s">
        <v>4515</v>
      </c>
      <c r="H361" s="45" t="s">
        <v>4459</v>
      </c>
      <c r="I361" s="45" t="s">
        <v>4433</v>
      </c>
      <c r="J361" s="47" t="s">
        <v>4744</v>
      </c>
      <c r="K361" s="48">
        <v>100</v>
      </c>
      <c r="L361" s="47">
        <v>54109</v>
      </c>
      <c r="M361" s="1913">
        <v>24.891666666666666</v>
      </c>
      <c r="N361" s="48">
        <v>4.1042899999999998</v>
      </c>
      <c r="O361" s="49">
        <v>4.49</v>
      </c>
      <c r="P361" s="49">
        <v>7.0540000000000003</v>
      </c>
      <c r="Q361" s="1884">
        <f t="shared" si="154"/>
        <v>111.76358333333333</v>
      </c>
      <c r="R361" s="50">
        <v>1.50355E-2</v>
      </c>
      <c r="S361" s="1932"/>
      <c r="T361" s="1932"/>
      <c r="U361" s="1932"/>
      <c r="V361" s="1932"/>
      <c r="W361" s="1885">
        <f t="shared" si="137"/>
        <v>0.15215157836166915</v>
      </c>
      <c r="X361" s="1891">
        <f t="shared" si="138"/>
        <v>1.0732772337632142</v>
      </c>
      <c r="Y361" s="1891">
        <f t="shared" si="139"/>
        <v>0.106060417</v>
      </c>
      <c r="Z361" s="50">
        <v>0</v>
      </c>
      <c r="AA361" s="50">
        <v>0</v>
      </c>
      <c r="AB361" s="48">
        <v>0</v>
      </c>
      <c r="AC361" s="48">
        <v>-0.19791543806877424</v>
      </c>
      <c r="AD361" s="48">
        <v>-0.19791543806877424</v>
      </c>
      <c r="AE361" s="45" t="s">
        <v>4517</v>
      </c>
      <c r="AF361" s="51" t="s">
        <v>4829</v>
      </c>
      <c r="AG361" s="42"/>
      <c r="AH361" s="52" t="s">
        <v>5009</v>
      </c>
      <c r="AI361" s="197"/>
      <c r="AJ361" s="2578"/>
      <c r="AK361" s="251"/>
      <c r="AL361" s="2578"/>
      <c r="AM361" s="2562"/>
      <c r="AN361" s="2562"/>
      <c r="AO361" s="2562"/>
      <c r="AP361" s="2562"/>
      <c r="AQ361" s="2562"/>
      <c r="AR361" s="2562"/>
      <c r="AS361" s="2562"/>
      <c r="AT361" s="252">
        <f t="shared" si="140"/>
        <v>1</v>
      </c>
      <c r="AU361" s="252">
        <f t="shared" si="141"/>
        <v>0</v>
      </c>
      <c r="AV361" s="252">
        <f t="shared" si="142"/>
        <v>0</v>
      </c>
      <c r="AW361" s="252">
        <f t="shared" si="143"/>
        <v>0</v>
      </c>
      <c r="AX361" s="252">
        <f t="shared" si="144"/>
        <v>0</v>
      </c>
      <c r="AY361" s="252">
        <f t="shared" si="145"/>
        <v>0</v>
      </c>
      <c r="AZ361" s="252">
        <f t="shared" si="146"/>
        <v>0</v>
      </c>
      <c r="BA361" s="237"/>
      <c r="BB361" s="252">
        <f t="shared" si="147"/>
        <v>0</v>
      </c>
      <c r="BC361" s="237"/>
      <c r="BD361" s="237"/>
      <c r="BE361" s="237"/>
      <c r="BF361" s="237"/>
      <c r="BG361" s="237"/>
      <c r="BH361" s="237"/>
      <c r="BI361" s="237"/>
      <c r="BJ361" s="252">
        <f t="shared" si="148"/>
        <v>0</v>
      </c>
      <c r="BK361" s="252">
        <f t="shared" si="149"/>
        <v>0</v>
      </c>
      <c r="BL361" s="252">
        <f t="shared" si="150"/>
        <v>0</v>
      </c>
      <c r="BM361" s="252">
        <f t="shared" si="151"/>
        <v>0</v>
      </c>
      <c r="BN361" s="252">
        <f t="shared" si="152"/>
        <v>0</v>
      </c>
      <c r="BO361" s="252">
        <f t="shared" si="153"/>
        <v>1</v>
      </c>
      <c r="BP361" s="2578"/>
      <c r="BQ361" s="2562"/>
      <c r="BR361" s="2562"/>
      <c r="BS361" s="2585"/>
      <c r="BT361" s="2585"/>
      <c r="BU361" s="2585"/>
    </row>
    <row r="362" spans="1:73" s="22" customFormat="1" ht="15.75" customHeight="1" outlineLevel="1">
      <c r="A362" s="2585"/>
      <c r="B362" s="44" t="s">
        <v>4845</v>
      </c>
      <c r="C362" s="45" t="s">
        <v>50</v>
      </c>
      <c r="D362" s="46" t="s">
        <v>4505</v>
      </c>
      <c r="E362" s="46" t="s">
        <v>4429</v>
      </c>
      <c r="F362" s="45" t="s">
        <v>4459</v>
      </c>
      <c r="G362" s="46" t="s">
        <v>4515</v>
      </c>
      <c r="H362" s="45" t="s">
        <v>4459</v>
      </c>
      <c r="I362" s="45" t="s">
        <v>4433</v>
      </c>
      <c r="J362" s="47" t="s">
        <v>4744</v>
      </c>
      <c r="K362" s="48">
        <v>100</v>
      </c>
      <c r="L362" s="47">
        <v>54109</v>
      </c>
      <c r="M362" s="1913">
        <v>24.891666666666666</v>
      </c>
      <c r="N362" s="48">
        <v>4.1042899999999998</v>
      </c>
      <c r="O362" s="49">
        <v>4.49</v>
      </c>
      <c r="P362" s="49">
        <v>7.0540000000000003</v>
      </c>
      <c r="Q362" s="1884">
        <f t="shared" si="154"/>
        <v>111.76358333333333</v>
      </c>
      <c r="R362" s="50">
        <v>1.50355E-2</v>
      </c>
      <c r="S362" s="1932"/>
      <c r="T362" s="1932"/>
      <c r="U362" s="1932"/>
      <c r="V362" s="1932"/>
      <c r="W362" s="1885">
        <f t="shared" si="137"/>
        <v>0.15215157836166915</v>
      </c>
      <c r="X362" s="1891">
        <f t="shared" si="138"/>
        <v>1.0732772337632142</v>
      </c>
      <c r="Y362" s="1891">
        <f t="shared" si="139"/>
        <v>0.106060417</v>
      </c>
      <c r="Z362" s="50">
        <v>0</v>
      </c>
      <c r="AA362" s="50">
        <v>0</v>
      </c>
      <c r="AB362" s="48">
        <v>0</v>
      </c>
      <c r="AC362" s="48">
        <v>-0.19771118917251321</v>
      </c>
      <c r="AD362" s="48">
        <v>-0.19771118917251321</v>
      </c>
      <c r="AE362" s="45" t="s">
        <v>4517</v>
      </c>
      <c r="AF362" s="51" t="s">
        <v>4829</v>
      </c>
      <c r="AG362" s="42"/>
      <c r="AH362" s="52" t="s">
        <v>5010</v>
      </c>
      <c r="AI362" s="197"/>
      <c r="AJ362" s="2578"/>
      <c r="AK362" s="251"/>
      <c r="AL362" s="2578"/>
      <c r="AM362" s="2562"/>
      <c r="AN362" s="2562"/>
      <c r="AO362" s="2562"/>
      <c r="AP362" s="2562"/>
      <c r="AQ362" s="2562"/>
      <c r="AR362" s="2562"/>
      <c r="AS362" s="2562"/>
      <c r="AT362" s="252">
        <f t="shared" si="140"/>
        <v>1</v>
      </c>
      <c r="AU362" s="252">
        <f t="shared" si="141"/>
        <v>0</v>
      </c>
      <c r="AV362" s="252">
        <f t="shared" si="142"/>
        <v>0</v>
      </c>
      <c r="AW362" s="252">
        <f t="shared" si="143"/>
        <v>0</v>
      </c>
      <c r="AX362" s="252">
        <f t="shared" si="144"/>
        <v>0</v>
      </c>
      <c r="AY362" s="252">
        <f t="shared" si="145"/>
        <v>0</v>
      </c>
      <c r="AZ362" s="252">
        <f t="shared" si="146"/>
        <v>0</v>
      </c>
      <c r="BA362" s="237"/>
      <c r="BB362" s="252">
        <f t="shared" si="147"/>
        <v>0</v>
      </c>
      <c r="BC362" s="237"/>
      <c r="BD362" s="237"/>
      <c r="BE362" s="237"/>
      <c r="BF362" s="237"/>
      <c r="BG362" s="237"/>
      <c r="BH362" s="237"/>
      <c r="BI362" s="237"/>
      <c r="BJ362" s="252">
        <f t="shared" si="148"/>
        <v>0</v>
      </c>
      <c r="BK362" s="252">
        <f t="shared" si="149"/>
        <v>0</v>
      </c>
      <c r="BL362" s="252">
        <f t="shared" si="150"/>
        <v>0</v>
      </c>
      <c r="BM362" s="252">
        <f t="shared" si="151"/>
        <v>0</v>
      </c>
      <c r="BN362" s="252">
        <f t="shared" si="152"/>
        <v>0</v>
      </c>
      <c r="BO362" s="252">
        <f t="shared" si="153"/>
        <v>1</v>
      </c>
      <c r="BP362" s="2578"/>
      <c r="BQ362" s="2562"/>
      <c r="BR362" s="2562"/>
      <c r="BS362" s="2585"/>
      <c r="BT362" s="2585"/>
      <c r="BU362" s="2585"/>
    </row>
    <row r="363" spans="1:73" s="22" customFormat="1" ht="15.75" customHeight="1" outlineLevel="1">
      <c r="A363" s="2585"/>
      <c r="B363" s="44" t="s">
        <v>4847</v>
      </c>
      <c r="C363" s="45" t="s">
        <v>50</v>
      </c>
      <c r="D363" s="46" t="s">
        <v>4505</v>
      </c>
      <c r="E363" s="46" t="s">
        <v>4429</v>
      </c>
      <c r="F363" s="45" t="s">
        <v>4459</v>
      </c>
      <c r="G363" s="46" t="s">
        <v>4515</v>
      </c>
      <c r="H363" s="45" t="s">
        <v>4459</v>
      </c>
      <c r="I363" s="45" t="s">
        <v>4433</v>
      </c>
      <c r="J363" s="47" t="s">
        <v>4744</v>
      </c>
      <c r="K363" s="48">
        <v>100</v>
      </c>
      <c r="L363" s="47">
        <v>57762</v>
      </c>
      <c r="M363" s="1913">
        <v>34.891666666666666</v>
      </c>
      <c r="N363" s="48">
        <v>10.21832</v>
      </c>
      <c r="O363" s="49">
        <v>10.775</v>
      </c>
      <c r="P363" s="49">
        <v>17.562000000000001</v>
      </c>
      <c r="Q363" s="1884">
        <f t="shared" si="154"/>
        <v>375.95770833333336</v>
      </c>
      <c r="R363" s="50">
        <v>1.68383E-2</v>
      </c>
      <c r="S363" s="1932"/>
      <c r="T363" s="1932"/>
      <c r="U363" s="1932"/>
      <c r="V363" s="1932"/>
      <c r="W363" s="1885">
        <f t="shared" si="137"/>
        <v>0.15419790961360125</v>
      </c>
      <c r="X363" s="1891">
        <f t="shared" si="138"/>
        <v>2.7080236886340652</v>
      </c>
      <c r="Y363" s="1891">
        <f t="shared" si="139"/>
        <v>0.29571422460000002</v>
      </c>
      <c r="Z363" s="50">
        <v>0</v>
      </c>
      <c r="AA363" s="50">
        <v>0</v>
      </c>
      <c r="AB363" s="48">
        <v>0</v>
      </c>
      <c r="AC363" s="48">
        <v>0.25425216749718904</v>
      </c>
      <c r="AD363" s="48">
        <v>0.25425216749718904</v>
      </c>
      <c r="AE363" s="45" t="s">
        <v>4517</v>
      </c>
      <c r="AF363" s="51" t="s">
        <v>4829</v>
      </c>
      <c r="AG363" s="42"/>
      <c r="AH363" s="52" t="s">
        <v>5011</v>
      </c>
      <c r="AI363" s="197"/>
      <c r="AJ363" s="2578"/>
      <c r="AK363" s="251"/>
      <c r="AL363" s="2578"/>
      <c r="AM363" s="2562"/>
      <c r="AN363" s="2562"/>
      <c r="AO363" s="2562"/>
      <c r="AP363" s="2562"/>
      <c r="AQ363" s="2562"/>
      <c r="AR363" s="2562"/>
      <c r="AS363" s="2562"/>
      <c r="AT363" s="252">
        <f t="shared" si="140"/>
        <v>1</v>
      </c>
      <c r="AU363" s="252">
        <f t="shared" si="141"/>
        <v>0</v>
      </c>
      <c r="AV363" s="252">
        <f t="shared" si="142"/>
        <v>0</v>
      </c>
      <c r="AW363" s="252">
        <f t="shared" si="143"/>
        <v>0</v>
      </c>
      <c r="AX363" s="252">
        <f t="shared" si="144"/>
        <v>0</v>
      </c>
      <c r="AY363" s="252">
        <f t="shared" si="145"/>
        <v>0</v>
      </c>
      <c r="AZ363" s="252">
        <f t="shared" si="146"/>
        <v>0</v>
      </c>
      <c r="BA363" s="237"/>
      <c r="BB363" s="252">
        <f t="shared" si="147"/>
        <v>0</v>
      </c>
      <c r="BC363" s="237"/>
      <c r="BD363" s="237"/>
      <c r="BE363" s="237"/>
      <c r="BF363" s="237"/>
      <c r="BG363" s="237"/>
      <c r="BH363" s="237"/>
      <c r="BI363" s="237"/>
      <c r="BJ363" s="252">
        <f t="shared" si="148"/>
        <v>0</v>
      </c>
      <c r="BK363" s="252">
        <f t="shared" si="149"/>
        <v>0</v>
      </c>
      <c r="BL363" s="252">
        <f t="shared" si="150"/>
        <v>0</v>
      </c>
      <c r="BM363" s="252">
        <f t="shared" si="151"/>
        <v>0</v>
      </c>
      <c r="BN363" s="252">
        <f t="shared" si="152"/>
        <v>0</v>
      </c>
      <c r="BO363" s="252">
        <f t="shared" si="153"/>
        <v>1</v>
      </c>
      <c r="BP363" s="2578"/>
      <c r="BQ363" s="2562"/>
      <c r="BR363" s="2562"/>
      <c r="BS363" s="2585"/>
      <c r="BT363" s="2585"/>
      <c r="BU363" s="2585"/>
    </row>
    <row r="364" spans="1:73" s="22" customFormat="1" ht="15.75" customHeight="1" outlineLevel="1">
      <c r="A364" s="2585"/>
      <c r="B364" s="44" t="s">
        <v>4849</v>
      </c>
      <c r="C364" s="45" t="s">
        <v>50</v>
      </c>
      <c r="D364" s="46" t="s">
        <v>4505</v>
      </c>
      <c r="E364" s="46" t="s">
        <v>4429</v>
      </c>
      <c r="F364" s="45" t="s">
        <v>4459</v>
      </c>
      <c r="G364" s="46" t="s">
        <v>4515</v>
      </c>
      <c r="H364" s="45" t="s">
        <v>4459</v>
      </c>
      <c r="I364" s="45" t="s">
        <v>4433</v>
      </c>
      <c r="J364" s="47" t="s">
        <v>4744</v>
      </c>
      <c r="K364" s="48">
        <v>100</v>
      </c>
      <c r="L364" s="47">
        <v>57762</v>
      </c>
      <c r="M364" s="1913">
        <v>34.891666666666666</v>
      </c>
      <c r="N364" s="48">
        <v>1.27729</v>
      </c>
      <c r="O364" s="49">
        <v>1.347</v>
      </c>
      <c r="P364" s="49">
        <v>2.1949999999999998</v>
      </c>
      <c r="Q364" s="1884">
        <f t="shared" si="154"/>
        <v>46.999074999999998</v>
      </c>
      <c r="R364" s="50">
        <v>1.68383E-2</v>
      </c>
      <c r="S364" s="1932"/>
      <c r="T364" s="1932"/>
      <c r="U364" s="1932"/>
      <c r="V364" s="1932"/>
      <c r="W364" s="1885">
        <f t="shared" si="137"/>
        <v>0.15419790961360125</v>
      </c>
      <c r="X364" s="1891">
        <f t="shared" si="138"/>
        <v>0.3384644116018547</v>
      </c>
      <c r="Y364" s="1891">
        <f t="shared" si="139"/>
        <v>3.6960068499999998E-2</v>
      </c>
      <c r="Z364" s="50">
        <v>0</v>
      </c>
      <c r="AA364" s="50">
        <v>0</v>
      </c>
      <c r="AB364" s="48">
        <v>0</v>
      </c>
      <c r="AC364" s="48">
        <v>-2.0763865434797264E-3</v>
      </c>
      <c r="AD364" s="48">
        <v>-2.0763865434797264E-3</v>
      </c>
      <c r="AE364" s="45" t="s">
        <v>4517</v>
      </c>
      <c r="AF364" s="51" t="s">
        <v>4829</v>
      </c>
      <c r="AG364" s="42"/>
      <c r="AH364" s="52" t="s">
        <v>5012</v>
      </c>
      <c r="AI364" s="197"/>
      <c r="AJ364" s="2578"/>
      <c r="AK364" s="251"/>
      <c r="AL364" s="2578"/>
      <c r="AM364" s="2562"/>
      <c r="AN364" s="2562"/>
      <c r="AO364" s="2562"/>
      <c r="AP364" s="2562"/>
      <c r="AQ364" s="2562"/>
      <c r="AR364" s="2562"/>
      <c r="AS364" s="2562"/>
      <c r="AT364" s="252">
        <f t="shared" si="140"/>
        <v>1</v>
      </c>
      <c r="AU364" s="252">
        <f t="shared" si="141"/>
        <v>0</v>
      </c>
      <c r="AV364" s="252">
        <f t="shared" si="142"/>
        <v>0</v>
      </c>
      <c r="AW364" s="252">
        <f t="shared" si="143"/>
        <v>0</v>
      </c>
      <c r="AX364" s="252">
        <f t="shared" si="144"/>
        <v>0</v>
      </c>
      <c r="AY364" s="252">
        <f t="shared" si="145"/>
        <v>0</v>
      </c>
      <c r="AZ364" s="252">
        <f t="shared" si="146"/>
        <v>0</v>
      </c>
      <c r="BA364" s="237"/>
      <c r="BB364" s="252">
        <f t="shared" si="147"/>
        <v>0</v>
      </c>
      <c r="BC364" s="237"/>
      <c r="BD364" s="237"/>
      <c r="BE364" s="237"/>
      <c r="BF364" s="237"/>
      <c r="BG364" s="237"/>
      <c r="BH364" s="237"/>
      <c r="BI364" s="237"/>
      <c r="BJ364" s="252">
        <f t="shared" si="148"/>
        <v>0</v>
      </c>
      <c r="BK364" s="252">
        <f t="shared" si="149"/>
        <v>0</v>
      </c>
      <c r="BL364" s="252">
        <f t="shared" si="150"/>
        <v>0</v>
      </c>
      <c r="BM364" s="252">
        <f t="shared" si="151"/>
        <v>0</v>
      </c>
      <c r="BN364" s="252">
        <f t="shared" si="152"/>
        <v>0</v>
      </c>
      <c r="BO364" s="252">
        <f t="shared" si="153"/>
        <v>1</v>
      </c>
      <c r="BP364" s="2578"/>
      <c r="BQ364" s="2562"/>
      <c r="BR364" s="2562"/>
      <c r="BS364" s="2585"/>
      <c r="BT364" s="2585"/>
      <c r="BU364" s="2585"/>
    </row>
    <row r="365" spans="1:73" s="22" customFormat="1" ht="15.75" customHeight="1" outlineLevel="1">
      <c r="A365" s="2585"/>
      <c r="B365" s="44" t="s">
        <v>4851</v>
      </c>
      <c r="C365" s="45" t="s">
        <v>50</v>
      </c>
      <c r="D365" s="46" t="s">
        <v>4505</v>
      </c>
      <c r="E365" s="46" t="s">
        <v>4429</v>
      </c>
      <c r="F365" s="45" t="s">
        <v>4459</v>
      </c>
      <c r="G365" s="46" t="s">
        <v>4515</v>
      </c>
      <c r="H365" s="45" t="s">
        <v>4459</v>
      </c>
      <c r="I365" s="45" t="s">
        <v>4433</v>
      </c>
      <c r="J365" s="47" t="s">
        <v>4744</v>
      </c>
      <c r="K365" s="48">
        <v>100</v>
      </c>
      <c r="L365" s="47">
        <v>57762</v>
      </c>
      <c r="M365" s="1913">
        <v>34.891666666666666</v>
      </c>
      <c r="N365" s="48">
        <v>1.27729</v>
      </c>
      <c r="O365" s="49">
        <v>1.347</v>
      </c>
      <c r="P365" s="49">
        <v>2.1949999999999998</v>
      </c>
      <c r="Q365" s="1884">
        <f t="shared" si="154"/>
        <v>46.999074999999998</v>
      </c>
      <c r="R365" s="50">
        <v>1.68383E-2</v>
      </c>
      <c r="S365" s="1932"/>
      <c r="T365" s="1932"/>
      <c r="U365" s="1932"/>
      <c r="V365" s="1932"/>
      <c r="W365" s="1885">
        <f t="shared" si="137"/>
        <v>0.15419790961360125</v>
      </c>
      <c r="X365" s="1891">
        <f t="shared" si="138"/>
        <v>0.3384644116018547</v>
      </c>
      <c r="Y365" s="1891">
        <f t="shared" si="139"/>
        <v>3.6960068499999998E-2</v>
      </c>
      <c r="Z365" s="50">
        <v>0</v>
      </c>
      <c r="AA365" s="50">
        <v>0</v>
      </c>
      <c r="AB365" s="48">
        <v>0</v>
      </c>
      <c r="AC365" s="48">
        <v>-2.0301931289325947E-3</v>
      </c>
      <c r="AD365" s="48">
        <v>-2.0301931289325947E-3</v>
      </c>
      <c r="AE365" s="45" t="s">
        <v>4517</v>
      </c>
      <c r="AF365" s="51" t="s">
        <v>4829</v>
      </c>
      <c r="AG365" s="42"/>
      <c r="AH365" s="52" t="s">
        <v>5013</v>
      </c>
      <c r="AI365" s="197"/>
      <c r="AJ365" s="2578"/>
      <c r="AK365" s="251"/>
      <c r="AL365" s="2578"/>
      <c r="AM365" s="2562"/>
      <c r="AN365" s="2562"/>
      <c r="AO365" s="2562"/>
      <c r="AP365" s="2562"/>
      <c r="AQ365" s="2562"/>
      <c r="AR365" s="2562"/>
      <c r="AS365" s="2562"/>
      <c r="AT365" s="252">
        <f t="shared" si="140"/>
        <v>1</v>
      </c>
      <c r="AU365" s="252">
        <f t="shared" si="141"/>
        <v>0</v>
      </c>
      <c r="AV365" s="252">
        <f t="shared" si="142"/>
        <v>0</v>
      </c>
      <c r="AW365" s="252">
        <f t="shared" si="143"/>
        <v>0</v>
      </c>
      <c r="AX365" s="252">
        <f t="shared" si="144"/>
        <v>0</v>
      </c>
      <c r="AY365" s="252">
        <f t="shared" si="145"/>
        <v>0</v>
      </c>
      <c r="AZ365" s="252">
        <f t="shared" si="146"/>
        <v>0</v>
      </c>
      <c r="BA365" s="237"/>
      <c r="BB365" s="252">
        <f t="shared" si="147"/>
        <v>0</v>
      </c>
      <c r="BC365" s="237"/>
      <c r="BD365" s="237"/>
      <c r="BE365" s="237"/>
      <c r="BF365" s="237"/>
      <c r="BG365" s="237"/>
      <c r="BH365" s="237"/>
      <c r="BI365" s="237"/>
      <c r="BJ365" s="252">
        <f t="shared" si="148"/>
        <v>0</v>
      </c>
      <c r="BK365" s="252">
        <f t="shared" si="149"/>
        <v>0</v>
      </c>
      <c r="BL365" s="252">
        <f t="shared" si="150"/>
        <v>0</v>
      </c>
      <c r="BM365" s="252">
        <f t="shared" si="151"/>
        <v>0</v>
      </c>
      <c r="BN365" s="252">
        <f t="shared" si="152"/>
        <v>0</v>
      </c>
      <c r="BO365" s="252">
        <f t="shared" si="153"/>
        <v>1</v>
      </c>
      <c r="BP365" s="2578"/>
      <c r="BQ365" s="2562"/>
      <c r="BR365" s="2562"/>
      <c r="BS365" s="2585"/>
      <c r="BT365" s="2585"/>
      <c r="BU365" s="2585"/>
    </row>
    <row r="366" spans="1:73" s="22" customFormat="1" ht="15.75" customHeight="1" outlineLevel="1">
      <c r="A366" s="2585"/>
      <c r="B366" s="44" t="s">
        <v>4853</v>
      </c>
      <c r="C366" s="45" t="s">
        <v>50</v>
      </c>
      <c r="D366" s="46" t="s">
        <v>4505</v>
      </c>
      <c r="E366" s="46" t="s">
        <v>4429</v>
      </c>
      <c r="F366" s="45" t="s">
        <v>4459</v>
      </c>
      <c r="G366" s="46" t="s">
        <v>4515</v>
      </c>
      <c r="H366" s="45" t="s">
        <v>4459</v>
      </c>
      <c r="I366" s="45" t="s">
        <v>4433</v>
      </c>
      <c r="J366" s="47" t="s">
        <v>4744</v>
      </c>
      <c r="K366" s="48">
        <v>100</v>
      </c>
      <c r="L366" s="47">
        <v>59588</v>
      </c>
      <c r="M366" s="1913">
        <v>39.891666666666666</v>
      </c>
      <c r="N366" s="48">
        <v>10.377359999999999</v>
      </c>
      <c r="O366" s="49">
        <v>10.808</v>
      </c>
      <c r="P366" s="49">
        <v>17.835000000000001</v>
      </c>
      <c r="Q366" s="1884">
        <f t="shared" si="154"/>
        <v>431.14913333333334</v>
      </c>
      <c r="R366" s="50">
        <v>1.72052E-2</v>
      </c>
      <c r="S366" s="1932"/>
      <c r="T366" s="1932"/>
      <c r="U366" s="1932"/>
      <c r="V366" s="1932"/>
      <c r="W366" s="1885">
        <f t="shared" si="137"/>
        <v>0.15461437230293673</v>
      </c>
      <c r="X366" s="1891">
        <f t="shared" si="138"/>
        <v>2.7575473300228768</v>
      </c>
      <c r="Y366" s="1891">
        <f t="shared" si="139"/>
        <v>0.30685474200000001</v>
      </c>
      <c r="Z366" s="50">
        <v>0</v>
      </c>
      <c r="AA366" s="50">
        <v>0</v>
      </c>
      <c r="AB366" s="48">
        <v>0</v>
      </c>
      <c r="AC366" s="48">
        <v>-1.7734149150988194</v>
      </c>
      <c r="AD366" s="48">
        <v>-1.7734149150988194</v>
      </c>
      <c r="AE366" s="45" t="s">
        <v>4517</v>
      </c>
      <c r="AF366" s="51" t="s">
        <v>4829</v>
      </c>
      <c r="AG366" s="42"/>
      <c r="AH366" s="52" t="s">
        <v>5014</v>
      </c>
      <c r="AI366" s="197"/>
      <c r="AJ366" s="2578"/>
      <c r="AK366" s="251"/>
      <c r="AL366" s="2578"/>
      <c r="AM366" s="2562"/>
      <c r="AN366" s="2562"/>
      <c r="AO366" s="2562"/>
      <c r="AP366" s="2562"/>
      <c r="AQ366" s="2562"/>
      <c r="AR366" s="2562"/>
      <c r="AS366" s="2562"/>
      <c r="AT366" s="252">
        <f t="shared" si="140"/>
        <v>1</v>
      </c>
      <c r="AU366" s="252">
        <f t="shared" si="141"/>
        <v>0</v>
      </c>
      <c r="AV366" s="252">
        <f t="shared" si="142"/>
        <v>0</v>
      </c>
      <c r="AW366" s="252">
        <f t="shared" si="143"/>
        <v>0</v>
      </c>
      <c r="AX366" s="252">
        <f t="shared" si="144"/>
        <v>0</v>
      </c>
      <c r="AY366" s="252">
        <f t="shared" si="145"/>
        <v>0</v>
      </c>
      <c r="AZ366" s="252">
        <f t="shared" si="146"/>
        <v>0</v>
      </c>
      <c r="BA366" s="237"/>
      <c r="BB366" s="252">
        <f t="shared" si="147"/>
        <v>0</v>
      </c>
      <c r="BC366" s="237"/>
      <c r="BD366" s="237"/>
      <c r="BE366" s="237"/>
      <c r="BF366" s="237"/>
      <c r="BG366" s="237"/>
      <c r="BH366" s="237"/>
      <c r="BI366" s="237"/>
      <c r="BJ366" s="252">
        <f t="shared" si="148"/>
        <v>0</v>
      </c>
      <c r="BK366" s="252">
        <f t="shared" si="149"/>
        <v>0</v>
      </c>
      <c r="BL366" s="252">
        <f t="shared" si="150"/>
        <v>0</v>
      </c>
      <c r="BM366" s="252">
        <f t="shared" si="151"/>
        <v>0</v>
      </c>
      <c r="BN366" s="252">
        <f t="shared" si="152"/>
        <v>0</v>
      </c>
      <c r="BO366" s="252">
        <f t="shared" si="153"/>
        <v>1</v>
      </c>
      <c r="BP366" s="2578"/>
      <c r="BQ366" s="2562"/>
      <c r="BR366" s="2562"/>
      <c r="BS366" s="2585"/>
      <c r="BT366" s="2585"/>
      <c r="BU366" s="2585"/>
    </row>
    <row r="367" spans="1:73" s="22" customFormat="1" ht="15.75" customHeight="1" outlineLevel="1">
      <c r="A367" s="2585"/>
      <c r="B367" s="44" t="s">
        <v>4855</v>
      </c>
      <c r="C367" s="45" t="s">
        <v>50</v>
      </c>
      <c r="D367" s="46" t="s">
        <v>4505</v>
      </c>
      <c r="E367" s="46" t="s">
        <v>4429</v>
      </c>
      <c r="F367" s="45" t="s">
        <v>4459</v>
      </c>
      <c r="G367" s="46" t="s">
        <v>4515</v>
      </c>
      <c r="H367" s="45" t="s">
        <v>4459</v>
      </c>
      <c r="I367" s="45" t="s">
        <v>4433</v>
      </c>
      <c r="J367" s="47" t="s">
        <v>4744</v>
      </c>
      <c r="K367" s="48">
        <v>100</v>
      </c>
      <c r="L367" s="47">
        <v>59588</v>
      </c>
      <c r="M367" s="1913">
        <v>39.891666666666666</v>
      </c>
      <c r="N367" s="48">
        <v>1.2971699999999999</v>
      </c>
      <c r="O367" s="49">
        <v>1.351</v>
      </c>
      <c r="P367" s="49">
        <v>2.2290000000000001</v>
      </c>
      <c r="Q367" s="1884">
        <f t="shared" si="154"/>
        <v>53.893641666666667</v>
      </c>
      <c r="R367" s="50">
        <v>1.72052E-2</v>
      </c>
      <c r="S367" s="1932"/>
      <c r="T367" s="1932"/>
      <c r="U367" s="1932"/>
      <c r="V367" s="1932"/>
      <c r="W367" s="1885">
        <f t="shared" si="137"/>
        <v>0.15461437230293673</v>
      </c>
      <c r="X367" s="1891">
        <f t="shared" si="138"/>
        <v>0.34463543586324596</v>
      </c>
      <c r="Y367" s="1891">
        <f t="shared" si="139"/>
        <v>3.8350390800000002E-2</v>
      </c>
      <c r="Z367" s="50">
        <v>0</v>
      </c>
      <c r="AA367" s="50">
        <v>0</v>
      </c>
      <c r="AB367" s="48">
        <v>0</v>
      </c>
      <c r="AC367" s="48">
        <v>-0.25693534840886223</v>
      </c>
      <c r="AD367" s="48">
        <v>-0.25693534840886223</v>
      </c>
      <c r="AE367" s="45" t="s">
        <v>4517</v>
      </c>
      <c r="AF367" s="51" t="s">
        <v>4829</v>
      </c>
      <c r="AG367" s="42"/>
      <c r="AH367" s="52" t="s">
        <v>5015</v>
      </c>
      <c r="AI367" s="197"/>
      <c r="AJ367" s="2578"/>
      <c r="AK367" s="251"/>
      <c r="AL367" s="2578"/>
      <c r="AM367" s="2562"/>
      <c r="AN367" s="2562"/>
      <c r="AO367" s="2562"/>
      <c r="AP367" s="2562"/>
      <c r="AQ367" s="2562"/>
      <c r="AR367" s="2562"/>
      <c r="AS367" s="2562"/>
      <c r="AT367" s="252">
        <f t="shared" si="140"/>
        <v>1</v>
      </c>
      <c r="AU367" s="252">
        <f t="shared" si="141"/>
        <v>0</v>
      </c>
      <c r="AV367" s="252">
        <f t="shared" si="142"/>
        <v>0</v>
      </c>
      <c r="AW367" s="252">
        <f t="shared" si="143"/>
        <v>0</v>
      </c>
      <c r="AX367" s="252">
        <f t="shared" si="144"/>
        <v>0</v>
      </c>
      <c r="AY367" s="252">
        <f t="shared" si="145"/>
        <v>0</v>
      </c>
      <c r="AZ367" s="252">
        <f t="shared" si="146"/>
        <v>0</v>
      </c>
      <c r="BA367" s="237"/>
      <c r="BB367" s="252">
        <f t="shared" si="147"/>
        <v>0</v>
      </c>
      <c r="BC367" s="237"/>
      <c r="BD367" s="237"/>
      <c r="BE367" s="237"/>
      <c r="BF367" s="237"/>
      <c r="BG367" s="237"/>
      <c r="BH367" s="237"/>
      <c r="BI367" s="237"/>
      <c r="BJ367" s="252">
        <f t="shared" si="148"/>
        <v>0</v>
      </c>
      <c r="BK367" s="252">
        <f t="shared" si="149"/>
        <v>0</v>
      </c>
      <c r="BL367" s="252">
        <f t="shared" si="150"/>
        <v>0</v>
      </c>
      <c r="BM367" s="252">
        <f t="shared" si="151"/>
        <v>0</v>
      </c>
      <c r="BN367" s="252">
        <f t="shared" si="152"/>
        <v>0</v>
      </c>
      <c r="BO367" s="252">
        <f t="shared" si="153"/>
        <v>1</v>
      </c>
      <c r="BP367" s="2578"/>
      <c r="BQ367" s="2562"/>
      <c r="BR367" s="2562"/>
      <c r="BS367" s="2585"/>
      <c r="BT367" s="2585"/>
      <c r="BU367" s="2585"/>
    </row>
    <row r="368" spans="1:73" s="22" customFormat="1" ht="15.75" customHeight="1" outlineLevel="1">
      <c r="A368" s="2585"/>
      <c r="B368" s="44" t="s">
        <v>4857</v>
      </c>
      <c r="C368" s="45" t="s">
        <v>50</v>
      </c>
      <c r="D368" s="46" t="s">
        <v>4505</v>
      </c>
      <c r="E368" s="46" t="s">
        <v>4429</v>
      </c>
      <c r="F368" s="45" t="s">
        <v>4459</v>
      </c>
      <c r="G368" s="46" t="s">
        <v>4515</v>
      </c>
      <c r="H368" s="45" t="s">
        <v>4459</v>
      </c>
      <c r="I368" s="45" t="s">
        <v>4433</v>
      </c>
      <c r="J368" s="47" t="s">
        <v>4744</v>
      </c>
      <c r="K368" s="48">
        <v>100</v>
      </c>
      <c r="L368" s="47">
        <v>59588</v>
      </c>
      <c r="M368" s="1913">
        <v>39.891666666666666</v>
      </c>
      <c r="N368" s="48">
        <v>1.2971699999999999</v>
      </c>
      <c r="O368" s="49">
        <v>1.351</v>
      </c>
      <c r="P368" s="49">
        <v>2.2290000000000001</v>
      </c>
      <c r="Q368" s="1884">
        <f t="shared" si="154"/>
        <v>53.893641666666667</v>
      </c>
      <c r="R368" s="50">
        <v>1.72052E-2</v>
      </c>
      <c r="S368" s="1932"/>
      <c r="T368" s="1932"/>
      <c r="U368" s="1932"/>
      <c r="V368" s="1932"/>
      <c r="W368" s="1885">
        <f t="shared" si="137"/>
        <v>0.15461437230293673</v>
      </c>
      <c r="X368" s="1891">
        <f t="shared" si="138"/>
        <v>0.34463543586324596</v>
      </c>
      <c r="Y368" s="1891">
        <f t="shared" si="139"/>
        <v>3.8350390800000002E-2</v>
      </c>
      <c r="Z368" s="50">
        <v>0</v>
      </c>
      <c r="AA368" s="50">
        <v>0</v>
      </c>
      <c r="AB368" s="48">
        <v>0</v>
      </c>
      <c r="AC368" s="48">
        <v>-0.25677167977971427</v>
      </c>
      <c r="AD368" s="48">
        <v>-0.25677167977971427</v>
      </c>
      <c r="AE368" s="45" t="s">
        <v>4517</v>
      </c>
      <c r="AF368" s="51" t="s">
        <v>4829</v>
      </c>
      <c r="AG368" s="42"/>
      <c r="AH368" s="52" t="s">
        <v>5016</v>
      </c>
      <c r="AI368" s="197"/>
      <c r="AJ368" s="2578"/>
      <c r="AK368" s="251"/>
      <c r="AL368" s="2578"/>
      <c r="AM368" s="2562"/>
      <c r="AN368" s="2562"/>
      <c r="AO368" s="2562"/>
      <c r="AP368" s="2562"/>
      <c r="AQ368" s="2562"/>
      <c r="AR368" s="2562"/>
      <c r="AS368" s="2562"/>
      <c r="AT368" s="252">
        <f t="shared" si="140"/>
        <v>1</v>
      </c>
      <c r="AU368" s="252">
        <f t="shared" si="141"/>
        <v>0</v>
      </c>
      <c r="AV368" s="252">
        <f t="shared" si="142"/>
        <v>0</v>
      </c>
      <c r="AW368" s="252">
        <f t="shared" si="143"/>
        <v>0</v>
      </c>
      <c r="AX368" s="252">
        <f t="shared" si="144"/>
        <v>0</v>
      </c>
      <c r="AY368" s="252">
        <f t="shared" si="145"/>
        <v>0</v>
      </c>
      <c r="AZ368" s="252">
        <f t="shared" si="146"/>
        <v>0</v>
      </c>
      <c r="BA368" s="237"/>
      <c r="BB368" s="252">
        <f t="shared" si="147"/>
        <v>0</v>
      </c>
      <c r="BC368" s="237"/>
      <c r="BD368" s="237"/>
      <c r="BE368" s="237"/>
      <c r="BF368" s="237"/>
      <c r="BG368" s="237"/>
      <c r="BH368" s="237"/>
      <c r="BI368" s="237"/>
      <c r="BJ368" s="252">
        <f t="shared" si="148"/>
        <v>0</v>
      </c>
      <c r="BK368" s="252">
        <f t="shared" si="149"/>
        <v>0</v>
      </c>
      <c r="BL368" s="252">
        <f t="shared" si="150"/>
        <v>0</v>
      </c>
      <c r="BM368" s="252">
        <f t="shared" si="151"/>
        <v>0</v>
      </c>
      <c r="BN368" s="252">
        <f t="shared" si="152"/>
        <v>0</v>
      </c>
      <c r="BO368" s="252">
        <f t="shared" si="153"/>
        <v>1</v>
      </c>
      <c r="BP368" s="2578"/>
      <c r="BQ368" s="2562"/>
      <c r="BR368" s="2562"/>
      <c r="BS368" s="2585"/>
      <c r="BT368" s="2585"/>
      <c r="BU368" s="2585"/>
    </row>
    <row r="369" spans="1:73" s="22" customFormat="1" ht="15.75" customHeight="1" outlineLevel="1">
      <c r="A369" s="2585"/>
      <c r="B369" s="44" t="s">
        <v>4859</v>
      </c>
      <c r="C369" s="45" t="s">
        <v>50</v>
      </c>
      <c r="D369" s="46" t="s">
        <v>4505</v>
      </c>
      <c r="E369" s="46" t="s">
        <v>4429</v>
      </c>
      <c r="F369" s="45" t="s">
        <v>4459</v>
      </c>
      <c r="G369" s="46" t="s">
        <v>4515</v>
      </c>
      <c r="H369" s="45" t="s">
        <v>4459</v>
      </c>
      <c r="I369" s="45" t="s">
        <v>4433</v>
      </c>
      <c r="J369" s="47" t="s">
        <v>4744</v>
      </c>
      <c r="K369" s="48">
        <v>100</v>
      </c>
      <c r="L369" s="47">
        <v>52283</v>
      </c>
      <c r="M369" s="1913">
        <v>19.891666666666666</v>
      </c>
      <c r="N369" s="48">
        <v>176.94712999999999</v>
      </c>
      <c r="O369" s="49">
        <v>214.042</v>
      </c>
      <c r="P369" s="49">
        <v>304.10899999999998</v>
      </c>
      <c r="Q369" s="1884">
        <f t="shared" si="154"/>
        <v>4257.6521166666662</v>
      </c>
      <c r="R369" s="50">
        <v>4.1500000000000002E-2</v>
      </c>
      <c r="S369" s="1932"/>
      <c r="T369" s="1932"/>
      <c r="U369" s="1932"/>
      <c r="V369" s="1932"/>
      <c r="W369" s="1885">
        <f t="shared" si="137"/>
        <v>0.18219103554868643</v>
      </c>
      <c r="X369" s="1891">
        <f t="shared" si="138"/>
        <v>55.405933629675481</v>
      </c>
      <c r="Y369" s="1891">
        <f t="shared" si="139"/>
        <v>12.620523499999999</v>
      </c>
      <c r="Z369" s="50">
        <v>0</v>
      </c>
      <c r="AA369" s="50">
        <v>0</v>
      </c>
      <c r="AB369" s="48">
        <v>0</v>
      </c>
      <c r="AC369" s="48">
        <v>308.74598513961035</v>
      </c>
      <c r="AD369" s="48">
        <v>308.74598513961035</v>
      </c>
      <c r="AE369" s="45" t="s">
        <v>4517</v>
      </c>
      <c r="AF369" s="51" t="s">
        <v>5017</v>
      </c>
      <c r="AG369" s="42"/>
      <c r="AH369" s="52" t="s">
        <v>5018</v>
      </c>
      <c r="AI369" s="197"/>
      <c r="AJ369" s="2578"/>
      <c r="AK369" s="251"/>
      <c r="AL369" s="2578"/>
      <c r="AM369" s="2562"/>
      <c r="AN369" s="2562"/>
      <c r="AO369" s="2562"/>
      <c r="AP369" s="2562"/>
      <c r="AQ369" s="2562"/>
      <c r="AR369" s="2562"/>
      <c r="AS369" s="2562"/>
      <c r="AT369" s="252">
        <f t="shared" si="140"/>
        <v>1</v>
      </c>
      <c r="AU369" s="252">
        <f t="shared" si="141"/>
        <v>0</v>
      </c>
      <c r="AV369" s="252">
        <f t="shared" si="142"/>
        <v>0</v>
      </c>
      <c r="AW369" s="252">
        <f t="shared" si="143"/>
        <v>0</v>
      </c>
      <c r="AX369" s="252">
        <f t="shared" si="144"/>
        <v>0</v>
      </c>
      <c r="AY369" s="252">
        <f t="shared" si="145"/>
        <v>0</v>
      </c>
      <c r="AZ369" s="252">
        <f t="shared" si="146"/>
        <v>0</v>
      </c>
      <c r="BA369" s="237"/>
      <c r="BB369" s="252">
        <f t="shared" si="147"/>
        <v>0</v>
      </c>
      <c r="BC369" s="237"/>
      <c r="BD369" s="237"/>
      <c r="BE369" s="237"/>
      <c r="BF369" s="237"/>
      <c r="BG369" s="237"/>
      <c r="BH369" s="237"/>
      <c r="BI369" s="237"/>
      <c r="BJ369" s="252">
        <f t="shared" si="148"/>
        <v>0</v>
      </c>
      <c r="BK369" s="252">
        <f t="shared" si="149"/>
        <v>0</v>
      </c>
      <c r="BL369" s="252">
        <f t="shared" si="150"/>
        <v>0</v>
      </c>
      <c r="BM369" s="252">
        <f t="shared" si="151"/>
        <v>0</v>
      </c>
      <c r="BN369" s="252">
        <f t="shared" si="152"/>
        <v>0</v>
      </c>
      <c r="BO369" s="252">
        <f t="shared" si="153"/>
        <v>1</v>
      </c>
      <c r="BP369" s="2578"/>
      <c r="BQ369" s="2562"/>
      <c r="BR369" s="2562"/>
      <c r="BS369" s="2585"/>
      <c r="BT369" s="2585"/>
      <c r="BU369" s="2585"/>
    </row>
    <row r="370" spans="1:73" s="22" customFormat="1" ht="15.75" customHeight="1" outlineLevel="1">
      <c r="A370" s="2585"/>
      <c r="B370" s="44" t="s">
        <v>4862</v>
      </c>
      <c r="C370" s="45" t="s">
        <v>50</v>
      </c>
      <c r="D370" s="46" t="s">
        <v>4505</v>
      </c>
      <c r="E370" s="46" t="s">
        <v>4429</v>
      </c>
      <c r="F370" s="45" t="s">
        <v>4459</v>
      </c>
      <c r="G370" s="46" t="s">
        <v>4515</v>
      </c>
      <c r="H370" s="45" t="s">
        <v>4459</v>
      </c>
      <c r="I370" s="45" t="s">
        <v>4433</v>
      </c>
      <c r="J370" s="47" t="s">
        <v>4744</v>
      </c>
      <c r="K370" s="48">
        <v>100</v>
      </c>
      <c r="L370" s="47">
        <v>52283</v>
      </c>
      <c r="M370" s="1913">
        <v>19.891666666666666</v>
      </c>
      <c r="N370" s="48">
        <v>79.701179999999994</v>
      </c>
      <c r="O370" s="49">
        <v>95.921999999999997</v>
      </c>
      <c r="P370" s="49">
        <v>136.97800000000001</v>
      </c>
      <c r="Q370" s="1884">
        <f t="shared" si="154"/>
        <v>1908.0484499999998</v>
      </c>
      <c r="R370" s="50">
        <v>3.7810000000000003E-2</v>
      </c>
      <c r="S370" s="1932"/>
      <c r="T370" s="1932"/>
      <c r="U370" s="1932"/>
      <c r="V370" s="1932"/>
      <c r="W370" s="1885">
        <f t="shared" si="137"/>
        <v>0.17800257187016988</v>
      </c>
      <c r="X370" s="1891">
        <f t="shared" si="138"/>
        <v>24.382436289632132</v>
      </c>
      <c r="Y370" s="1891">
        <f t="shared" si="139"/>
        <v>5.1791381800000007</v>
      </c>
      <c r="Z370" s="50">
        <v>0</v>
      </c>
      <c r="AA370" s="50">
        <v>0</v>
      </c>
      <c r="AB370" s="48">
        <v>0</v>
      </c>
      <c r="AC370" s="48">
        <v>52.103413069315209</v>
      </c>
      <c r="AD370" s="48">
        <v>52.103413069315209</v>
      </c>
      <c r="AE370" s="45" t="s">
        <v>4517</v>
      </c>
      <c r="AF370" s="51" t="s">
        <v>5019</v>
      </c>
      <c r="AG370" s="42"/>
      <c r="AH370" s="52" t="s">
        <v>5020</v>
      </c>
      <c r="AI370" s="197"/>
      <c r="AJ370" s="2578"/>
      <c r="AK370" s="251"/>
      <c r="AL370" s="2578"/>
      <c r="AM370" s="2562"/>
      <c r="AN370" s="2562"/>
      <c r="AO370" s="2562"/>
      <c r="AP370" s="2562"/>
      <c r="AQ370" s="2562"/>
      <c r="AR370" s="2562"/>
      <c r="AS370" s="2562"/>
      <c r="AT370" s="252">
        <f t="shared" si="140"/>
        <v>1</v>
      </c>
      <c r="AU370" s="252">
        <f t="shared" si="141"/>
        <v>0</v>
      </c>
      <c r="AV370" s="252">
        <f t="shared" si="142"/>
        <v>0</v>
      </c>
      <c r="AW370" s="252">
        <f t="shared" si="143"/>
        <v>0</v>
      </c>
      <c r="AX370" s="252">
        <f t="shared" si="144"/>
        <v>0</v>
      </c>
      <c r="AY370" s="252">
        <f t="shared" si="145"/>
        <v>0</v>
      </c>
      <c r="AZ370" s="252">
        <f t="shared" si="146"/>
        <v>0</v>
      </c>
      <c r="BA370" s="237"/>
      <c r="BB370" s="252">
        <f t="shared" si="147"/>
        <v>0</v>
      </c>
      <c r="BC370" s="237"/>
      <c r="BD370" s="237"/>
      <c r="BE370" s="237"/>
      <c r="BF370" s="237"/>
      <c r="BG370" s="237"/>
      <c r="BH370" s="237"/>
      <c r="BI370" s="237"/>
      <c r="BJ370" s="252">
        <f t="shared" si="148"/>
        <v>0</v>
      </c>
      <c r="BK370" s="252">
        <f t="shared" si="149"/>
        <v>0</v>
      </c>
      <c r="BL370" s="252">
        <f t="shared" si="150"/>
        <v>0</v>
      </c>
      <c r="BM370" s="252">
        <f t="shared" si="151"/>
        <v>0</v>
      </c>
      <c r="BN370" s="252">
        <f t="shared" si="152"/>
        <v>0</v>
      </c>
      <c r="BO370" s="252">
        <f t="shared" si="153"/>
        <v>1</v>
      </c>
      <c r="BP370" s="2578"/>
      <c r="BQ370" s="2562"/>
      <c r="BR370" s="2562"/>
      <c r="BS370" s="2585"/>
      <c r="BT370" s="2585"/>
      <c r="BU370" s="2585"/>
    </row>
    <row r="371" spans="1:73" s="22" customFormat="1" ht="15.75" customHeight="1" outlineLevel="1">
      <c r="A371" s="2585"/>
      <c r="B371" s="44" t="s">
        <v>4865</v>
      </c>
      <c r="C371" s="45" t="s">
        <v>50</v>
      </c>
      <c r="D371" s="46" t="s">
        <v>4505</v>
      </c>
      <c r="E371" s="46" t="s">
        <v>4429</v>
      </c>
      <c r="F371" s="45" t="s">
        <v>4459</v>
      </c>
      <c r="G371" s="46" t="s">
        <v>4515</v>
      </c>
      <c r="H371" s="45" t="s">
        <v>4459</v>
      </c>
      <c r="I371" s="45" t="s">
        <v>4433</v>
      </c>
      <c r="J371" s="47" t="s">
        <v>4744</v>
      </c>
      <c r="K371" s="48">
        <v>100</v>
      </c>
      <c r="L371" s="47">
        <v>50457</v>
      </c>
      <c r="M371" s="1913">
        <v>14.891666666666667</v>
      </c>
      <c r="N371" s="48">
        <v>3.6994549999999999</v>
      </c>
      <c r="O371" s="49">
        <v>4.5090000000000003</v>
      </c>
      <c r="P371" s="49">
        <v>6.3579999999999997</v>
      </c>
      <c r="Q371" s="1884">
        <f t="shared" si="154"/>
        <v>67.146525000000011</v>
      </c>
      <c r="R371" s="50">
        <v>3.5867000000000003E-2</v>
      </c>
      <c r="S371" s="1932"/>
      <c r="T371" s="1932"/>
      <c r="U371" s="1932"/>
      <c r="V371" s="1932"/>
      <c r="W371" s="1885">
        <f t="shared" si="137"/>
        <v>0.17579710170015472</v>
      </c>
      <c r="X371" s="1891">
        <f t="shared" si="138"/>
        <v>1.1177179726095836</v>
      </c>
      <c r="Y371" s="1891">
        <f t="shared" si="139"/>
        <v>0.22804238600000001</v>
      </c>
      <c r="Z371" s="50">
        <v>0</v>
      </c>
      <c r="AA371" s="50">
        <v>0</v>
      </c>
      <c r="AB371" s="48">
        <v>0</v>
      </c>
      <c r="AC371" s="48">
        <v>5.03442988933078</v>
      </c>
      <c r="AD371" s="48">
        <v>5.03442988933078</v>
      </c>
      <c r="AE371" s="45" t="s">
        <v>4517</v>
      </c>
      <c r="AF371" s="51" t="s">
        <v>4863</v>
      </c>
      <c r="AG371" s="42"/>
      <c r="AH371" s="52" t="s">
        <v>5021</v>
      </c>
      <c r="AI371" s="197"/>
      <c r="AJ371" s="2578"/>
      <c r="AK371" s="251"/>
      <c r="AL371" s="2578"/>
      <c r="AM371" s="2562"/>
      <c r="AN371" s="2562"/>
      <c r="AO371" s="2562"/>
      <c r="AP371" s="2562"/>
      <c r="AQ371" s="2562"/>
      <c r="AR371" s="2562"/>
      <c r="AS371" s="2562"/>
      <c r="AT371" s="252">
        <f t="shared" si="140"/>
        <v>1</v>
      </c>
      <c r="AU371" s="252">
        <f t="shared" si="141"/>
        <v>0</v>
      </c>
      <c r="AV371" s="252">
        <f t="shared" si="142"/>
        <v>0</v>
      </c>
      <c r="AW371" s="252">
        <f t="shared" si="143"/>
        <v>0</v>
      </c>
      <c r="AX371" s="252">
        <f t="shared" si="144"/>
        <v>0</v>
      </c>
      <c r="AY371" s="252">
        <f t="shared" si="145"/>
        <v>0</v>
      </c>
      <c r="AZ371" s="252">
        <f t="shared" si="146"/>
        <v>0</v>
      </c>
      <c r="BA371" s="237"/>
      <c r="BB371" s="252">
        <f t="shared" si="147"/>
        <v>0</v>
      </c>
      <c r="BC371" s="237"/>
      <c r="BD371" s="237"/>
      <c r="BE371" s="237"/>
      <c r="BF371" s="237"/>
      <c r="BG371" s="237"/>
      <c r="BH371" s="237"/>
      <c r="BI371" s="237"/>
      <c r="BJ371" s="252">
        <f t="shared" si="148"/>
        <v>0</v>
      </c>
      <c r="BK371" s="252">
        <f t="shared" si="149"/>
        <v>0</v>
      </c>
      <c r="BL371" s="252">
        <f t="shared" si="150"/>
        <v>0</v>
      </c>
      <c r="BM371" s="252">
        <f t="shared" si="151"/>
        <v>0</v>
      </c>
      <c r="BN371" s="252">
        <f t="shared" si="152"/>
        <v>0</v>
      </c>
      <c r="BO371" s="252">
        <f t="shared" si="153"/>
        <v>1</v>
      </c>
      <c r="BP371" s="2578"/>
      <c r="BQ371" s="2562"/>
      <c r="BR371" s="2562"/>
      <c r="BS371" s="2585"/>
      <c r="BT371" s="2585"/>
      <c r="BU371" s="2585"/>
    </row>
    <row r="372" spans="1:73" s="22" customFormat="1" ht="15.75" customHeight="1" outlineLevel="1">
      <c r="A372" s="2585"/>
      <c r="B372" s="44" t="s">
        <v>4867</v>
      </c>
      <c r="C372" s="45" t="s">
        <v>50</v>
      </c>
      <c r="D372" s="46" t="s">
        <v>4505</v>
      </c>
      <c r="E372" s="46" t="s">
        <v>4429</v>
      </c>
      <c r="F372" s="45" t="s">
        <v>4459</v>
      </c>
      <c r="G372" s="46" t="s">
        <v>4515</v>
      </c>
      <c r="H372" s="45" t="s">
        <v>4459</v>
      </c>
      <c r="I372" s="45" t="s">
        <v>4433</v>
      </c>
      <c r="J372" s="47" t="s">
        <v>4744</v>
      </c>
      <c r="K372" s="48">
        <v>100</v>
      </c>
      <c r="L372" s="47">
        <v>50457</v>
      </c>
      <c r="M372" s="1913">
        <v>14.891666666666667</v>
      </c>
      <c r="N372" s="48">
        <v>6.2695150000000002</v>
      </c>
      <c r="O372" s="49">
        <v>7.6420000000000003</v>
      </c>
      <c r="P372" s="49">
        <v>10.775</v>
      </c>
      <c r="Q372" s="1884">
        <f t="shared" si="154"/>
        <v>113.80211666666668</v>
      </c>
      <c r="R372" s="50">
        <v>3.5867000000000003E-2</v>
      </c>
      <c r="S372" s="1932"/>
      <c r="T372" s="1932"/>
      <c r="U372" s="1932"/>
      <c r="V372" s="1932"/>
      <c r="W372" s="1885">
        <f t="shared" si="137"/>
        <v>0.17579710170015472</v>
      </c>
      <c r="X372" s="1891">
        <f t="shared" si="138"/>
        <v>1.8942137708191673</v>
      </c>
      <c r="Y372" s="1891">
        <f t="shared" si="139"/>
        <v>0.38646692500000007</v>
      </c>
      <c r="Z372" s="50">
        <v>0</v>
      </c>
      <c r="AA372" s="50">
        <v>0</v>
      </c>
      <c r="AB372" s="48">
        <v>0</v>
      </c>
      <c r="AC372" s="48">
        <v>8.5319151802133</v>
      </c>
      <c r="AD372" s="48">
        <v>8.5319151802133</v>
      </c>
      <c r="AE372" s="45" t="s">
        <v>4517</v>
      </c>
      <c r="AF372" s="51" t="s">
        <v>4863</v>
      </c>
      <c r="AG372" s="42"/>
      <c r="AH372" s="52" t="s">
        <v>5022</v>
      </c>
      <c r="AI372" s="197"/>
      <c r="AJ372" s="2578"/>
      <c r="AK372" s="251"/>
      <c r="AL372" s="2578"/>
      <c r="AM372" s="2562"/>
      <c r="AN372" s="2562"/>
      <c r="AO372" s="2562"/>
      <c r="AP372" s="2562"/>
      <c r="AQ372" s="2562"/>
      <c r="AR372" s="2562"/>
      <c r="AS372" s="2562"/>
      <c r="AT372" s="252">
        <f t="shared" si="140"/>
        <v>1</v>
      </c>
      <c r="AU372" s="252">
        <f t="shared" si="141"/>
        <v>0</v>
      </c>
      <c r="AV372" s="252">
        <f t="shared" si="142"/>
        <v>0</v>
      </c>
      <c r="AW372" s="252">
        <f t="shared" si="143"/>
        <v>0</v>
      </c>
      <c r="AX372" s="252">
        <f t="shared" si="144"/>
        <v>0</v>
      </c>
      <c r="AY372" s="252">
        <f t="shared" si="145"/>
        <v>0</v>
      </c>
      <c r="AZ372" s="252">
        <f t="shared" si="146"/>
        <v>0</v>
      </c>
      <c r="BA372" s="237"/>
      <c r="BB372" s="252">
        <f t="shared" si="147"/>
        <v>0</v>
      </c>
      <c r="BC372" s="237"/>
      <c r="BD372" s="237"/>
      <c r="BE372" s="237"/>
      <c r="BF372" s="237"/>
      <c r="BG372" s="237"/>
      <c r="BH372" s="237"/>
      <c r="BI372" s="237"/>
      <c r="BJ372" s="252">
        <f t="shared" si="148"/>
        <v>0</v>
      </c>
      <c r="BK372" s="252">
        <f t="shared" si="149"/>
        <v>0</v>
      </c>
      <c r="BL372" s="252">
        <f t="shared" si="150"/>
        <v>0</v>
      </c>
      <c r="BM372" s="252">
        <f t="shared" si="151"/>
        <v>0</v>
      </c>
      <c r="BN372" s="252">
        <f t="shared" si="152"/>
        <v>0</v>
      </c>
      <c r="BO372" s="252">
        <f t="shared" si="153"/>
        <v>1</v>
      </c>
      <c r="BP372" s="2578"/>
      <c r="BQ372" s="2562"/>
      <c r="BR372" s="2562"/>
      <c r="BS372" s="2585"/>
      <c r="BT372" s="2585"/>
      <c r="BU372" s="2585"/>
    </row>
    <row r="373" spans="1:73" s="22" customFormat="1" ht="15.75" customHeight="1" outlineLevel="1">
      <c r="A373" s="2585"/>
      <c r="B373" s="44" t="s">
        <v>4869</v>
      </c>
      <c r="C373" s="45" t="s">
        <v>50</v>
      </c>
      <c r="D373" s="46" t="s">
        <v>4505</v>
      </c>
      <c r="E373" s="46" t="s">
        <v>4429</v>
      </c>
      <c r="F373" s="45" t="s">
        <v>4459</v>
      </c>
      <c r="G373" s="46" t="s">
        <v>4515</v>
      </c>
      <c r="H373" s="45" t="s">
        <v>4459</v>
      </c>
      <c r="I373" s="45" t="s">
        <v>4433</v>
      </c>
      <c r="J373" s="47" t="s">
        <v>4744</v>
      </c>
      <c r="K373" s="48">
        <v>100</v>
      </c>
      <c r="L373" s="47">
        <v>57762</v>
      </c>
      <c r="M373" s="1913">
        <v>34.891666666666666</v>
      </c>
      <c r="N373" s="48">
        <v>15.42</v>
      </c>
      <c r="O373" s="49">
        <v>17.079999999999998</v>
      </c>
      <c r="P373" s="49">
        <v>26.501999999999999</v>
      </c>
      <c r="Q373" s="1884">
        <f t="shared" si="154"/>
        <v>595.94966666666664</v>
      </c>
      <c r="R373" s="50">
        <v>3.1199999999999999E-2</v>
      </c>
      <c r="S373" s="1932"/>
      <c r="T373" s="1932"/>
      <c r="U373" s="1932"/>
      <c r="V373" s="1932"/>
      <c r="W373" s="1885">
        <f t="shared" si="137"/>
        <v>0.170499659969088</v>
      </c>
      <c r="X373" s="1891">
        <f t="shared" si="138"/>
        <v>4.5185819885007703</v>
      </c>
      <c r="Y373" s="1891">
        <f t="shared" si="139"/>
        <v>0.82686239999999989</v>
      </c>
      <c r="Z373" s="50">
        <v>0</v>
      </c>
      <c r="AA373" s="50">
        <v>0</v>
      </c>
      <c r="AB373" s="48">
        <v>0</v>
      </c>
      <c r="AC373" s="48">
        <v>34.377668818518899</v>
      </c>
      <c r="AD373" s="48">
        <v>34.377668818518899</v>
      </c>
      <c r="AE373" s="45" t="s">
        <v>4517</v>
      </c>
      <c r="AF373" s="51" t="s">
        <v>5023</v>
      </c>
      <c r="AG373" s="42"/>
      <c r="AH373" s="52" t="s">
        <v>5024</v>
      </c>
      <c r="AI373" s="197"/>
      <c r="AJ373" s="2578"/>
      <c r="AK373" s="251"/>
      <c r="AL373" s="2578"/>
      <c r="AM373" s="2562"/>
      <c r="AN373" s="2562"/>
      <c r="AO373" s="2562"/>
      <c r="AP373" s="2562"/>
      <c r="AQ373" s="2562"/>
      <c r="AR373" s="2562"/>
      <c r="AS373" s="2562"/>
      <c r="AT373" s="252">
        <f t="shared" si="140"/>
        <v>1</v>
      </c>
      <c r="AU373" s="252">
        <f t="shared" si="141"/>
        <v>0</v>
      </c>
      <c r="AV373" s="252">
        <f t="shared" si="142"/>
        <v>0</v>
      </c>
      <c r="AW373" s="252">
        <f t="shared" si="143"/>
        <v>0</v>
      </c>
      <c r="AX373" s="252">
        <f t="shared" si="144"/>
        <v>0</v>
      </c>
      <c r="AY373" s="252">
        <f t="shared" si="145"/>
        <v>0</v>
      </c>
      <c r="AZ373" s="252">
        <f t="shared" si="146"/>
        <v>0</v>
      </c>
      <c r="BA373" s="237"/>
      <c r="BB373" s="252">
        <f t="shared" si="147"/>
        <v>0</v>
      </c>
      <c r="BC373" s="237"/>
      <c r="BD373" s="237"/>
      <c r="BE373" s="237"/>
      <c r="BF373" s="237"/>
      <c r="BG373" s="237"/>
      <c r="BH373" s="237"/>
      <c r="BI373" s="237"/>
      <c r="BJ373" s="252">
        <f t="shared" si="148"/>
        <v>0</v>
      </c>
      <c r="BK373" s="252">
        <f t="shared" si="149"/>
        <v>0</v>
      </c>
      <c r="BL373" s="252">
        <f t="shared" si="150"/>
        <v>0</v>
      </c>
      <c r="BM373" s="252">
        <f t="shared" si="151"/>
        <v>0</v>
      </c>
      <c r="BN373" s="252">
        <f t="shared" si="152"/>
        <v>0</v>
      </c>
      <c r="BO373" s="252">
        <f t="shared" si="153"/>
        <v>1</v>
      </c>
      <c r="BP373" s="2578"/>
      <c r="BQ373" s="2562"/>
      <c r="BR373" s="2562"/>
      <c r="BS373" s="2585"/>
      <c r="BT373" s="2585"/>
      <c r="BU373" s="2585"/>
    </row>
    <row r="374" spans="1:73" s="22" customFormat="1" ht="15.75" customHeight="1" outlineLevel="1">
      <c r="A374" s="2585"/>
      <c r="B374" s="44" t="s">
        <v>4871</v>
      </c>
      <c r="C374" s="45" t="s">
        <v>50</v>
      </c>
      <c r="D374" s="46" t="s">
        <v>4505</v>
      </c>
      <c r="E374" s="46" t="s">
        <v>4429</v>
      </c>
      <c r="F374" s="45" t="s">
        <v>4459</v>
      </c>
      <c r="G374" s="46" t="s">
        <v>4515</v>
      </c>
      <c r="H374" s="45" t="s">
        <v>4459</v>
      </c>
      <c r="I374" s="45" t="s">
        <v>4433</v>
      </c>
      <c r="J374" s="47" t="s">
        <v>4744</v>
      </c>
      <c r="K374" s="48">
        <v>100</v>
      </c>
      <c r="L374" s="47">
        <v>59588</v>
      </c>
      <c r="M374" s="1913">
        <v>39.891666666666666</v>
      </c>
      <c r="N374" s="48">
        <v>15.66</v>
      </c>
      <c r="O374" s="49">
        <v>16.945</v>
      </c>
      <c r="P374" s="49">
        <v>26.914000000000001</v>
      </c>
      <c r="Q374" s="1884">
        <f t="shared" si="154"/>
        <v>675.96429166666667</v>
      </c>
      <c r="R374" s="50">
        <v>3.1419999999999997E-2</v>
      </c>
      <c r="S374" s="1932"/>
      <c r="T374" s="1932"/>
      <c r="U374" s="1932"/>
      <c r="V374" s="1932"/>
      <c r="W374" s="1885">
        <f t="shared" si="137"/>
        <v>0.17074937867078832</v>
      </c>
      <c r="X374" s="1891">
        <f t="shared" si="138"/>
        <v>4.5955487775455968</v>
      </c>
      <c r="Y374" s="1891">
        <f t="shared" si="139"/>
        <v>0.84563787999999995</v>
      </c>
      <c r="Z374" s="50">
        <v>0</v>
      </c>
      <c r="AA374" s="50">
        <v>0</v>
      </c>
      <c r="AB374" s="48">
        <v>0</v>
      </c>
      <c r="AC374" s="48">
        <v>39.369674949495312</v>
      </c>
      <c r="AD374" s="48">
        <v>39.369674949495312</v>
      </c>
      <c r="AE374" s="45" t="s">
        <v>4517</v>
      </c>
      <c r="AF374" s="51" t="s">
        <v>5023</v>
      </c>
      <c r="AG374" s="42"/>
      <c r="AH374" s="52" t="s">
        <v>5025</v>
      </c>
      <c r="AI374" s="197"/>
      <c r="AJ374" s="2578"/>
      <c r="AK374" s="251"/>
      <c r="AL374" s="2578"/>
      <c r="AM374" s="2562"/>
      <c r="AN374" s="2562"/>
      <c r="AO374" s="2562"/>
      <c r="AP374" s="2562"/>
      <c r="AQ374" s="2562"/>
      <c r="AR374" s="2562"/>
      <c r="AS374" s="2562"/>
      <c r="AT374" s="252">
        <f t="shared" si="140"/>
        <v>1</v>
      </c>
      <c r="AU374" s="252">
        <f t="shared" si="141"/>
        <v>0</v>
      </c>
      <c r="AV374" s="252">
        <f t="shared" si="142"/>
        <v>0</v>
      </c>
      <c r="AW374" s="252">
        <f t="shared" si="143"/>
        <v>0</v>
      </c>
      <c r="AX374" s="252">
        <f t="shared" si="144"/>
        <v>0</v>
      </c>
      <c r="AY374" s="252">
        <f t="shared" si="145"/>
        <v>0</v>
      </c>
      <c r="AZ374" s="252">
        <f t="shared" si="146"/>
        <v>0</v>
      </c>
      <c r="BA374" s="237"/>
      <c r="BB374" s="252">
        <f t="shared" si="147"/>
        <v>0</v>
      </c>
      <c r="BC374" s="237"/>
      <c r="BD374" s="237"/>
      <c r="BE374" s="237"/>
      <c r="BF374" s="237"/>
      <c r="BG374" s="237"/>
      <c r="BH374" s="237"/>
      <c r="BI374" s="237"/>
      <c r="BJ374" s="252">
        <f t="shared" si="148"/>
        <v>0</v>
      </c>
      <c r="BK374" s="252">
        <f t="shared" si="149"/>
        <v>0</v>
      </c>
      <c r="BL374" s="252">
        <f t="shared" si="150"/>
        <v>0</v>
      </c>
      <c r="BM374" s="252">
        <f t="shared" si="151"/>
        <v>0</v>
      </c>
      <c r="BN374" s="252">
        <f t="shared" si="152"/>
        <v>0</v>
      </c>
      <c r="BO374" s="252">
        <f t="shared" si="153"/>
        <v>1</v>
      </c>
      <c r="BP374" s="2578"/>
      <c r="BQ374" s="2562"/>
      <c r="BR374" s="2562"/>
      <c r="BS374" s="2585"/>
      <c r="BT374" s="2585"/>
      <c r="BU374" s="2585"/>
    </row>
    <row r="375" spans="1:73" s="22" customFormat="1" ht="15.75" customHeight="1" outlineLevel="1">
      <c r="A375" s="2585"/>
      <c r="B375" s="44" t="s">
        <v>4873</v>
      </c>
      <c r="C375" s="45" t="s">
        <v>50</v>
      </c>
      <c r="D375" s="46" t="s">
        <v>4505</v>
      </c>
      <c r="E375" s="46" t="s">
        <v>4429</v>
      </c>
      <c r="F375" s="45" t="s">
        <v>4459</v>
      </c>
      <c r="G375" s="46" t="s">
        <v>4515</v>
      </c>
      <c r="H375" s="45" t="s">
        <v>4459</v>
      </c>
      <c r="I375" s="45" t="s">
        <v>4433</v>
      </c>
      <c r="J375" s="47" t="s">
        <v>4744</v>
      </c>
      <c r="K375" s="48">
        <v>100</v>
      </c>
      <c r="L375" s="47">
        <v>57762</v>
      </c>
      <c r="M375" s="1913">
        <v>34.891666666666666</v>
      </c>
      <c r="N375" s="48">
        <v>12.85</v>
      </c>
      <c r="O375" s="49">
        <v>15.778</v>
      </c>
      <c r="P375" s="49">
        <v>22.085000000000001</v>
      </c>
      <c r="Q375" s="1884">
        <f t="shared" si="154"/>
        <v>550.52071666666666</v>
      </c>
      <c r="R375" s="50">
        <v>1.1084999999999999E-2</v>
      </c>
      <c r="S375" s="1932"/>
      <c r="T375" s="1932"/>
      <c r="U375" s="1932"/>
      <c r="V375" s="1932"/>
      <c r="W375" s="1885">
        <f t="shared" si="137"/>
        <v>0.14766742503863983</v>
      </c>
      <c r="X375" s="1891">
        <f t="shared" si="138"/>
        <v>3.2612350819783607</v>
      </c>
      <c r="Y375" s="1891">
        <f t="shared" si="139"/>
        <v>0.24481222499999999</v>
      </c>
      <c r="Z375" s="50">
        <v>0</v>
      </c>
      <c r="AA375" s="50">
        <v>0</v>
      </c>
      <c r="AB375" s="48">
        <v>0</v>
      </c>
      <c r="AC375" s="48">
        <v>24.665617076047386</v>
      </c>
      <c r="AD375" s="48">
        <v>24.665617076047386</v>
      </c>
      <c r="AE375" s="45" t="s">
        <v>4517</v>
      </c>
      <c r="AF375" s="51" t="s">
        <v>5026</v>
      </c>
      <c r="AG375" s="42"/>
      <c r="AH375" s="52" t="s">
        <v>5027</v>
      </c>
      <c r="AI375" s="197"/>
      <c r="AJ375" s="2578"/>
      <c r="AK375" s="251"/>
      <c r="AL375" s="2578"/>
      <c r="AM375" s="2562"/>
      <c r="AN375" s="2562"/>
      <c r="AO375" s="2562"/>
      <c r="AP375" s="2562"/>
      <c r="AQ375" s="2562"/>
      <c r="AR375" s="2562"/>
      <c r="AS375" s="2562"/>
      <c r="AT375" s="252">
        <f t="shared" si="140"/>
        <v>1</v>
      </c>
      <c r="AU375" s="252">
        <f t="shared" si="141"/>
        <v>0</v>
      </c>
      <c r="AV375" s="252">
        <f t="shared" si="142"/>
        <v>0</v>
      </c>
      <c r="AW375" s="252">
        <f t="shared" si="143"/>
        <v>0</v>
      </c>
      <c r="AX375" s="252">
        <f t="shared" si="144"/>
        <v>0</v>
      </c>
      <c r="AY375" s="252">
        <f t="shared" si="145"/>
        <v>0</v>
      </c>
      <c r="AZ375" s="252">
        <f t="shared" si="146"/>
        <v>0</v>
      </c>
      <c r="BA375" s="237"/>
      <c r="BB375" s="252">
        <f t="shared" si="147"/>
        <v>0</v>
      </c>
      <c r="BC375" s="237"/>
      <c r="BD375" s="237"/>
      <c r="BE375" s="237"/>
      <c r="BF375" s="237"/>
      <c r="BG375" s="237"/>
      <c r="BH375" s="237"/>
      <c r="BI375" s="237"/>
      <c r="BJ375" s="252">
        <f t="shared" si="148"/>
        <v>0</v>
      </c>
      <c r="BK375" s="252">
        <f t="shared" si="149"/>
        <v>0</v>
      </c>
      <c r="BL375" s="252">
        <f t="shared" si="150"/>
        <v>0</v>
      </c>
      <c r="BM375" s="252">
        <f t="shared" si="151"/>
        <v>0</v>
      </c>
      <c r="BN375" s="252">
        <f t="shared" si="152"/>
        <v>0</v>
      </c>
      <c r="BO375" s="252">
        <f t="shared" si="153"/>
        <v>1</v>
      </c>
      <c r="BP375" s="2578"/>
      <c r="BQ375" s="2562"/>
      <c r="BR375" s="2562"/>
      <c r="BS375" s="2585"/>
      <c r="BT375" s="2585"/>
      <c r="BU375" s="2585"/>
    </row>
    <row r="376" spans="1:73" s="22" customFormat="1" ht="15.75" customHeight="1" outlineLevel="1">
      <c r="A376" s="2585"/>
      <c r="B376" s="44" t="s">
        <v>4876</v>
      </c>
      <c r="C376" s="45" t="s">
        <v>50</v>
      </c>
      <c r="D376" s="46" t="s">
        <v>4505</v>
      </c>
      <c r="E376" s="46" t="s">
        <v>4429</v>
      </c>
      <c r="F376" s="45" t="s">
        <v>4459</v>
      </c>
      <c r="G376" s="46" t="s">
        <v>4515</v>
      </c>
      <c r="H376" s="45" t="s">
        <v>4459</v>
      </c>
      <c r="I376" s="45" t="s">
        <v>4433</v>
      </c>
      <c r="J376" s="47" t="s">
        <v>4744</v>
      </c>
      <c r="K376" s="48">
        <v>100</v>
      </c>
      <c r="L376" s="47">
        <v>59588</v>
      </c>
      <c r="M376" s="1913">
        <v>39.891666666666666</v>
      </c>
      <c r="N376" s="48">
        <v>13.05</v>
      </c>
      <c r="O376" s="49">
        <v>16.023</v>
      </c>
      <c r="P376" s="49">
        <v>22.428000000000001</v>
      </c>
      <c r="Q376" s="1884">
        <f t="shared" si="154"/>
        <v>639.18417499999998</v>
      </c>
      <c r="R376" s="50">
        <v>1.0549999999999999E-2</v>
      </c>
      <c r="S376" s="1932"/>
      <c r="T376" s="1932"/>
      <c r="U376" s="1932"/>
      <c r="V376" s="1932"/>
      <c r="W376" s="1885">
        <f t="shared" si="137"/>
        <v>0.14706015455950538</v>
      </c>
      <c r="X376" s="1891">
        <f t="shared" si="138"/>
        <v>3.298265146460587</v>
      </c>
      <c r="Y376" s="1891">
        <f t="shared" si="139"/>
        <v>0.23661539999999998</v>
      </c>
      <c r="Z376" s="50">
        <v>0</v>
      </c>
      <c r="AA376" s="50">
        <v>0</v>
      </c>
      <c r="AB376" s="48">
        <v>0</v>
      </c>
      <c r="AC376" s="48">
        <v>27.784289172101136</v>
      </c>
      <c r="AD376" s="48">
        <v>27.784289172101136</v>
      </c>
      <c r="AE376" s="45" t="s">
        <v>4517</v>
      </c>
      <c r="AF376" s="51" t="s">
        <v>5026</v>
      </c>
      <c r="AG376" s="42"/>
      <c r="AH376" s="52" t="s">
        <v>5028</v>
      </c>
      <c r="AI376" s="197"/>
      <c r="AJ376" s="2578"/>
      <c r="AK376" s="251"/>
      <c r="AL376" s="2578"/>
      <c r="AM376" s="2562"/>
      <c r="AN376" s="2562"/>
      <c r="AO376" s="2562"/>
      <c r="AP376" s="2562"/>
      <c r="AQ376" s="2562"/>
      <c r="AR376" s="2562"/>
      <c r="AS376" s="2562"/>
      <c r="AT376" s="252">
        <f t="shared" si="140"/>
        <v>1</v>
      </c>
      <c r="AU376" s="252">
        <f t="shared" si="141"/>
        <v>0</v>
      </c>
      <c r="AV376" s="252">
        <f t="shared" si="142"/>
        <v>0</v>
      </c>
      <c r="AW376" s="252">
        <f t="shared" si="143"/>
        <v>0</v>
      </c>
      <c r="AX376" s="252">
        <f t="shared" si="144"/>
        <v>0</v>
      </c>
      <c r="AY376" s="252">
        <f t="shared" si="145"/>
        <v>0</v>
      </c>
      <c r="AZ376" s="252">
        <f t="shared" si="146"/>
        <v>0</v>
      </c>
      <c r="BA376" s="237"/>
      <c r="BB376" s="252">
        <f t="shared" si="147"/>
        <v>0</v>
      </c>
      <c r="BC376" s="237"/>
      <c r="BD376" s="237"/>
      <c r="BE376" s="237"/>
      <c r="BF376" s="237"/>
      <c r="BG376" s="237"/>
      <c r="BH376" s="237"/>
      <c r="BI376" s="237"/>
      <c r="BJ376" s="252">
        <f t="shared" si="148"/>
        <v>0</v>
      </c>
      <c r="BK376" s="252">
        <f t="shared" si="149"/>
        <v>0</v>
      </c>
      <c r="BL376" s="252">
        <f t="shared" si="150"/>
        <v>0</v>
      </c>
      <c r="BM376" s="252">
        <f t="shared" si="151"/>
        <v>0</v>
      </c>
      <c r="BN376" s="252">
        <f t="shared" si="152"/>
        <v>0</v>
      </c>
      <c r="BO376" s="252">
        <f t="shared" si="153"/>
        <v>1</v>
      </c>
      <c r="BP376" s="2578"/>
      <c r="BQ376" s="2562"/>
      <c r="BR376" s="2562"/>
      <c r="BS376" s="2585"/>
      <c r="BT376" s="2585"/>
      <c r="BU376" s="2585"/>
    </row>
    <row r="377" spans="1:73" s="22" customFormat="1" ht="15.75" customHeight="1" outlineLevel="1">
      <c r="A377" s="2585"/>
      <c r="B377" s="44" t="s">
        <v>4878</v>
      </c>
      <c r="C377" s="45" t="s">
        <v>50</v>
      </c>
      <c r="D377" s="46" t="s">
        <v>4505</v>
      </c>
      <c r="E377" s="46" t="s">
        <v>4429</v>
      </c>
      <c r="F377" s="45" t="s">
        <v>4459</v>
      </c>
      <c r="G377" s="46" t="s">
        <v>4515</v>
      </c>
      <c r="H377" s="45" t="s">
        <v>4459</v>
      </c>
      <c r="I377" s="45" t="s">
        <v>4433</v>
      </c>
      <c r="J377" s="47" t="s">
        <v>4744</v>
      </c>
      <c r="K377" s="48">
        <v>100</v>
      </c>
      <c r="L377" s="47">
        <v>50457</v>
      </c>
      <c r="M377" s="1913">
        <v>14.891666666666667</v>
      </c>
      <c r="N377" s="48">
        <v>12.85</v>
      </c>
      <c r="O377" s="49">
        <v>12.85</v>
      </c>
      <c r="P377" s="49">
        <v>22.085000000000001</v>
      </c>
      <c r="Q377" s="1884">
        <f t="shared" si="154"/>
        <v>191.35791666666668</v>
      </c>
      <c r="R377" s="50">
        <v>1.329E-2</v>
      </c>
      <c r="S377" s="1932"/>
      <c r="T377" s="1932"/>
      <c r="U377" s="1932"/>
      <c r="V377" s="1932"/>
      <c r="W377" s="1885">
        <f t="shared" si="137"/>
        <v>0.15017028748068006</v>
      </c>
      <c r="X377" s="1891">
        <f t="shared" si="138"/>
        <v>3.3165107990108194</v>
      </c>
      <c r="Y377" s="1891">
        <f t="shared" si="139"/>
        <v>0.29350965000000001</v>
      </c>
      <c r="Z377" s="50">
        <v>0</v>
      </c>
      <c r="AA377" s="50">
        <v>0</v>
      </c>
      <c r="AB377" s="48">
        <v>0</v>
      </c>
      <c r="AC377" s="48">
        <v>8.9536612684902419</v>
      </c>
      <c r="AD377" s="48">
        <v>8.9536612684902419</v>
      </c>
      <c r="AE377" s="45" t="s">
        <v>4517</v>
      </c>
      <c r="AF377" s="51" t="s">
        <v>5000</v>
      </c>
      <c r="AG377" s="42"/>
      <c r="AH377" s="52" t="s">
        <v>5029</v>
      </c>
      <c r="AI377" s="197"/>
      <c r="AJ377" s="2578"/>
      <c r="AK377" s="251"/>
      <c r="AL377" s="2578"/>
      <c r="AM377" s="2562"/>
      <c r="AN377" s="2562"/>
      <c r="AO377" s="2562"/>
      <c r="AP377" s="2562"/>
      <c r="AQ377" s="2562"/>
      <c r="AR377" s="2562"/>
      <c r="AS377" s="2562"/>
      <c r="AT377" s="252">
        <f t="shared" si="140"/>
        <v>1</v>
      </c>
      <c r="AU377" s="252">
        <f t="shared" si="141"/>
        <v>0</v>
      </c>
      <c r="AV377" s="252">
        <f t="shared" si="142"/>
        <v>0</v>
      </c>
      <c r="AW377" s="252">
        <f t="shared" si="143"/>
        <v>0</v>
      </c>
      <c r="AX377" s="252">
        <f t="shared" si="144"/>
        <v>0</v>
      </c>
      <c r="AY377" s="252">
        <f t="shared" si="145"/>
        <v>0</v>
      </c>
      <c r="AZ377" s="252">
        <f t="shared" si="146"/>
        <v>0</v>
      </c>
      <c r="BA377" s="237"/>
      <c r="BB377" s="252">
        <f t="shared" si="147"/>
        <v>0</v>
      </c>
      <c r="BC377" s="237"/>
      <c r="BD377" s="237"/>
      <c r="BE377" s="237"/>
      <c r="BF377" s="237"/>
      <c r="BG377" s="237"/>
      <c r="BH377" s="237"/>
      <c r="BI377" s="237"/>
      <c r="BJ377" s="252">
        <f t="shared" si="148"/>
        <v>0</v>
      </c>
      <c r="BK377" s="252">
        <f t="shared" si="149"/>
        <v>0</v>
      </c>
      <c r="BL377" s="252">
        <f t="shared" si="150"/>
        <v>0</v>
      </c>
      <c r="BM377" s="252">
        <f t="shared" si="151"/>
        <v>0</v>
      </c>
      <c r="BN377" s="252">
        <f t="shared" si="152"/>
        <v>0</v>
      </c>
      <c r="BO377" s="252">
        <f t="shared" si="153"/>
        <v>1</v>
      </c>
      <c r="BP377" s="2578"/>
      <c r="BQ377" s="2562"/>
      <c r="BR377" s="2562"/>
      <c r="BS377" s="2585"/>
      <c r="BT377" s="2585"/>
      <c r="BU377" s="2585"/>
    </row>
    <row r="378" spans="1:73" s="22" customFormat="1" ht="15.75" customHeight="1" outlineLevel="1">
      <c r="A378" s="2585"/>
      <c r="B378" s="44" t="s">
        <v>4880</v>
      </c>
      <c r="C378" s="45" t="s">
        <v>50</v>
      </c>
      <c r="D378" s="46" t="s">
        <v>4505</v>
      </c>
      <c r="E378" s="46" t="s">
        <v>4429</v>
      </c>
      <c r="F378" s="45" t="s">
        <v>4459</v>
      </c>
      <c r="G378" s="46" t="s">
        <v>4515</v>
      </c>
      <c r="H378" s="45" t="s">
        <v>4459</v>
      </c>
      <c r="I378" s="45" t="s">
        <v>4433</v>
      </c>
      <c r="J378" s="47" t="s">
        <v>4744</v>
      </c>
      <c r="K378" s="48">
        <v>100</v>
      </c>
      <c r="L378" s="47">
        <v>52283</v>
      </c>
      <c r="M378" s="1913">
        <v>19.891666666666666</v>
      </c>
      <c r="N378" s="48">
        <v>12.85</v>
      </c>
      <c r="O378" s="49">
        <v>15.778</v>
      </c>
      <c r="P378" s="49">
        <v>22.085000000000001</v>
      </c>
      <c r="Q378" s="1884">
        <f t="shared" si="154"/>
        <v>313.85071666666664</v>
      </c>
      <c r="R378" s="50">
        <v>1.176E-2</v>
      </c>
      <c r="S378" s="1932"/>
      <c r="T378" s="1932"/>
      <c r="U378" s="1932"/>
      <c r="V378" s="1932"/>
      <c r="W378" s="1885">
        <f t="shared" si="137"/>
        <v>0.14843360741885636</v>
      </c>
      <c r="X378" s="1891">
        <f t="shared" si="138"/>
        <v>3.2781562198454428</v>
      </c>
      <c r="Y378" s="1891">
        <f t="shared" si="139"/>
        <v>0.25971959999999999</v>
      </c>
      <c r="Z378" s="50">
        <v>0</v>
      </c>
      <c r="AA378" s="50">
        <v>0</v>
      </c>
      <c r="AB378" s="48">
        <v>0</v>
      </c>
      <c r="AC378" s="48">
        <v>14.652129105640006</v>
      </c>
      <c r="AD378" s="48">
        <v>14.652129105640006</v>
      </c>
      <c r="AE378" s="45" t="s">
        <v>4517</v>
      </c>
      <c r="AF378" s="51" t="s">
        <v>5000</v>
      </c>
      <c r="AG378" s="42"/>
      <c r="AH378" s="52" t="s">
        <v>5030</v>
      </c>
      <c r="AI378" s="197"/>
      <c r="AJ378" s="2578"/>
      <c r="AK378" s="251"/>
      <c r="AL378" s="2578"/>
      <c r="AM378" s="2562"/>
      <c r="AN378" s="2562"/>
      <c r="AO378" s="2562"/>
      <c r="AP378" s="2562"/>
      <c r="AQ378" s="2562"/>
      <c r="AR378" s="2562"/>
      <c r="AS378" s="2562"/>
      <c r="AT378" s="252">
        <f t="shared" si="140"/>
        <v>1</v>
      </c>
      <c r="AU378" s="252">
        <f t="shared" si="141"/>
        <v>0</v>
      </c>
      <c r="AV378" s="252">
        <f t="shared" si="142"/>
        <v>0</v>
      </c>
      <c r="AW378" s="252">
        <f t="shared" si="143"/>
        <v>0</v>
      </c>
      <c r="AX378" s="252">
        <f t="shared" si="144"/>
        <v>0</v>
      </c>
      <c r="AY378" s="252">
        <f t="shared" si="145"/>
        <v>0</v>
      </c>
      <c r="AZ378" s="252">
        <f t="shared" si="146"/>
        <v>0</v>
      </c>
      <c r="BA378" s="237"/>
      <c r="BB378" s="252">
        <f t="shared" si="147"/>
        <v>0</v>
      </c>
      <c r="BC378" s="237"/>
      <c r="BD378" s="237"/>
      <c r="BE378" s="237"/>
      <c r="BF378" s="237"/>
      <c r="BG378" s="237"/>
      <c r="BH378" s="237"/>
      <c r="BI378" s="237"/>
      <c r="BJ378" s="252">
        <f t="shared" si="148"/>
        <v>0</v>
      </c>
      <c r="BK378" s="252">
        <f t="shared" si="149"/>
        <v>0</v>
      </c>
      <c r="BL378" s="252">
        <f t="shared" si="150"/>
        <v>0</v>
      </c>
      <c r="BM378" s="252">
        <f t="shared" si="151"/>
        <v>0</v>
      </c>
      <c r="BN378" s="252">
        <f t="shared" si="152"/>
        <v>0</v>
      </c>
      <c r="BO378" s="252">
        <f t="shared" si="153"/>
        <v>1</v>
      </c>
      <c r="BP378" s="2578"/>
      <c r="BQ378" s="2562"/>
      <c r="BR378" s="2562"/>
      <c r="BS378" s="2585"/>
      <c r="BT378" s="2585"/>
      <c r="BU378" s="2585"/>
    </row>
    <row r="379" spans="1:73" s="22" customFormat="1" ht="15.75" customHeight="1" outlineLevel="1">
      <c r="A379" s="2585"/>
      <c r="B379" s="44" t="s">
        <v>4882</v>
      </c>
      <c r="C379" s="45" t="s">
        <v>50</v>
      </c>
      <c r="D379" s="46" t="s">
        <v>4505</v>
      </c>
      <c r="E379" s="46" t="s">
        <v>4429</v>
      </c>
      <c r="F379" s="45" t="s">
        <v>4459</v>
      </c>
      <c r="G379" s="46" t="s">
        <v>4515</v>
      </c>
      <c r="H379" s="45" t="s">
        <v>4459</v>
      </c>
      <c r="I379" s="45" t="s">
        <v>4433</v>
      </c>
      <c r="J379" s="47" t="s">
        <v>4744</v>
      </c>
      <c r="K379" s="48">
        <v>100</v>
      </c>
      <c r="L379" s="47">
        <v>54109</v>
      </c>
      <c r="M379" s="1913">
        <v>24.891666666666666</v>
      </c>
      <c r="N379" s="48">
        <v>5.1134700000000004</v>
      </c>
      <c r="O379" s="49">
        <v>7.2919999999999998</v>
      </c>
      <c r="P379" s="49">
        <v>8.7880000000000003</v>
      </c>
      <c r="Q379" s="1884">
        <f t="shared" si="154"/>
        <v>181.51003333333333</v>
      </c>
      <c r="R379" s="50">
        <v>3.5640000000000005E-2</v>
      </c>
      <c r="S379" s="1932"/>
      <c r="T379" s="1932"/>
      <c r="U379" s="1932"/>
      <c r="V379" s="1932"/>
      <c r="W379" s="1885">
        <f t="shared" ref="W379:W442" si="155">IF(R379=0,0,((1+R379)*(1+C$626))-1)</f>
        <v>0.17553943740340028</v>
      </c>
      <c r="X379" s="1891">
        <f t="shared" ref="X379:X442" si="156">W379*P379</f>
        <v>1.5426405759010817</v>
      </c>
      <c r="Y379" s="1891">
        <f t="shared" ref="Y379:Y442" si="157" xml:space="preserve"> R379*P379</f>
        <v>0.31320432000000004</v>
      </c>
      <c r="Z379" s="50">
        <v>0</v>
      </c>
      <c r="AA379" s="50">
        <v>0</v>
      </c>
      <c r="AB379" s="48">
        <v>0</v>
      </c>
      <c r="AC379" s="48">
        <v>10.904083855160904</v>
      </c>
      <c r="AD379" s="48">
        <v>10.904083855160904</v>
      </c>
      <c r="AE379" s="45" t="s">
        <v>4517</v>
      </c>
      <c r="AF379" s="51" t="s">
        <v>5031</v>
      </c>
      <c r="AG379" s="42"/>
      <c r="AH379" s="52" t="s">
        <v>5032</v>
      </c>
      <c r="AI379" s="197"/>
      <c r="AJ379" s="2578"/>
      <c r="AK379" s="251"/>
      <c r="AL379" s="2578"/>
      <c r="AM379" s="2562"/>
      <c r="AN379" s="2562"/>
      <c r="AO379" s="2562"/>
      <c r="AP379" s="2562"/>
      <c r="AQ379" s="2562"/>
      <c r="AR379" s="2562"/>
      <c r="AS379" s="2562"/>
      <c r="AT379" s="252">
        <f t="shared" ref="AT379:AT415" si="158" xml:space="preserve"> IF( ISNUMBER(J379 ), 0, 1 )</f>
        <v>1</v>
      </c>
      <c r="AU379" s="252">
        <f t="shared" ref="AU379:AU415" si="159" xml:space="preserve"> IF( ISNUMBER(K379 ), 0, 1 )</f>
        <v>0</v>
      </c>
      <c r="AV379" s="252">
        <f t="shared" ref="AV379:AV415" si="160" xml:space="preserve"> IF( ISNUMBER(L379 ), 0, 1 )</f>
        <v>0</v>
      </c>
      <c r="AW379" s="252">
        <f t="shared" ref="AW379:AW415" si="161" xml:space="preserve"> IF( ISNUMBER(M379 ), 0, 1 )</f>
        <v>0</v>
      </c>
      <c r="AX379" s="252">
        <f t="shared" ref="AX379:AX415" si="162" xml:space="preserve"> IF( ISNUMBER(N379 ), 0, 1 )</f>
        <v>0</v>
      </c>
      <c r="AY379" s="252">
        <f t="shared" ref="AY379:AY415" si="163" xml:space="preserve"> IF( ISNUMBER(O379 ), 0, 1 )</f>
        <v>0</v>
      </c>
      <c r="AZ379" s="252">
        <f t="shared" ref="AZ379:AZ415" si="164" xml:space="preserve"> IF( ISNUMBER(P379 ), 0, 1 )</f>
        <v>0</v>
      </c>
      <c r="BA379" s="237"/>
      <c r="BB379" s="252">
        <f t="shared" ref="BB379:BB415" si="165" xml:space="preserve"> IF( ISNUMBER(R379 ), 0, 1 )</f>
        <v>0</v>
      </c>
      <c r="BC379" s="237"/>
      <c r="BD379" s="237"/>
      <c r="BE379" s="237"/>
      <c r="BF379" s="237"/>
      <c r="BG379" s="237"/>
      <c r="BH379" s="237"/>
      <c r="BI379" s="237"/>
      <c r="BJ379" s="252">
        <f t="shared" ref="BJ379:BJ415" si="166" xml:space="preserve"> IF( ISNUMBER(Z379 ), 0, 1 )</f>
        <v>0</v>
      </c>
      <c r="BK379" s="252">
        <f t="shared" ref="BK379:BK415" si="167" xml:space="preserve"> IF( ISNUMBER(AA379 ), 0, 1 )</f>
        <v>0</v>
      </c>
      <c r="BL379" s="252">
        <f t="shared" ref="BL379:BL415" si="168" xml:space="preserve"> IF( ISNUMBER(AB379 ), 0, 1 )</f>
        <v>0</v>
      </c>
      <c r="BM379" s="252">
        <f t="shared" ref="BM379:BM415" si="169" xml:space="preserve"> IF( ISNUMBER(AC379 ), 0, 1 )</f>
        <v>0</v>
      </c>
      <c r="BN379" s="252">
        <f t="shared" ref="BN379:BN415" si="170" xml:space="preserve"> IF( ISNUMBER(AD379 ), 0, 1 )</f>
        <v>0</v>
      </c>
      <c r="BO379" s="252">
        <f t="shared" ref="BO379:BO415" si="171" xml:space="preserve"> IF( ISNUMBER(AF379 ), 0, 1 )</f>
        <v>1</v>
      </c>
      <c r="BP379" s="2578"/>
      <c r="BQ379" s="2562"/>
      <c r="BR379" s="2562"/>
      <c r="BS379" s="2585"/>
      <c r="BT379" s="2585"/>
      <c r="BU379" s="2585"/>
    </row>
    <row r="380" spans="1:73" s="22" customFormat="1" ht="15.75" customHeight="1" outlineLevel="1">
      <c r="A380" s="2585"/>
      <c r="B380" s="44" t="s">
        <v>4884</v>
      </c>
      <c r="C380" s="45" t="s">
        <v>50</v>
      </c>
      <c r="D380" s="46" t="s">
        <v>4505</v>
      </c>
      <c r="E380" s="46" t="s">
        <v>4429</v>
      </c>
      <c r="F380" s="45" t="s">
        <v>4459</v>
      </c>
      <c r="G380" s="46" t="s">
        <v>4515</v>
      </c>
      <c r="H380" s="45" t="s">
        <v>4459</v>
      </c>
      <c r="I380" s="45" t="s">
        <v>4433</v>
      </c>
      <c r="J380" s="47" t="s">
        <v>4744</v>
      </c>
      <c r="K380" s="48">
        <v>100</v>
      </c>
      <c r="L380" s="47">
        <v>57762</v>
      </c>
      <c r="M380" s="1913">
        <v>34.891666666666666</v>
      </c>
      <c r="N380" s="48">
        <v>5.1134700000000004</v>
      </c>
      <c r="O380" s="49">
        <v>7.2919999999999998</v>
      </c>
      <c r="P380" s="49">
        <v>8.7880000000000003</v>
      </c>
      <c r="Q380" s="1884">
        <f t="shared" si="154"/>
        <v>254.43003333333331</v>
      </c>
      <c r="R380" s="50">
        <v>3.5920000000000001E-2</v>
      </c>
      <c r="S380" s="1932"/>
      <c r="T380" s="1932"/>
      <c r="U380" s="1932"/>
      <c r="V380" s="1932"/>
      <c r="W380" s="1885">
        <f t="shared" si="155"/>
        <v>0.175857261205564</v>
      </c>
      <c r="X380" s="1891">
        <f t="shared" si="156"/>
        <v>1.5454336114744964</v>
      </c>
      <c r="Y380" s="1891">
        <f t="shared" si="157"/>
        <v>0.31566495999999999</v>
      </c>
      <c r="Z380" s="50">
        <v>0</v>
      </c>
      <c r="AA380" s="50">
        <v>0</v>
      </c>
      <c r="AB380" s="48">
        <v>0</v>
      </c>
      <c r="AC380" s="48">
        <v>13.762722405605052</v>
      </c>
      <c r="AD380" s="48">
        <v>13.762722405605052</v>
      </c>
      <c r="AE380" s="45" t="s">
        <v>4517</v>
      </c>
      <c r="AF380" s="51" t="s">
        <v>5031</v>
      </c>
      <c r="AG380" s="42"/>
      <c r="AH380" s="52" t="s">
        <v>5033</v>
      </c>
      <c r="AI380" s="197"/>
      <c r="AJ380" s="2578"/>
      <c r="AK380" s="251"/>
      <c r="AL380" s="2578"/>
      <c r="AM380" s="2562"/>
      <c r="AN380" s="2562"/>
      <c r="AO380" s="2562"/>
      <c r="AP380" s="2562"/>
      <c r="AQ380" s="2562"/>
      <c r="AR380" s="2562"/>
      <c r="AS380" s="2562"/>
      <c r="AT380" s="252">
        <f t="shared" si="158"/>
        <v>1</v>
      </c>
      <c r="AU380" s="252">
        <f t="shared" si="159"/>
        <v>0</v>
      </c>
      <c r="AV380" s="252">
        <f t="shared" si="160"/>
        <v>0</v>
      </c>
      <c r="AW380" s="252">
        <f t="shared" si="161"/>
        <v>0</v>
      </c>
      <c r="AX380" s="252">
        <f t="shared" si="162"/>
        <v>0</v>
      </c>
      <c r="AY380" s="252">
        <f t="shared" si="163"/>
        <v>0</v>
      </c>
      <c r="AZ380" s="252">
        <f t="shared" si="164"/>
        <v>0</v>
      </c>
      <c r="BA380" s="237"/>
      <c r="BB380" s="252">
        <f t="shared" si="165"/>
        <v>0</v>
      </c>
      <c r="BC380" s="237"/>
      <c r="BD380" s="237"/>
      <c r="BE380" s="237"/>
      <c r="BF380" s="237"/>
      <c r="BG380" s="237"/>
      <c r="BH380" s="237"/>
      <c r="BI380" s="237"/>
      <c r="BJ380" s="252">
        <f t="shared" si="166"/>
        <v>0</v>
      </c>
      <c r="BK380" s="252">
        <f t="shared" si="167"/>
        <v>0</v>
      </c>
      <c r="BL380" s="252">
        <f t="shared" si="168"/>
        <v>0</v>
      </c>
      <c r="BM380" s="252">
        <f t="shared" si="169"/>
        <v>0</v>
      </c>
      <c r="BN380" s="252">
        <f t="shared" si="170"/>
        <v>0</v>
      </c>
      <c r="BO380" s="252">
        <f t="shared" si="171"/>
        <v>1</v>
      </c>
      <c r="BP380" s="2578"/>
      <c r="BQ380" s="2562"/>
      <c r="BR380" s="2562"/>
      <c r="BS380" s="2585"/>
      <c r="BT380" s="2585"/>
      <c r="BU380" s="2585"/>
    </row>
    <row r="381" spans="1:73" s="22" customFormat="1" ht="15.75" customHeight="1" outlineLevel="1">
      <c r="A381" s="2585"/>
      <c r="B381" s="44" t="s">
        <v>4886</v>
      </c>
      <c r="C381" s="45" t="s">
        <v>50</v>
      </c>
      <c r="D381" s="46" t="s">
        <v>4505</v>
      </c>
      <c r="E381" s="46" t="s">
        <v>4429</v>
      </c>
      <c r="F381" s="45" t="s">
        <v>4459</v>
      </c>
      <c r="G381" s="46" t="s">
        <v>4515</v>
      </c>
      <c r="H381" s="45" t="s">
        <v>4459</v>
      </c>
      <c r="I381" s="45" t="s">
        <v>4433</v>
      </c>
      <c r="J381" s="47" t="s">
        <v>4744</v>
      </c>
      <c r="K381" s="48">
        <v>100</v>
      </c>
      <c r="L381" s="47">
        <v>59588</v>
      </c>
      <c r="M381" s="1913">
        <v>39.891666666666666</v>
      </c>
      <c r="N381" s="48">
        <v>5.19306</v>
      </c>
      <c r="O381" s="49">
        <v>7.4050000000000002</v>
      </c>
      <c r="P381" s="49">
        <v>8.9250000000000007</v>
      </c>
      <c r="Q381" s="1884">
        <f t="shared" ref="Q381:Q444" si="172">IFERROR(M381*O381,"")</f>
        <v>295.39779166666665</v>
      </c>
      <c r="R381" s="50">
        <v>3.6740000000000002E-2</v>
      </c>
      <c r="S381" s="1932"/>
      <c r="T381" s="1932"/>
      <c r="U381" s="1932"/>
      <c r="V381" s="1932"/>
      <c r="W381" s="1885">
        <f t="shared" si="155"/>
        <v>0.17678803091190098</v>
      </c>
      <c r="X381" s="1891">
        <f t="shared" si="156"/>
        <v>1.5778331758887163</v>
      </c>
      <c r="Y381" s="1891">
        <f t="shared" si="157"/>
        <v>0.32790450000000004</v>
      </c>
      <c r="Z381" s="50">
        <v>0</v>
      </c>
      <c r="AA381" s="50">
        <v>0</v>
      </c>
      <c r="AB381" s="48">
        <v>0</v>
      </c>
      <c r="AC381" s="48">
        <v>15.651915247889105</v>
      </c>
      <c r="AD381" s="48">
        <v>15.651915247889105</v>
      </c>
      <c r="AE381" s="45" t="s">
        <v>4517</v>
      </c>
      <c r="AF381" s="51" t="s">
        <v>5031</v>
      </c>
      <c r="AG381" s="42"/>
      <c r="AH381" s="52" t="s">
        <v>5034</v>
      </c>
      <c r="AI381" s="197"/>
      <c r="AJ381" s="2578"/>
      <c r="AK381" s="251"/>
      <c r="AL381" s="2578"/>
      <c r="AM381" s="2562"/>
      <c r="AN381" s="2562"/>
      <c r="AO381" s="2562"/>
      <c r="AP381" s="2562"/>
      <c r="AQ381" s="2562"/>
      <c r="AR381" s="2562"/>
      <c r="AS381" s="2562"/>
      <c r="AT381" s="252">
        <f t="shared" si="158"/>
        <v>1</v>
      </c>
      <c r="AU381" s="252">
        <f t="shared" si="159"/>
        <v>0</v>
      </c>
      <c r="AV381" s="252">
        <f t="shared" si="160"/>
        <v>0</v>
      </c>
      <c r="AW381" s="252">
        <f t="shared" si="161"/>
        <v>0</v>
      </c>
      <c r="AX381" s="252">
        <f t="shared" si="162"/>
        <v>0</v>
      </c>
      <c r="AY381" s="252">
        <f t="shared" si="163"/>
        <v>0</v>
      </c>
      <c r="AZ381" s="252">
        <f t="shared" si="164"/>
        <v>0</v>
      </c>
      <c r="BA381" s="237"/>
      <c r="BB381" s="252">
        <f t="shared" si="165"/>
        <v>0</v>
      </c>
      <c r="BC381" s="237"/>
      <c r="BD381" s="237"/>
      <c r="BE381" s="237"/>
      <c r="BF381" s="237"/>
      <c r="BG381" s="237"/>
      <c r="BH381" s="237"/>
      <c r="BI381" s="237"/>
      <c r="BJ381" s="252">
        <f t="shared" si="166"/>
        <v>0</v>
      </c>
      <c r="BK381" s="252">
        <f t="shared" si="167"/>
        <v>0</v>
      </c>
      <c r="BL381" s="252">
        <f t="shared" si="168"/>
        <v>0</v>
      </c>
      <c r="BM381" s="252">
        <f t="shared" si="169"/>
        <v>0</v>
      </c>
      <c r="BN381" s="252">
        <f t="shared" si="170"/>
        <v>0</v>
      </c>
      <c r="BO381" s="252">
        <f t="shared" si="171"/>
        <v>1</v>
      </c>
      <c r="BP381" s="2578"/>
      <c r="BQ381" s="2562"/>
      <c r="BR381" s="2562"/>
      <c r="BS381" s="2585"/>
      <c r="BT381" s="2585"/>
      <c r="BU381" s="2585"/>
    </row>
    <row r="382" spans="1:73" s="22" customFormat="1" ht="15.75" customHeight="1" outlineLevel="1">
      <c r="A382" s="2585"/>
      <c r="B382" s="44" t="s">
        <v>5035</v>
      </c>
      <c r="C382" s="45" t="s">
        <v>4438</v>
      </c>
      <c r="D382" s="46" t="s">
        <v>4428</v>
      </c>
      <c r="E382" s="46" t="s">
        <v>4429</v>
      </c>
      <c r="F382" s="45" t="s">
        <v>5036</v>
      </c>
      <c r="G382" s="46" t="s">
        <v>4431</v>
      </c>
      <c r="H382" s="45" t="s">
        <v>4440</v>
      </c>
      <c r="I382" s="45" t="s">
        <v>4433</v>
      </c>
      <c r="J382" s="47">
        <v>40018</v>
      </c>
      <c r="K382" s="48">
        <v>100</v>
      </c>
      <c r="L382" s="47">
        <v>48789</v>
      </c>
      <c r="M382" s="1913">
        <v>10.330555555555556</v>
      </c>
      <c r="N382" s="48" t="s">
        <v>5037</v>
      </c>
      <c r="O382" s="49">
        <v>203.077</v>
      </c>
      <c r="P382" s="49">
        <v>203.077</v>
      </c>
      <c r="Q382" s="1884">
        <f t="shared" si="172"/>
        <v>2097.8982305555555</v>
      </c>
      <c r="R382" s="50">
        <v>3.3066600000000002E-2</v>
      </c>
      <c r="S382" s="1932"/>
      <c r="T382" s="1932"/>
      <c r="U382" s="1932"/>
      <c r="V382" s="1932"/>
      <c r="W382" s="1885">
        <f t="shared" si="155"/>
        <v>0.17261840964451314</v>
      </c>
      <c r="X382" s="1891">
        <f t="shared" si="156"/>
        <v>35.054828775378795</v>
      </c>
      <c r="Y382" s="1891">
        <f t="shared" si="157"/>
        <v>6.7150659282000005</v>
      </c>
      <c r="Z382" s="50">
        <v>0</v>
      </c>
      <c r="AA382" s="50">
        <v>0</v>
      </c>
      <c r="AB382" s="48">
        <v>0</v>
      </c>
      <c r="AC382" s="48">
        <v>207.30000926308244</v>
      </c>
      <c r="AD382" s="48">
        <v>148.49100000000001</v>
      </c>
      <c r="AE382" s="45"/>
      <c r="AF382" s="51" t="s">
        <v>4435</v>
      </c>
      <c r="AG382" s="42"/>
      <c r="AH382" s="52" t="s">
        <v>5038</v>
      </c>
      <c r="AI382" s="197"/>
      <c r="AJ382" s="2578"/>
      <c r="AK382" s="251"/>
      <c r="AL382" s="2578"/>
      <c r="AM382" s="2562"/>
      <c r="AN382" s="2562"/>
      <c r="AO382" s="2562"/>
      <c r="AP382" s="2562"/>
      <c r="AQ382" s="2562"/>
      <c r="AR382" s="2562"/>
      <c r="AS382" s="2562"/>
      <c r="AT382" s="252">
        <f t="shared" si="158"/>
        <v>0</v>
      </c>
      <c r="AU382" s="252">
        <f t="shared" si="159"/>
        <v>0</v>
      </c>
      <c r="AV382" s="252">
        <f t="shared" si="160"/>
        <v>0</v>
      </c>
      <c r="AW382" s="252">
        <f t="shared" si="161"/>
        <v>0</v>
      </c>
      <c r="AX382" s="252">
        <f t="shared" si="162"/>
        <v>1</v>
      </c>
      <c r="AY382" s="252">
        <f t="shared" si="163"/>
        <v>0</v>
      </c>
      <c r="AZ382" s="252">
        <f t="shared" si="164"/>
        <v>0</v>
      </c>
      <c r="BA382" s="237"/>
      <c r="BB382" s="252">
        <f t="shared" si="165"/>
        <v>0</v>
      </c>
      <c r="BC382" s="237"/>
      <c r="BD382" s="237"/>
      <c r="BE382" s="237"/>
      <c r="BF382" s="237"/>
      <c r="BG382" s="237"/>
      <c r="BH382" s="237"/>
      <c r="BI382" s="237"/>
      <c r="BJ382" s="252">
        <f t="shared" si="166"/>
        <v>0</v>
      </c>
      <c r="BK382" s="252">
        <f t="shared" si="167"/>
        <v>0</v>
      </c>
      <c r="BL382" s="252">
        <f t="shared" si="168"/>
        <v>0</v>
      </c>
      <c r="BM382" s="252">
        <f t="shared" si="169"/>
        <v>0</v>
      </c>
      <c r="BN382" s="252">
        <f t="shared" si="170"/>
        <v>0</v>
      </c>
      <c r="BO382" s="252">
        <f t="shared" si="171"/>
        <v>1</v>
      </c>
      <c r="BP382" s="2578"/>
      <c r="BQ382" s="2562"/>
      <c r="BR382" s="2562"/>
      <c r="BS382" s="2585"/>
      <c r="BT382" s="2585"/>
      <c r="BU382" s="2585"/>
    </row>
    <row r="383" spans="1:73" s="22" customFormat="1" ht="15.75" customHeight="1" outlineLevel="1">
      <c r="A383" s="2585"/>
      <c r="B383" s="44" t="s">
        <v>5039</v>
      </c>
      <c r="C383" s="45" t="s">
        <v>4438</v>
      </c>
      <c r="D383" s="46" t="s">
        <v>4428</v>
      </c>
      <c r="E383" s="46" t="s">
        <v>4429</v>
      </c>
      <c r="F383" s="45" t="s">
        <v>5040</v>
      </c>
      <c r="G383" s="46" t="s">
        <v>4431</v>
      </c>
      <c r="H383" s="45" t="s">
        <v>4440</v>
      </c>
      <c r="I383" s="45" t="s">
        <v>4433</v>
      </c>
      <c r="J383" s="47">
        <v>40291</v>
      </c>
      <c r="K383" s="48">
        <v>100</v>
      </c>
      <c r="L383" s="47">
        <v>51134</v>
      </c>
      <c r="M383" s="1913">
        <v>16.75</v>
      </c>
      <c r="N383" s="48">
        <v>175</v>
      </c>
      <c r="O383" s="49">
        <v>298.12099999999998</v>
      </c>
      <c r="P383" s="49">
        <v>298.12099999999998</v>
      </c>
      <c r="Q383" s="1884">
        <f t="shared" si="172"/>
        <v>4993.52675</v>
      </c>
      <c r="R383" s="50">
        <v>2.7179999999999999E-2</v>
      </c>
      <c r="S383" s="1932"/>
      <c r="T383" s="1932"/>
      <c r="U383" s="1932"/>
      <c r="V383" s="1932"/>
      <c r="W383" s="1885">
        <f t="shared" si="155"/>
        <v>0.16593661823802153</v>
      </c>
      <c r="X383" s="1891">
        <f t="shared" si="156"/>
        <v>49.469190565737215</v>
      </c>
      <c r="Y383" s="1891">
        <f t="shared" si="157"/>
        <v>8.1029287799999992</v>
      </c>
      <c r="Z383" s="50">
        <v>0</v>
      </c>
      <c r="AA383" s="50">
        <v>0</v>
      </c>
      <c r="AB383" s="48">
        <v>0</v>
      </c>
      <c r="AC383" s="48">
        <v>297.97366822795044</v>
      </c>
      <c r="AD383" s="48">
        <v>201.495</v>
      </c>
      <c r="AE383" s="45"/>
      <c r="AF383" s="51" t="s">
        <v>4435</v>
      </c>
      <c r="AG383" s="42"/>
      <c r="AH383" s="52" t="s">
        <v>5041</v>
      </c>
      <c r="AI383" s="197"/>
      <c r="AJ383" s="2578"/>
      <c r="AK383" s="251"/>
      <c r="AL383" s="2578"/>
      <c r="AM383" s="2562"/>
      <c r="AN383" s="2562"/>
      <c r="AO383" s="2562"/>
      <c r="AP383" s="2562"/>
      <c r="AQ383" s="2562"/>
      <c r="AR383" s="2562"/>
      <c r="AS383" s="2562"/>
      <c r="AT383" s="252">
        <f t="shared" si="158"/>
        <v>0</v>
      </c>
      <c r="AU383" s="252">
        <f t="shared" si="159"/>
        <v>0</v>
      </c>
      <c r="AV383" s="252">
        <f t="shared" si="160"/>
        <v>0</v>
      </c>
      <c r="AW383" s="252">
        <f t="shared" si="161"/>
        <v>0</v>
      </c>
      <c r="AX383" s="252">
        <f t="shared" si="162"/>
        <v>0</v>
      </c>
      <c r="AY383" s="252">
        <f t="shared" si="163"/>
        <v>0</v>
      </c>
      <c r="AZ383" s="252">
        <f t="shared" si="164"/>
        <v>0</v>
      </c>
      <c r="BA383" s="237"/>
      <c r="BB383" s="252">
        <f t="shared" si="165"/>
        <v>0</v>
      </c>
      <c r="BC383" s="237"/>
      <c r="BD383" s="237"/>
      <c r="BE383" s="237"/>
      <c r="BF383" s="237"/>
      <c r="BG383" s="237"/>
      <c r="BH383" s="237"/>
      <c r="BI383" s="237"/>
      <c r="BJ383" s="252">
        <f t="shared" si="166"/>
        <v>0</v>
      </c>
      <c r="BK383" s="252">
        <f t="shared" si="167"/>
        <v>0</v>
      </c>
      <c r="BL383" s="252">
        <f t="shared" si="168"/>
        <v>0</v>
      </c>
      <c r="BM383" s="252">
        <f t="shared" si="169"/>
        <v>0</v>
      </c>
      <c r="BN383" s="252">
        <f t="shared" si="170"/>
        <v>0</v>
      </c>
      <c r="BO383" s="252">
        <f t="shared" si="171"/>
        <v>1</v>
      </c>
      <c r="BP383" s="2578"/>
      <c r="BQ383" s="2562"/>
      <c r="BR383" s="2562"/>
      <c r="BS383" s="2585"/>
      <c r="BT383" s="2585"/>
      <c r="BU383" s="2585"/>
    </row>
    <row r="384" spans="1:73" s="22" customFormat="1" ht="15.75" customHeight="1" outlineLevel="1">
      <c r="A384" s="2585"/>
      <c r="B384" s="44" t="s">
        <v>5042</v>
      </c>
      <c r="C384" s="45" t="s">
        <v>4438</v>
      </c>
      <c r="D384" s="46" t="s">
        <v>4428</v>
      </c>
      <c r="E384" s="46" t="s">
        <v>4429</v>
      </c>
      <c r="F384" s="45" t="s">
        <v>5040</v>
      </c>
      <c r="G384" s="46" t="s">
        <v>4431</v>
      </c>
      <c r="H384" s="45" t="s">
        <v>4440</v>
      </c>
      <c r="I384" s="45" t="s">
        <v>4433</v>
      </c>
      <c r="J384" s="47">
        <v>40291</v>
      </c>
      <c r="K384" s="48">
        <v>113.717</v>
      </c>
      <c r="L384" s="47">
        <v>51134</v>
      </c>
      <c r="M384" s="1913">
        <v>16.75</v>
      </c>
      <c r="N384" s="48">
        <v>85</v>
      </c>
      <c r="O384" s="49">
        <v>144.80099999999999</v>
      </c>
      <c r="P384" s="49">
        <v>144.80099999999999</v>
      </c>
      <c r="Q384" s="1884">
        <f t="shared" si="172"/>
        <v>2425.4167499999999</v>
      </c>
      <c r="R384" s="50">
        <v>2.7179999999999999E-2</v>
      </c>
      <c r="S384" s="1932"/>
      <c r="T384" s="1932"/>
      <c r="U384" s="1932"/>
      <c r="V384" s="1932"/>
      <c r="W384" s="1885">
        <f t="shared" si="155"/>
        <v>0.16593661823802153</v>
      </c>
      <c r="X384" s="1891">
        <f t="shared" si="156"/>
        <v>24.027788257483753</v>
      </c>
      <c r="Y384" s="1891">
        <f t="shared" si="157"/>
        <v>3.9356911799999996</v>
      </c>
      <c r="Z384" s="50">
        <v>0</v>
      </c>
      <c r="AA384" s="50">
        <v>0</v>
      </c>
      <c r="AB384" s="48">
        <v>-0.58301621999999931</v>
      </c>
      <c r="AC384" s="48">
        <v>151.10347808645631</v>
      </c>
      <c r="AD384" s="48">
        <v>97.869</v>
      </c>
      <c r="AE384" s="45"/>
      <c r="AF384" s="51" t="s">
        <v>4435</v>
      </c>
      <c r="AG384" s="42"/>
      <c r="AH384" s="52" t="s">
        <v>5043</v>
      </c>
      <c r="AI384" s="197"/>
      <c r="AJ384" s="2578"/>
      <c r="AK384" s="251"/>
      <c r="AL384" s="2578"/>
      <c r="AM384" s="2562"/>
      <c r="AN384" s="2562"/>
      <c r="AO384" s="2562"/>
      <c r="AP384" s="2562"/>
      <c r="AQ384" s="2562"/>
      <c r="AR384" s="2562"/>
      <c r="AS384" s="2562"/>
      <c r="AT384" s="252">
        <f t="shared" si="158"/>
        <v>0</v>
      </c>
      <c r="AU384" s="252">
        <f t="shared" si="159"/>
        <v>0</v>
      </c>
      <c r="AV384" s="252">
        <f t="shared" si="160"/>
        <v>0</v>
      </c>
      <c r="AW384" s="252">
        <f t="shared" si="161"/>
        <v>0</v>
      </c>
      <c r="AX384" s="252">
        <f t="shared" si="162"/>
        <v>0</v>
      </c>
      <c r="AY384" s="252">
        <f t="shared" si="163"/>
        <v>0</v>
      </c>
      <c r="AZ384" s="252">
        <f t="shared" si="164"/>
        <v>0</v>
      </c>
      <c r="BA384" s="237"/>
      <c r="BB384" s="252">
        <f t="shared" si="165"/>
        <v>0</v>
      </c>
      <c r="BC384" s="237"/>
      <c r="BD384" s="237"/>
      <c r="BE384" s="237"/>
      <c r="BF384" s="237"/>
      <c r="BG384" s="237"/>
      <c r="BH384" s="237"/>
      <c r="BI384" s="237"/>
      <c r="BJ384" s="252">
        <f t="shared" si="166"/>
        <v>0</v>
      </c>
      <c r="BK384" s="252">
        <f t="shared" si="167"/>
        <v>0</v>
      </c>
      <c r="BL384" s="252">
        <f t="shared" si="168"/>
        <v>0</v>
      </c>
      <c r="BM384" s="252">
        <f t="shared" si="169"/>
        <v>0</v>
      </c>
      <c r="BN384" s="252">
        <f t="shared" si="170"/>
        <v>0</v>
      </c>
      <c r="BO384" s="252">
        <f t="shared" si="171"/>
        <v>1</v>
      </c>
      <c r="BP384" s="2578"/>
      <c r="BQ384" s="2562"/>
      <c r="BR384" s="2562"/>
      <c r="BS384" s="2585"/>
      <c r="BT384" s="2585"/>
      <c r="BU384" s="2585"/>
    </row>
    <row r="385" spans="1:73" s="22" customFormat="1" ht="15.75" customHeight="1" outlineLevel="1">
      <c r="A385" s="2585"/>
      <c r="B385" s="44" t="s">
        <v>5044</v>
      </c>
      <c r="C385" s="45" t="s">
        <v>4438</v>
      </c>
      <c r="D385" s="46" t="s">
        <v>4457</v>
      </c>
      <c r="E385" s="46" t="s">
        <v>4429</v>
      </c>
      <c r="F385" s="45" t="s">
        <v>4459</v>
      </c>
      <c r="G385" s="46" t="s">
        <v>4431</v>
      </c>
      <c r="H385" s="45" t="s">
        <v>4459</v>
      </c>
      <c r="I385" s="45" t="s">
        <v>4433</v>
      </c>
      <c r="J385" s="47">
        <v>40890</v>
      </c>
      <c r="K385" s="48">
        <v>100</v>
      </c>
      <c r="L385" s="47">
        <v>51848</v>
      </c>
      <c r="M385" s="1913">
        <v>18.702777777777779</v>
      </c>
      <c r="N385" s="48">
        <v>50</v>
      </c>
      <c r="O385" s="49">
        <v>75.724999999999994</v>
      </c>
      <c r="P385" s="49">
        <v>75.724999999999994</v>
      </c>
      <c r="Q385" s="1884">
        <f t="shared" si="172"/>
        <v>1416.2678472222221</v>
      </c>
      <c r="R385" s="50">
        <v>2.1600000000000001E-2</v>
      </c>
      <c r="S385" s="1932"/>
      <c r="T385" s="1932"/>
      <c r="U385" s="1932"/>
      <c r="V385" s="1932"/>
      <c r="W385" s="1885">
        <f t="shared" si="155"/>
        <v>0.15960284389489954</v>
      </c>
      <c r="X385" s="1891">
        <f t="shared" si="156"/>
        <v>12.085925353941267</v>
      </c>
      <c r="Y385" s="1891">
        <f t="shared" si="157"/>
        <v>1.6356599999999999</v>
      </c>
      <c r="Z385" s="50">
        <v>0</v>
      </c>
      <c r="AA385" s="50">
        <v>0</v>
      </c>
      <c r="AB385" s="48">
        <v>-0.26886958</v>
      </c>
      <c r="AC385" s="48">
        <v>75.495231121098342</v>
      </c>
      <c r="AD385" s="48">
        <v>79.861999999999995</v>
      </c>
      <c r="AE385" s="45"/>
      <c r="AF385" s="51" t="s">
        <v>4435</v>
      </c>
      <c r="AG385" s="42"/>
      <c r="AH385" s="52" t="s">
        <v>5045</v>
      </c>
      <c r="AI385" s="197"/>
      <c r="AJ385" s="2578"/>
      <c r="AK385" s="251"/>
      <c r="AL385" s="2578"/>
      <c r="AM385" s="2562"/>
      <c r="AN385" s="2562"/>
      <c r="AO385" s="2562"/>
      <c r="AP385" s="2562"/>
      <c r="AQ385" s="2562"/>
      <c r="AR385" s="2562"/>
      <c r="AS385" s="2562"/>
      <c r="AT385" s="252">
        <f t="shared" si="158"/>
        <v>0</v>
      </c>
      <c r="AU385" s="252">
        <f t="shared" si="159"/>
        <v>0</v>
      </c>
      <c r="AV385" s="252">
        <f t="shared" si="160"/>
        <v>0</v>
      </c>
      <c r="AW385" s="252">
        <f t="shared" si="161"/>
        <v>0</v>
      </c>
      <c r="AX385" s="252">
        <f t="shared" si="162"/>
        <v>0</v>
      </c>
      <c r="AY385" s="252">
        <f t="shared" si="163"/>
        <v>0</v>
      </c>
      <c r="AZ385" s="252">
        <f t="shared" si="164"/>
        <v>0</v>
      </c>
      <c r="BA385" s="237"/>
      <c r="BB385" s="252">
        <f t="shared" si="165"/>
        <v>0</v>
      </c>
      <c r="BC385" s="237"/>
      <c r="BD385" s="237"/>
      <c r="BE385" s="237"/>
      <c r="BF385" s="237"/>
      <c r="BG385" s="237"/>
      <c r="BH385" s="237"/>
      <c r="BI385" s="237"/>
      <c r="BJ385" s="252">
        <f t="shared" si="166"/>
        <v>0</v>
      </c>
      <c r="BK385" s="252">
        <f t="shared" si="167"/>
        <v>0</v>
      </c>
      <c r="BL385" s="252">
        <f t="shared" si="168"/>
        <v>0</v>
      </c>
      <c r="BM385" s="252">
        <f t="shared" si="169"/>
        <v>0</v>
      </c>
      <c r="BN385" s="252">
        <f t="shared" si="170"/>
        <v>0</v>
      </c>
      <c r="BO385" s="252">
        <f t="shared" si="171"/>
        <v>1</v>
      </c>
      <c r="BP385" s="2578"/>
      <c r="BQ385" s="2562"/>
      <c r="BR385" s="2562"/>
      <c r="BS385" s="2585"/>
      <c r="BT385" s="2585"/>
      <c r="BU385" s="2585"/>
    </row>
    <row r="386" spans="1:73" s="22" customFormat="1" ht="15.75" customHeight="1" outlineLevel="1">
      <c r="A386" s="2585"/>
      <c r="B386" s="44" t="s">
        <v>5046</v>
      </c>
      <c r="C386" s="45" t="s">
        <v>4438</v>
      </c>
      <c r="D386" s="46" t="s">
        <v>4428</v>
      </c>
      <c r="E386" s="46" t="s">
        <v>4733</v>
      </c>
      <c r="F386" s="45" t="s">
        <v>5047</v>
      </c>
      <c r="G386" s="46" t="s">
        <v>4431</v>
      </c>
      <c r="H386" s="45" t="s">
        <v>4440</v>
      </c>
      <c r="I386" s="45" t="s">
        <v>4433</v>
      </c>
      <c r="J386" s="47">
        <v>41051</v>
      </c>
      <c r="K386" s="48">
        <v>100</v>
      </c>
      <c r="L386" s="47" t="s">
        <v>4733</v>
      </c>
      <c r="M386" s="1913">
        <v>14.883644444444441</v>
      </c>
      <c r="N386" s="48">
        <v>50</v>
      </c>
      <c r="O386" s="49">
        <v>74.924000000000007</v>
      </c>
      <c r="P386" s="49">
        <v>74.924000000000007</v>
      </c>
      <c r="Q386" s="1884">
        <f t="shared" si="172"/>
        <v>1115.1421763555554</v>
      </c>
      <c r="R386" s="50">
        <v>1.8030000000000001E-2</v>
      </c>
      <c r="S386" s="1932"/>
      <c r="T386" s="1932"/>
      <c r="U386" s="1932"/>
      <c r="V386" s="1932"/>
      <c r="W386" s="1885">
        <f t="shared" si="155"/>
        <v>0.15555059041731067</v>
      </c>
      <c r="X386" s="1891">
        <f t="shared" si="156"/>
        <v>11.654472436426586</v>
      </c>
      <c r="Y386" s="1891">
        <f t="shared" si="157"/>
        <v>1.3508797200000002</v>
      </c>
      <c r="Z386" s="50">
        <v>0</v>
      </c>
      <c r="AA386" s="50">
        <v>0</v>
      </c>
      <c r="AB386" s="48">
        <v>-0.35042961</v>
      </c>
      <c r="AC386" s="48">
        <v>74.683604130242287</v>
      </c>
      <c r="AD386" s="48">
        <v>50.485999999999997</v>
      </c>
      <c r="AE386" s="45"/>
      <c r="AF386" s="51" t="s">
        <v>4435</v>
      </c>
      <c r="AG386" s="42"/>
      <c r="AH386" s="52" t="s">
        <v>5048</v>
      </c>
      <c r="AI386" s="197"/>
      <c r="AJ386" s="2578"/>
      <c r="AK386" s="251"/>
      <c r="AL386" s="2578"/>
      <c r="AM386" s="2562"/>
      <c r="AN386" s="2562"/>
      <c r="AO386" s="2562"/>
      <c r="AP386" s="2562"/>
      <c r="AQ386" s="2562"/>
      <c r="AR386" s="2562"/>
      <c r="AS386" s="2562"/>
      <c r="AT386" s="252">
        <f t="shared" si="158"/>
        <v>0</v>
      </c>
      <c r="AU386" s="252">
        <f t="shared" si="159"/>
        <v>0</v>
      </c>
      <c r="AV386" s="252">
        <f t="shared" si="160"/>
        <v>1</v>
      </c>
      <c r="AW386" s="252">
        <f t="shared" si="161"/>
        <v>0</v>
      </c>
      <c r="AX386" s="252">
        <f t="shared" si="162"/>
        <v>0</v>
      </c>
      <c r="AY386" s="252">
        <f t="shared" si="163"/>
        <v>0</v>
      </c>
      <c r="AZ386" s="252">
        <f t="shared" si="164"/>
        <v>0</v>
      </c>
      <c r="BA386" s="237"/>
      <c r="BB386" s="252">
        <f t="shared" si="165"/>
        <v>0</v>
      </c>
      <c r="BC386" s="237"/>
      <c r="BD386" s="237"/>
      <c r="BE386" s="237"/>
      <c r="BF386" s="237"/>
      <c r="BG386" s="237"/>
      <c r="BH386" s="237"/>
      <c r="BI386" s="237"/>
      <c r="BJ386" s="252">
        <f t="shared" si="166"/>
        <v>0</v>
      </c>
      <c r="BK386" s="252">
        <f t="shared" si="167"/>
        <v>0</v>
      </c>
      <c r="BL386" s="252">
        <f t="shared" si="168"/>
        <v>0</v>
      </c>
      <c r="BM386" s="252">
        <f t="shared" si="169"/>
        <v>0</v>
      </c>
      <c r="BN386" s="252">
        <f t="shared" si="170"/>
        <v>0</v>
      </c>
      <c r="BO386" s="252">
        <f t="shared" si="171"/>
        <v>1</v>
      </c>
      <c r="BP386" s="2578"/>
      <c r="BQ386" s="2562"/>
      <c r="BR386" s="2562"/>
      <c r="BS386" s="2585"/>
      <c r="BT386" s="2585"/>
      <c r="BU386" s="2585"/>
    </row>
    <row r="387" spans="1:73" s="22" customFormat="1" ht="15.75" customHeight="1" outlineLevel="1">
      <c r="A387" s="2585"/>
      <c r="B387" s="44" t="s">
        <v>5049</v>
      </c>
      <c r="C387" s="45" t="s">
        <v>4427</v>
      </c>
      <c r="D387" s="46" t="s">
        <v>4428</v>
      </c>
      <c r="E387" s="46" t="s">
        <v>4429</v>
      </c>
      <c r="F387" s="45" t="s">
        <v>5050</v>
      </c>
      <c r="G387" s="46" t="s">
        <v>4431</v>
      </c>
      <c r="H387" s="45" t="s">
        <v>4440</v>
      </c>
      <c r="I387" s="45" t="s">
        <v>4433</v>
      </c>
      <c r="J387" s="47">
        <v>39244</v>
      </c>
      <c r="K387" s="48">
        <v>100</v>
      </c>
      <c r="L387" s="47">
        <v>54820</v>
      </c>
      <c r="M387" s="1913">
        <v>26.836111111111112</v>
      </c>
      <c r="N387" s="48">
        <v>65</v>
      </c>
      <c r="O387" s="49">
        <v>114.39</v>
      </c>
      <c r="P387" s="49">
        <v>114.39</v>
      </c>
      <c r="Q387" s="1884">
        <f t="shared" si="172"/>
        <v>3069.7827500000003</v>
      </c>
      <c r="R387" s="50">
        <v>1.8225000000000002E-2</v>
      </c>
      <c r="S387" s="1932"/>
      <c r="T387" s="1932"/>
      <c r="U387" s="1932"/>
      <c r="V387" s="1932"/>
      <c r="W387" s="1885">
        <f t="shared" si="155"/>
        <v>0.15577193199381756</v>
      </c>
      <c r="X387" s="1891">
        <f t="shared" si="156"/>
        <v>17.818751300772792</v>
      </c>
      <c r="Y387" s="1891">
        <f t="shared" si="157"/>
        <v>2.0847577500000001</v>
      </c>
      <c r="Z387" s="50">
        <v>0</v>
      </c>
      <c r="AA387" s="50">
        <v>0</v>
      </c>
      <c r="AB387" s="48">
        <v>-0.42625638999999999</v>
      </c>
      <c r="AC387" s="48">
        <v>114.06415986926434</v>
      </c>
      <c r="AD387" s="48">
        <v>61.774999999999999</v>
      </c>
      <c r="AE387" s="45"/>
      <c r="AF387" s="51"/>
      <c r="AG387" s="42"/>
      <c r="AH387" s="52" t="s">
        <v>5051</v>
      </c>
      <c r="AI387" s="197"/>
      <c r="AJ387" s="2578"/>
      <c r="AK387" s="251"/>
      <c r="AL387" s="2578"/>
      <c r="AM387" s="2562"/>
      <c r="AN387" s="2562"/>
      <c r="AO387" s="2562"/>
      <c r="AP387" s="2562"/>
      <c r="AQ387" s="2562"/>
      <c r="AR387" s="2562"/>
      <c r="AS387" s="2562"/>
      <c r="AT387" s="252">
        <f t="shared" si="158"/>
        <v>0</v>
      </c>
      <c r="AU387" s="252">
        <f t="shared" si="159"/>
        <v>0</v>
      </c>
      <c r="AV387" s="252">
        <f t="shared" si="160"/>
        <v>0</v>
      </c>
      <c r="AW387" s="252">
        <f t="shared" si="161"/>
        <v>0</v>
      </c>
      <c r="AX387" s="252">
        <f t="shared" si="162"/>
        <v>0</v>
      </c>
      <c r="AY387" s="252">
        <f t="shared" si="163"/>
        <v>0</v>
      </c>
      <c r="AZ387" s="252">
        <f t="shared" si="164"/>
        <v>0</v>
      </c>
      <c r="BA387" s="237"/>
      <c r="BB387" s="252">
        <f t="shared" si="165"/>
        <v>0</v>
      </c>
      <c r="BC387" s="237"/>
      <c r="BD387" s="237"/>
      <c r="BE387" s="237"/>
      <c r="BF387" s="237"/>
      <c r="BG387" s="237"/>
      <c r="BH387" s="237"/>
      <c r="BI387" s="237"/>
      <c r="BJ387" s="252">
        <f t="shared" si="166"/>
        <v>0</v>
      </c>
      <c r="BK387" s="252">
        <f t="shared" si="167"/>
        <v>0</v>
      </c>
      <c r="BL387" s="252">
        <f t="shared" si="168"/>
        <v>0</v>
      </c>
      <c r="BM387" s="252">
        <f t="shared" si="169"/>
        <v>0</v>
      </c>
      <c r="BN387" s="252">
        <f t="shared" si="170"/>
        <v>0</v>
      </c>
      <c r="BO387" s="252">
        <f t="shared" si="171"/>
        <v>1</v>
      </c>
      <c r="BP387" s="2578"/>
      <c r="BQ387" s="2562"/>
      <c r="BR387" s="2562"/>
      <c r="BS387" s="2585"/>
      <c r="BT387" s="2585"/>
      <c r="BU387" s="2585"/>
    </row>
    <row r="388" spans="1:73" s="22" customFormat="1" ht="15.75" customHeight="1" outlineLevel="1">
      <c r="A388" s="2585"/>
      <c r="B388" s="44" t="s">
        <v>5052</v>
      </c>
      <c r="C388" s="45" t="s">
        <v>4427</v>
      </c>
      <c r="D388" s="46" t="s">
        <v>4428</v>
      </c>
      <c r="E388" s="46" t="s">
        <v>4429</v>
      </c>
      <c r="F388" s="45" t="s">
        <v>5053</v>
      </c>
      <c r="G388" s="46" t="s">
        <v>4431</v>
      </c>
      <c r="H388" s="45" t="s">
        <v>4440</v>
      </c>
      <c r="I388" s="45" t="s">
        <v>4433</v>
      </c>
      <c r="J388" s="47">
        <v>39037</v>
      </c>
      <c r="K388" s="48">
        <v>100</v>
      </c>
      <c r="L388" s="47">
        <v>55366</v>
      </c>
      <c r="M388" s="1913">
        <v>28.336111111111112</v>
      </c>
      <c r="N388" s="48">
        <v>125</v>
      </c>
      <c r="O388" s="49">
        <v>225.58199999999999</v>
      </c>
      <c r="P388" s="49">
        <v>225.58199999999999</v>
      </c>
      <c r="Q388" s="1884">
        <f t="shared" si="172"/>
        <v>6392.1166166666671</v>
      </c>
      <c r="R388" s="50">
        <v>1.4619999999999999E-2</v>
      </c>
      <c r="S388" s="1932"/>
      <c r="T388" s="1932"/>
      <c r="U388" s="1932"/>
      <c r="V388" s="1932"/>
      <c r="W388" s="1885">
        <f t="shared" si="155"/>
        <v>0.15167995054095829</v>
      </c>
      <c r="X388" s="1891">
        <f t="shared" si="156"/>
        <v>34.216266602930453</v>
      </c>
      <c r="Y388" s="1891">
        <f t="shared" si="157"/>
        <v>3.2980088399999996</v>
      </c>
      <c r="Z388" s="50">
        <v>0</v>
      </c>
      <c r="AA388" s="50">
        <v>0</v>
      </c>
      <c r="AB388" s="48">
        <v>-9.4252799999999998E-2</v>
      </c>
      <c r="AC388" s="48">
        <v>225.41146692650969</v>
      </c>
      <c r="AD388" s="48">
        <v>118.379</v>
      </c>
      <c r="AE388" s="45"/>
      <c r="AF388" s="51"/>
      <c r="AG388" s="42"/>
      <c r="AH388" s="52" t="s">
        <v>5054</v>
      </c>
      <c r="AI388" s="197"/>
      <c r="AJ388" s="2578"/>
      <c r="AK388" s="251"/>
      <c r="AL388" s="2578"/>
      <c r="AM388" s="2562"/>
      <c r="AN388" s="2562"/>
      <c r="AO388" s="2562"/>
      <c r="AP388" s="2562"/>
      <c r="AQ388" s="2562"/>
      <c r="AR388" s="2562"/>
      <c r="AS388" s="2562"/>
      <c r="AT388" s="252">
        <f t="shared" si="158"/>
        <v>0</v>
      </c>
      <c r="AU388" s="252">
        <f t="shared" si="159"/>
        <v>0</v>
      </c>
      <c r="AV388" s="252">
        <f t="shared" si="160"/>
        <v>0</v>
      </c>
      <c r="AW388" s="252">
        <f t="shared" si="161"/>
        <v>0</v>
      </c>
      <c r="AX388" s="252">
        <f t="shared" si="162"/>
        <v>0</v>
      </c>
      <c r="AY388" s="252">
        <f t="shared" si="163"/>
        <v>0</v>
      </c>
      <c r="AZ388" s="252">
        <f t="shared" si="164"/>
        <v>0</v>
      </c>
      <c r="BA388" s="237"/>
      <c r="BB388" s="252">
        <f t="shared" si="165"/>
        <v>0</v>
      </c>
      <c r="BC388" s="237"/>
      <c r="BD388" s="237"/>
      <c r="BE388" s="237"/>
      <c r="BF388" s="237"/>
      <c r="BG388" s="237"/>
      <c r="BH388" s="237"/>
      <c r="BI388" s="237"/>
      <c r="BJ388" s="252">
        <f t="shared" si="166"/>
        <v>0</v>
      </c>
      <c r="BK388" s="252">
        <f t="shared" si="167"/>
        <v>0</v>
      </c>
      <c r="BL388" s="252">
        <f t="shared" si="168"/>
        <v>0</v>
      </c>
      <c r="BM388" s="252">
        <f t="shared" si="169"/>
        <v>0</v>
      </c>
      <c r="BN388" s="252">
        <f t="shared" si="170"/>
        <v>0</v>
      </c>
      <c r="BO388" s="252">
        <f t="shared" si="171"/>
        <v>1</v>
      </c>
      <c r="BP388" s="2578"/>
      <c r="BQ388" s="2562"/>
      <c r="BR388" s="2562"/>
      <c r="BS388" s="2585"/>
      <c r="BT388" s="2585"/>
      <c r="BU388" s="2585"/>
    </row>
    <row r="389" spans="1:73" s="22" customFormat="1" ht="15.75" customHeight="1" outlineLevel="1">
      <c r="A389" s="2585"/>
      <c r="B389" s="44" t="s">
        <v>5055</v>
      </c>
      <c r="C389" s="45" t="s">
        <v>4427</v>
      </c>
      <c r="D389" s="46" t="s">
        <v>4428</v>
      </c>
      <c r="E389" s="46" t="s">
        <v>4429</v>
      </c>
      <c r="F389" s="45" t="s">
        <v>5056</v>
      </c>
      <c r="G389" s="46" t="s">
        <v>4431</v>
      </c>
      <c r="H389" s="45" t="s">
        <v>4440</v>
      </c>
      <c r="I389" s="45" t="s">
        <v>4433</v>
      </c>
      <c r="J389" s="47">
        <v>39234</v>
      </c>
      <c r="K389" s="48">
        <v>100</v>
      </c>
      <c r="L389" s="47">
        <v>56281</v>
      </c>
      <c r="M389" s="1913">
        <v>30.836111111111112</v>
      </c>
      <c r="N389" s="48">
        <v>85</v>
      </c>
      <c r="O389" s="49">
        <v>149.83099999999999</v>
      </c>
      <c r="P389" s="49">
        <v>149.83099999999999</v>
      </c>
      <c r="Q389" s="1884">
        <f t="shared" si="172"/>
        <v>4620.2053638888883</v>
      </c>
      <c r="R389" s="50">
        <v>1.75756E-2</v>
      </c>
      <c r="S389" s="1932"/>
      <c r="T389" s="1932"/>
      <c r="U389" s="1932"/>
      <c r="V389" s="1932"/>
      <c r="W389" s="1885">
        <f t="shared" si="155"/>
        <v>0.15503480778979917</v>
      </c>
      <c r="X389" s="1891">
        <f t="shared" si="156"/>
        <v>23.229020285953396</v>
      </c>
      <c r="Y389" s="1891">
        <f t="shared" si="157"/>
        <v>2.6333697236</v>
      </c>
      <c r="Z389" s="50">
        <v>0</v>
      </c>
      <c r="AA389" s="50">
        <v>0</v>
      </c>
      <c r="AB389" s="48">
        <v>-0.57924195999999994</v>
      </c>
      <c r="AC389" s="48">
        <v>149.37197332940292</v>
      </c>
      <c r="AD389" s="48">
        <v>79.7</v>
      </c>
      <c r="AE389" s="45"/>
      <c r="AF389" s="51"/>
      <c r="AG389" s="42"/>
      <c r="AH389" s="52" t="s">
        <v>5057</v>
      </c>
      <c r="AI389" s="197"/>
      <c r="AJ389" s="2578"/>
      <c r="AK389" s="251"/>
      <c r="AL389" s="2578"/>
      <c r="AM389" s="2562"/>
      <c r="AN389" s="2562"/>
      <c r="AO389" s="2562"/>
      <c r="AP389" s="2562"/>
      <c r="AQ389" s="2562"/>
      <c r="AR389" s="2562"/>
      <c r="AS389" s="2562"/>
      <c r="AT389" s="252">
        <f t="shared" si="158"/>
        <v>0</v>
      </c>
      <c r="AU389" s="252">
        <f t="shared" si="159"/>
        <v>0</v>
      </c>
      <c r="AV389" s="252">
        <f t="shared" si="160"/>
        <v>0</v>
      </c>
      <c r="AW389" s="252">
        <f t="shared" si="161"/>
        <v>0</v>
      </c>
      <c r="AX389" s="252">
        <f t="shared" si="162"/>
        <v>0</v>
      </c>
      <c r="AY389" s="252">
        <f t="shared" si="163"/>
        <v>0</v>
      </c>
      <c r="AZ389" s="252">
        <f t="shared" si="164"/>
        <v>0</v>
      </c>
      <c r="BA389" s="237"/>
      <c r="BB389" s="252">
        <f t="shared" si="165"/>
        <v>0</v>
      </c>
      <c r="BC389" s="237"/>
      <c r="BD389" s="237"/>
      <c r="BE389" s="237"/>
      <c r="BF389" s="237"/>
      <c r="BG389" s="237"/>
      <c r="BH389" s="237"/>
      <c r="BI389" s="237"/>
      <c r="BJ389" s="252">
        <f t="shared" si="166"/>
        <v>0</v>
      </c>
      <c r="BK389" s="252">
        <f t="shared" si="167"/>
        <v>0</v>
      </c>
      <c r="BL389" s="252">
        <f t="shared" si="168"/>
        <v>0</v>
      </c>
      <c r="BM389" s="252">
        <f t="shared" si="169"/>
        <v>0</v>
      </c>
      <c r="BN389" s="252">
        <f t="shared" si="170"/>
        <v>0</v>
      </c>
      <c r="BO389" s="252">
        <f t="shared" si="171"/>
        <v>1</v>
      </c>
      <c r="BP389" s="2578"/>
      <c r="BQ389" s="2562"/>
      <c r="BR389" s="2562"/>
      <c r="BS389" s="2585"/>
      <c r="BT389" s="2585"/>
      <c r="BU389" s="2585"/>
    </row>
    <row r="390" spans="1:73" s="22" customFormat="1" ht="15.75" customHeight="1" outlineLevel="1">
      <c r="A390" s="2585"/>
      <c r="B390" s="44" t="s">
        <v>5058</v>
      </c>
      <c r="C390" s="45" t="s">
        <v>4427</v>
      </c>
      <c r="D390" s="46" t="s">
        <v>4428</v>
      </c>
      <c r="E390" s="46" t="s">
        <v>4429</v>
      </c>
      <c r="F390" s="45" t="s">
        <v>5059</v>
      </c>
      <c r="G390" s="46" t="s">
        <v>4431</v>
      </c>
      <c r="H390" s="45" t="s">
        <v>4440</v>
      </c>
      <c r="I390" s="45" t="s">
        <v>4433</v>
      </c>
      <c r="J390" s="47">
        <v>39036</v>
      </c>
      <c r="K390" s="48">
        <v>100</v>
      </c>
      <c r="L390" s="47">
        <v>57193</v>
      </c>
      <c r="M390" s="1913">
        <v>33.336111111111109</v>
      </c>
      <c r="N390" s="48">
        <v>125</v>
      </c>
      <c r="O390" s="49">
        <v>225.61600000000001</v>
      </c>
      <c r="P390" s="49">
        <v>225.61600000000001</v>
      </c>
      <c r="Q390" s="1884">
        <f t="shared" si="172"/>
        <v>7521.1600444444439</v>
      </c>
      <c r="R390" s="50">
        <v>1.46E-2</v>
      </c>
      <c r="S390" s="1932"/>
      <c r="T390" s="1932"/>
      <c r="U390" s="1932"/>
      <c r="V390" s="1932"/>
      <c r="W390" s="1885">
        <f t="shared" si="155"/>
        <v>0.15165724884080367</v>
      </c>
      <c r="X390" s="1891">
        <f t="shared" si="156"/>
        <v>34.216301854466764</v>
      </c>
      <c r="Y390" s="1891">
        <f t="shared" si="157"/>
        <v>3.2939936000000003</v>
      </c>
      <c r="Z390" s="50">
        <v>0</v>
      </c>
      <c r="AA390" s="50">
        <v>0</v>
      </c>
      <c r="AB390" s="48">
        <v>-0.21731499000000001</v>
      </c>
      <c r="AC390" s="48">
        <v>225.35776158791236</v>
      </c>
      <c r="AD390" s="48">
        <v>108.133</v>
      </c>
      <c r="AE390" s="45"/>
      <c r="AF390" s="51"/>
      <c r="AG390" s="42"/>
      <c r="AH390" s="52" t="s">
        <v>5060</v>
      </c>
      <c r="AI390" s="197"/>
      <c r="AJ390" s="2578"/>
      <c r="AK390" s="251"/>
      <c r="AL390" s="2578"/>
      <c r="AM390" s="2562"/>
      <c r="AN390" s="2562"/>
      <c r="AO390" s="2562"/>
      <c r="AP390" s="2562"/>
      <c r="AQ390" s="2562"/>
      <c r="AR390" s="2562"/>
      <c r="AS390" s="2562"/>
      <c r="AT390" s="252">
        <f t="shared" si="158"/>
        <v>0</v>
      </c>
      <c r="AU390" s="252">
        <f t="shared" si="159"/>
        <v>0</v>
      </c>
      <c r="AV390" s="252">
        <f t="shared" si="160"/>
        <v>0</v>
      </c>
      <c r="AW390" s="252">
        <f t="shared" si="161"/>
        <v>0</v>
      </c>
      <c r="AX390" s="252">
        <f t="shared" si="162"/>
        <v>0</v>
      </c>
      <c r="AY390" s="252">
        <f t="shared" si="163"/>
        <v>0</v>
      </c>
      <c r="AZ390" s="252">
        <f t="shared" si="164"/>
        <v>0</v>
      </c>
      <c r="BA390" s="237"/>
      <c r="BB390" s="252">
        <f t="shared" si="165"/>
        <v>0</v>
      </c>
      <c r="BC390" s="237"/>
      <c r="BD390" s="237"/>
      <c r="BE390" s="237"/>
      <c r="BF390" s="237"/>
      <c r="BG390" s="237"/>
      <c r="BH390" s="237"/>
      <c r="BI390" s="237"/>
      <c r="BJ390" s="252">
        <f t="shared" si="166"/>
        <v>0</v>
      </c>
      <c r="BK390" s="252">
        <f t="shared" si="167"/>
        <v>0</v>
      </c>
      <c r="BL390" s="252">
        <f t="shared" si="168"/>
        <v>0</v>
      </c>
      <c r="BM390" s="252">
        <f t="shared" si="169"/>
        <v>0</v>
      </c>
      <c r="BN390" s="252">
        <f t="shared" si="170"/>
        <v>0</v>
      </c>
      <c r="BO390" s="252">
        <f t="shared" si="171"/>
        <v>1</v>
      </c>
      <c r="BP390" s="2578"/>
      <c r="BQ390" s="2562"/>
      <c r="BR390" s="2562"/>
      <c r="BS390" s="2585"/>
      <c r="BT390" s="2585"/>
      <c r="BU390" s="2585"/>
    </row>
    <row r="391" spans="1:73" s="22" customFormat="1" ht="15.75" customHeight="1" outlineLevel="1">
      <c r="A391" s="2585"/>
      <c r="B391" s="44" t="s">
        <v>5061</v>
      </c>
      <c r="C391" s="45" t="s">
        <v>4427</v>
      </c>
      <c r="D391" s="46" t="s">
        <v>4428</v>
      </c>
      <c r="E391" s="46" t="s">
        <v>4429</v>
      </c>
      <c r="F391" s="45" t="s">
        <v>5062</v>
      </c>
      <c r="G391" s="46" t="s">
        <v>4431</v>
      </c>
      <c r="H391" s="45" t="s">
        <v>4440</v>
      </c>
      <c r="I391" s="45" t="s">
        <v>4433</v>
      </c>
      <c r="J391" s="47">
        <v>39244</v>
      </c>
      <c r="K391" s="48">
        <v>100</v>
      </c>
      <c r="L391" s="47">
        <v>57742</v>
      </c>
      <c r="M391" s="1913">
        <v>34.836111111111109</v>
      </c>
      <c r="N391" s="48">
        <v>100</v>
      </c>
      <c r="O391" s="49">
        <v>175.98500000000001</v>
      </c>
      <c r="P391" s="49">
        <v>175.98500000000001</v>
      </c>
      <c r="Q391" s="1884">
        <f t="shared" si="172"/>
        <v>6130.6330138888889</v>
      </c>
      <c r="R391" s="50">
        <v>1.7084999999999999E-2</v>
      </c>
      <c r="S391" s="1932"/>
      <c r="T391" s="1932"/>
      <c r="U391" s="1932"/>
      <c r="V391" s="1932"/>
      <c r="W391" s="1885">
        <f t="shared" si="155"/>
        <v>0.15447793508500784</v>
      </c>
      <c r="X391" s="1891">
        <f t="shared" si="156"/>
        <v>27.185799405935107</v>
      </c>
      <c r="Y391" s="1891">
        <f t="shared" si="157"/>
        <v>3.0067037249999999</v>
      </c>
      <c r="Z391" s="50">
        <v>0</v>
      </c>
      <c r="AA391" s="50">
        <v>0</v>
      </c>
      <c r="AB391" s="48">
        <v>-0.65330558000000005</v>
      </c>
      <c r="AC391" s="48">
        <v>175.44601259204785</v>
      </c>
      <c r="AD391" s="48">
        <v>91.281999999999996</v>
      </c>
      <c r="AE391" s="45"/>
      <c r="AF391" s="51"/>
      <c r="AG391" s="42"/>
      <c r="AH391" s="52" t="s">
        <v>5063</v>
      </c>
      <c r="AI391" s="197"/>
      <c r="AJ391" s="2578"/>
      <c r="AK391" s="251"/>
      <c r="AL391" s="2578"/>
      <c r="AM391" s="2562"/>
      <c r="AN391" s="2562"/>
      <c r="AO391" s="2562"/>
      <c r="AP391" s="2562"/>
      <c r="AQ391" s="2562"/>
      <c r="AR391" s="2562"/>
      <c r="AS391" s="2562"/>
      <c r="AT391" s="252">
        <f t="shared" si="158"/>
        <v>0</v>
      </c>
      <c r="AU391" s="252">
        <f t="shared" si="159"/>
        <v>0</v>
      </c>
      <c r="AV391" s="252">
        <f t="shared" si="160"/>
        <v>0</v>
      </c>
      <c r="AW391" s="252">
        <f t="shared" si="161"/>
        <v>0</v>
      </c>
      <c r="AX391" s="252">
        <f t="shared" si="162"/>
        <v>0</v>
      </c>
      <c r="AY391" s="252">
        <f t="shared" si="163"/>
        <v>0</v>
      </c>
      <c r="AZ391" s="252">
        <f t="shared" si="164"/>
        <v>0</v>
      </c>
      <c r="BA391" s="237"/>
      <c r="BB391" s="252">
        <f t="shared" si="165"/>
        <v>0</v>
      </c>
      <c r="BC391" s="237"/>
      <c r="BD391" s="237"/>
      <c r="BE391" s="237"/>
      <c r="BF391" s="237"/>
      <c r="BG391" s="237"/>
      <c r="BH391" s="237"/>
      <c r="BI391" s="237"/>
      <c r="BJ391" s="252">
        <f t="shared" si="166"/>
        <v>0</v>
      </c>
      <c r="BK391" s="252">
        <f t="shared" si="167"/>
        <v>0</v>
      </c>
      <c r="BL391" s="252">
        <f t="shared" si="168"/>
        <v>0</v>
      </c>
      <c r="BM391" s="252">
        <f t="shared" si="169"/>
        <v>0</v>
      </c>
      <c r="BN391" s="252">
        <f t="shared" si="170"/>
        <v>0</v>
      </c>
      <c r="BO391" s="252">
        <f t="shared" si="171"/>
        <v>1</v>
      </c>
      <c r="BP391" s="2578"/>
      <c r="BQ391" s="2562"/>
      <c r="BR391" s="2562"/>
      <c r="BS391" s="2585"/>
      <c r="BT391" s="2585"/>
      <c r="BU391" s="2585"/>
    </row>
    <row r="392" spans="1:73" s="22" customFormat="1" ht="15.75" customHeight="1" outlineLevel="1">
      <c r="A392" s="2585"/>
      <c r="B392" s="44" t="s">
        <v>5064</v>
      </c>
      <c r="C392" s="45" t="s">
        <v>50</v>
      </c>
      <c r="D392" s="46" t="s">
        <v>4474</v>
      </c>
      <c r="E392" s="46" t="s">
        <v>4429</v>
      </c>
      <c r="F392" s="45" t="s">
        <v>4459</v>
      </c>
      <c r="G392" s="46" t="s">
        <v>4551</v>
      </c>
      <c r="H392" s="45" t="s">
        <v>4459</v>
      </c>
      <c r="I392" s="45" t="s">
        <v>4433</v>
      </c>
      <c r="J392" s="47">
        <v>42445</v>
      </c>
      <c r="K392" s="48">
        <v>100</v>
      </c>
      <c r="L392" s="47">
        <v>47193</v>
      </c>
      <c r="M392" s="1913">
        <v>5.9611111111111112</v>
      </c>
      <c r="N392" s="48">
        <v>25</v>
      </c>
      <c r="O392" s="49">
        <v>33.826000000000001</v>
      </c>
      <c r="P392" s="49">
        <v>33.826000000000001</v>
      </c>
      <c r="Q392" s="1884">
        <f t="shared" si="172"/>
        <v>201.64054444444446</v>
      </c>
      <c r="R392" s="50">
        <v>1.3559999999999999E-2</v>
      </c>
      <c r="S392" s="1932"/>
      <c r="T392" s="1932"/>
      <c r="U392" s="1932"/>
      <c r="V392" s="1932"/>
      <c r="W392" s="1885">
        <f t="shared" si="155"/>
        <v>0.15047676043276659</v>
      </c>
      <c r="X392" s="1891">
        <f t="shared" si="156"/>
        <v>5.0900268983987624</v>
      </c>
      <c r="Y392" s="1891">
        <f t="shared" si="157"/>
        <v>0.45868055999999996</v>
      </c>
      <c r="Z392" s="50">
        <v>0</v>
      </c>
      <c r="AA392" s="50">
        <v>0</v>
      </c>
      <c r="AB392" s="48">
        <v>-0.231324</v>
      </c>
      <c r="AC392" s="48">
        <v>33.666309155669651</v>
      </c>
      <c r="AD392" s="48">
        <v>36.150148150033687</v>
      </c>
      <c r="AE392" s="45"/>
      <c r="AF392" s="51"/>
      <c r="AG392" s="42"/>
      <c r="AH392" s="52" t="s">
        <v>5065</v>
      </c>
      <c r="AI392" s="197"/>
      <c r="AJ392" s="2578"/>
      <c r="AK392" s="251"/>
      <c r="AL392" s="2578"/>
      <c r="AM392" s="2562"/>
      <c r="AN392" s="2562"/>
      <c r="AO392" s="2562"/>
      <c r="AP392" s="2562"/>
      <c r="AQ392" s="2562"/>
      <c r="AR392" s="2562"/>
      <c r="AS392" s="2562"/>
      <c r="AT392" s="252">
        <f t="shared" si="158"/>
        <v>0</v>
      </c>
      <c r="AU392" s="252">
        <f t="shared" si="159"/>
        <v>0</v>
      </c>
      <c r="AV392" s="252">
        <f t="shared" si="160"/>
        <v>0</v>
      </c>
      <c r="AW392" s="252">
        <f t="shared" si="161"/>
        <v>0</v>
      </c>
      <c r="AX392" s="252">
        <f t="shared" si="162"/>
        <v>0</v>
      </c>
      <c r="AY392" s="252">
        <f t="shared" si="163"/>
        <v>0</v>
      </c>
      <c r="AZ392" s="252">
        <f t="shared" si="164"/>
        <v>0</v>
      </c>
      <c r="BA392" s="237"/>
      <c r="BB392" s="252">
        <f t="shared" si="165"/>
        <v>0</v>
      </c>
      <c r="BC392" s="237"/>
      <c r="BD392" s="237"/>
      <c r="BE392" s="237"/>
      <c r="BF392" s="237"/>
      <c r="BG392" s="237"/>
      <c r="BH392" s="237"/>
      <c r="BI392" s="237"/>
      <c r="BJ392" s="252">
        <f t="shared" si="166"/>
        <v>0</v>
      </c>
      <c r="BK392" s="252">
        <f t="shared" si="167"/>
        <v>0</v>
      </c>
      <c r="BL392" s="252">
        <f t="shared" si="168"/>
        <v>0</v>
      </c>
      <c r="BM392" s="252">
        <f t="shared" si="169"/>
        <v>0</v>
      </c>
      <c r="BN392" s="252">
        <f t="shared" si="170"/>
        <v>0</v>
      </c>
      <c r="BO392" s="252">
        <f t="shared" si="171"/>
        <v>1</v>
      </c>
      <c r="BP392" s="2578"/>
      <c r="BQ392" s="2562"/>
      <c r="BR392" s="2562"/>
      <c r="BS392" s="2585"/>
      <c r="BT392" s="2585"/>
      <c r="BU392" s="2585"/>
    </row>
    <row r="393" spans="1:73" s="22" customFormat="1" ht="15.75" customHeight="1" outlineLevel="1">
      <c r="A393" s="2585"/>
      <c r="B393" s="44" t="s">
        <v>5066</v>
      </c>
      <c r="C393" s="45" t="s">
        <v>50</v>
      </c>
      <c r="D393" s="46" t="s">
        <v>4474</v>
      </c>
      <c r="E393" s="46" t="s">
        <v>4429</v>
      </c>
      <c r="F393" s="45" t="s">
        <v>4459</v>
      </c>
      <c r="G393" s="46" t="s">
        <v>4551</v>
      </c>
      <c r="H393" s="45" t="s">
        <v>4459</v>
      </c>
      <c r="I393" s="45" t="s">
        <v>4433</v>
      </c>
      <c r="J393" s="47">
        <v>42445</v>
      </c>
      <c r="K393" s="48">
        <v>100</v>
      </c>
      <c r="L393" s="47">
        <v>49203</v>
      </c>
      <c r="M393" s="1913">
        <v>11.46111111111111</v>
      </c>
      <c r="N393" s="48">
        <v>25</v>
      </c>
      <c r="O393" s="49">
        <v>33.826000000000001</v>
      </c>
      <c r="P393" s="49">
        <v>33.826000000000001</v>
      </c>
      <c r="Q393" s="1884">
        <f t="shared" si="172"/>
        <v>387.68354444444441</v>
      </c>
      <c r="R393" s="50">
        <v>1.3780000000000001E-2</v>
      </c>
      <c r="S393" s="1932"/>
      <c r="T393" s="1932"/>
      <c r="U393" s="1932"/>
      <c r="V393" s="1932"/>
      <c r="W393" s="1885">
        <f t="shared" si="155"/>
        <v>0.15072647913446668</v>
      </c>
      <c r="X393" s="1891">
        <f t="shared" si="156"/>
        <v>5.0984738832024705</v>
      </c>
      <c r="Y393" s="1891">
        <f t="shared" si="157"/>
        <v>0.46612228</v>
      </c>
      <c r="Z393" s="50">
        <v>0</v>
      </c>
      <c r="AA393" s="50">
        <v>0</v>
      </c>
      <c r="AB393" s="48">
        <v>-0.231324</v>
      </c>
      <c r="AC393" s="48">
        <v>33.606898991310892</v>
      </c>
      <c r="AD393" s="48">
        <v>30.4178567190149</v>
      </c>
      <c r="AE393" s="45"/>
      <c r="AF393" s="51"/>
      <c r="AG393" s="42"/>
      <c r="AH393" s="52" t="s">
        <v>5067</v>
      </c>
      <c r="AI393" s="197"/>
      <c r="AJ393" s="2578"/>
      <c r="AK393" s="251"/>
      <c r="AL393" s="2578"/>
      <c r="AM393" s="2562"/>
      <c r="AN393" s="2562"/>
      <c r="AO393" s="2562"/>
      <c r="AP393" s="2562"/>
      <c r="AQ393" s="2562"/>
      <c r="AR393" s="2562"/>
      <c r="AS393" s="2562"/>
      <c r="AT393" s="252">
        <f t="shared" si="158"/>
        <v>0</v>
      </c>
      <c r="AU393" s="252">
        <f t="shared" si="159"/>
        <v>0</v>
      </c>
      <c r="AV393" s="252">
        <f t="shared" si="160"/>
        <v>0</v>
      </c>
      <c r="AW393" s="252">
        <f t="shared" si="161"/>
        <v>0</v>
      </c>
      <c r="AX393" s="252">
        <f t="shared" si="162"/>
        <v>0</v>
      </c>
      <c r="AY393" s="252">
        <f t="shared" si="163"/>
        <v>0</v>
      </c>
      <c r="AZ393" s="252">
        <f t="shared" si="164"/>
        <v>0</v>
      </c>
      <c r="BA393" s="237"/>
      <c r="BB393" s="252">
        <f t="shared" si="165"/>
        <v>0</v>
      </c>
      <c r="BC393" s="237"/>
      <c r="BD393" s="237"/>
      <c r="BE393" s="237"/>
      <c r="BF393" s="237"/>
      <c r="BG393" s="237"/>
      <c r="BH393" s="237"/>
      <c r="BI393" s="237"/>
      <c r="BJ393" s="252">
        <f t="shared" si="166"/>
        <v>0</v>
      </c>
      <c r="BK393" s="252">
        <f t="shared" si="167"/>
        <v>0</v>
      </c>
      <c r="BL393" s="252">
        <f t="shared" si="168"/>
        <v>0</v>
      </c>
      <c r="BM393" s="252">
        <f t="shared" si="169"/>
        <v>0</v>
      </c>
      <c r="BN393" s="252">
        <f t="shared" si="170"/>
        <v>0</v>
      </c>
      <c r="BO393" s="252">
        <f t="shared" si="171"/>
        <v>1</v>
      </c>
      <c r="BP393" s="2578"/>
      <c r="BQ393" s="2562"/>
      <c r="BR393" s="2562"/>
      <c r="BS393" s="2585"/>
      <c r="BT393" s="2585"/>
      <c r="BU393" s="2585"/>
    </row>
    <row r="394" spans="1:73" s="22" customFormat="1" ht="15.75" customHeight="1" outlineLevel="1">
      <c r="A394" s="2585"/>
      <c r="B394" s="44" t="s">
        <v>5068</v>
      </c>
      <c r="C394" s="45" t="s">
        <v>50</v>
      </c>
      <c r="D394" s="46" t="s">
        <v>4474</v>
      </c>
      <c r="E394" s="46" t="s">
        <v>4429</v>
      </c>
      <c r="F394" s="45" t="s">
        <v>4459</v>
      </c>
      <c r="G394" s="46" t="s">
        <v>4551</v>
      </c>
      <c r="H394" s="45" t="s">
        <v>4459</v>
      </c>
      <c r="I394" s="45" t="s">
        <v>4433</v>
      </c>
      <c r="J394" s="47">
        <v>42445</v>
      </c>
      <c r="K394" s="48">
        <v>100</v>
      </c>
      <c r="L394" s="47">
        <v>50115</v>
      </c>
      <c r="M394" s="1913">
        <v>13.96111111111111</v>
      </c>
      <c r="N394" s="48">
        <v>75</v>
      </c>
      <c r="O394" s="49">
        <v>101.479</v>
      </c>
      <c r="P394" s="49">
        <v>101.479</v>
      </c>
      <c r="Q394" s="1884">
        <f t="shared" si="172"/>
        <v>1416.7595944444442</v>
      </c>
      <c r="R394" s="50">
        <v>1.418E-2</v>
      </c>
      <c r="S394" s="1932"/>
      <c r="T394" s="1932"/>
      <c r="U394" s="1932"/>
      <c r="V394" s="1932"/>
      <c r="W394" s="1885">
        <f t="shared" si="155"/>
        <v>0.15118051313755809</v>
      </c>
      <c r="X394" s="1891">
        <f t="shared" si="156"/>
        <v>15.341647292686257</v>
      </c>
      <c r="Y394" s="1891">
        <f t="shared" si="157"/>
        <v>1.4389722199999999</v>
      </c>
      <c r="Z394" s="50">
        <v>0</v>
      </c>
      <c r="AA394" s="50">
        <v>0</v>
      </c>
      <c r="AB394" s="48">
        <v>-0.69397200000000003</v>
      </c>
      <c r="AC394" s="48">
        <v>100.97240660503643</v>
      </c>
      <c r="AD394" s="48">
        <v>92.353676319895129</v>
      </c>
      <c r="AE394" s="45"/>
      <c r="AF394" s="51"/>
      <c r="AG394" s="42"/>
      <c r="AH394" s="52" t="s">
        <v>5069</v>
      </c>
      <c r="AI394" s="197"/>
      <c r="AJ394" s="2578"/>
      <c r="AK394" s="251"/>
      <c r="AL394" s="2578"/>
      <c r="AM394" s="2562"/>
      <c r="AN394" s="2562"/>
      <c r="AO394" s="2562"/>
      <c r="AP394" s="2562"/>
      <c r="AQ394" s="2562"/>
      <c r="AR394" s="2562"/>
      <c r="AS394" s="2562"/>
      <c r="AT394" s="252">
        <f t="shared" si="158"/>
        <v>0</v>
      </c>
      <c r="AU394" s="252">
        <f t="shared" si="159"/>
        <v>0</v>
      </c>
      <c r="AV394" s="252">
        <f t="shared" si="160"/>
        <v>0</v>
      </c>
      <c r="AW394" s="252">
        <f t="shared" si="161"/>
        <v>0</v>
      </c>
      <c r="AX394" s="252">
        <f t="shared" si="162"/>
        <v>0</v>
      </c>
      <c r="AY394" s="252">
        <f t="shared" si="163"/>
        <v>0</v>
      </c>
      <c r="AZ394" s="252">
        <f t="shared" si="164"/>
        <v>0</v>
      </c>
      <c r="BA394" s="237"/>
      <c r="BB394" s="252">
        <f t="shared" si="165"/>
        <v>0</v>
      </c>
      <c r="BC394" s="237"/>
      <c r="BD394" s="237"/>
      <c r="BE394" s="237"/>
      <c r="BF394" s="237"/>
      <c r="BG394" s="237"/>
      <c r="BH394" s="237"/>
      <c r="BI394" s="237"/>
      <c r="BJ394" s="252">
        <f t="shared" si="166"/>
        <v>0</v>
      </c>
      <c r="BK394" s="252">
        <f t="shared" si="167"/>
        <v>0</v>
      </c>
      <c r="BL394" s="252">
        <f t="shared" si="168"/>
        <v>0</v>
      </c>
      <c r="BM394" s="252">
        <f t="shared" si="169"/>
        <v>0</v>
      </c>
      <c r="BN394" s="252">
        <f t="shared" si="170"/>
        <v>0</v>
      </c>
      <c r="BO394" s="252">
        <f t="shared" si="171"/>
        <v>1</v>
      </c>
      <c r="BP394" s="2578"/>
      <c r="BQ394" s="2562"/>
      <c r="BR394" s="2562"/>
      <c r="BS394" s="2585"/>
      <c r="BT394" s="2585"/>
      <c r="BU394" s="2585"/>
    </row>
    <row r="395" spans="1:73" s="22" customFormat="1" ht="15.75" customHeight="1">
      <c r="A395" s="2585"/>
      <c r="B395" s="44"/>
      <c r="C395" s="45"/>
      <c r="D395" s="46"/>
      <c r="E395" s="46"/>
      <c r="F395" s="45"/>
      <c r="G395" s="46"/>
      <c r="H395" s="45"/>
      <c r="I395" s="45"/>
      <c r="J395" s="47"/>
      <c r="K395" s="48"/>
      <c r="L395" s="47"/>
      <c r="M395" s="1913"/>
      <c r="N395" s="48"/>
      <c r="O395" s="49"/>
      <c r="P395" s="49"/>
      <c r="Q395" s="1884">
        <f t="shared" si="172"/>
        <v>0</v>
      </c>
      <c r="R395" s="50"/>
      <c r="S395" s="1932"/>
      <c r="T395" s="1932"/>
      <c r="U395" s="1932"/>
      <c r="V395" s="1932"/>
      <c r="W395" s="1885">
        <f t="shared" si="155"/>
        <v>0</v>
      </c>
      <c r="X395" s="1891">
        <f t="shared" si="156"/>
        <v>0</v>
      </c>
      <c r="Y395" s="1891">
        <f t="shared" si="157"/>
        <v>0</v>
      </c>
      <c r="Z395" s="50"/>
      <c r="AA395" s="50"/>
      <c r="AB395" s="48"/>
      <c r="AC395" s="48"/>
      <c r="AD395" s="48"/>
      <c r="AE395" s="45"/>
      <c r="AF395" s="51"/>
      <c r="AG395" s="42"/>
      <c r="AH395" s="52" t="s">
        <v>5070</v>
      </c>
      <c r="AI395" s="197"/>
      <c r="AJ395" s="2578"/>
      <c r="AK395" s="251"/>
      <c r="AL395" s="2578"/>
      <c r="AM395" s="2562"/>
      <c r="AN395" s="2562"/>
      <c r="AO395" s="2562"/>
      <c r="AP395" s="2562"/>
      <c r="AQ395" s="2562"/>
      <c r="AR395" s="2562"/>
      <c r="AS395" s="2562"/>
      <c r="AT395" s="252">
        <f t="shared" si="158"/>
        <v>1</v>
      </c>
      <c r="AU395" s="252">
        <f t="shared" si="159"/>
        <v>1</v>
      </c>
      <c r="AV395" s="252">
        <f t="shared" si="160"/>
        <v>1</v>
      </c>
      <c r="AW395" s="252">
        <f t="shared" si="161"/>
        <v>1</v>
      </c>
      <c r="AX395" s="252">
        <f t="shared" si="162"/>
        <v>1</v>
      </c>
      <c r="AY395" s="252">
        <f t="shared" si="163"/>
        <v>1</v>
      </c>
      <c r="AZ395" s="252">
        <f t="shared" si="164"/>
        <v>1</v>
      </c>
      <c r="BA395" s="237"/>
      <c r="BB395" s="252">
        <f t="shared" si="165"/>
        <v>1</v>
      </c>
      <c r="BC395" s="237"/>
      <c r="BD395" s="237"/>
      <c r="BE395" s="237"/>
      <c r="BF395" s="237"/>
      <c r="BG395" s="237"/>
      <c r="BH395" s="237"/>
      <c r="BI395" s="237"/>
      <c r="BJ395" s="252">
        <f t="shared" si="166"/>
        <v>1</v>
      </c>
      <c r="BK395" s="252">
        <f t="shared" si="167"/>
        <v>1</v>
      </c>
      <c r="BL395" s="252">
        <f t="shared" si="168"/>
        <v>1</v>
      </c>
      <c r="BM395" s="252">
        <f t="shared" si="169"/>
        <v>1</v>
      </c>
      <c r="BN395" s="252">
        <f t="shared" si="170"/>
        <v>1</v>
      </c>
      <c r="BO395" s="252">
        <f t="shared" si="171"/>
        <v>1</v>
      </c>
      <c r="BP395" s="2578"/>
      <c r="BQ395" s="2562"/>
      <c r="BR395" s="2562"/>
      <c r="BS395" s="2585"/>
      <c r="BT395" s="2585"/>
      <c r="BU395" s="2585"/>
    </row>
    <row r="396" spans="1:73" s="22" customFormat="1" ht="15.75" hidden="1" customHeight="1" outlineLevel="1">
      <c r="A396" s="2585"/>
      <c r="B396" s="44"/>
      <c r="C396" s="45"/>
      <c r="D396" s="46"/>
      <c r="E396" s="46"/>
      <c r="F396" s="45"/>
      <c r="G396" s="46"/>
      <c r="H396" s="45"/>
      <c r="I396" s="45"/>
      <c r="J396" s="47"/>
      <c r="K396" s="48"/>
      <c r="L396" s="47"/>
      <c r="M396" s="1913"/>
      <c r="N396" s="48"/>
      <c r="O396" s="49"/>
      <c r="P396" s="49"/>
      <c r="Q396" s="1884">
        <f t="shared" si="172"/>
        <v>0</v>
      </c>
      <c r="R396" s="50"/>
      <c r="S396" s="1932"/>
      <c r="T396" s="1932"/>
      <c r="U396" s="1932"/>
      <c r="V396" s="1932"/>
      <c r="W396" s="1885">
        <f t="shared" si="155"/>
        <v>0</v>
      </c>
      <c r="X396" s="1891">
        <f t="shared" si="156"/>
        <v>0</v>
      </c>
      <c r="Y396" s="1891">
        <f t="shared" si="157"/>
        <v>0</v>
      </c>
      <c r="Z396" s="50"/>
      <c r="AA396" s="50"/>
      <c r="AB396" s="48"/>
      <c r="AC396" s="48"/>
      <c r="AD396" s="48"/>
      <c r="AE396" s="45"/>
      <c r="AF396" s="51"/>
      <c r="AG396" s="42"/>
      <c r="AH396" s="52" t="s">
        <v>5071</v>
      </c>
      <c r="AI396" s="197"/>
      <c r="AJ396" s="2578"/>
      <c r="AK396" s="251"/>
      <c r="AL396" s="2578"/>
      <c r="AM396" s="2562"/>
      <c r="AN396" s="2562"/>
      <c r="AO396" s="2562"/>
      <c r="AP396" s="2562"/>
      <c r="AQ396" s="2562"/>
      <c r="AR396" s="2562"/>
      <c r="AS396" s="2562"/>
      <c r="AT396" s="252">
        <f t="shared" si="158"/>
        <v>1</v>
      </c>
      <c r="AU396" s="252">
        <f t="shared" si="159"/>
        <v>1</v>
      </c>
      <c r="AV396" s="252">
        <f t="shared" si="160"/>
        <v>1</v>
      </c>
      <c r="AW396" s="252">
        <f t="shared" si="161"/>
        <v>1</v>
      </c>
      <c r="AX396" s="252">
        <f t="shared" si="162"/>
        <v>1</v>
      </c>
      <c r="AY396" s="252">
        <f t="shared" si="163"/>
        <v>1</v>
      </c>
      <c r="AZ396" s="252">
        <f t="shared" si="164"/>
        <v>1</v>
      </c>
      <c r="BA396" s="237"/>
      <c r="BB396" s="252">
        <f t="shared" si="165"/>
        <v>1</v>
      </c>
      <c r="BC396" s="237"/>
      <c r="BD396" s="237"/>
      <c r="BE396" s="237"/>
      <c r="BF396" s="237"/>
      <c r="BG396" s="237"/>
      <c r="BH396" s="237"/>
      <c r="BI396" s="237"/>
      <c r="BJ396" s="252">
        <f t="shared" si="166"/>
        <v>1</v>
      </c>
      <c r="BK396" s="252">
        <f t="shared" si="167"/>
        <v>1</v>
      </c>
      <c r="BL396" s="252">
        <f t="shared" si="168"/>
        <v>1</v>
      </c>
      <c r="BM396" s="252">
        <f t="shared" si="169"/>
        <v>1</v>
      </c>
      <c r="BN396" s="252">
        <f t="shared" si="170"/>
        <v>1</v>
      </c>
      <c r="BO396" s="252">
        <f t="shared" si="171"/>
        <v>1</v>
      </c>
      <c r="BP396" s="2578"/>
      <c r="BQ396" s="2562"/>
      <c r="BR396" s="2562"/>
      <c r="BS396" s="2585"/>
      <c r="BT396" s="2585"/>
      <c r="BU396" s="2585"/>
    </row>
    <row r="397" spans="1:73" s="22" customFormat="1" ht="15.75" hidden="1" customHeight="1" outlineLevel="1">
      <c r="A397" s="2585"/>
      <c r="B397" s="44"/>
      <c r="C397" s="45"/>
      <c r="D397" s="46"/>
      <c r="E397" s="46"/>
      <c r="F397" s="45"/>
      <c r="G397" s="46"/>
      <c r="H397" s="45"/>
      <c r="I397" s="45"/>
      <c r="J397" s="47"/>
      <c r="K397" s="48"/>
      <c r="L397" s="47"/>
      <c r="M397" s="1913"/>
      <c r="N397" s="48"/>
      <c r="O397" s="49"/>
      <c r="P397" s="49"/>
      <c r="Q397" s="1884">
        <f t="shared" si="172"/>
        <v>0</v>
      </c>
      <c r="R397" s="50"/>
      <c r="S397" s="1932"/>
      <c r="T397" s="1932"/>
      <c r="U397" s="1932"/>
      <c r="V397" s="1932"/>
      <c r="W397" s="1885">
        <f t="shared" si="155"/>
        <v>0</v>
      </c>
      <c r="X397" s="1891">
        <f t="shared" si="156"/>
        <v>0</v>
      </c>
      <c r="Y397" s="1891">
        <f t="shared" si="157"/>
        <v>0</v>
      </c>
      <c r="Z397" s="50"/>
      <c r="AA397" s="50"/>
      <c r="AB397" s="48"/>
      <c r="AC397" s="48"/>
      <c r="AD397" s="48"/>
      <c r="AE397" s="45"/>
      <c r="AF397" s="51"/>
      <c r="AG397" s="42"/>
      <c r="AH397" s="52" t="s">
        <v>5072</v>
      </c>
      <c r="AI397" s="197"/>
      <c r="AJ397" s="2578"/>
      <c r="AK397" s="251"/>
      <c r="AL397" s="2578"/>
      <c r="AM397" s="2562"/>
      <c r="AN397" s="2562"/>
      <c r="AO397" s="2562"/>
      <c r="AP397" s="2562"/>
      <c r="AQ397" s="2562"/>
      <c r="AR397" s="2562"/>
      <c r="AS397" s="2562"/>
      <c r="AT397" s="252">
        <f t="shared" si="158"/>
        <v>1</v>
      </c>
      <c r="AU397" s="252">
        <f t="shared" si="159"/>
        <v>1</v>
      </c>
      <c r="AV397" s="252">
        <f t="shared" si="160"/>
        <v>1</v>
      </c>
      <c r="AW397" s="252">
        <f t="shared" si="161"/>
        <v>1</v>
      </c>
      <c r="AX397" s="252">
        <f t="shared" si="162"/>
        <v>1</v>
      </c>
      <c r="AY397" s="252">
        <f t="shared" si="163"/>
        <v>1</v>
      </c>
      <c r="AZ397" s="252">
        <f t="shared" si="164"/>
        <v>1</v>
      </c>
      <c r="BA397" s="237"/>
      <c r="BB397" s="252">
        <f t="shared" si="165"/>
        <v>1</v>
      </c>
      <c r="BC397" s="237"/>
      <c r="BD397" s="237"/>
      <c r="BE397" s="237"/>
      <c r="BF397" s="237"/>
      <c r="BG397" s="237"/>
      <c r="BH397" s="237"/>
      <c r="BI397" s="237"/>
      <c r="BJ397" s="252">
        <f t="shared" si="166"/>
        <v>1</v>
      </c>
      <c r="BK397" s="252">
        <f t="shared" si="167"/>
        <v>1</v>
      </c>
      <c r="BL397" s="252">
        <f t="shared" si="168"/>
        <v>1</v>
      </c>
      <c r="BM397" s="252">
        <f t="shared" si="169"/>
        <v>1</v>
      </c>
      <c r="BN397" s="252">
        <f t="shared" si="170"/>
        <v>1</v>
      </c>
      <c r="BO397" s="252">
        <f t="shared" si="171"/>
        <v>1</v>
      </c>
      <c r="BP397" s="2578"/>
      <c r="BQ397" s="2562"/>
      <c r="BR397" s="2562"/>
      <c r="BS397" s="2585"/>
      <c r="BT397" s="2585"/>
      <c r="BU397" s="2585"/>
    </row>
    <row r="398" spans="1:73" s="22" customFormat="1" ht="15.75" hidden="1" customHeight="1" outlineLevel="1">
      <c r="A398" s="2585"/>
      <c r="B398" s="44"/>
      <c r="C398" s="45"/>
      <c r="D398" s="46"/>
      <c r="E398" s="46"/>
      <c r="F398" s="45"/>
      <c r="G398" s="46"/>
      <c r="H398" s="45"/>
      <c r="I398" s="45"/>
      <c r="J398" s="47"/>
      <c r="K398" s="48"/>
      <c r="L398" s="47"/>
      <c r="M398" s="1913"/>
      <c r="N398" s="48"/>
      <c r="O398" s="49"/>
      <c r="P398" s="49"/>
      <c r="Q398" s="1884">
        <f t="shared" si="172"/>
        <v>0</v>
      </c>
      <c r="R398" s="50"/>
      <c r="S398" s="1932"/>
      <c r="T398" s="1932"/>
      <c r="U398" s="1932"/>
      <c r="V398" s="1932"/>
      <c r="W398" s="1885">
        <f t="shared" si="155"/>
        <v>0</v>
      </c>
      <c r="X398" s="1891">
        <f t="shared" si="156"/>
        <v>0</v>
      </c>
      <c r="Y398" s="1891">
        <f t="shared" si="157"/>
        <v>0</v>
      </c>
      <c r="Z398" s="50"/>
      <c r="AA398" s="50"/>
      <c r="AB398" s="48"/>
      <c r="AC398" s="48"/>
      <c r="AD398" s="48"/>
      <c r="AE398" s="45"/>
      <c r="AF398" s="51"/>
      <c r="AG398" s="42"/>
      <c r="AH398" s="52" t="s">
        <v>5073</v>
      </c>
      <c r="AI398" s="197"/>
      <c r="AJ398" s="2578"/>
      <c r="AK398" s="251"/>
      <c r="AL398" s="2578"/>
      <c r="AM398" s="2562"/>
      <c r="AN398" s="2562"/>
      <c r="AO398" s="2562"/>
      <c r="AP398" s="2562"/>
      <c r="AQ398" s="2562"/>
      <c r="AR398" s="2562"/>
      <c r="AS398" s="2562"/>
      <c r="AT398" s="252">
        <f t="shared" si="158"/>
        <v>1</v>
      </c>
      <c r="AU398" s="252">
        <f t="shared" si="159"/>
        <v>1</v>
      </c>
      <c r="AV398" s="252">
        <f t="shared" si="160"/>
        <v>1</v>
      </c>
      <c r="AW398" s="252">
        <f t="shared" si="161"/>
        <v>1</v>
      </c>
      <c r="AX398" s="252">
        <f t="shared" si="162"/>
        <v>1</v>
      </c>
      <c r="AY398" s="252">
        <f t="shared" si="163"/>
        <v>1</v>
      </c>
      <c r="AZ398" s="252">
        <f t="shared" si="164"/>
        <v>1</v>
      </c>
      <c r="BA398" s="237"/>
      <c r="BB398" s="252">
        <f t="shared" si="165"/>
        <v>1</v>
      </c>
      <c r="BC398" s="237"/>
      <c r="BD398" s="237"/>
      <c r="BE398" s="237"/>
      <c r="BF398" s="237"/>
      <c r="BG398" s="237"/>
      <c r="BH398" s="237"/>
      <c r="BI398" s="237"/>
      <c r="BJ398" s="252">
        <f t="shared" si="166"/>
        <v>1</v>
      </c>
      <c r="BK398" s="252">
        <f t="shared" si="167"/>
        <v>1</v>
      </c>
      <c r="BL398" s="252">
        <f t="shared" si="168"/>
        <v>1</v>
      </c>
      <c r="BM398" s="252">
        <f t="shared" si="169"/>
        <v>1</v>
      </c>
      <c r="BN398" s="252">
        <f t="shared" si="170"/>
        <v>1</v>
      </c>
      <c r="BO398" s="252">
        <f t="shared" si="171"/>
        <v>1</v>
      </c>
      <c r="BP398" s="2578"/>
      <c r="BQ398" s="2562"/>
      <c r="BR398" s="2562"/>
      <c r="BS398" s="2585"/>
      <c r="BT398" s="2585"/>
      <c r="BU398" s="2585"/>
    </row>
    <row r="399" spans="1:73" s="22" customFormat="1" ht="15.75" hidden="1" customHeight="1" outlineLevel="1">
      <c r="A399" s="2585"/>
      <c r="B399" s="44"/>
      <c r="C399" s="45"/>
      <c r="D399" s="46"/>
      <c r="E399" s="46"/>
      <c r="F399" s="45"/>
      <c r="G399" s="46"/>
      <c r="H399" s="45"/>
      <c r="I399" s="45"/>
      <c r="J399" s="47"/>
      <c r="K399" s="48"/>
      <c r="L399" s="47"/>
      <c r="M399" s="1913"/>
      <c r="N399" s="48"/>
      <c r="O399" s="49"/>
      <c r="P399" s="49"/>
      <c r="Q399" s="1884">
        <f t="shared" si="172"/>
        <v>0</v>
      </c>
      <c r="R399" s="50"/>
      <c r="S399" s="1932"/>
      <c r="T399" s="1932"/>
      <c r="U399" s="1932"/>
      <c r="V399" s="1932"/>
      <c r="W399" s="1885">
        <f t="shared" si="155"/>
        <v>0</v>
      </c>
      <c r="X399" s="1891">
        <f t="shared" si="156"/>
        <v>0</v>
      </c>
      <c r="Y399" s="1891">
        <f t="shared" si="157"/>
        <v>0</v>
      </c>
      <c r="Z399" s="50"/>
      <c r="AA399" s="50"/>
      <c r="AB399" s="48"/>
      <c r="AC399" s="48"/>
      <c r="AD399" s="48"/>
      <c r="AE399" s="45"/>
      <c r="AF399" s="51"/>
      <c r="AG399" s="42"/>
      <c r="AH399" s="52" t="s">
        <v>5074</v>
      </c>
      <c r="AI399" s="197"/>
      <c r="AJ399" s="2578"/>
      <c r="AK399" s="251"/>
      <c r="AL399" s="2578"/>
      <c r="AM399" s="2562"/>
      <c r="AN399" s="2562"/>
      <c r="AO399" s="2562"/>
      <c r="AP399" s="2562"/>
      <c r="AQ399" s="2562"/>
      <c r="AR399" s="2562"/>
      <c r="AS399" s="2562"/>
      <c r="AT399" s="252">
        <f t="shared" si="158"/>
        <v>1</v>
      </c>
      <c r="AU399" s="252">
        <f t="shared" si="159"/>
        <v>1</v>
      </c>
      <c r="AV399" s="252">
        <f t="shared" si="160"/>
        <v>1</v>
      </c>
      <c r="AW399" s="252">
        <f t="shared" si="161"/>
        <v>1</v>
      </c>
      <c r="AX399" s="252">
        <f t="shared" si="162"/>
        <v>1</v>
      </c>
      <c r="AY399" s="252">
        <f t="shared" si="163"/>
        <v>1</v>
      </c>
      <c r="AZ399" s="252">
        <f t="shared" si="164"/>
        <v>1</v>
      </c>
      <c r="BA399" s="237"/>
      <c r="BB399" s="252">
        <f t="shared" si="165"/>
        <v>1</v>
      </c>
      <c r="BC399" s="237"/>
      <c r="BD399" s="237"/>
      <c r="BE399" s="237"/>
      <c r="BF399" s="237"/>
      <c r="BG399" s="237"/>
      <c r="BH399" s="237"/>
      <c r="BI399" s="237"/>
      <c r="BJ399" s="252">
        <f t="shared" si="166"/>
        <v>1</v>
      </c>
      <c r="BK399" s="252">
        <f t="shared" si="167"/>
        <v>1</v>
      </c>
      <c r="BL399" s="252">
        <f t="shared" si="168"/>
        <v>1</v>
      </c>
      <c r="BM399" s="252">
        <f t="shared" si="169"/>
        <v>1</v>
      </c>
      <c r="BN399" s="252">
        <f t="shared" si="170"/>
        <v>1</v>
      </c>
      <c r="BO399" s="252">
        <f t="shared" si="171"/>
        <v>1</v>
      </c>
      <c r="BP399" s="2578"/>
      <c r="BQ399" s="2562"/>
      <c r="BR399" s="2562"/>
      <c r="BS399" s="2585"/>
      <c r="BT399" s="2585"/>
      <c r="BU399" s="2585"/>
    </row>
    <row r="400" spans="1:73" s="22" customFormat="1" ht="15.75" hidden="1" customHeight="1" outlineLevel="1">
      <c r="A400" s="2585"/>
      <c r="B400" s="44"/>
      <c r="C400" s="45"/>
      <c r="D400" s="46"/>
      <c r="E400" s="46"/>
      <c r="F400" s="45"/>
      <c r="G400" s="46"/>
      <c r="H400" s="45"/>
      <c r="I400" s="45"/>
      <c r="J400" s="47"/>
      <c r="K400" s="48"/>
      <c r="L400" s="47"/>
      <c r="M400" s="1913"/>
      <c r="N400" s="48"/>
      <c r="O400" s="49"/>
      <c r="P400" s="49"/>
      <c r="Q400" s="1884">
        <f t="shared" si="172"/>
        <v>0</v>
      </c>
      <c r="R400" s="50"/>
      <c r="S400" s="1932"/>
      <c r="T400" s="1932"/>
      <c r="U400" s="1932"/>
      <c r="V400" s="1932"/>
      <c r="W400" s="1885">
        <f t="shared" si="155"/>
        <v>0</v>
      </c>
      <c r="X400" s="1891">
        <f t="shared" si="156"/>
        <v>0</v>
      </c>
      <c r="Y400" s="1891">
        <f t="shared" si="157"/>
        <v>0</v>
      </c>
      <c r="Z400" s="50"/>
      <c r="AA400" s="50"/>
      <c r="AB400" s="48"/>
      <c r="AC400" s="48"/>
      <c r="AD400" s="48"/>
      <c r="AE400" s="45"/>
      <c r="AF400" s="51"/>
      <c r="AG400" s="42"/>
      <c r="AH400" s="52" t="s">
        <v>5075</v>
      </c>
      <c r="AI400" s="197"/>
      <c r="AJ400" s="2578"/>
      <c r="AK400" s="251"/>
      <c r="AL400" s="2578"/>
      <c r="AM400" s="2562"/>
      <c r="AN400" s="2562"/>
      <c r="AO400" s="2562"/>
      <c r="AP400" s="2562"/>
      <c r="AQ400" s="2562"/>
      <c r="AR400" s="2562"/>
      <c r="AS400" s="2562"/>
      <c r="AT400" s="252">
        <f t="shared" si="158"/>
        <v>1</v>
      </c>
      <c r="AU400" s="252">
        <f t="shared" si="159"/>
        <v>1</v>
      </c>
      <c r="AV400" s="252">
        <f t="shared" si="160"/>
        <v>1</v>
      </c>
      <c r="AW400" s="252">
        <f t="shared" si="161"/>
        <v>1</v>
      </c>
      <c r="AX400" s="252">
        <f t="shared" si="162"/>
        <v>1</v>
      </c>
      <c r="AY400" s="252">
        <f t="shared" si="163"/>
        <v>1</v>
      </c>
      <c r="AZ400" s="252">
        <f t="shared" si="164"/>
        <v>1</v>
      </c>
      <c r="BA400" s="237"/>
      <c r="BB400" s="252">
        <f t="shared" si="165"/>
        <v>1</v>
      </c>
      <c r="BC400" s="237"/>
      <c r="BD400" s="237"/>
      <c r="BE400" s="237"/>
      <c r="BF400" s="237"/>
      <c r="BG400" s="237"/>
      <c r="BH400" s="237"/>
      <c r="BI400" s="237"/>
      <c r="BJ400" s="252">
        <f t="shared" si="166"/>
        <v>1</v>
      </c>
      <c r="BK400" s="252">
        <f t="shared" si="167"/>
        <v>1</v>
      </c>
      <c r="BL400" s="252">
        <f t="shared" si="168"/>
        <v>1</v>
      </c>
      <c r="BM400" s="252">
        <f t="shared" si="169"/>
        <v>1</v>
      </c>
      <c r="BN400" s="252">
        <f t="shared" si="170"/>
        <v>1</v>
      </c>
      <c r="BO400" s="252">
        <f t="shared" si="171"/>
        <v>1</v>
      </c>
      <c r="BP400" s="2578"/>
      <c r="BQ400" s="2562"/>
      <c r="BR400" s="2562"/>
      <c r="BS400" s="2585"/>
      <c r="BT400" s="2585"/>
      <c r="BU400" s="2585"/>
    </row>
    <row r="401" spans="1:73" s="22" customFormat="1" ht="15.75" hidden="1" customHeight="1" outlineLevel="1">
      <c r="A401" s="2585"/>
      <c r="B401" s="44"/>
      <c r="C401" s="45"/>
      <c r="D401" s="46"/>
      <c r="E401" s="46"/>
      <c r="F401" s="45"/>
      <c r="G401" s="46"/>
      <c r="H401" s="45"/>
      <c r="I401" s="45"/>
      <c r="J401" s="47"/>
      <c r="K401" s="48"/>
      <c r="L401" s="47"/>
      <c r="M401" s="1913"/>
      <c r="N401" s="48"/>
      <c r="O401" s="49"/>
      <c r="P401" s="49"/>
      <c r="Q401" s="1884">
        <f t="shared" si="172"/>
        <v>0</v>
      </c>
      <c r="R401" s="50"/>
      <c r="S401" s="1932"/>
      <c r="T401" s="1932"/>
      <c r="U401" s="1932"/>
      <c r="V401" s="1932"/>
      <c r="W401" s="1885">
        <f t="shared" si="155"/>
        <v>0</v>
      </c>
      <c r="X401" s="1891">
        <f t="shared" si="156"/>
        <v>0</v>
      </c>
      <c r="Y401" s="1891">
        <f t="shared" si="157"/>
        <v>0</v>
      </c>
      <c r="Z401" s="50"/>
      <c r="AA401" s="50"/>
      <c r="AB401" s="48"/>
      <c r="AC401" s="48"/>
      <c r="AD401" s="48"/>
      <c r="AE401" s="45"/>
      <c r="AF401" s="51"/>
      <c r="AG401" s="42"/>
      <c r="AH401" s="52" t="s">
        <v>5076</v>
      </c>
      <c r="AI401" s="197"/>
      <c r="AJ401" s="2578"/>
      <c r="AK401" s="251"/>
      <c r="AL401" s="2578"/>
      <c r="AM401" s="2562"/>
      <c r="AN401" s="2562"/>
      <c r="AO401" s="2562"/>
      <c r="AP401" s="2562"/>
      <c r="AQ401" s="2562"/>
      <c r="AR401" s="2562"/>
      <c r="AS401" s="2562"/>
      <c r="AT401" s="252">
        <f t="shared" si="158"/>
        <v>1</v>
      </c>
      <c r="AU401" s="252">
        <f t="shared" si="159"/>
        <v>1</v>
      </c>
      <c r="AV401" s="252">
        <f t="shared" si="160"/>
        <v>1</v>
      </c>
      <c r="AW401" s="252">
        <f t="shared" si="161"/>
        <v>1</v>
      </c>
      <c r="AX401" s="252">
        <f t="shared" si="162"/>
        <v>1</v>
      </c>
      <c r="AY401" s="252">
        <f t="shared" si="163"/>
        <v>1</v>
      </c>
      <c r="AZ401" s="252">
        <f t="shared" si="164"/>
        <v>1</v>
      </c>
      <c r="BA401" s="237"/>
      <c r="BB401" s="252">
        <f t="shared" si="165"/>
        <v>1</v>
      </c>
      <c r="BC401" s="237"/>
      <c r="BD401" s="237"/>
      <c r="BE401" s="237"/>
      <c r="BF401" s="237"/>
      <c r="BG401" s="237"/>
      <c r="BH401" s="237"/>
      <c r="BI401" s="237"/>
      <c r="BJ401" s="252">
        <f t="shared" si="166"/>
        <v>1</v>
      </c>
      <c r="BK401" s="252">
        <f t="shared" si="167"/>
        <v>1</v>
      </c>
      <c r="BL401" s="252">
        <f t="shared" si="168"/>
        <v>1</v>
      </c>
      <c r="BM401" s="252">
        <f t="shared" si="169"/>
        <v>1</v>
      </c>
      <c r="BN401" s="252">
        <f t="shared" si="170"/>
        <v>1</v>
      </c>
      <c r="BO401" s="252">
        <f t="shared" si="171"/>
        <v>1</v>
      </c>
      <c r="BP401" s="2578"/>
      <c r="BQ401" s="2562"/>
      <c r="BR401" s="2562"/>
      <c r="BS401" s="2585"/>
      <c r="BT401" s="2585"/>
      <c r="BU401" s="2585"/>
    </row>
    <row r="402" spans="1:73" s="22" customFormat="1" ht="15.75" hidden="1" customHeight="1" outlineLevel="1">
      <c r="A402" s="2585"/>
      <c r="B402" s="44"/>
      <c r="C402" s="45"/>
      <c r="D402" s="46"/>
      <c r="E402" s="46"/>
      <c r="F402" s="45"/>
      <c r="G402" s="46"/>
      <c r="H402" s="45"/>
      <c r="I402" s="45"/>
      <c r="J402" s="47"/>
      <c r="K402" s="48"/>
      <c r="L402" s="47"/>
      <c r="M402" s="1913"/>
      <c r="N402" s="48"/>
      <c r="O402" s="49"/>
      <c r="P402" s="49"/>
      <c r="Q402" s="1884">
        <f t="shared" si="172"/>
        <v>0</v>
      </c>
      <c r="R402" s="50"/>
      <c r="S402" s="1932"/>
      <c r="T402" s="1932"/>
      <c r="U402" s="1932"/>
      <c r="V402" s="1932"/>
      <c r="W402" s="1885">
        <f t="shared" si="155"/>
        <v>0</v>
      </c>
      <c r="X402" s="1891">
        <f t="shared" si="156"/>
        <v>0</v>
      </c>
      <c r="Y402" s="1891">
        <f t="shared" si="157"/>
        <v>0</v>
      </c>
      <c r="Z402" s="50"/>
      <c r="AA402" s="50"/>
      <c r="AB402" s="48"/>
      <c r="AC402" s="48"/>
      <c r="AD402" s="48"/>
      <c r="AE402" s="45"/>
      <c r="AF402" s="51"/>
      <c r="AG402" s="42"/>
      <c r="AH402" s="52" t="s">
        <v>5077</v>
      </c>
      <c r="AI402" s="197"/>
      <c r="AJ402" s="2578"/>
      <c r="AK402" s="251"/>
      <c r="AL402" s="2578"/>
      <c r="AM402" s="2562"/>
      <c r="AN402" s="2562"/>
      <c r="AO402" s="2562"/>
      <c r="AP402" s="2562"/>
      <c r="AQ402" s="2562"/>
      <c r="AR402" s="2562"/>
      <c r="AS402" s="2562"/>
      <c r="AT402" s="252">
        <f t="shared" si="158"/>
        <v>1</v>
      </c>
      <c r="AU402" s="252">
        <f t="shared" si="159"/>
        <v>1</v>
      </c>
      <c r="AV402" s="252">
        <f t="shared" si="160"/>
        <v>1</v>
      </c>
      <c r="AW402" s="252">
        <f t="shared" si="161"/>
        <v>1</v>
      </c>
      <c r="AX402" s="252">
        <f t="shared" si="162"/>
        <v>1</v>
      </c>
      <c r="AY402" s="252">
        <f t="shared" si="163"/>
        <v>1</v>
      </c>
      <c r="AZ402" s="252">
        <f t="shared" si="164"/>
        <v>1</v>
      </c>
      <c r="BA402" s="237"/>
      <c r="BB402" s="252">
        <f t="shared" si="165"/>
        <v>1</v>
      </c>
      <c r="BC402" s="237"/>
      <c r="BD402" s="237"/>
      <c r="BE402" s="237"/>
      <c r="BF402" s="237"/>
      <c r="BG402" s="237"/>
      <c r="BH402" s="237"/>
      <c r="BI402" s="237"/>
      <c r="BJ402" s="252">
        <f t="shared" si="166"/>
        <v>1</v>
      </c>
      <c r="BK402" s="252">
        <f t="shared" si="167"/>
        <v>1</v>
      </c>
      <c r="BL402" s="252">
        <f t="shared" si="168"/>
        <v>1</v>
      </c>
      <c r="BM402" s="252">
        <f t="shared" si="169"/>
        <v>1</v>
      </c>
      <c r="BN402" s="252">
        <f t="shared" si="170"/>
        <v>1</v>
      </c>
      <c r="BO402" s="252">
        <f t="shared" si="171"/>
        <v>1</v>
      </c>
      <c r="BP402" s="2578"/>
      <c r="BQ402" s="2562"/>
      <c r="BR402" s="2562"/>
      <c r="BS402" s="2585"/>
      <c r="BT402" s="2585"/>
      <c r="BU402" s="2585"/>
    </row>
    <row r="403" spans="1:73" s="22" customFormat="1" ht="15.75" hidden="1" customHeight="1" outlineLevel="1">
      <c r="A403" s="2585"/>
      <c r="B403" s="44"/>
      <c r="C403" s="45"/>
      <c r="D403" s="46"/>
      <c r="E403" s="46"/>
      <c r="F403" s="45"/>
      <c r="G403" s="46"/>
      <c r="H403" s="45"/>
      <c r="I403" s="45"/>
      <c r="J403" s="47"/>
      <c r="K403" s="48"/>
      <c r="L403" s="47"/>
      <c r="M403" s="1913"/>
      <c r="N403" s="48"/>
      <c r="O403" s="49"/>
      <c r="P403" s="49"/>
      <c r="Q403" s="1884">
        <f t="shared" si="172"/>
        <v>0</v>
      </c>
      <c r="R403" s="50"/>
      <c r="S403" s="1932"/>
      <c r="T403" s="1932"/>
      <c r="U403" s="1932"/>
      <c r="V403" s="1932"/>
      <c r="W403" s="1885">
        <f t="shared" si="155"/>
        <v>0</v>
      </c>
      <c r="X403" s="1891">
        <f t="shared" si="156"/>
        <v>0</v>
      </c>
      <c r="Y403" s="1891">
        <f t="shared" si="157"/>
        <v>0</v>
      </c>
      <c r="Z403" s="50"/>
      <c r="AA403" s="50"/>
      <c r="AB403" s="48"/>
      <c r="AC403" s="48"/>
      <c r="AD403" s="48"/>
      <c r="AE403" s="45"/>
      <c r="AF403" s="51"/>
      <c r="AG403" s="42"/>
      <c r="AH403" s="52" t="s">
        <v>5078</v>
      </c>
      <c r="AI403" s="197"/>
      <c r="AJ403" s="2578"/>
      <c r="AK403" s="251"/>
      <c r="AL403" s="2578"/>
      <c r="AM403" s="2562"/>
      <c r="AN403" s="2562"/>
      <c r="AO403" s="2562"/>
      <c r="AP403" s="2562"/>
      <c r="AQ403" s="2562"/>
      <c r="AR403" s="2562"/>
      <c r="AS403" s="2562"/>
      <c r="AT403" s="252">
        <f t="shared" si="158"/>
        <v>1</v>
      </c>
      <c r="AU403" s="252">
        <f t="shared" si="159"/>
        <v>1</v>
      </c>
      <c r="AV403" s="252">
        <f t="shared" si="160"/>
        <v>1</v>
      </c>
      <c r="AW403" s="252">
        <f t="shared" si="161"/>
        <v>1</v>
      </c>
      <c r="AX403" s="252">
        <f t="shared" si="162"/>
        <v>1</v>
      </c>
      <c r="AY403" s="252">
        <f t="shared" si="163"/>
        <v>1</v>
      </c>
      <c r="AZ403" s="252">
        <f t="shared" si="164"/>
        <v>1</v>
      </c>
      <c r="BA403" s="237"/>
      <c r="BB403" s="252">
        <f t="shared" si="165"/>
        <v>1</v>
      </c>
      <c r="BC403" s="237"/>
      <c r="BD403" s="237"/>
      <c r="BE403" s="237"/>
      <c r="BF403" s="237"/>
      <c r="BG403" s="237"/>
      <c r="BH403" s="237"/>
      <c r="BI403" s="237"/>
      <c r="BJ403" s="252">
        <f t="shared" si="166"/>
        <v>1</v>
      </c>
      <c r="BK403" s="252">
        <f t="shared" si="167"/>
        <v>1</v>
      </c>
      <c r="BL403" s="252">
        <f t="shared" si="168"/>
        <v>1</v>
      </c>
      <c r="BM403" s="252">
        <f t="shared" si="169"/>
        <v>1</v>
      </c>
      <c r="BN403" s="252">
        <f t="shared" si="170"/>
        <v>1</v>
      </c>
      <c r="BO403" s="252">
        <f t="shared" si="171"/>
        <v>1</v>
      </c>
      <c r="BP403" s="2578"/>
      <c r="BQ403" s="2562"/>
      <c r="BR403" s="2562"/>
      <c r="BS403" s="2585"/>
      <c r="BT403" s="2585"/>
      <c r="BU403" s="2585"/>
    </row>
    <row r="404" spans="1:73" s="22" customFormat="1" ht="15.75" hidden="1" customHeight="1" outlineLevel="1">
      <c r="A404" s="2585"/>
      <c r="B404" s="44"/>
      <c r="C404" s="45"/>
      <c r="D404" s="46"/>
      <c r="E404" s="46"/>
      <c r="F404" s="45"/>
      <c r="G404" s="46"/>
      <c r="H404" s="45"/>
      <c r="I404" s="45"/>
      <c r="J404" s="47"/>
      <c r="K404" s="48"/>
      <c r="L404" s="47"/>
      <c r="M404" s="1913"/>
      <c r="N404" s="48"/>
      <c r="O404" s="49"/>
      <c r="P404" s="49"/>
      <c r="Q404" s="1884">
        <f t="shared" si="172"/>
        <v>0</v>
      </c>
      <c r="R404" s="50"/>
      <c r="S404" s="1932"/>
      <c r="T404" s="1932"/>
      <c r="U404" s="1932"/>
      <c r="V404" s="1932"/>
      <c r="W404" s="1885">
        <f t="shared" si="155"/>
        <v>0</v>
      </c>
      <c r="X404" s="1891">
        <f t="shared" si="156"/>
        <v>0</v>
      </c>
      <c r="Y404" s="1891">
        <f t="shared" si="157"/>
        <v>0</v>
      </c>
      <c r="Z404" s="50"/>
      <c r="AA404" s="50"/>
      <c r="AB404" s="48"/>
      <c r="AC404" s="48"/>
      <c r="AD404" s="48"/>
      <c r="AE404" s="45"/>
      <c r="AF404" s="51"/>
      <c r="AG404" s="42"/>
      <c r="AH404" s="52" t="s">
        <v>5079</v>
      </c>
      <c r="AI404" s="197"/>
      <c r="AJ404" s="2578"/>
      <c r="AK404" s="251"/>
      <c r="AL404" s="2578"/>
      <c r="AM404" s="2562"/>
      <c r="AN404" s="2562"/>
      <c r="AO404" s="2562"/>
      <c r="AP404" s="2562"/>
      <c r="AQ404" s="2562"/>
      <c r="AR404" s="2562"/>
      <c r="AS404" s="2562"/>
      <c r="AT404" s="252">
        <f t="shared" si="158"/>
        <v>1</v>
      </c>
      <c r="AU404" s="252">
        <f t="shared" si="159"/>
        <v>1</v>
      </c>
      <c r="AV404" s="252">
        <f t="shared" si="160"/>
        <v>1</v>
      </c>
      <c r="AW404" s="252">
        <f t="shared" si="161"/>
        <v>1</v>
      </c>
      <c r="AX404" s="252">
        <f t="shared" si="162"/>
        <v>1</v>
      </c>
      <c r="AY404" s="252">
        <f t="shared" si="163"/>
        <v>1</v>
      </c>
      <c r="AZ404" s="252">
        <f t="shared" si="164"/>
        <v>1</v>
      </c>
      <c r="BA404" s="237"/>
      <c r="BB404" s="252">
        <f t="shared" si="165"/>
        <v>1</v>
      </c>
      <c r="BC404" s="237"/>
      <c r="BD404" s="237"/>
      <c r="BE404" s="237"/>
      <c r="BF404" s="237"/>
      <c r="BG404" s="237"/>
      <c r="BH404" s="237"/>
      <c r="BI404" s="237"/>
      <c r="BJ404" s="252">
        <f t="shared" si="166"/>
        <v>1</v>
      </c>
      <c r="BK404" s="252">
        <f t="shared" si="167"/>
        <v>1</v>
      </c>
      <c r="BL404" s="252">
        <f t="shared" si="168"/>
        <v>1</v>
      </c>
      <c r="BM404" s="252">
        <f t="shared" si="169"/>
        <v>1</v>
      </c>
      <c r="BN404" s="252">
        <f t="shared" si="170"/>
        <v>1</v>
      </c>
      <c r="BO404" s="252">
        <f t="shared" si="171"/>
        <v>1</v>
      </c>
      <c r="BP404" s="2578"/>
      <c r="BQ404" s="2562"/>
      <c r="BR404" s="2562"/>
      <c r="BS404" s="2585"/>
      <c r="BT404" s="2585"/>
      <c r="BU404" s="2585"/>
    </row>
    <row r="405" spans="1:73" s="22" customFormat="1" ht="15.75" hidden="1" customHeight="1" outlineLevel="1">
      <c r="A405" s="2585"/>
      <c r="B405" s="44"/>
      <c r="C405" s="45"/>
      <c r="D405" s="46"/>
      <c r="E405" s="46"/>
      <c r="F405" s="45"/>
      <c r="G405" s="46"/>
      <c r="H405" s="45"/>
      <c r="I405" s="45"/>
      <c r="J405" s="47"/>
      <c r="K405" s="48"/>
      <c r="L405" s="47"/>
      <c r="M405" s="1913"/>
      <c r="N405" s="48"/>
      <c r="O405" s="49"/>
      <c r="P405" s="49"/>
      <c r="Q405" s="1884">
        <f t="shared" si="172"/>
        <v>0</v>
      </c>
      <c r="R405" s="50"/>
      <c r="S405" s="1932"/>
      <c r="T405" s="1932"/>
      <c r="U405" s="1932"/>
      <c r="V405" s="1932"/>
      <c r="W405" s="1885">
        <f t="shared" si="155"/>
        <v>0</v>
      </c>
      <c r="X405" s="1891">
        <f t="shared" si="156"/>
        <v>0</v>
      </c>
      <c r="Y405" s="1891">
        <f t="shared" si="157"/>
        <v>0</v>
      </c>
      <c r="Z405" s="50"/>
      <c r="AA405" s="50"/>
      <c r="AB405" s="48"/>
      <c r="AC405" s="48"/>
      <c r="AD405" s="48"/>
      <c r="AE405" s="45"/>
      <c r="AF405" s="51"/>
      <c r="AG405" s="42"/>
      <c r="AH405" s="52" t="s">
        <v>5080</v>
      </c>
      <c r="AI405" s="197"/>
      <c r="AJ405" s="2578"/>
      <c r="AK405" s="251"/>
      <c r="AL405" s="2578"/>
      <c r="AM405" s="2562"/>
      <c r="AN405" s="2562"/>
      <c r="AO405" s="2562"/>
      <c r="AP405" s="2562"/>
      <c r="AQ405" s="2562"/>
      <c r="AR405" s="2562"/>
      <c r="AS405" s="2562"/>
      <c r="AT405" s="252">
        <f t="shared" si="158"/>
        <v>1</v>
      </c>
      <c r="AU405" s="252">
        <f t="shared" si="159"/>
        <v>1</v>
      </c>
      <c r="AV405" s="252">
        <f t="shared" si="160"/>
        <v>1</v>
      </c>
      <c r="AW405" s="252">
        <f t="shared" si="161"/>
        <v>1</v>
      </c>
      <c r="AX405" s="252">
        <f t="shared" si="162"/>
        <v>1</v>
      </c>
      <c r="AY405" s="252">
        <f t="shared" si="163"/>
        <v>1</v>
      </c>
      <c r="AZ405" s="252">
        <f t="shared" si="164"/>
        <v>1</v>
      </c>
      <c r="BA405" s="237"/>
      <c r="BB405" s="252">
        <f t="shared" si="165"/>
        <v>1</v>
      </c>
      <c r="BC405" s="237"/>
      <c r="BD405" s="237"/>
      <c r="BE405" s="237"/>
      <c r="BF405" s="237"/>
      <c r="BG405" s="237"/>
      <c r="BH405" s="237"/>
      <c r="BI405" s="237"/>
      <c r="BJ405" s="252">
        <f t="shared" si="166"/>
        <v>1</v>
      </c>
      <c r="BK405" s="252">
        <f t="shared" si="167"/>
        <v>1</v>
      </c>
      <c r="BL405" s="252">
        <f t="shared" si="168"/>
        <v>1</v>
      </c>
      <c r="BM405" s="252">
        <f t="shared" si="169"/>
        <v>1</v>
      </c>
      <c r="BN405" s="252">
        <f t="shared" si="170"/>
        <v>1</v>
      </c>
      <c r="BO405" s="252">
        <f t="shared" si="171"/>
        <v>1</v>
      </c>
      <c r="BP405" s="2578"/>
      <c r="BQ405" s="2562"/>
      <c r="BR405" s="2562"/>
      <c r="BS405" s="2585"/>
      <c r="BT405" s="2585"/>
      <c r="BU405" s="2585"/>
    </row>
    <row r="406" spans="1:73" s="22" customFormat="1" ht="15.75" hidden="1" customHeight="1" outlineLevel="1">
      <c r="A406" s="2585"/>
      <c r="B406" s="44"/>
      <c r="C406" s="45"/>
      <c r="D406" s="46"/>
      <c r="E406" s="46"/>
      <c r="F406" s="45"/>
      <c r="G406" s="46"/>
      <c r="H406" s="45"/>
      <c r="I406" s="45"/>
      <c r="J406" s="47"/>
      <c r="K406" s="48"/>
      <c r="L406" s="47"/>
      <c r="M406" s="1913"/>
      <c r="N406" s="48"/>
      <c r="O406" s="49"/>
      <c r="P406" s="49"/>
      <c r="Q406" s="1884">
        <f t="shared" si="172"/>
        <v>0</v>
      </c>
      <c r="R406" s="50"/>
      <c r="S406" s="1932"/>
      <c r="T406" s="1932"/>
      <c r="U406" s="1932"/>
      <c r="V406" s="1932"/>
      <c r="W406" s="1885">
        <f t="shared" si="155"/>
        <v>0</v>
      </c>
      <c r="X406" s="1891">
        <f t="shared" si="156"/>
        <v>0</v>
      </c>
      <c r="Y406" s="1891">
        <f t="shared" si="157"/>
        <v>0</v>
      </c>
      <c r="Z406" s="50"/>
      <c r="AA406" s="50"/>
      <c r="AB406" s="48"/>
      <c r="AC406" s="48"/>
      <c r="AD406" s="48"/>
      <c r="AE406" s="45"/>
      <c r="AF406" s="51"/>
      <c r="AG406" s="42"/>
      <c r="AH406" s="52" t="s">
        <v>5081</v>
      </c>
      <c r="AI406" s="197"/>
      <c r="AJ406" s="2578"/>
      <c r="AK406" s="251"/>
      <c r="AL406" s="2578"/>
      <c r="AM406" s="2562"/>
      <c r="AN406" s="2562"/>
      <c r="AO406" s="2562"/>
      <c r="AP406" s="2562"/>
      <c r="AQ406" s="2562"/>
      <c r="AR406" s="2562"/>
      <c r="AS406" s="2562"/>
      <c r="AT406" s="252">
        <f t="shared" si="158"/>
        <v>1</v>
      </c>
      <c r="AU406" s="252">
        <f t="shared" si="159"/>
        <v>1</v>
      </c>
      <c r="AV406" s="252">
        <f t="shared" si="160"/>
        <v>1</v>
      </c>
      <c r="AW406" s="252">
        <f t="shared" si="161"/>
        <v>1</v>
      </c>
      <c r="AX406" s="252">
        <f t="shared" si="162"/>
        <v>1</v>
      </c>
      <c r="AY406" s="252">
        <f t="shared" si="163"/>
        <v>1</v>
      </c>
      <c r="AZ406" s="252">
        <f t="shared" si="164"/>
        <v>1</v>
      </c>
      <c r="BA406" s="237"/>
      <c r="BB406" s="252">
        <f t="shared" si="165"/>
        <v>1</v>
      </c>
      <c r="BC406" s="237"/>
      <c r="BD406" s="237"/>
      <c r="BE406" s="237"/>
      <c r="BF406" s="237"/>
      <c r="BG406" s="237"/>
      <c r="BH406" s="237"/>
      <c r="BI406" s="237"/>
      <c r="BJ406" s="252">
        <f t="shared" si="166"/>
        <v>1</v>
      </c>
      <c r="BK406" s="252">
        <f t="shared" si="167"/>
        <v>1</v>
      </c>
      <c r="BL406" s="252">
        <f t="shared" si="168"/>
        <v>1</v>
      </c>
      <c r="BM406" s="252">
        <f t="shared" si="169"/>
        <v>1</v>
      </c>
      <c r="BN406" s="252">
        <f t="shared" si="170"/>
        <v>1</v>
      </c>
      <c r="BO406" s="252">
        <f t="shared" si="171"/>
        <v>1</v>
      </c>
      <c r="BP406" s="2578"/>
      <c r="BQ406" s="2562"/>
      <c r="BR406" s="2562"/>
      <c r="BS406" s="2585"/>
      <c r="BT406" s="2585"/>
      <c r="BU406" s="2585"/>
    </row>
    <row r="407" spans="1:73" s="22" customFormat="1" ht="15.75" hidden="1" customHeight="1" outlineLevel="1">
      <c r="A407" s="2585"/>
      <c r="B407" s="44"/>
      <c r="C407" s="45"/>
      <c r="D407" s="46"/>
      <c r="E407" s="46"/>
      <c r="F407" s="45"/>
      <c r="G407" s="46"/>
      <c r="H407" s="45"/>
      <c r="I407" s="45"/>
      <c r="J407" s="47"/>
      <c r="K407" s="48"/>
      <c r="L407" s="47"/>
      <c r="M407" s="1913"/>
      <c r="N407" s="48"/>
      <c r="O407" s="49"/>
      <c r="P407" s="49"/>
      <c r="Q407" s="1884">
        <f t="shared" si="172"/>
        <v>0</v>
      </c>
      <c r="R407" s="50"/>
      <c r="S407" s="1932"/>
      <c r="T407" s="1932"/>
      <c r="U407" s="1932"/>
      <c r="V407" s="1932"/>
      <c r="W407" s="1885">
        <f t="shared" si="155"/>
        <v>0</v>
      </c>
      <c r="X407" s="1891">
        <f t="shared" si="156"/>
        <v>0</v>
      </c>
      <c r="Y407" s="1891">
        <f t="shared" si="157"/>
        <v>0</v>
      </c>
      <c r="Z407" s="50"/>
      <c r="AA407" s="50"/>
      <c r="AB407" s="48"/>
      <c r="AC407" s="48"/>
      <c r="AD407" s="48"/>
      <c r="AE407" s="45"/>
      <c r="AF407" s="51"/>
      <c r="AG407" s="42"/>
      <c r="AH407" s="52" t="s">
        <v>5082</v>
      </c>
      <c r="AI407" s="197"/>
      <c r="AJ407" s="2578"/>
      <c r="AK407" s="251"/>
      <c r="AL407" s="2578"/>
      <c r="AM407" s="2562"/>
      <c r="AN407" s="2562"/>
      <c r="AO407" s="2562"/>
      <c r="AP407" s="2562"/>
      <c r="AQ407" s="2562"/>
      <c r="AR407" s="2562"/>
      <c r="AS407" s="2562"/>
      <c r="AT407" s="252">
        <f t="shared" si="158"/>
        <v>1</v>
      </c>
      <c r="AU407" s="252">
        <f t="shared" si="159"/>
        <v>1</v>
      </c>
      <c r="AV407" s="252">
        <f t="shared" si="160"/>
        <v>1</v>
      </c>
      <c r="AW407" s="252">
        <f t="shared" si="161"/>
        <v>1</v>
      </c>
      <c r="AX407" s="252">
        <f t="shared" si="162"/>
        <v>1</v>
      </c>
      <c r="AY407" s="252">
        <f t="shared" si="163"/>
        <v>1</v>
      </c>
      <c r="AZ407" s="252">
        <f t="shared" si="164"/>
        <v>1</v>
      </c>
      <c r="BA407" s="237"/>
      <c r="BB407" s="252">
        <f t="shared" si="165"/>
        <v>1</v>
      </c>
      <c r="BC407" s="237"/>
      <c r="BD407" s="237"/>
      <c r="BE407" s="237"/>
      <c r="BF407" s="237"/>
      <c r="BG407" s="237"/>
      <c r="BH407" s="237"/>
      <c r="BI407" s="237"/>
      <c r="BJ407" s="252">
        <f t="shared" si="166"/>
        <v>1</v>
      </c>
      <c r="BK407" s="252">
        <f t="shared" si="167"/>
        <v>1</v>
      </c>
      <c r="BL407" s="252">
        <f t="shared" si="168"/>
        <v>1</v>
      </c>
      <c r="BM407" s="252">
        <f t="shared" si="169"/>
        <v>1</v>
      </c>
      <c r="BN407" s="252">
        <f t="shared" si="170"/>
        <v>1</v>
      </c>
      <c r="BO407" s="252">
        <f t="shared" si="171"/>
        <v>1</v>
      </c>
      <c r="BP407" s="2578"/>
      <c r="BQ407" s="2562"/>
      <c r="BR407" s="2562"/>
      <c r="BS407" s="2585"/>
      <c r="BT407" s="2585"/>
      <c r="BU407" s="2585"/>
    </row>
    <row r="408" spans="1:73" s="22" customFormat="1" ht="15.75" hidden="1" customHeight="1" outlineLevel="1">
      <c r="A408" s="2585"/>
      <c r="B408" s="44"/>
      <c r="C408" s="45"/>
      <c r="D408" s="46"/>
      <c r="E408" s="46"/>
      <c r="F408" s="45"/>
      <c r="G408" s="46"/>
      <c r="H408" s="45"/>
      <c r="I408" s="45"/>
      <c r="J408" s="47"/>
      <c r="K408" s="48"/>
      <c r="L408" s="47"/>
      <c r="M408" s="1913"/>
      <c r="N408" s="48"/>
      <c r="O408" s="49"/>
      <c r="P408" s="49"/>
      <c r="Q408" s="1884">
        <f t="shared" si="172"/>
        <v>0</v>
      </c>
      <c r="R408" s="50"/>
      <c r="S408" s="1932"/>
      <c r="T408" s="1932"/>
      <c r="U408" s="1932"/>
      <c r="V408" s="1932"/>
      <c r="W408" s="1885">
        <f t="shared" si="155"/>
        <v>0</v>
      </c>
      <c r="X408" s="1891">
        <f t="shared" si="156"/>
        <v>0</v>
      </c>
      <c r="Y408" s="1891">
        <f t="shared" si="157"/>
        <v>0</v>
      </c>
      <c r="Z408" s="50"/>
      <c r="AA408" s="50"/>
      <c r="AB408" s="48"/>
      <c r="AC408" s="48"/>
      <c r="AD408" s="48"/>
      <c r="AE408" s="45"/>
      <c r="AF408" s="51"/>
      <c r="AG408" s="42"/>
      <c r="AH408" s="52" t="s">
        <v>5083</v>
      </c>
      <c r="AI408" s="197"/>
      <c r="AJ408" s="2578"/>
      <c r="AK408" s="251"/>
      <c r="AL408" s="2578"/>
      <c r="AM408" s="2562"/>
      <c r="AN408" s="2562"/>
      <c r="AO408" s="2562"/>
      <c r="AP408" s="2562"/>
      <c r="AQ408" s="2562"/>
      <c r="AR408" s="2562"/>
      <c r="AS408" s="2562"/>
      <c r="AT408" s="252">
        <f t="shared" si="158"/>
        <v>1</v>
      </c>
      <c r="AU408" s="252">
        <f t="shared" si="159"/>
        <v>1</v>
      </c>
      <c r="AV408" s="252">
        <f t="shared" si="160"/>
        <v>1</v>
      </c>
      <c r="AW408" s="252">
        <f t="shared" si="161"/>
        <v>1</v>
      </c>
      <c r="AX408" s="252">
        <f t="shared" si="162"/>
        <v>1</v>
      </c>
      <c r="AY408" s="252">
        <f t="shared" si="163"/>
        <v>1</v>
      </c>
      <c r="AZ408" s="252">
        <f t="shared" si="164"/>
        <v>1</v>
      </c>
      <c r="BA408" s="237"/>
      <c r="BB408" s="252">
        <f t="shared" si="165"/>
        <v>1</v>
      </c>
      <c r="BC408" s="237"/>
      <c r="BD408" s="237"/>
      <c r="BE408" s="237"/>
      <c r="BF408" s="237"/>
      <c r="BG408" s="237"/>
      <c r="BH408" s="237"/>
      <c r="BI408" s="237"/>
      <c r="BJ408" s="252">
        <f t="shared" si="166"/>
        <v>1</v>
      </c>
      <c r="BK408" s="252">
        <f t="shared" si="167"/>
        <v>1</v>
      </c>
      <c r="BL408" s="252">
        <f t="shared" si="168"/>
        <v>1</v>
      </c>
      <c r="BM408" s="252">
        <f t="shared" si="169"/>
        <v>1</v>
      </c>
      <c r="BN408" s="252">
        <f t="shared" si="170"/>
        <v>1</v>
      </c>
      <c r="BO408" s="252">
        <f t="shared" si="171"/>
        <v>1</v>
      </c>
      <c r="BP408" s="2578"/>
      <c r="BQ408" s="2562"/>
      <c r="BR408" s="2562"/>
      <c r="BS408" s="2585"/>
      <c r="BT408" s="2585"/>
      <c r="BU408" s="2585"/>
    </row>
    <row r="409" spans="1:73" s="22" customFormat="1" ht="15.75" hidden="1" customHeight="1" outlineLevel="1">
      <c r="A409" s="2585"/>
      <c r="B409" s="44"/>
      <c r="C409" s="45"/>
      <c r="D409" s="46"/>
      <c r="E409" s="46"/>
      <c r="F409" s="45"/>
      <c r="G409" s="46"/>
      <c r="H409" s="45"/>
      <c r="I409" s="45"/>
      <c r="J409" s="47"/>
      <c r="K409" s="48"/>
      <c r="L409" s="47"/>
      <c r="M409" s="1913"/>
      <c r="N409" s="48"/>
      <c r="O409" s="49"/>
      <c r="P409" s="49"/>
      <c r="Q409" s="1884">
        <f t="shared" si="172"/>
        <v>0</v>
      </c>
      <c r="R409" s="50"/>
      <c r="S409" s="1932"/>
      <c r="T409" s="1932"/>
      <c r="U409" s="1932"/>
      <c r="V409" s="1932"/>
      <c r="W409" s="1885">
        <f t="shared" si="155"/>
        <v>0</v>
      </c>
      <c r="X409" s="1891">
        <f t="shared" si="156"/>
        <v>0</v>
      </c>
      <c r="Y409" s="1891">
        <f t="shared" si="157"/>
        <v>0</v>
      </c>
      <c r="Z409" s="50"/>
      <c r="AA409" s="50"/>
      <c r="AB409" s="48"/>
      <c r="AC409" s="48"/>
      <c r="AD409" s="48"/>
      <c r="AE409" s="45"/>
      <c r="AF409" s="51"/>
      <c r="AG409" s="42"/>
      <c r="AH409" s="52" t="s">
        <v>5084</v>
      </c>
      <c r="AI409" s="197"/>
      <c r="AJ409" s="2578"/>
      <c r="AK409" s="251"/>
      <c r="AL409" s="2578"/>
      <c r="AM409" s="2562"/>
      <c r="AN409" s="2562"/>
      <c r="AO409" s="2562"/>
      <c r="AP409" s="2562"/>
      <c r="AQ409" s="2562"/>
      <c r="AR409" s="2562"/>
      <c r="AS409" s="2562"/>
      <c r="AT409" s="252">
        <f t="shared" si="158"/>
        <v>1</v>
      </c>
      <c r="AU409" s="252">
        <f t="shared" si="159"/>
        <v>1</v>
      </c>
      <c r="AV409" s="252">
        <f t="shared" si="160"/>
        <v>1</v>
      </c>
      <c r="AW409" s="252">
        <f t="shared" si="161"/>
        <v>1</v>
      </c>
      <c r="AX409" s="252">
        <f t="shared" si="162"/>
        <v>1</v>
      </c>
      <c r="AY409" s="252">
        <f t="shared" si="163"/>
        <v>1</v>
      </c>
      <c r="AZ409" s="252">
        <f t="shared" si="164"/>
        <v>1</v>
      </c>
      <c r="BA409" s="237"/>
      <c r="BB409" s="252">
        <f t="shared" si="165"/>
        <v>1</v>
      </c>
      <c r="BC409" s="237"/>
      <c r="BD409" s="237"/>
      <c r="BE409" s="237"/>
      <c r="BF409" s="237"/>
      <c r="BG409" s="237"/>
      <c r="BH409" s="237"/>
      <c r="BI409" s="237"/>
      <c r="BJ409" s="252">
        <f t="shared" si="166"/>
        <v>1</v>
      </c>
      <c r="BK409" s="252">
        <f t="shared" si="167"/>
        <v>1</v>
      </c>
      <c r="BL409" s="252">
        <f t="shared" si="168"/>
        <v>1</v>
      </c>
      <c r="BM409" s="252">
        <f t="shared" si="169"/>
        <v>1</v>
      </c>
      <c r="BN409" s="252">
        <f t="shared" si="170"/>
        <v>1</v>
      </c>
      <c r="BO409" s="252">
        <f t="shared" si="171"/>
        <v>1</v>
      </c>
      <c r="BP409" s="2578"/>
      <c r="BQ409" s="2562"/>
      <c r="BR409" s="2562"/>
      <c r="BS409" s="2585"/>
      <c r="BT409" s="2585"/>
      <c r="BU409" s="2585"/>
    </row>
    <row r="410" spans="1:73" s="22" customFormat="1" ht="15.75" hidden="1" customHeight="1" outlineLevel="1">
      <c r="A410" s="2585"/>
      <c r="B410" s="44"/>
      <c r="C410" s="45"/>
      <c r="D410" s="46"/>
      <c r="E410" s="46"/>
      <c r="F410" s="45"/>
      <c r="G410" s="46"/>
      <c r="H410" s="45"/>
      <c r="I410" s="45"/>
      <c r="J410" s="47"/>
      <c r="K410" s="48"/>
      <c r="L410" s="47"/>
      <c r="M410" s="1913"/>
      <c r="N410" s="48"/>
      <c r="O410" s="49"/>
      <c r="P410" s="49"/>
      <c r="Q410" s="1884">
        <f t="shared" si="172"/>
        <v>0</v>
      </c>
      <c r="R410" s="50"/>
      <c r="S410" s="1932"/>
      <c r="T410" s="1932"/>
      <c r="U410" s="1932"/>
      <c r="V410" s="1932"/>
      <c r="W410" s="1885">
        <f t="shared" si="155"/>
        <v>0</v>
      </c>
      <c r="X410" s="1891">
        <f t="shared" si="156"/>
        <v>0</v>
      </c>
      <c r="Y410" s="1891">
        <f t="shared" si="157"/>
        <v>0</v>
      </c>
      <c r="Z410" s="50"/>
      <c r="AA410" s="50"/>
      <c r="AB410" s="48"/>
      <c r="AC410" s="48"/>
      <c r="AD410" s="48"/>
      <c r="AE410" s="45"/>
      <c r="AF410" s="51"/>
      <c r="AG410" s="42"/>
      <c r="AH410" s="52" t="s">
        <v>5085</v>
      </c>
      <c r="AI410" s="197"/>
      <c r="AJ410" s="2578"/>
      <c r="AK410" s="251"/>
      <c r="AL410" s="2578"/>
      <c r="AM410" s="2562"/>
      <c r="AN410" s="2562"/>
      <c r="AO410" s="2562"/>
      <c r="AP410" s="2562"/>
      <c r="AQ410" s="2562"/>
      <c r="AR410" s="2562"/>
      <c r="AS410" s="2562"/>
      <c r="AT410" s="252">
        <f t="shared" si="158"/>
        <v>1</v>
      </c>
      <c r="AU410" s="252">
        <f t="shared" si="159"/>
        <v>1</v>
      </c>
      <c r="AV410" s="252">
        <f t="shared" si="160"/>
        <v>1</v>
      </c>
      <c r="AW410" s="252">
        <f t="shared" si="161"/>
        <v>1</v>
      </c>
      <c r="AX410" s="252">
        <f t="shared" si="162"/>
        <v>1</v>
      </c>
      <c r="AY410" s="252">
        <f t="shared" si="163"/>
        <v>1</v>
      </c>
      <c r="AZ410" s="252">
        <f t="shared" si="164"/>
        <v>1</v>
      </c>
      <c r="BA410" s="237"/>
      <c r="BB410" s="252">
        <f t="shared" si="165"/>
        <v>1</v>
      </c>
      <c r="BC410" s="237"/>
      <c r="BD410" s="237"/>
      <c r="BE410" s="237"/>
      <c r="BF410" s="237"/>
      <c r="BG410" s="237"/>
      <c r="BH410" s="237"/>
      <c r="BI410" s="237"/>
      <c r="BJ410" s="252">
        <f t="shared" si="166"/>
        <v>1</v>
      </c>
      <c r="BK410" s="252">
        <f t="shared" si="167"/>
        <v>1</v>
      </c>
      <c r="BL410" s="252">
        <f t="shared" si="168"/>
        <v>1</v>
      </c>
      <c r="BM410" s="252">
        <f t="shared" si="169"/>
        <v>1</v>
      </c>
      <c r="BN410" s="252">
        <f t="shared" si="170"/>
        <v>1</v>
      </c>
      <c r="BO410" s="252">
        <f t="shared" si="171"/>
        <v>1</v>
      </c>
      <c r="BP410" s="2578"/>
      <c r="BQ410" s="2562"/>
      <c r="BR410" s="2562"/>
      <c r="BS410" s="2585"/>
      <c r="BT410" s="2585"/>
      <c r="BU410" s="2585"/>
    </row>
    <row r="411" spans="1:73" s="22" customFormat="1" ht="15.75" hidden="1" customHeight="1" outlineLevel="1">
      <c r="A411" s="2585"/>
      <c r="B411" s="44"/>
      <c r="C411" s="45"/>
      <c r="D411" s="46"/>
      <c r="E411" s="46"/>
      <c r="F411" s="45"/>
      <c r="G411" s="46"/>
      <c r="H411" s="45"/>
      <c r="I411" s="45"/>
      <c r="J411" s="47"/>
      <c r="K411" s="48"/>
      <c r="L411" s="47"/>
      <c r="M411" s="1913"/>
      <c r="N411" s="48"/>
      <c r="O411" s="49"/>
      <c r="P411" s="49"/>
      <c r="Q411" s="1884">
        <f t="shared" si="172"/>
        <v>0</v>
      </c>
      <c r="R411" s="50"/>
      <c r="S411" s="1932"/>
      <c r="T411" s="1932"/>
      <c r="U411" s="1932"/>
      <c r="V411" s="1932"/>
      <c r="W411" s="1885">
        <f t="shared" si="155"/>
        <v>0</v>
      </c>
      <c r="X411" s="1891">
        <f t="shared" si="156"/>
        <v>0</v>
      </c>
      <c r="Y411" s="1891">
        <f t="shared" si="157"/>
        <v>0</v>
      </c>
      <c r="Z411" s="50"/>
      <c r="AA411" s="50"/>
      <c r="AB411" s="48"/>
      <c r="AC411" s="48"/>
      <c r="AD411" s="48"/>
      <c r="AE411" s="45"/>
      <c r="AF411" s="51"/>
      <c r="AG411" s="42"/>
      <c r="AH411" s="52" t="s">
        <v>5086</v>
      </c>
      <c r="AI411" s="197"/>
      <c r="AJ411" s="2578"/>
      <c r="AK411" s="251"/>
      <c r="AL411" s="2578"/>
      <c r="AM411" s="2562"/>
      <c r="AN411" s="2562"/>
      <c r="AO411" s="2562"/>
      <c r="AP411" s="2562"/>
      <c r="AQ411" s="2562"/>
      <c r="AR411" s="2562"/>
      <c r="AS411" s="2562"/>
      <c r="AT411" s="252">
        <f t="shared" si="158"/>
        <v>1</v>
      </c>
      <c r="AU411" s="252">
        <f t="shared" si="159"/>
        <v>1</v>
      </c>
      <c r="AV411" s="252">
        <f t="shared" si="160"/>
        <v>1</v>
      </c>
      <c r="AW411" s="252">
        <f t="shared" si="161"/>
        <v>1</v>
      </c>
      <c r="AX411" s="252">
        <f t="shared" si="162"/>
        <v>1</v>
      </c>
      <c r="AY411" s="252">
        <f t="shared" si="163"/>
        <v>1</v>
      </c>
      <c r="AZ411" s="252">
        <f t="shared" si="164"/>
        <v>1</v>
      </c>
      <c r="BA411" s="237"/>
      <c r="BB411" s="252">
        <f t="shared" si="165"/>
        <v>1</v>
      </c>
      <c r="BC411" s="237"/>
      <c r="BD411" s="237"/>
      <c r="BE411" s="237"/>
      <c r="BF411" s="237"/>
      <c r="BG411" s="237"/>
      <c r="BH411" s="237"/>
      <c r="BI411" s="237"/>
      <c r="BJ411" s="252">
        <f t="shared" si="166"/>
        <v>1</v>
      </c>
      <c r="BK411" s="252">
        <f t="shared" si="167"/>
        <v>1</v>
      </c>
      <c r="BL411" s="252">
        <f t="shared" si="168"/>
        <v>1</v>
      </c>
      <c r="BM411" s="252">
        <f t="shared" si="169"/>
        <v>1</v>
      </c>
      <c r="BN411" s="252">
        <f t="shared" si="170"/>
        <v>1</v>
      </c>
      <c r="BO411" s="252">
        <f t="shared" si="171"/>
        <v>1</v>
      </c>
      <c r="BP411" s="2578"/>
      <c r="BQ411" s="2562"/>
      <c r="BR411" s="2562"/>
      <c r="BS411" s="2585"/>
      <c r="BT411" s="2585"/>
      <c r="BU411" s="2585"/>
    </row>
    <row r="412" spans="1:73" s="22" customFormat="1" ht="15.75" hidden="1" customHeight="1" outlineLevel="1">
      <c r="A412" s="2585"/>
      <c r="B412" s="44"/>
      <c r="C412" s="45"/>
      <c r="D412" s="46"/>
      <c r="E412" s="46"/>
      <c r="F412" s="45"/>
      <c r="G412" s="46"/>
      <c r="H412" s="45"/>
      <c r="I412" s="45"/>
      <c r="J412" s="47"/>
      <c r="K412" s="48"/>
      <c r="L412" s="47"/>
      <c r="M412" s="1913"/>
      <c r="N412" s="48"/>
      <c r="O412" s="49"/>
      <c r="P412" s="49"/>
      <c r="Q412" s="1884">
        <f t="shared" si="172"/>
        <v>0</v>
      </c>
      <c r="R412" s="50"/>
      <c r="S412" s="1932"/>
      <c r="T412" s="1932"/>
      <c r="U412" s="1932"/>
      <c r="V412" s="1932"/>
      <c r="W412" s="1885">
        <f t="shared" si="155"/>
        <v>0</v>
      </c>
      <c r="X412" s="1891">
        <f t="shared" si="156"/>
        <v>0</v>
      </c>
      <c r="Y412" s="1891">
        <f t="shared" si="157"/>
        <v>0</v>
      </c>
      <c r="Z412" s="50"/>
      <c r="AA412" s="50"/>
      <c r="AB412" s="48"/>
      <c r="AC412" s="48"/>
      <c r="AD412" s="48"/>
      <c r="AE412" s="45"/>
      <c r="AF412" s="51"/>
      <c r="AG412" s="42"/>
      <c r="AH412" s="52" t="s">
        <v>5087</v>
      </c>
      <c r="AI412" s="197"/>
      <c r="AJ412" s="2578"/>
      <c r="AK412" s="251"/>
      <c r="AL412" s="2578"/>
      <c r="AM412" s="2562"/>
      <c r="AN412" s="2562"/>
      <c r="AO412" s="2562"/>
      <c r="AP412" s="2562"/>
      <c r="AQ412" s="2562"/>
      <c r="AR412" s="2562"/>
      <c r="AS412" s="2562"/>
      <c r="AT412" s="252">
        <f t="shared" si="158"/>
        <v>1</v>
      </c>
      <c r="AU412" s="252">
        <f t="shared" si="159"/>
        <v>1</v>
      </c>
      <c r="AV412" s="252">
        <f t="shared" si="160"/>
        <v>1</v>
      </c>
      <c r="AW412" s="252">
        <f t="shared" si="161"/>
        <v>1</v>
      </c>
      <c r="AX412" s="252">
        <f t="shared" si="162"/>
        <v>1</v>
      </c>
      <c r="AY412" s="252">
        <f t="shared" si="163"/>
        <v>1</v>
      </c>
      <c r="AZ412" s="252">
        <f t="shared" si="164"/>
        <v>1</v>
      </c>
      <c r="BA412" s="237"/>
      <c r="BB412" s="252">
        <f t="shared" si="165"/>
        <v>1</v>
      </c>
      <c r="BC412" s="237"/>
      <c r="BD412" s="237"/>
      <c r="BE412" s="237"/>
      <c r="BF412" s="237"/>
      <c r="BG412" s="237"/>
      <c r="BH412" s="237"/>
      <c r="BI412" s="237"/>
      <c r="BJ412" s="252">
        <f t="shared" si="166"/>
        <v>1</v>
      </c>
      <c r="BK412" s="252">
        <f t="shared" si="167"/>
        <v>1</v>
      </c>
      <c r="BL412" s="252">
        <f t="shared" si="168"/>
        <v>1</v>
      </c>
      <c r="BM412" s="252">
        <f t="shared" si="169"/>
        <v>1</v>
      </c>
      <c r="BN412" s="252">
        <f t="shared" si="170"/>
        <v>1</v>
      </c>
      <c r="BO412" s="252">
        <f t="shared" si="171"/>
        <v>1</v>
      </c>
      <c r="BP412" s="2578"/>
      <c r="BQ412" s="2562"/>
      <c r="BR412" s="2562"/>
      <c r="BS412" s="2585"/>
      <c r="BT412" s="2585"/>
      <c r="BU412" s="2585"/>
    </row>
    <row r="413" spans="1:73" s="22" customFormat="1" ht="15.75" hidden="1" customHeight="1" outlineLevel="1">
      <c r="A413" s="2585"/>
      <c r="B413" s="44"/>
      <c r="C413" s="45"/>
      <c r="D413" s="46"/>
      <c r="E413" s="46"/>
      <c r="F413" s="45"/>
      <c r="G413" s="46"/>
      <c r="H413" s="45"/>
      <c r="I413" s="45"/>
      <c r="J413" s="47"/>
      <c r="K413" s="48"/>
      <c r="L413" s="47"/>
      <c r="M413" s="1913"/>
      <c r="N413" s="48"/>
      <c r="O413" s="49"/>
      <c r="P413" s="49"/>
      <c r="Q413" s="1884">
        <f t="shared" si="172"/>
        <v>0</v>
      </c>
      <c r="R413" s="50"/>
      <c r="S413" s="1932"/>
      <c r="T413" s="1932"/>
      <c r="U413" s="1932"/>
      <c r="V413" s="1932"/>
      <c r="W413" s="1885">
        <f t="shared" si="155"/>
        <v>0</v>
      </c>
      <c r="X413" s="1891">
        <f t="shared" si="156"/>
        <v>0</v>
      </c>
      <c r="Y413" s="1891">
        <f t="shared" si="157"/>
        <v>0</v>
      </c>
      <c r="Z413" s="50"/>
      <c r="AA413" s="50"/>
      <c r="AB413" s="48"/>
      <c r="AC413" s="48"/>
      <c r="AD413" s="48"/>
      <c r="AE413" s="45"/>
      <c r="AF413" s="51"/>
      <c r="AG413" s="42"/>
      <c r="AH413" s="52" t="s">
        <v>5088</v>
      </c>
      <c r="AI413" s="197"/>
      <c r="AJ413" s="2578"/>
      <c r="AK413" s="251"/>
      <c r="AL413" s="2578"/>
      <c r="AM413" s="2562"/>
      <c r="AN413" s="2562"/>
      <c r="AO413" s="2562"/>
      <c r="AP413" s="2562"/>
      <c r="AQ413" s="2562"/>
      <c r="AR413" s="2562"/>
      <c r="AS413" s="2562"/>
      <c r="AT413" s="252">
        <f t="shared" si="158"/>
        <v>1</v>
      </c>
      <c r="AU413" s="252">
        <f t="shared" si="159"/>
        <v>1</v>
      </c>
      <c r="AV413" s="252">
        <f t="shared" si="160"/>
        <v>1</v>
      </c>
      <c r="AW413" s="252">
        <f t="shared" si="161"/>
        <v>1</v>
      </c>
      <c r="AX413" s="252">
        <f t="shared" si="162"/>
        <v>1</v>
      </c>
      <c r="AY413" s="252">
        <f t="shared" si="163"/>
        <v>1</v>
      </c>
      <c r="AZ413" s="252">
        <f t="shared" si="164"/>
        <v>1</v>
      </c>
      <c r="BA413" s="237"/>
      <c r="BB413" s="252">
        <f t="shared" si="165"/>
        <v>1</v>
      </c>
      <c r="BC413" s="237"/>
      <c r="BD413" s="237"/>
      <c r="BE413" s="237"/>
      <c r="BF413" s="237"/>
      <c r="BG413" s="237"/>
      <c r="BH413" s="237"/>
      <c r="BI413" s="237"/>
      <c r="BJ413" s="252">
        <f t="shared" si="166"/>
        <v>1</v>
      </c>
      <c r="BK413" s="252">
        <f t="shared" si="167"/>
        <v>1</v>
      </c>
      <c r="BL413" s="252">
        <f t="shared" si="168"/>
        <v>1</v>
      </c>
      <c r="BM413" s="252">
        <f t="shared" si="169"/>
        <v>1</v>
      </c>
      <c r="BN413" s="252">
        <f t="shared" si="170"/>
        <v>1</v>
      </c>
      <c r="BO413" s="252">
        <f t="shared" si="171"/>
        <v>1</v>
      </c>
      <c r="BP413" s="2578"/>
      <c r="BQ413" s="2562"/>
      <c r="BR413" s="2562"/>
      <c r="BS413" s="2585"/>
      <c r="BT413" s="2585"/>
      <c r="BU413" s="2585"/>
    </row>
    <row r="414" spans="1:73" s="22" customFormat="1" ht="15.75" hidden="1" customHeight="1" outlineLevel="1">
      <c r="A414" s="2585"/>
      <c r="B414" s="44"/>
      <c r="C414" s="45"/>
      <c r="D414" s="46"/>
      <c r="E414" s="46"/>
      <c r="F414" s="45"/>
      <c r="G414" s="46"/>
      <c r="H414" s="45"/>
      <c r="I414" s="45"/>
      <c r="J414" s="47"/>
      <c r="K414" s="48"/>
      <c r="L414" s="47"/>
      <c r="M414" s="1913"/>
      <c r="N414" s="48"/>
      <c r="O414" s="49"/>
      <c r="P414" s="49"/>
      <c r="Q414" s="1884">
        <f t="shared" si="172"/>
        <v>0</v>
      </c>
      <c r="R414" s="50"/>
      <c r="S414" s="1932"/>
      <c r="T414" s="1932"/>
      <c r="U414" s="1932"/>
      <c r="V414" s="1932"/>
      <c r="W414" s="1885">
        <f t="shared" si="155"/>
        <v>0</v>
      </c>
      <c r="X414" s="1891">
        <f t="shared" si="156"/>
        <v>0</v>
      </c>
      <c r="Y414" s="1891">
        <f t="shared" si="157"/>
        <v>0</v>
      </c>
      <c r="Z414" s="50"/>
      <c r="AA414" s="50"/>
      <c r="AB414" s="48"/>
      <c r="AC414" s="48"/>
      <c r="AD414" s="48"/>
      <c r="AE414" s="45"/>
      <c r="AF414" s="51"/>
      <c r="AG414" s="42"/>
      <c r="AH414" s="52" t="s">
        <v>5089</v>
      </c>
      <c r="AI414" s="197"/>
      <c r="AJ414" s="2578"/>
      <c r="AK414" s="251"/>
      <c r="AL414" s="2578"/>
      <c r="AM414" s="2562"/>
      <c r="AN414" s="2562"/>
      <c r="AO414" s="2562"/>
      <c r="AP414" s="2562"/>
      <c r="AQ414" s="2562"/>
      <c r="AR414" s="2562"/>
      <c r="AS414" s="2562"/>
      <c r="AT414" s="252">
        <f t="shared" si="158"/>
        <v>1</v>
      </c>
      <c r="AU414" s="252">
        <f t="shared" si="159"/>
        <v>1</v>
      </c>
      <c r="AV414" s="252">
        <f t="shared" si="160"/>
        <v>1</v>
      </c>
      <c r="AW414" s="252">
        <f t="shared" si="161"/>
        <v>1</v>
      </c>
      <c r="AX414" s="252">
        <f t="shared" si="162"/>
        <v>1</v>
      </c>
      <c r="AY414" s="252">
        <f t="shared" si="163"/>
        <v>1</v>
      </c>
      <c r="AZ414" s="252">
        <f t="shared" si="164"/>
        <v>1</v>
      </c>
      <c r="BA414" s="237"/>
      <c r="BB414" s="252">
        <f t="shared" si="165"/>
        <v>1</v>
      </c>
      <c r="BC414" s="237"/>
      <c r="BD414" s="237"/>
      <c r="BE414" s="237"/>
      <c r="BF414" s="237"/>
      <c r="BG414" s="237"/>
      <c r="BH414" s="237"/>
      <c r="BI414" s="237"/>
      <c r="BJ414" s="252">
        <f t="shared" si="166"/>
        <v>1</v>
      </c>
      <c r="BK414" s="252">
        <f t="shared" si="167"/>
        <v>1</v>
      </c>
      <c r="BL414" s="252">
        <f t="shared" si="168"/>
        <v>1</v>
      </c>
      <c r="BM414" s="252">
        <f t="shared" si="169"/>
        <v>1</v>
      </c>
      <c r="BN414" s="252">
        <f t="shared" si="170"/>
        <v>1</v>
      </c>
      <c r="BO414" s="252">
        <f t="shared" si="171"/>
        <v>1</v>
      </c>
      <c r="BP414" s="2578"/>
      <c r="BQ414" s="2562"/>
      <c r="BR414" s="2562"/>
      <c r="BS414" s="2585"/>
      <c r="BT414" s="2585"/>
      <c r="BU414" s="2585"/>
    </row>
    <row r="415" spans="1:73" s="22" customFormat="1" ht="15.75" customHeight="1" collapsed="1">
      <c r="A415" s="2585"/>
      <c r="B415" s="44"/>
      <c r="C415" s="45"/>
      <c r="D415" s="46"/>
      <c r="E415" s="46"/>
      <c r="F415" s="45"/>
      <c r="G415" s="46"/>
      <c r="H415" s="45"/>
      <c r="I415" s="45"/>
      <c r="J415" s="47"/>
      <c r="K415" s="48"/>
      <c r="L415" s="47"/>
      <c r="M415" s="1913"/>
      <c r="N415" s="48"/>
      <c r="O415" s="49"/>
      <c r="P415" s="49"/>
      <c r="Q415" s="1884">
        <f t="shared" si="172"/>
        <v>0</v>
      </c>
      <c r="R415" s="50"/>
      <c r="S415" s="1932"/>
      <c r="T415" s="1932"/>
      <c r="U415" s="1932"/>
      <c r="V415" s="1932"/>
      <c r="W415" s="1885">
        <f t="shared" si="155"/>
        <v>0</v>
      </c>
      <c r="X415" s="1891">
        <f t="shared" si="156"/>
        <v>0</v>
      </c>
      <c r="Y415" s="1891">
        <f t="shared" si="157"/>
        <v>0</v>
      </c>
      <c r="Z415" s="50"/>
      <c r="AA415" s="50"/>
      <c r="AB415" s="48"/>
      <c r="AC415" s="48"/>
      <c r="AD415" s="48"/>
      <c r="AE415" s="45"/>
      <c r="AF415" s="51"/>
      <c r="AG415" s="42"/>
      <c r="AH415" s="52" t="s">
        <v>5090</v>
      </c>
      <c r="AI415" s="197"/>
      <c r="AJ415" s="2578"/>
      <c r="AK415" s="251"/>
      <c r="AL415" s="2578"/>
      <c r="AM415" s="2562"/>
      <c r="AN415" s="2562"/>
      <c r="AO415" s="2562"/>
      <c r="AP415" s="2562"/>
      <c r="AQ415" s="2562"/>
      <c r="AR415" s="2562"/>
      <c r="AS415" s="2562"/>
      <c r="AT415" s="252">
        <f t="shared" si="158"/>
        <v>1</v>
      </c>
      <c r="AU415" s="252">
        <f t="shared" si="159"/>
        <v>1</v>
      </c>
      <c r="AV415" s="252">
        <f t="shared" si="160"/>
        <v>1</v>
      </c>
      <c r="AW415" s="252">
        <f t="shared" si="161"/>
        <v>1</v>
      </c>
      <c r="AX415" s="252">
        <f t="shared" si="162"/>
        <v>1</v>
      </c>
      <c r="AY415" s="252">
        <f t="shared" si="163"/>
        <v>1</v>
      </c>
      <c r="AZ415" s="252">
        <f t="shared" si="164"/>
        <v>1</v>
      </c>
      <c r="BA415" s="237"/>
      <c r="BB415" s="252">
        <f t="shared" si="165"/>
        <v>1</v>
      </c>
      <c r="BC415" s="237"/>
      <c r="BD415" s="237"/>
      <c r="BE415" s="237"/>
      <c r="BF415" s="237"/>
      <c r="BG415" s="237"/>
      <c r="BH415" s="237"/>
      <c r="BI415" s="237"/>
      <c r="BJ415" s="252">
        <f t="shared" si="166"/>
        <v>1</v>
      </c>
      <c r="BK415" s="252">
        <f t="shared" si="167"/>
        <v>1</v>
      </c>
      <c r="BL415" s="252">
        <f t="shared" si="168"/>
        <v>1</v>
      </c>
      <c r="BM415" s="252">
        <f t="shared" si="169"/>
        <v>1</v>
      </c>
      <c r="BN415" s="252">
        <f t="shared" si="170"/>
        <v>1</v>
      </c>
      <c r="BO415" s="252">
        <f t="shared" si="171"/>
        <v>1</v>
      </c>
      <c r="BP415" s="2578"/>
      <c r="BQ415" s="2562"/>
      <c r="BR415" s="2562"/>
      <c r="BS415" s="2585"/>
      <c r="BT415" s="2585"/>
      <c r="BU415" s="2585"/>
    </row>
    <row r="416" spans="1:73" s="22" customFormat="1" ht="15.75" hidden="1" customHeight="1" outlineLevel="1">
      <c r="A416" s="2585"/>
      <c r="B416" s="44"/>
      <c r="C416" s="45"/>
      <c r="D416" s="46"/>
      <c r="E416" s="46"/>
      <c r="F416" s="45"/>
      <c r="G416" s="46"/>
      <c r="H416" s="45"/>
      <c r="I416" s="45"/>
      <c r="J416" s="47"/>
      <c r="K416" s="48"/>
      <c r="L416" s="47"/>
      <c r="M416" s="1913"/>
      <c r="N416" s="48"/>
      <c r="O416" s="49"/>
      <c r="P416" s="49"/>
      <c r="Q416" s="1884">
        <f t="shared" si="172"/>
        <v>0</v>
      </c>
      <c r="R416" s="50"/>
      <c r="S416" s="1914"/>
      <c r="T416" s="1914"/>
      <c r="U416" s="1914"/>
      <c r="V416" s="1914"/>
      <c r="W416" s="1885">
        <f t="shared" si="155"/>
        <v>0</v>
      </c>
      <c r="X416" s="1891">
        <f t="shared" si="156"/>
        <v>0</v>
      </c>
      <c r="Y416" s="1891">
        <f t="shared" si="157"/>
        <v>0</v>
      </c>
      <c r="Z416" s="50"/>
      <c r="AA416" s="50"/>
      <c r="AB416" s="48"/>
      <c r="AC416" s="48"/>
      <c r="AD416" s="48"/>
      <c r="AE416" s="45"/>
      <c r="AF416" s="51"/>
      <c r="AG416" s="42"/>
      <c r="AH416" s="52" t="s">
        <v>5091</v>
      </c>
      <c r="AI416" s="197"/>
      <c r="AJ416" s="2578"/>
      <c r="AK416" s="251"/>
      <c r="AL416" s="2578"/>
      <c r="AM416" s="2562"/>
      <c r="AN416" s="2562"/>
      <c r="AO416" s="2562"/>
      <c r="AP416" s="2562"/>
      <c r="AQ416" s="2562"/>
      <c r="AR416" s="2562"/>
      <c r="AS416" s="2562"/>
      <c r="AT416" s="252">
        <f t="shared" ref="AT416:AT464" si="173" xml:space="preserve"> IF( ISNUMBER( J366 ), 0, 1 )</f>
        <v>1</v>
      </c>
      <c r="AU416" s="252">
        <f t="shared" ref="AU416:AU464" si="174" xml:space="preserve"> IF( ISNUMBER( K366 ), 0, 1 )</f>
        <v>0</v>
      </c>
      <c r="AV416" s="252">
        <f t="shared" ref="AV416:AV464" si="175" xml:space="preserve"> IF( ISNUMBER( L366 ), 0, 1 )</f>
        <v>0</v>
      </c>
      <c r="AW416" s="252">
        <f t="shared" ref="AW416:AW464" si="176" xml:space="preserve"> IF( ISNUMBER( M366 ), 0, 1 )</f>
        <v>0</v>
      </c>
      <c r="AX416" s="252">
        <f t="shared" ref="AX416:AX464" si="177" xml:space="preserve"> IF( ISNUMBER( N366 ), 0, 1 )</f>
        <v>0</v>
      </c>
      <c r="AY416" s="252">
        <f t="shared" ref="AY416:AY464" si="178" xml:space="preserve"> IF( ISNUMBER( O366 ), 0, 1 )</f>
        <v>0</v>
      </c>
      <c r="AZ416" s="252">
        <f t="shared" ref="AZ416:AZ464" si="179" xml:space="preserve"> IF( ISNUMBER( P366 ), 0, 1 )</f>
        <v>0</v>
      </c>
      <c r="BA416" s="237"/>
      <c r="BB416" s="237"/>
      <c r="BC416" s="2562"/>
      <c r="BD416" s="2562"/>
      <c r="BE416" s="2562"/>
      <c r="BF416" s="2562"/>
      <c r="BG416" s="252">
        <f t="shared" ref="BG416:BG464" si="180" xml:space="preserve"> IF( ISNUMBER( W366 ), 0, 1 )</f>
        <v>0</v>
      </c>
      <c r="BH416" s="2562"/>
      <c r="BI416" s="237"/>
      <c r="BJ416" s="252">
        <f t="shared" ref="BJ416:BJ464" si="181" xml:space="preserve"> IF( ISNUMBER( Z366 ), 0, 1 )</f>
        <v>0</v>
      </c>
      <c r="BK416" s="252">
        <f t="shared" ref="BK416:BK464" si="182" xml:space="preserve"> IF( ISNUMBER( AA366 ), 0, 1 )</f>
        <v>0</v>
      </c>
      <c r="BL416" s="252">
        <f t="shared" ref="BL416:BL464" si="183" xml:space="preserve"> IF( ISNUMBER( AB366 ), 0, 1 )</f>
        <v>0</v>
      </c>
      <c r="BM416" s="252">
        <f t="shared" ref="BM416:BM464" si="184" xml:space="preserve"> IF( ISNUMBER( AC366 ), 0, 1 )</f>
        <v>0</v>
      </c>
      <c r="BN416" s="252">
        <f t="shared" ref="BN416:BN464" si="185" xml:space="preserve"> IF( ISNUMBER( AD366 ), 0, 1 )</f>
        <v>0</v>
      </c>
      <c r="BO416" s="252">
        <f t="shared" ref="BO416:BO464" si="186" xml:space="preserve"> IF( ISNUMBER( AF366 ), 0, 1 )</f>
        <v>1</v>
      </c>
      <c r="BP416" s="2578"/>
      <c r="BQ416" s="2562"/>
      <c r="BR416" s="2562"/>
      <c r="BS416" s="2585"/>
      <c r="BT416" s="2585"/>
      <c r="BU416" s="2585"/>
    </row>
    <row r="417" spans="1:73" s="22" customFormat="1" ht="15.75" hidden="1" customHeight="1" outlineLevel="1">
      <c r="A417" s="2585"/>
      <c r="B417" s="44"/>
      <c r="C417" s="45"/>
      <c r="D417" s="46"/>
      <c r="E417" s="46"/>
      <c r="F417" s="45"/>
      <c r="G417" s="46"/>
      <c r="H417" s="45"/>
      <c r="I417" s="45"/>
      <c r="J417" s="47"/>
      <c r="K417" s="48"/>
      <c r="L417" s="47"/>
      <c r="M417" s="1913"/>
      <c r="N417" s="48"/>
      <c r="O417" s="49"/>
      <c r="P417" s="49"/>
      <c r="Q417" s="1884">
        <f t="shared" si="172"/>
        <v>0</v>
      </c>
      <c r="R417" s="50"/>
      <c r="S417" s="1914"/>
      <c r="T417" s="1914"/>
      <c r="U417" s="1914"/>
      <c r="V417" s="1914"/>
      <c r="W417" s="1885">
        <f t="shared" si="155"/>
        <v>0</v>
      </c>
      <c r="X417" s="1891">
        <f t="shared" si="156"/>
        <v>0</v>
      </c>
      <c r="Y417" s="1891">
        <f t="shared" si="157"/>
        <v>0</v>
      </c>
      <c r="Z417" s="50"/>
      <c r="AA417" s="50"/>
      <c r="AB417" s="48"/>
      <c r="AC417" s="48"/>
      <c r="AD417" s="48"/>
      <c r="AE417" s="45"/>
      <c r="AF417" s="51"/>
      <c r="AG417" s="42"/>
      <c r="AH417" s="52" t="s">
        <v>5092</v>
      </c>
      <c r="AI417" s="197"/>
      <c r="AJ417" s="2578"/>
      <c r="AK417" s="251"/>
      <c r="AL417" s="2578"/>
      <c r="AM417" s="2562"/>
      <c r="AN417" s="2562"/>
      <c r="AO417" s="2562"/>
      <c r="AP417" s="2562"/>
      <c r="AQ417" s="2562"/>
      <c r="AR417" s="2562"/>
      <c r="AS417" s="2562"/>
      <c r="AT417" s="252">
        <f t="shared" si="173"/>
        <v>1</v>
      </c>
      <c r="AU417" s="252">
        <f t="shared" si="174"/>
        <v>0</v>
      </c>
      <c r="AV417" s="252">
        <f t="shared" si="175"/>
        <v>0</v>
      </c>
      <c r="AW417" s="252">
        <f t="shared" si="176"/>
        <v>0</v>
      </c>
      <c r="AX417" s="252">
        <f t="shared" si="177"/>
        <v>0</v>
      </c>
      <c r="AY417" s="252">
        <f t="shared" si="178"/>
        <v>0</v>
      </c>
      <c r="AZ417" s="252">
        <f t="shared" si="179"/>
        <v>0</v>
      </c>
      <c r="BA417" s="237"/>
      <c r="BB417" s="237"/>
      <c r="BC417" s="2562"/>
      <c r="BD417" s="2562"/>
      <c r="BE417" s="2562"/>
      <c r="BF417" s="2562"/>
      <c r="BG417" s="252">
        <f t="shared" si="180"/>
        <v>0</v>
      </c>
      <c r="BH417" s="2562"/>
      <c r="BI417" s="237"/>
      <c r="BJ417" s="252">
        <f t="shared" si="181"/>
        <v>0</v>
      </c>
      <c r="BK417" s="252">
        <f t="shared" si="182"/>
        <v>0</v>
      </c>
      <c r="BL417" s="252">
        <f t="shared" si="183"/>
        <v>0</v>
      </c>
      <c r="BM417" s="252">
        <f t="shared" si="184"/>
        <v>0</v>
      </c>
      <c r="BN417" s="252">
        <f t="shared" si="185"/>
        <v>0</v>
      </c>
      <c r="BO417" s="252">
        <f t="shared" si="186"/>
        <v>1</v>
      </c>
      <c r="BP417" s="2578"/>
      <c r="BQ417" s="2562"/>
      <c r="BR417" s="2562"/>
      <c r="BS417" s="2585"/>
      <c r="BT417" s="2585"/>
      <c r="BU417" s="2585"/>
    </row>
    <row r="418" spans="1:73" s="22" customFormat="1" ht="15.75" hidden="1" customHeight="1" outlineLevel="1">
      <c r="A418" s="2585"/>
      <c r="B418" s="44"/>
      <c r="C418" s="45"/>
      <c r="D418" s="46"/>
      <c r="E418" s="46"/>
      <c r="F418" s="45"/>
      <c r="G418" s="46"/>
      <c r="H418" s="45"/>
      <c r="I418" s="45"/>
      <c r="J418" s="47"/>
      <c r="K418" s="48"/>
      <c r="L418" s="47"/>
      <c r="M418" s="1913"/>
      <c r="N418" s="48"/>
      <c r="O418" s="49"/>
      <c r="P418" s="49"/>
      <c r="Q418" s="1884">
        <f t="shared" si="172"/>
        <v>0</v>
      </c>
      <c r="R418" s="50"/>
      <c r="S418" s="1914"/>
      <c r="T418" s="1914"/>
      <c r="U418" s="1914"/>
      <c r="V418" s="1914"/>
      <c r="W418" s="1885">
        <f t="shared" si="155"/>
        <v>0</v>
      </c>
      <c r="X418" s="1891">
        <f t="shared" si="156"/>
        <v>0</v>
      </c>
      <c r="Y418" s="1891">
        <f t="shared" si="157"/>
        <v>0</v>
      </c>
      <c r="Z418" s="50"/>
      <c r="AA418" s="50"/>
      <c r="AB418" s="48"/>
      <c r="AC418" s="48"/>
      <c r="AD418" s="48"/>
      <c r="AE418" s="45"/>
      <c r="AF418" s="51"/>
      <c r="AG418" s="42"/>
      <c r="AH418" s="52" t="s">
        <v>5093</v>
      </c>
      <c r="AI418" s="197"/>
      <c r="AJ418" s="2578"/>
      <c r="AK418" s="251"/>
      <c r="AL418" s="2578"/>
      <c r="AM418" s="2562"/>
      <c r="AN418" s="2562"/>
      <c r="AO418" s="2562"/>
      <c r="AP418" s="2562"/>
      <c r="AQ418" s="2562"/>
      <c r="AR418" s="2562"/>
      <c r="AS418" s="2562"/>
      <c r="AT418" s="252">
        <f t="shared" si="173"/>
        <v>1</v>
      </c>
      <c r="AU418" s="252">
        <f t="shared" si="174"/>
        <v>0</v>
      </c>
      <c r="AV418" s="252">
        <f t="shared" si="175"/>
        <v>0</v>
      </c>
      <c r="AW418" s="252">
        <f t="shared" si="176"/>
        <v>0</v>
      </c>
      <c r="AX418" s="252">
        <f t="shared" si="177"/>
        <v>0</v>
      </c>
      <c r="AY418" s="252">
        <f t="shared" si="178"/>
        <v>0</v>
      </c>
      <c r="AZ418" s="252">
        <f t="shared" si="179"/>
        <v>0</v>
      </c>
      <c r="BA418" s="237"/>
      <c r="BB418" s="237"/>
      <c r="BC418" s="2562"/>
      <c r="BD418" s="2562"/>
      <c r="BE418" s="2562"/>
      <c r="BF418" s="2562"/>
      <c r="BG418" s="252">
        <f t="shared" si="180"/>
        <v>0</v>
      </c>
      <c r="BH418" s="2562"/>
      <c r="BI418" s="237"/>
      <c r="BJ418" s="252">
        <f t="shared" si="181"/>
        <v>0</v>
      </c>
      <c r="BK418" s="252">
        <f t="shared" si="182"/>
        <v>0</v>
      </c>
      <c r="BL418" s="252">
        <f t="shared" si="183"/>
        <v>0</v>
      </c>
      <c r="BM418" s="252">
        <f t="shared" si="184"/>
        <v>0</v>
      </c>
      <c r="BN418" s="252">
        <f t="shared" si="185"/>
        <v>0</v>
      </c>
      <c r="BO418" s="252">
        <f t="shared" si="186"/>
        <v>1</v>
      </c>
      <c r="BP418" s="2578"/>
      <c r="BQ418" s="2562"/>
      <c r="BR418" s="2562"/>
      <c r="BS418" s="2585"/>
      <c r="BT418" s="2585"/>
      <c r="BU418" s="2585"/>
    </row>
    <row r="419" spans="1:73" s="22" customFormat="1" ht="15.75" hidden="1" customHeight="1" outlineLevel="1">
      <c r="A419" s="2585"/>
      <c r="B419" s="44"/>
      <c r="C419" s="45"/>
      <c r="D419" s="46"/>
      <c r="E419" s="46"/>
      <c r="F419" s="45"/>
      <c r="G419" s="46"/>
      <c r="H419" s="45"/>
      <c r="I419" s="45"/>
      <c r="J419" s="47"/>
      <c r="K419" s="48"/>
      <c r="L419" s="47"/>
      <c r="M419" s="1913"/>
      <c r="N419" s="48"/>
      <c r="O419" s="49"/>
      <c r="P419" s="49"/>
      <c r="Q419" s="1884">
        <f t="shared" si="172"/>
        <v>0</v>
      </c>
      <c r="R419" s="50"/>
      <c r="S419" s="1914"/>
      <c r="T419" s="1914"/>
      <c r="U419" s="1914"/>
      <c r="V419" s="1914"/>
      <c r="W419" s="1885">
        <f t="shared" si="155"/>
        <v>0</v>
      </c>
      <c r="X419" s="1891">
        <f t="shared" si="156"/>
        <v>0</v>
      </c>
      <c r="Y419" s="1891">
        <f t="shared" si="157"/>
        <v>0</v>
      </c>
      <c r="Z419" s="50"/>
      <c r="AA419" s="50"/>
      <c r="AB419" s="48"/>
      <c r="AC419" s="48"/>
      <c r="AD419" s="48"/>
      <c r="AE419" s="45"/>
      <c r="AF419" s="51"/>
      <c r="AG419" s="42"/>
      <c r="AH419" s="52" t="s">
        <v>5094</v>
      </c>
      <c r="AI419" s="197"/>
      <c r="AJ419" s="2578"/>
      <c r="AK419" s="251"/>
      <c r="AL419" s="2578"/>
      <c r="AM419" s="2562"/>
      <c r="AN419" s="2562"/>
      <c r="AO419" s="2562"/>
      <c r="AP419" s="2562"/>
      <c r="AQ419" s="2562"/>
      <c r="AR419" s="2562"/>
      <c r="AS419" s="2562"/>
      <c r="AT419" s="252">
        <f t="shared" si="173"/>
        <v>1</v>
      </c>
      <c r="AU419" s="252">
        <f t="shared" si="174"/>
        <v>0</v>
      </c>
      <c r="AV419" s="252">
        <f t="shared" si="175"/>
        <v>0</v>
      </c>
      <c r="AW419" s="252">
        <f t="shared" si="176"/>
        <v>0</v>
      </c>
      <c r="AX419" s="252">
        <f t="shared" si="177"/>
        <v>0</v>
      </c>
      <c r="AY419" s="252">
        <f t="shared" si="178"/>
        <v>0</v>
      </c>
      <c r="AZ419" s="252">
        <f t="shared" si="179"/>
        <v>0</v>
      </c>
      <c r="BA419" s="237"/>
      <c r="BB419" s="237"/>
      <c r="BC419" s="2562"/>
      <c r="BD419" s="2562"/>
      <c r="BE419" s="2562"/>
      <c r="BF419" s="2562"/>
      <c r="BG419" s="252">
        <f t="shared" si="180"/>
        <v>0</v>
      </c>
      <c r="BH419" s="2562"/>
      <c r="BI419" s="237"/>
      <c r="BJ419" s="252">
        <f t="shared" si="181"/>
        <v>0</v>
      </c>
      <c r="BK419" s="252">
        <f t="shared" si="182"/>
        <v>0</v>
      </c>
      <c r="BL419" s="252">
        <f t="shared" si="183"/>
        <v>0</v>
      </c>
      <c r="BM419" s="252">
        <f t="shared" si="184"/>
        <v>0</v>
      </c>
      <c r="BN419" s="252">
        <f t="shared" si="185"/>
        <v>0</v>
      </c>
      <c r="BO419" s="252">
        <f t="shared" si="186"/>
        <v>1</v>
      </c>
      <c r="BP419" s="2578"/>
      <c r="BQ419" s="2562"/>
      <c r="BR419" s="2562"/>
      <c r="BS419" s="2585"/>
      <c r="BT419" s="2585"/>
      <c r="BU419" s="2585"/>
    </row>
    <row r="420" spans="1:73" s="22" customFormat="1" ht="15.75" hidden="1" customHeight="1" outlineLevel="1">
      <c r="A420" s="2585"/>
      <c r="B420" s="44"/>
      <c r="C420" s="45"/>
      <c r="D420" s="46"/>
      <c r="E420" s="46"/>
      <c r="F420" s="45"/>
      <c r="G420" s="46"/>
      <c r="H420" s="45"/>
      <c r="I420" s="45"/>
      <c r="J420" s="47"/>
      <c r="K420" s="48"/>
      <c r="L420" s="47"/>
      <c r="M420" s="1913"/>
      <c r="N420" s="48"/>
      <c r="O420" s="49"/>
      <c r="P420" s="49"/>
      <c r="Q420" s="1884">
        <f t="shared" si="172"/>
        <v>0</v>
      </c>
      <c r="R420" s="50"/>
      <c r="S420" s="1914"/>
      <c r="T420" s="1914"/>
      <c r="U420" s="1914"/>
      <c r="V420" s="1914"/>
      <c r="W420" s="1885">
        <f t="shared" si="155"/>
        <v>0</v>
      </c>
      <c r="X420" s="1891">
        <f t="shared" si="156"/>
        <v>0</v>
      </c>
      <c r="Y420" s="1891">
        <f t="shared" si="157"/>
        <v>0</v>
      </c>
      <c r="Z420" s="50"/>
      <c r="AA420" s="50"/>
      <c r="AB420" s="48"/>
      <c r="AC420" s="48"/>
      <c r="AD420" s="48"/>
      <c r="AE420" s="45"/>
      <c r="AF420" s="51"/>
      <c r="AG420" s="42"/>
      <c r="AH420" s="52" t="s">
        <v>5095</v>
      </c>
      <c r="AI420" s="197"/>
      <c r="AJ420" s="2578"/>
      <c r="AK420" s="251"/>
      <c r="AL420" s="2578"/>
      <c r="AM420" s="2562"/>
      <c r="AN420" s="2562"/>
      <c r="AO420" s="2562"/>
      <c r="AP420" s="2562"/>
      <c r="AQ420" s="2562"/>
      <c r="AR420" s="2562"/>
      <c r="AS420" s="2562"/>
      <c r="AT420" s="252">
        <f t="shared" si="173"/>
        <v>1</v>
      </c>
      <c r="AU420" s="252">
        <f t="shared" si="174"/>
        <v>0</v>
      </c>
      <c r="AV420" s="252">
        <f t="shared" si="175"/>
        <v>0</v>
      </c>
      <c r="AW420" s="252">
        <f t="shared" si="176"/>
        <v>0</v>
      </c>
      <c r="AX420" s="252">
        <f t="shared" si="177"/>
        <v>0</v>
      </c>
      <c r="AY420" s="252">
        <f t="shared" si="178"/>
        <v>0</v>
      </c>
      <c r="AZ420" s="252">
        <f t="shared" si="179"/>
        <v>0</v>
      </c>
      <c r="BA420" s="237"/>
      <c r="BB420" s="237"/>
      <c r="BC420" s="2562"/>
      <c r="BD420" s="2562"/>
      <c r="BE420" s="2562"/>
      <c r="BF420" s="2562"/>
      <c r="BG420" s="252">
        <f t="shared" si="180"/>
        <v>0</v>
      </c>
      <c r="BH420" s="2562"/>
      <c r="BI420" s="237"/>
      <c r="BJ420" s="252">
        <f t="shared" si="181"/>
        <v>0</v>
      </c>
      <c r="BK420" s="252">
        <f t="shared" si="182"/>
        <v>0</v>
      </c>
      <c r="BL420" s="252">
        <f t="shared" si="183"/>
        <v>0</v>
      </c>
      <c r="BM420" s="252">
        <f t="shared" si="184"/>
        <v>0</v>
      </c>
      <c r="BN420" s="252">
        <f t="shared" si="185"/>
        <v>0</v>
      </c>
      <c r="BO420" s="252">
        <f t="shared" si="186"/>
        <v>1</v>
      </c>
      <c r="BP420" s="2578"/>
      <c r="BQ420" s="2562"/>
      <c r="BR420" s="2562"/>
      <c r="BS420" s="2585"/>
      <c r="BT420" s="2585"/>
      <c r="BU420" s="2585"/>
    </row>
    <row r="421" spans="1:73" s="22" customFormat="1" ht="15.75" hidden="1" customHeight="1" outlineLevel="1">
      <c r="A421" s="2585"/>
      <c r="B421" s="44"/>
      <c r="C421" s="45"/>
      <c r="D421" s="46"/>
      <c r="E421" s="46"/>
      <c r="F421" s="45"/>
      <c r="G421" s="46"/>
      <c r="H421" s="45"/>
      <c r="I421" s="45"/>
      <c r="J421" s="47"/>
      <c r="K421" s="48"/>
      <c r="L421" s="47"/>
      <c r="M421" s="1913"/>
      <c r="N421" s="48"/>
      <c r="O421" s="49"/>
      <c r="P421" s="49"/>
      <c r="Q421" s="1884">
        <f t="shared" si="172"/>
        <v>0</v>
      </c>
      <c r="R421" s="50"/>
      <c r="S421" s="1914"/>
      <c r="T421" s="1914"/>
      <c r="U421" s="1914"/>
      <c r="V421" s="1914"/>
      <c r="W421" s="1885">
        <f t="shared" si="155"/>
        <v>0</v>
      </c>
      <c r="X421" s="1891">
        <f t="shared" si="156"/>
        <v>0</v>
      </c>
      <c r="Y421" s="1891">
        <f t="shared" si="157"/>
        <v>0</v>
      </c>
      <c r="Z421" s="50"/>
      <c r="AA421" s="50"/>
      <c r="AB421" s="48"/>
      <c r="AC421" s="48"/>
      <c r="AD421" s="48"/>
      <c r="AE421" s="45"/>
      <c r="AF421" s="51"/>
      <c r="AG421" s="42"/>
      <c r="AH421" s="52" t="s">
        <v>5096</v>
      </c>
      <c r="AI421" s="197"/>
      <c r="AJ421" s="2578"/>
      <c r="AK421" s="251"/>
      <c r="AL421" s="2578"/>
      <c r="AM421" s="2562"/>
      <c r="AN421" s="2562"/>
      <c r="AO421" s="2562"/>
      <c r="AP421" s="2562"/>
      <c r="AQ421" s="2562"/>
      <c r="AR421" s="2562"/>
      <c r="AS421" s="2562"/>
      <c r="AT421" s="252">
        <f t="shared" si="173"/>
        <v>1</v>
      </c>
      <c r="AU421" s="252">
        <f t="shared" si="174"/>
        <v>0</v>
      </c>
      <c r="AV421" s="252">
        <f t="shared" si="175"/>
        <v>0</v>
      </c>
      <c r="AW421" s="252">
        <f t="shared" si="176"/>
        <v>0</v>
      </c>
      <c r="AX421" s="252">
        <f t="shared" si="177"/>
        <v>0</v>
      </c>
      <c r="AY421" s="252">
        <f t="shared" si="178"/>
        <v>0</v>
      </c>
      <c r="AZ421" s="252">
        <f t="shared" si="179"/>
        <v>0</v>
      </c>
      <c r="BA421" s="237"/>
      <c r="BB421" s="237"/>
      <c r="BC421" s="2562"/>
      <c r="BD421" s="2562"/>
      <c r="BE421" s="2562"/>
      <c r="BF421" s="2562"/>
      <c r="BG421" s="252">
        <f t="shared" si="180"/>
        <v>0</v>
      </c>
      <c r="BH421" s="2562"/>
      <c r="BI421" s="237"/>
      <c r="BJ421" s="252">
        <f t="shared" si="181"/>
        <v>0</v>
      </c>
      <c r="BK421" s="252">
        <f t="shared" si="182"/>
        <v>0</v>
      </c>
      <c r="BL421" s="252">
        <f t="shared" si="183"/>
        <v>0</v>
      </c>
      <c r="BM421" s="252">
        <f t="shared" si="184"/>
        <v>0</v>
      </c>
      <c r="BN421" s="252">
        <f t="shared" si="185"/>
        <v>0</v>
      </c>
      <c r="BO421" s="252">
        <f t="shared" si="186"/>
        <v>1</v>
      </c>
      <c r="BP421" s="2578"/>
      <c r="BQ421" s="2562"/>
      <c r="BR421" s="2562"/>
      <c r="BS421" s="2585"/>
      <c r="BT421" s="2585"/>
      <c r="BU421" s="2585"/>
    </row>
    <row r="422" spans="1:73" s="22" customFormat="1" ht="15.75" hidden="1" customHeight="1" outlineLevel="1">
      <c r="A422" s="2585"/>
      <c r="B422" s="44"/>
      <c r="C422" s="45"/>
      <c r="D422" s="46"/>
      <c r="E422" s="46"/>
      <c r="F422" s="45"/>
      <c r="G422" s="46"/>
      <c r="H422" s="45"/>
      <c r="I422" s="45"/>
      <c r="J422" s="47"/>
      <c r="K422" s="48"/>
      <c r="L422" s="47"/>
      <c r="M422" s="1913"/>
      <c r="N422" s="48"/>
      <c r="O422" s="49"/>
      <c r="P422" s="49"/>
      <c r="Q422" s="1884">
        <f t="shared" si="172"/>
        <v>0</v>
      </c>
      <c r="R422" s="50"/>
      <c r="S422" s="1914"/>
      <c r="T422" s="1914"/>
      <c r="U422" s="1914"/>
      <c r="V422" s="1914"/>
      <c r="W422" s="1885">
        <f t="shared" si="155"/>
        <v>0</v>
      </c>
      <c r="X422" s="1891">
        <f t="shared" si="156"/>
        <v>0</v>
      </c>
      <c r="Y422" s="1891">
        <f t="shared" si="157"/>
        <v>0</v>
      </c>
      <c r="Z422" s="50"/>
      <c r="AA422" s="50"/>
      <c r="AB422" s="48"/>
      <c r="AC422" s="48"/>
      <c r="AD422" s="48"/>
      <c r="AE422" s="45"/>
      <c r="AF422" s="51"/>
      <c r="AG422" s="42"/>
      <c r="AH422" s="52" t="s">
        <v>5097</v>
      </c>
      <c r="AI422" s="197"/>
      <c r="AJ422" s="2578"/>
      <c r="AK422" s="251"/>
      <c r="AL422" s="2578"/>
      <c r="AM422" s="2562"/>
      <c r="AN422" s="2562"/>
      <c r="AO422" s="2562"/>
      <c r="AP422" s="2562"/>
      <c r="AQ422" s="2562"/>
      <c r="AR422" s="2562"/>
      <c r="AS422" s="2562"/>
      <c r="AT422" s="252">
        <f t="shared" si="173"/>
        <v>1</v>
      </c>
      <c r="AU422" s="252">
        <f t="shared" si="174"/>
        <v>0</v>
      </c>
      <c r="AV422" s="252">
        <f t="shared" si="175"/>
        <v>0</v>
      </c>
      <c r="AW422" s="252">
        <f t="shared" si="176"/>
        <v>0</v>
      </c>
      <c r="AX422" s="252">
        <f t="shared" si="177"/>
        <v>0</v>
      </c>
      <c r="AY422" s="252">
        <f t="shared" si="178"/>
        <v>0</v>
      </c>
      <c r="AZ422" s="252">
        <f t="shared" si="179"/>
        <v>0</v>
      </c>
      <c r="BA422" s="237"/>
      <c r="BB422" s="237"/>
      <c r="BC422" s="2562"/>
      <c r="BD422" s="2562"/>
      <c r="BE422" s="2562"/>
      <c r="BF422" s="2562"/>
      <c r="BG422" s="252">
        <f t="shared" si="180"/>
        <v>0</v>
      </c>
      <c r="BH422" s="2562"/>
      <c r="BI422" s="237"/>
      <c r="BJ422" s="252">
        <f t="shared" si="181"/>
        <v>0</v>
      </c>
      <c r="BK422" s="252">
        <f t="shared" si="182"/>
        <v>0</v>
      </c>
      <c r="BL422" s="252">
        <f t="shared" si="183"/>
        <v>0</v>
      </c>
      <c r="BM422" s="252">
        <f t="shared" si="184"/>
        <v>0</v>
      </c>
      <c r="BN422" s="252">
        <f t="shared" si="185"/>
        <v>0</v>
      </c>
      <c r="BO422" s="252">
        <f t="shared" si="186"/>
        <v>1</v>
      </c>
      <c r="BP422" s="2578"/>
      <c r="BQ422" s="2562"/>
      <c r="BR422" s="2562"/>
      <c r="BS422" s="2585"/>
      <c r="BT422" s="2585"/>
      <c r="BU422" s="2585"/>
    </row>
    <row r="423" spans="1:73" s="22" customFormat="1" ht="15.75" hidden="1" customHeight="1" outlineLevel="1">
      <c r="A423" s="2585"/>
      <c r="B423" s="44"/>
      <c r="C423" s="45"/>
      <c r="D423" s="46"/>
      <c r="E423" s="46"/>
      <c r="F423" s="45"/>
      <c r="G423" s="46"/>
      <c r="H423" s="45"/>
      <c r="I423" s="45"/>
      <c r="J423" s="47"/>
      <c r="K423" s="48"/>
      <c r="L423" s="47"/>
      <c r="M423" s="1913"/>
      <c r="N423" s="48"/>
      <c r="O423" s="49"/>
      <c r="P423" s="49"/>
      <c r="Q423" s="1884">
        <f t="shared" si="172"/>
        <v>0</v>
      </c>
      <c r="R423" s="50"/>
      <c r="S423" s="1914"/>
      <c r="T423" s="1914"/>
      <c r="U423" s="1914"/>
      <c r="V423" s="1914"/>
      <c r="W423" s="1885">
        <f t="shared" si="155"/>
        <v>0</v>
      </c>
      <c r="X423" s="1891">
        <f t="shared" si="156"/>
        <v>0</v>
      </c>
      <c r="Y423" s="1891">
        <f t="shared" si="157"/>
        <v>0</v>
      </c>
      <c r="Z423" s="50"/>
      <c r="AA423" s="50"/>
      <c r="AB423" s="48"/>
      <c r="AC423" s="48"/>
      <c r="AD423" s="48"/>
      <c r="AE423" s="45"/>
      <c r="AF423" s="51"/>
      <c r="AG423" s="42"/>
      <c r="AH423" s="52" t="s">
        <v>5098</v>
      </c>
      <c r="AI423" s="197"/>
      <c r="AJ423" s="2578"/>
      <c r="AK423" s="251"/>
      <c r="AL423" s="2578"/>
      <c r="AM423" s="2562"/>
      <c r="AN423" s="2562"/>
      <c r="AO423" s="2562"/>
      <c r="AP423" s="2562"/>
      <c r="AQ423" s="2562"/>
      <c r="AR423" s="2562"/>
      <c r="AS423" s="2562"/>
      <c r="AT423" s="252">
        <f t="shared" si="173"/>
        <v>1</v>
      </c>
      <c r="AU423" s="252">
        <f t="shared" si="174"/>
        <v>0</v>
      </c>
      <c r="AV423" s="252">
        <f t="shared" si="175"/>
        <v>0</v>
      </c>
      <c r="AW423" s="252">
        <f t="shared" si="176"/>
        <v>0</v>
      </c>
      <c r="AX423" s="252">
        <f t="shared" si="177"/>
        <v>0</v>
      </c>
      <c r="AY423" s="252">
        <f t="shared" si="178"/>
        <v>0</v>
      </c>
      <c r="AZ423" s="252">
        <f t="shared" si="179"/>
        <v>0</v>
      </c>
      <c r="BA423" s="237"/>
      <c r="BB423" s="237"/>
      <c r="BC423" s="2562"/>
      <c r="BD423" s="2562"/>
      <c r="BE423" s="2562"/>
      <c r="BF423" s="2562"/>
      <c r="BG423" s="252">
        <f t="shared" si="180"/>
        <v>0</v>
      </c>
      <c r="BH423" s="2562"/>
      <c r="BI423" s="237"/>
      <c r="BJ423" s="252">
        <f t="shared" si="181"/>
        <v>0</v>
      </c>
      <c r="BK423" s="252">
        <f t="shared" si="182"/>
        <v>0</v>
      </c>
      <c r="BL423" s="252">
        <f t="shared" si="183"/>
        <v>0</v>
      </c>
      <c r="BM423" s="252">
        <f t="shared" si="184"/>
        <v>0</v>
      </c>
      <c r="BN423" s="252">
        <f t="shared" si="185"/>
        <v>0</v>
      </c>
      <c r="BO423" s="252">
        <f t="shared" si="186"/>
        <v>1</v>
      </c>
      <c r="BP423" s="2578"/>
      <c r="BQ423" s="2562"/>
      <c r="BR423" s="2562"/>
      <c r="BS423" s="2585"/>
      <c r="BT423" s="2585"/>
      <c r="BU423" s="2585"/>
    </row>
    <row r="424" spans="1:73" s="22" customFormat="1" ht="15.75" hidden="1" customHeight="1" outlineLevel="1">
      <c r="A424" s="2585"/>
      <c r="B424" s="44"/>
      <c r="C424" s="45"/>
      <c r="D424" s="46"/>
      <c r="E424" s="46"/>
      <c r="F424" s="45"/>
      <c r="G424" s="46"/>
      <c r="H424" s="45"/>
      <c r="I424" s="45"/>
      <c r="J424" s="47"/>
      <c r="K424" s="48"/>
      <c r="L424" s="47"/>
      <c r="M424" s="1913"/>
      <c r="N424" s="48"/>
      <c r="O424" s="49"/>
      <c r="P424" s="49"/>
      <c r="Q424" s="1884">
        <f t="shared" si="172"/>
        <v>0</v>
      </c>
      <c r="R424" s="50"/>
      <c r="S424" s="1914"/>
      <c r="T424" s="1914"/>
      <c r="U424" s="1914"/>
      <c r="V424" s="1914"/>
      <c r="W424" s="1885">
        <f t="shared" si="155"/>
        <v>0</v>
      </c>
      <c r="X424" s="1891">
        <f t="shared" si="156"/>
        <v>0</v>
      </c>
      <c r="Y424" s="1891">
        <f t="shared" si="157"/>
        <v>0</v>
      </c>
      <c r="Z424" s="50"/>
      <c r="AA424" s="50"/>
      <c r="AB424" s="48"/>
      <c r="AC424" s="48"/>
      <c r="AD424" s="48"/>
      <c r="AE424" s="45"/>
      <c r="AF424" s="51"/>
      <c r="AG424" s="42"/>
      <c r="AH424" s="52" t="s">
        <v>5099</v>
      </c>
      <c r="AI424" s="197"/>
      <c r="AJ424" s="2578"/>
      <c r="AK424" s="251"/>
      <c r="AL424" s="2578"/>
      <c r="AM424" s="2562"/>
      <c r="AN424" s="2562"/>
      <c r="AO424" s="2562"/>
      <c r="AP424" s="2562"/>
      <c r="AQ424" s="2562"/>
      <c r="AR424" s="2562"/>
      <c r="AS424" s="2562"/>
      <c r="AT424" s="252">
        <f t="shared" si="173"/>
        <v>1</v>
      </c>
      <c r="AU424" s="252">
        <f t="shared" si="174"/>
        <v>0</v>
      </c>
      <c r="AV424" s="252">
        <f t="shared" si="175"/>
        <v>0</v>
      </c>
      <c r="AW424" s="252">
        <f t="shared" si="176"/>
        <v>0</v>
      </c>
      <c r="AX424" s="252">
        <f t="shared" si="177"/>
        <v>0</v>
      </c>
      <c r="AY424" s="252">
        <f t="shared" si="178"/>
        <v>0</v>
      </c>
      <c r="AZ424" s="252">
        <f t="shared" si="179"/>
        <v>0</v>
      </c>
      <c r="BA424" s="237"/>
      <c r="BB424" s="237"/>
      <c r="BC424" s="2562"/>
      <c r="BD424" s="2562"/>
      <c r="BE424" s="2562"/>
      <c r="BF424" s="2562"/>
      <c r="BG424" s="252">
        <f t="shared" si="180"/>
        <v>0</v>
      </c>
      <c r="BH424" s="2562"/>
      <c r="BI424" s="237"/>
      <c r="BJ424" s="252">
        <f t="shared" si="181"/>
        <v>0</v>
      </c>
      <c r="BK424" s="252">
        <f t="shared" si="182"/>
        <v>0</v>
      </c>
      <c r="BL424" s="252">
        <f t="shared" si="183"/>
        <v>0</v>
      </c>
      <c r="BM424" s="252">
        <f t="shared" si="184"/>
        <v>0</v>
      </c>
      <c r="BN424" s="252">
        <f t="shared" si="185"/>
        <v>0</v>
      </c>
      <c r="BO424" s="252">
        <f t="shared" si="186"/>
        <v>1</v>
      </c>
      <c r="BP424" s="2578"/>
      <c r="BQ424" s="2562"/>
      <c r="BR424" s="2562"/>
      <c r="BS424" s="2585"/>
      <c r="BT424" s="2585"/>
      <c r="BU424" s="2585"/>
    </row>
    <row r="425" spans="1:73" s="22" customFormat="1" ht="15.75" hidden="1" customHeight="1" outlineLevel="1">
      <c r="A425" s="2585"/>
      <c r="B425" s="44"/>
      <c r="C425" s="45"/>
      <c r="D425" s="46"/>
      <c r="E425" s="46"/>
      <c r="F425" s="45"/>
      <c r="G425" s="46"/>
      <c r="H425" s="45"/>
      <c r="I425" s="45"/>
      <c r="J425" s="47"/>
      <c r="K425" s="48"/>
      <c r="L425" s="47"/>
      <c r="M425" s="1913"/>
      <c r="N425" s="48"/>
      <c r="O425" s="49"/>
      <c r="P425" s="49"/>
      <c r="Q425" s="1884">
        <f t="shared" si="172"/>
        <v>0</v>
      </c>
      <c r="R425" s="50"/>
      <c r="S425" s="1914"/>
      <c r="T425" s="1914"/>
      <c r="U425" s="1914"/>
      <c r="V425" s="1914"/>
      <c r="W425" s="1885">
        <f t="shared" si="155"/>
        <v>0</v>
      </c>
      <c r="X425" s="1891">
        <f t="shared" si="156"/>
        <v>0</v>
      </c>
      <c r="Y425" s="1891">
        <f t="shared" si="157"/>
        <v>0</v>
      </c>
      <c r="Z425" s="50"/>
      <c r="AA425" s="50"/>
      <c r="AB425" s="48"/>
      <c r="AC425" s="48"/>
      <c r="AD425" s="48"/>
      <c r="AE425" s="45"/>
      <c r="AF425" s="51"/>
      <c r="AG425" s="42"/>
      <c r="AH425" s="52" t="s">
        <v>5100</v>
      </c>
      <c r="AI425" s="197"/>
      <c r="AJ425" s="2578"/>
      <c r="AK425" s="251"/>
      <c r="AL425" s="2578"/>
      <c r="AM425" s="2562"/>
      <c r="AN425" s="2562"/>
      <c r="AO425" s="2562"/>
      <c r="AP425" s="2562"/>
      <c r="AQ425" s="2562"/>
      <c r="AR425" s="2562"/>
      <c r="AS425" s="2562"/>
      <c r="AT425" s="252">
        <f t="shared" si="173"/>
        <v>1</v>
      </c>
      <c r="AU425" s="252">
        <f t="shared" si="174"/>
        <v>0</v>
      </c>
      <c r="AV425" s="252">
        <f t="shared" si="175"/>
        <v>0</v>
      </c>
      <c r="AW425" s="252">
        <f t="shared" si="176"/>
        <v>0</v>
      </c>
      <c r="AX425" s="252">
        <f t="shared" si="177"/>
        <v>0</v>
      </c>
      <c r="AY425" s="252">
        <f t="shared" si="178"/>
        <v>0</v>
      </c>
      <c r="AZ425" s="252">
        <f t="shared" si="179"/>
        <v>0</v>
      </c>
      <c r="BA425" s="237"/>
      <c r="BB425" s="237"/>
      <c r="BC425" s="2562"/>
      <c r="BD425" s="2562"/>
      <c r="BE425" s="2562"/>
      <c r="BF425" s="2562"/>
      <c r="BG425" s="252">
        <f t="shared" si="180"/>
        <v>0</v>
      </c>
      <c r="BH425" s="2562"/>
      <c r="BI425" s="237"/>
      <c r="BJ425" s="252">
        <f t="shared" si="181"/>
        <v>0</v>
      </c>
      <c r="BK425" s="252">
        <f t="shared" si="182"/>
        <v>0</v>
      </c>
      <c r="BL425" s="252">
        <f t="shared" si="183"/>
        <v>0</v>
      </c>
      <c r="BM425" s="252">
        <f t="shared" si="184"/>
        <v>0</v>
      </c>
      <c r="BN425" s="252">
        <f t="shared" si="185"/>
        <v>0</v>
      </c>
      <c r="BO425" s="252">
        <f t="shared" si="186"/>
        <v>1</v>
      </c>
      <c r="BP425" s="2578"/>
      <c r="BQ425" s="2562"/>
      <c r="BR425" s="2562"/>
      <c r="BS425" s="2585"/>
      <c r="BT425" s="2585"/>
      <c r="BU425" s="2585"/>
    </row>
    <row r="426" spans="1:73" s="22" customFormat="1" ht="15.75" hidden="1" customHeight="1" outlineLevel="1">
      <c r="A426" s="2585"/>
      <c r="B426" s="44"/>
      <c r="C426" s="45"/>
      <c r="D426" s="46"/>
      <c r="E426" s="46"/>
      <c r="F426" s="45"/>
      <c r="G426" s="46"/>
      <c r="H426" s="45"/>
      <c r="I426" s="45"/>
      <c r="J426" s="47"/>
      <c r="K426" s="48"/>
      <c r="L426" s="47"/>
      <c r="M426" s="1913"/>
      <c r="N426" s="48"/>
      <c r="O426" s="49"/>
      <c r="P426" s="49"/>
      <c r="Q426" s="1884">
        <f t="shared" si="172"/>
        <v>0</v>
      </c>
      <c r="R426" s="50"/>
      <c r="S426" s="1914"/>
      <c r="T426" s="1914"/>
      <c r="U426" s="1914"/>
      <c r="V426" s="1914"/>
      <c r="W426" s="1885">
        <f t="shared" si="155"/>
        <v>0</v>
      </c>
      <c r="X426" s="1891">
        <f t="shared" si="156"/>
        <v>0</v>
      </c>
      <c r="Y426" s="1891">
        <f t="shared" si="157"/>
        <v>0</v>
      </c>
      <c r="Z426" s="50"/>
      <c r="AA426" s="50"/>
      <c r="AB426" s="48"/>
      <c r="AC426" s="48"/>
      <c r="AD426" s="48"/>
      <c r="AE426" s="45"/>
      <c r="AF426" s="51"/>
      <c r="AG426" s="42"/>
      <c r="AH426" s="52" t="s">
        <v>5101</v>
      </c>
      <c r="AI426" s="197"/>
      <c r="AJ426" s="2578"/>
      <c r="AK426" s="251"/>
      <c r="AL426" s="2578"/>
      <c r="AM426" s="2562"/>
      <c r="AN426" s="2562"/>
      <c r="AO426" s="2562"/>
      <c r="AP426" s="2562"/>
      <c r="AQ426" s="2562"/>
      <c r="AR426" s="2562"/>
      <c r="AS426" s="2562"/>
      <c r="AT426" s="252">
        <f t="shared" si="173"/>
        <v>1</v>
      </c>
      <c r="AU426" s="252">
        <f t="shared" si="174"/>
        <v>0</v>
      </c>
      <c r="AV426" s="252">
        <f t="shared" si="175"/>
        <v>0</v>
      </c>
      <c r="AW426" s="252">
        <f t="shared" si="176"/>
        <v>0</v>
      </c>
      <c r="AX426" s="252">
        <f t="shared" si="177"/>
        <v>0</v>
      </c>
      <c r="AY426" s="252">
        <f t="shared" si="178"/>
        <v>0</v>
      </c>
      <c r="AZ426" s="252">
        <f t="shared" si="179"/>
        <v>0</v>
      </c>
      <c r="BA426" s="237"/>
      <c r="BB426" s="237"/>
      <c r="BC426" s="2562"/>
      <c r="BD426" s="2562"/>
      <c r="BE426" s="2562"/>
      <c r="BF426" s="2562"/>
      <c r="BG426" s="252">
        <f t="shared" si="180"/>
        <v>0</v>
      </c>
      <c r="BH426" s="2562"/>
      <c r="BI426" s="237"/>
      <c r="BJ426" s="252">
        <f t="shared" si="181"/>
        <v>0</v>
      </c>
      <c r="BK426" s="252">
        <f t="shared" si="182"/>
        <v>0</v>
      </c>
      <c r="BL426" s="252">
        <f t="shared" si="183"/>
        <v>0</v>
      </c>
      <c r="BM426" s="252">
        <f t="shared" si="184"/>
        <v>0</v>
      </c>
      <c r="BN426" s="252">
        <f t="shared" si="185"/>
        <v>0</v>
      </c>
      <c r="BO426" s="252">
        <f t="shared" si="186"/>
        <v>1</v>
      </c>
      <c r="BP426" s="2578"/>
      <c r="BQ426" s="2562"/>
      <c r="BR426" s="2562"/>
      <c r="BS426" s="2585"/>
      <c r="BT426" s="2585"/>
      <c r="BU426" s="2585"/>
    </row>
    <row r="427" spans="1:73" s="22" customFormat="1" ht="15.75" hidden="1" customHeight="1" outlineLevel="1">
      <c r="A427" s="2585"/>
      <c r="B427" s="44"/>
      <c r="C427" s="45"/>
      <c r="D427" s="46"/>
      <c r="E427" s="46"/>
      <c r="F427" s="45"/>
      <c r="G427" s="46"/>
      <c r="H427" s="45"/>
      <c r="I427" s="45"/>
      <c r="J427" s="47"/>
      <c r="K427" s="48"/>
      <c r="L427" s="47"/>
      <c r="M427" s="1913"/>
      <c r="N427" s="48"/>
      <c r="O427" s="49"/>
      <c r="P427" s="49"/>
      <c r="Q427" s="1884">
        <f t="shared" si="172"/>
        <v>0</v>
      </c>
      <c r="R427" s="50"/>
      <c r="S427" s="1914"/>
      <c r="T427" s="1914"/>
      <c r="U427" s="1914"/>
      <c r="V427" s="1914"/>
      <c r="W427" s="1885">
        <f t="shared" si="155"/>
        <v>0</v>
      </c>
      <c r="X427" s="1891">
        <f t="shared" si="156"/>
        <v>0</v>
      </c>
      <c r="Y427" s="1891">
        <f t="shared" si="157"/>
        <v>0</v>
      </c>
      <c r="Z427" s="50"/>
      <c r="AA427" s="50"/>
      <c r="AB427" s="48"/>
      <c r="AC427" s="48"/>
      <c r="AD427" s="48"/>
      <c r="AE427" s="45"/>
      <c r="AF427" s="51"/>
      <c r="AG427" s="42"/>
      <c r="AH427" s="52" t="s">
        <v>5102</v>
      </c>
      <c r="AI427" s="197"/>
      <c r="AJ427" s="2578"/>
      <c r="AK427" s="251"/>
      <c r="AL427" s="2578"/>
      <c r="AM427" s="2562"/>
      <c r="AN427" s="2562"/>
      <c r="AO427" s="2562"/>
      <c r="AP427" s="2562"/>
      <c r="AQ427" s="2562"/>
      <c r="AR427" s="2562"/>
      <c r="AS427" s="2562"/>
      <c r="AT427" s="252">
        <f t="shared" si="173"/>
        <v>1</v>
      </c>
      <c r="AU427" s="252">
        <f t="shared" si="174"/>
        <v>0</v>
      </c>
      <c r="AV427" s="252">
        <f t="shared" si="175"/>
        <v>0</v>
      </c>
      <c r="AW427" s="252">
        <f t="shared" si="176"/>
        <v>0</v>
      </c>
      <c r="AX427" s="252">
        <f t="shared" si="177"/>
        <v>0</v>
      </c>
      <c r="AY427" s="252">
        <f t="shared" si="178"/>
        <v>0</v>
      </c>
      <c r="AZ427" s="252">
        <f t="shared" si="179"/>
        <v>0</v>
      </c>
      <c r="BA427" s="237"/>
      <c r="BB427" s="237"/>
      <c r="BC427" s="2562"/>
      <c r="BD427" s="2562"/>
      <c r="BE427" s="2562"/>
      <c r="BF427" s="2562"/>
      <c r="BG427" s="252">
        <f t="shared" si="180"/>
        <v>0</v>
      </c>
      <c r="BH427" s="2562"/>
      <c r="BI427" s="237"/>
      <c r="BJ427" s="252">
        <f t="shared" si="181"/>
        <v>0</v>
      </c>
      <c r="BK427" s="252">
        <f t="shared" si="182"/>
        <v>0</v>
      </c>
      <c r="BL427" s="252">
        <f t="shared" si="183"/>
        <v>0</v>
      </c>
      <c r="BM427" s="252">
        <f t="shared" si="184"/>
        <v>0</v>
      </c>
      <c r="BN427" s="252">
        <f t="shared" si="185"/>
        <v>0</v>
      </c>
      <c r="BO427" s="252">
        <f t="shared" si="186"/>
        <v>1</v>
      </c>
      <c r="BP427" s="2578"/>
      <c r="BQ427" s="2562"/>
      <c r="BR427" s="2562"/>
      <c r="BS427" s="2585"/>
      <c r="BT427" s="2585"/>
      <c r="BU427" s="2585"/>
    </row>
    <row r="428" spans="1:73" s="22" customFormat="1" ht="15.75" hidden="1" customHeight="1" outlineLevel="1">
      <c r="A428" s="2585"/>
      <c r="B428" s="44"/>
      <c r="C428" s="45"/>
      <c r="D428" s="46"/>
      <c r="E428" s="46"/>
      <c r="F428" s="45"/>
      <c r="G428" s="46"/>
      <c r="H428" s="45"/>
      <c r="I428" s="45"/>
      <c r="J428" s="47"/>
      <c r="K428" s="48"/>
      <c r="L428" s="47"/>
      <c r="M428" s="1913"/>
      <c r="N428" s="48"/>
      <c r="O428" s="49"/>
      <c r="P428" s="49"/>
      <c r="Q428" s="1884">
        <f t="shared" si="172"/>
        <v>0</v>
      </c>
      <c r="R428" s="50"/>
      <c r="S428" s="1914"/>
      <c r="T428" s="1914"/>
      <c r="U428" s="1914"/>
      <c r="V428" s="1914"/>
      <c r="W428" s="1885">
        <f t="shared" si="155"/>
        <v>0</v>
      </c>
      <c r="X428" s="1891">
        <f t="shared" si="156"/>
        <v>0</v>
      </c>
      <c r="Y428" s="1891">
        <f t="shared" si="157"/>
        <v>0</v>
      </c>
      <c r="Z428" s="50"/>
      <c r="AA428" s="50"/>
      <c r="AB428" s="48"/>
      <c r="AC428" s="48"/>
      <c r="AD428" s="48"/>
      <c r="AE428" s="45"/>
      <c r="AF428" s="51"/>
      <c r="AG428" s="42"/>
      <c r="AH428" s="52" t="s">
        <v>5103</v>
      </c>
      <c r="AI428" s="197"/>
      <c r="AJ428" s="2578"/>
      <c r="AK428" s="251"/>
      <c r="AL428" s="2578"/>
      <c r="AM428" s="2562"/>
      <c r="AN428" s="2562"/>
      <c r="AO428" s="2562"/>
      <c r="AP428" s="2562"/>
      <c r="AQ428" s="2562"/>
      <c r="AR428" s="2562"/>
      <c r="AS428" s="2562"/>
      <c r="AT428" s="252">
        <f t="shared" si="173"/>
        <v>1</v>
      </c>
      <c r="AU428" s="252">
        <f t="shared" si="174"/>
        <v>0</v>
      </c>
      <c r="AV428" s="252">
        <f t="shared" si="175"/>
        <v>0</v>
      </c>
      <c r="AW428" s="252">
        <f t="shared" si="176"/>
        <v>0</v>
      </c>
      <c r="AX428" s="252">
        <f t="shared" si="177"/>
        <v>0</v>
      </c>
      <c r="AY428" s="252">
        <f t="shared" si="178"/>
        <v>0</v>
      </c>
      <c r="AZ428" s="252">
        <f t="shared" si="179"/>
        <v>0</v>
      </c>
      <c r="BA428" s="237"/>
      <c r="BB428" s="237"/>
      <c r="BC428" s="2562"/>
      <c r="BD428" s="2562"/>
      <c r="BE428" s="2562"/>
      <c r="BF428" s="2562"/>
      <c r="BG428" s="252">
        <f t="shared" si="180"/>
        <v>0</v>
      </c>
      <c r="BH428" s="2562"/>
      <c r="BI428" s="237"/>
      <c r="BJ428" s="252">
        <f t="shared" si="181"/>
        <v>0</v>
      </c>
      <c r="BK428" s="252">
        <f t="shared" si="182"/>
        <v>0</v>
      </c>
      <c r="BL428" s="252">
        <f t="shared" si="183"/>
        <v>0</v>
      </c>
      <c r="BM428" s="252">
        <f t="shared" si="184"/>
        <v>0</v>
      </c>
      <c r="BN428" s="252">
        <f t="shared" si="185"/>
        <v>0</v>
      </c>
      <c r="BO428" s="252">
        <f t="shared" si="186"/>
        <v>1</v>
      </c>
      <c r="BP428" s="2578"/>
      <c r="BQ428" s="2562"/>
      <c r="BR428" s="2562"/>
      <c r="BS428" s="2585"/>
      <c r="BT428" s="2585"/>
      <c r="BU428" s="2585"/>
    </row>
    <row r="429" spans="1:73" s="22" customFormat="1" ht="15.75" hidden="1" customHeight="1" outlineLevel="1">
      <c r="A429" s="2585"/>
      <c r="B429" s="44"/>
      <c r="C429" s="45"/>
      <c r="D429" s="46"/>
      <c r="E429" s="46"/>
      <c r="F429" s="45"/>
      <c r="G429" s="46"/>
      <c r="H429" s="45"/>
      <c r="I429" s="45"/>
      <c r="J429" s="47"/>
      <c r="K429" s="48"/>
      <c r="L429" s="47"/>
      <c r="M429" s="1913"/>
      <c r="N429" s="48"/>
      <c r="O429" s="49"/>
      <c r="P429" s="49"/>
      <c r="Q429" s="1884">
        <f t="shared" si="172"/>
        <v>0</v>
      </c>
      <c r="R429" s="50"/>
      <c r="S429" s="1914"/>
      <c r="T429" s="1914"/>
      <c r="U429" s="1914"/>
      <c r="V429" s="1914"/>
      <c r="W429" s="1885">
        <f t="shared" si="155"/>
        <v>0</v>
      </c>
      <c r="X429" s="1891">
        <f t="shared" si="156"/>
        <v>0</v>
      </c>
      <c r="Y429" s="1891">
        <f t="shared" si="157"/>
        <v>0</v>
      </c>
      <c r="Z429" s="50"/>
      <c r="AA429" s="50"/>
      <c r="AB429" s="48"/>
      <c r="AC429" s="48"/>
      <c r="AD429" s="48"/>
      <c r="AE429" s="45"/>
      <c r="AF429" s="51"/>
      <c r="AG429" s="42"/>
      <c r="AH429" s="52" t="s">
        <v>5104</v>
      </c>
      <c r="AI429" s="197"/>
      <c r="AJ429" s="2578"/>
      <c r="AK429" s="251"/>
      <c r="AL429" s="2578"/>
      <c r="AM429" s="2562"/>
      <c r="AN429" s="2562"/>
      <c r="AO429" s="2562"/>
      <c r="AP429" s="2562"/>
      <c r="AQ429" s="2562"/>
      <c r="AR429" s="2562"/>
      <c r="AS429" s="2562"/>
      <c r="AT429" s="252">
        <f t="shared" si="173"/>
        <v>1</v>
      </c>
      <c r="AU429" s="252">
        <f t="shared" si="174"/>
        <v>0</v>
      </c>
      <c r="AV429" s="252">
        <f t="shared" si="175"/>
        <v>0</v>
      </c>
      <c r="AW429" s="252">
        <f t="shared" si="176"/>
        <v>0</v>
      </c>
      <c r="AX429" s="252">
        <f t="shared" si="177"/>
        <v>0</v>
      </c>
      <c r="AY429" s="252">
        <f t="shared" si="178"/>
        <v>0</v>
      </c>
      <c r="AZ429" s="252">
        <f t="shared" si="179"/>
        <v>0</v>
      </c>
      <c r="BA429" s="237"/>
      <c r="BB429" s="237"/>
      <c r="BC429" s="2562"/>
      <c r="BD429" s="2562"/>
      <c r="BE429" s="2562"/>
      <c r="BF429" s="2562"/>
      <c r="BG429" s="252">
        <f t="shared" si="180"/>
        <v>0</v>
      </c>
      <c r="BH429" s="2562"/>
      <c r="BI429" s="237"/>
      <c r="BJ429" s="252">
        <f t="shared" si="181"/>
        <v>0</v>
      </c>
      <c r="BK429" s="252">
        <f t="shared" si="182"/>
        <v>0</v>
      </c>
      <c r="BL429" s="252">
        <f t="shared" si="183"/>
        <v>0</v>
      </c>
      <c r="BM429" s="252">
        <f t="shared" si="184"/>
        <v>0</v>
      </c>
      <c r="BN429" s="252">
        <f t="shared" si="185"/>
        <v>0</v>
      </c>
      <c r="BO429" s="252">
        <f t="shared" si="186"/>
        <v>1</v>
      </c>
      <c r="BP429" s="2578"/>
      <c r="BQ429" s="2562"/>
      <c r="BR429" s="2562"/>
      <c r="BS429" s="2585"/>
      <c r="BT429" s="2585"/>
      <c r="BU429" s="2585"/>
    </row>
    <row r="430" spans="1:73" s="22" customFormat="1" ht="15.75" hidden="1" customHeight="1" outlineLevel="1">
      <c r="A430" s="2585"/>
      <c r="B430" s="44"/>
      <c r="C430" s="45"/>
      <c r="D430" s="46"/>
      <c r="E430" s="46"/>
      <c r="F430" s="45"/>
      <c r="G430" s="46"/>
      <c r="H430" s="45"/>
      <c r="I430" s="45"/>
      <c r="J430" s="47"/>
      <c r="K430" s="48"/>
      <c r="L430" s="47"/>
      <c r="M430" s="1913"/>
      <c r="N430" s="48"/>
      <c r="O430" s="49"/>
      <c r="P430" s="49"/>
      <c r="Q430" s="1884">
        <f t="shared" si="172"/>
        <v>0</v>
      </c>
      <c r="R430" s="50"/>
      <c r="S430" s="1914"/>
      <c r="T430" s="1914"/>
      <c r="U430" s="1914"/>
      <c r="V430" s="1914"/>
      <c r="W430" s="1885">
        <f t="shared" si="155"/>
        <v>0</v>
      </c>
      <c r="X430" s="1891">
        <f t="shared" si="156"/>
        <v>0</v>
      </c>
      <c r="Y430" s="1891">
        <f t="shared" si="157"/>
        <v>0</v>
      </c>
      <c r="Z430" s="50"/>
      <c r="AA430" s="50"/>
      <c r="AB430" s="48"/>
      <c r="AC430" s="48"/>
      <c r="AD430" s="48"/>
      <c r="AE430" s="45"/>
      <c r="AF430" s="51"/>
      <c r="AG430" s="42"/>
      <c r="AH430" s="52" t="s">
        <v>5105</v>
      </c>
      <c r="AI430" s="197"/>
      <c r="AJ430" s="2578"/>
      <c r="AK430" s="251"/>
      <c r="AL430" s="2578"/>
      <c r="AM430" s="2562"/>
      <c r="AN430" s="2562"/>
      <c r="AO430" s="2562"/>
      <c r="AP430" s="2562"/>
      <c r="AQ430" s="2562"/>
      <c r="AR430" s="2562"/>
      <c r="AS430" s="2562"/>
      <c r="AT430" s="252">
        <f t="shared" si="173"/>
        <v>1</v>
      </c>
      <c r="AU430" s="252">
        <f t="shared" si="174"/>
        <v>0</v>
      </c>
      <c r="AV430" s="252">
        <f t="shared" si="175"/>
        <v>0</v>
      </c>
      <c r="AW430" s="252">
        <f t="shared" si="176"/>
        <v>0</v>
      </c>
      <c r="AX430" s="252">
        <f t="shared" si="177"/>
        <v>0</v>
      </c>
      <c r="AY430" s="252">
        <f t="shared" si="178"/>
        <v>0</v>
      </c>
      <c r="AZ430" s="252">
        <f t="shared" si="179"/>
        <v>0</v>
      </c>
      <c r="BA430" s="237"/>
      <c r="BB430" s="237"/>
      <c r="BC430" s="2562"/>
      <c r="BD430" s="2562"/>
      <c r="BE430" s="2562"/>
      <c r="BF430" s="2562"/>
      <c r="BG430" s="252">
        <f t="shared" si="180"/>
        <v>0</v>
      </c>
      <c r="BH430" s="2562"/>
      <c r="BI430" s="237"/>
      <c r="BJ430" s="252">
        <f t="shared" si="181"/>
        <v>0</v>
      </c>
      <c r="BK430" s="252">
        <f t="shared" si="182"/>
        <v>0</v>
      </c>
      <c r="BL430" s="252">
        <f t="shared" si="183"/>
        <v>0</v>
      </c>
      <c r="BM430" s="252">
        <f t="shared" si="184"/>
        <v>0</v>
      </c>
      <c r="BN430" s="252">
        <f t="shared" si="185"/>
        <v>0</v>
      </c>
      <c r="BO430" s="252">
        <f t="shared" si="186"/>
        <v>1</v>
      </c>
      <c r="BP430" s="2578"/>
      <c r="BQ430" s="2562"/>
      <c r="BR430" s="2562"/>
      <c r="BS430" s="2585"/>
      <c r="BT430" s="2585"/>
      <c r="BU430" s="2585"/>
    </row>
    <row r="431" spans="1:73" s="22" customFormat="1" ht="15.75" hidden="1" customHeight="1" outlineLevel="1">
      <c r="A431" s="2585"/>
      <c r="B431" s="44"/>
      <c r="C431" s="45"/>
      <c r="D431" s="46"/>
      <c r="E431" s="46"/>
      <c r="F431" s="45"/>
      <c r="G431" s="46"/>
      <c r="H431" s="45"/>
      <c r="I431" s="45"/>
      <c r="J431" s="47"/>
      <c r="K431" s="48"/>
      <c r="L431" s="47"/>
      <c r="M431" s="1913"/>
      <c r="N431" s="48"/>
      <c r="O431" s="49"/>
      <c r="P431" s="49"/>
      <c r="Q431" s="1884">
        <f t="shared" si="172"/>
        <v>0</v>
      </c>
      <c r="R431" s="50"/>
      <c r="S431" s="1914"/>
      <c r="T431" s="1914"/>
      <c r="U431" s="1914"/>
      <c r="V431" s="1914"/>
      <c r="W431" s="1885">
        <f t="shared" si="155"/>
        <v>0</v>
      </c>
      <c r="X431" s="1891">
        <f t="shared" si="156"/>
        <v>0</v>
      </c>
      <c r="Y431" s="1891">
        <f t="shared" si="157"/>
        <v>0</v>
      </c>
      <c r="Z431" s="50"/>
      <c r="AA431" s="50"/>
      <c r="AB431" s="48"/>
      <c r="AC431" s="48"/>
      <c r="AD431" s="48"/>
      <c r="AE431" s="45"/>
      <c r="AF431" s="51"/>
      <c r="AG431" s="42"/>
      <c r="AH431" s="52" t="s">
        <v>5106</v>
      </c>
      <c r="AI431" s="197"/>
      <c r="AJ431" s="2578"/>
      <c r="AK431" s="251"/>
      <c r="AL431" s="2578"/>
      <c r="AM431" s="2562"/>
      <c r="AN431" s="2562"/>
      <c r="AO431" s="2562"/>
      <c r="AP431" s="2562"/>
      <c r="AQ431" s="2562"/>
      <c r="AR431" s="2562"/>
      <c r="AS431" s="2562"/>
      <c r="AT431" s="252">
        <f t="shared" si="173"/>
        <v>1</v>
      </c>
      <c r="AU431" s="252">
        <f t="shared" si="174"/>
        <v>0</v>
      </c>
      <c r="AV431" s="252">
        <f t="shared" si="175"/>
        <v>0</v>
      </c>
      <c r="AW431" s="252">
        <f t="shared" si="176"/>
        <v>0</v>
      </c>
      <c r="AX431" s="252">
        <f t="shared" si="177"/>
        <v>0</v>
      </c>
      <c r="AY431" s="252">
        <f t="shared" si="178"/>
        <v>0</v>
      </c>
      <c r="AZ431" s="252">
        <f t="shared" si="179"/>
        <v>0</v>
      </c>
      <c r="BA431" s="237"/>
      <c r="BB431" s="237"/>
      <c r="BC431" s="2562"/>
      <c r="BD431" s="2562"/>
      <c r="BE431" s="2562"/>
      <c r="BF431" s="2562"/>
      <c r="BG431" s="252">
        <f t="shared" si="180"/>
        <v>0</v>
      </c>
      <c r="BH431" s="2562"/>
      <c r="BI431" s="237"/>
      <c r="BJ431" s="252">
        <f t="shared" si="181"/>
        <v>0</v>
      </c>
      <c r="BK431" s="252">
        <f t="shared" si="182"/>
        <v>0</v>
      </c>
      <c r="BL431" s="252">
        <f t="shared" si="183"/>
        <v>0</v>
      </c>
      <c r="BM431" s="252">
        <f t="shared" si="184"/>
        <v>0</v>
      </c>
      <c r="BN431" s="252">
        <f t="shared" si="185"/>
        <v>0</v>
      </c>
      <c r="BO431" s="252">
        <f t="shared" si="186"/>
        <v>1</v>
      </c>
      <c r="BP431" s="2578"/>
      <c r="BQ431" s="2562"/>
      <c r="BR431" s="2562"/>
      <c r="BS431" s="2585"/>
      <c r="BT431" s="2585"/>
      <c r="BU431" s="2585"/>
    </row>
    <row r="432" spans="1:73" s="22" customFormat="1" ht="15.75" hidden="1" customHeight="1" outlineLevel="1">
      <c r="A432" s="2585"/>
      <c r="B432" s="44"/>
      <c r="C432" s="45"/>
      <c r="D432" s="46"/>
      <c r="E432" s="46"/>
      <c r="F432" s="45"/>
      <c r="G432" s="46"/>
      <c r="H432" s="45"/>
      <c r="I432" s="45"/>
      <c r="J432" s="47"/>
      <c r="K432" s="48"/>
      <c r="L432" s="47"/>
      <c r="M432" s="1913"/>
      <c r="N432" s="48"/>
      <c r="O432" s="49"/>
      <c r="P432" s="49"/>
      <c r="Q432" s="1884">
        <f t="shared" si="172"/>
        <v>0</v>
      </c>
      <c r="R432" s="50"/>
      <c r="S432" s="1914"/>
      <c r="T432" s="1914"/>
      <c r="U432" s="1914"/>
      <c r="V432" s="1914"/>
      <c r="W432" s="1885">
        <f t="shared" si="155"/>
        <v>0</v>
      </c>
      <c r="X432" s="1891">
        <f t="shared" si="156"/>
        <v>0</v>
      </c>
      <c r="Y432" s="1891">
        <f t="shared" si="157"/>
        <v>0</v>
      </c>
      <c r="Z432" s="50"/>
      <c r="AA432" s="50"/>
      <c r="AB432" s="48"/>
      <c r="AC432" s="48"/>
      <c r="AD432" s="48"/>
      <c r="AE432" s="45"/>
      <c r="AF432" s="51"/>
      <c r="AG432" s="42"/>
      <c r="AH432" s="52" t="s">
        <v>5107</v>
      </c>
      <c r="AI432" s="197"/>
      <c r="AJ432" s="2578"/>
      <c r="AK432" s="251"/>
      <c r="AL432" s="2578"/>
      <c r="AM432" s="2562"/>
      <c r="AN432" s="2562"/>
      <c r="AO432" s="2562"/>
      <c r="AP432" s="2562"/>
      <c r="AQ432" s="2562"/>
      <c r="AR432" s="2562"/>
      <c r="AS432" s="2562"/>
      <c r="AT432" s="252">
        <f t="shared" si="173"/>
        <v>0</v>
      </c>
      <c r="AU432" s="252">
        <f t="shared" si="174"/>
        <v>0</v>
      </c>
      <c r="AV432" s="252">
        <f t="shared" si="175"/>
        <v>0</v>
      </c>
      <c r="AW432" s="252">
        <f t="shared" si="176"/>
        <v>0</v>
      </c>
      <c r="AX432" s="252">
        <f t="shared" si="177"/>
        <v>1</v>
      </c>
      <c r="AY432" s="252">
        <f t="shared" si="178"/>
        <v>0</v>
      </c>
      <c r="AZ432" s="252">
        <f t="shared" si="179"/>
        <v>0</v>
      </c>
      <c r="BA432" s="237"/>
      <c r="BB432" s="237"/>
      <c r="BC432" s="2562"/>
      <c r="BD432" s="2562"/>
      <c r="BE432" s="2562"/>
      <c r="BF432" s="2562"/>
      <c r="BG432" s="252">
        <f t="shared" si="180"/>
        <v>0</v>
      </c>
      <c r="BH432" s="2562"/>
      <c r="BI432" s="237"/>
      <c r="BJ432" s="252">
        <f t="shared" si="181"/>
        <v>0</v>
      </c>
      <c r="BK432" s="252">
        <f t="shared" si="182"/>
        <v>0</v>
      </c>
      <c r="BL432" s="252">
        <f t="shared" si="183"/>
        <v>0</v>
      </c>
      <c r="BM432" s="252">
        <f t="shared" si="184"/>
        <v>0</v>
      </c>
      <c r="BN432" s="252">
        <f t="shared" si="185"/>
        <v>0</v>
      </c>
      <c r="BO432" s="252">
        <f t="shared" si="186"/>
        <v>1</v>
      </c>
      <c r="BP432" s="2578"/>
      <c r="BQ432" s="2562"/>
      <c r="BR432" s="2562"/>
      <c r="BS432" s="2585"/>
      <c r="BT432" s="2585"/>
      <c r="BU432" s="2585"/>
    </row>
    <row r="433" spans="1:73" s="22" customFormat="1" ht="15.75" hidden="1" customHeight="1" outlineLevel="1">
      <c r="A433" s="2585"/>
      <c r="B433" s="44"/>
      <c r="C433" s="45"/>
      <c r="D433" s="46"/>
      <c r="E433" s="46"/>
      <c r="F433" s="45"/>
      <c r="G433" s="46"/>
      <c r="H433" s="45"/>
      <c r="I433" s="45"/>
      <c r="J433" s="47"/>
      <c r="K433" s="48"/>
      <c r="L433" s="47"/>
      <c r="M433" s="1913"/>
      <c r="N433" s="48"/>
      <c r="O433" s="49"/>
      <c r="P433" s="49"/>
      <c r="Q433" s="1884">
        <f t="shared" si="172"/>
        <v>0</v>
      </c>
      <c r="R433" s="50"/>
      <c r="S433" s="1914"/>
      <c r="T433" s="1914"/>
      <c r="U433" s="1914"/>
      <c r="V433" s="1914"/>
      <c r="W433" s="1885">
        <f t="shared" si="155"/>
        <v>0</v>
      </c>
      <c r="X433" s="1891">
        <f t="shared" si="156"/>
        <v>0</v>
      </c>
      <c r="Y433" s="1891">
        <f t="shared" si="157"/>
        <v>0</v>
      </c>
      <c r="Z433" s="50"/>
      <c r="AA433" s="50"/>
      <c r="AB433" s="48"/>
      <c r="AC433" s="48"/>
      <c r="AD433" s="48"/>
      <c r="AE433" s="45"/>
      <c r="AF433" s="51"/>
      <c r="AG433" s="42"/>
      <c r="AH433" s="52" t="s">
        <v>5108</v>
      </c>
      <c r="AI433" s="197"/>
      <c r="AJ433" s="2578"/>
      <c r="AK433" s="251"/>
      <c r="AL433" s="2578"/>
      <c r="AM433" s="2562"/>
      <c r="AN433" s="2562"/>
      <c r="AO433" s="2562"/>
      <c r="AP433" s="2562"/>
      <c r="AQ433" s="2562"/>
      <c r="AR433" s="2562"/>
      <c r="AS433" s="2562"/>
      <c r="AT433" s="252">
        <f t="shared" si="173"/>
        <v>0</v>
      </c>
      <c r="AU433" s="252">
        <f t="shared" si="174"/>
        <v>0</v>
      </c>
      <c r="AV433" s="252">
        <f t="shared" si="175"/>
        <v>0</v>
      </c>
      <c r="AW433" s="252">
        <f t="shared" si="176"/>
        <v>0</v>
      </c>
      <c r="AX433" s="252">
        <f t="shared" si="177"/>
        <v>0</v>
      </c>
      <c r="AY433" s="252">
        <f t="shared" si="178"/>
        <v>0</v>
      </c>
      <c r="AZ433" s="252">
        <f t="shared" si="179"/>
        <v>0</v>
      </c>
      <c r="BA433" s="237"/>
      <c r="BB433" s="237"/>
      <c r="BC433" s="2562"/>
      <c r="BD433" s="2562"/>
      <c r="BE433" s="2562"/>
      <c r="BF433" s="2562"/>
      <c r="BG433" s="252">
        <f t="shared" si="180"/>
        <v>0</v>
      </c>
      <c r="BH433" s="2562"/>
      <c r="BI433" s="237"/>
      <c r="BJ433" s="252">
        <f t="shared" si="181"/>
        <v>0</v>
      </c>
      <c r="BK433" s="252">
        <f t="shared" si="182"/>
        <v>0</v>
      </c>
      <c r="BL433" s="252">
        <f t="shared" si="183"/>
        <v>0</v>
      </c>
      <c r="BM433" s="252">
        <f t="shared" si="184"/>
        <v>0</v>
      </c>
      <c r="BN433" s="252">
        <f t="shared" si="185"/>
        <v>0</v>
      </c>
      <c r="BO433" s="252">
        <f t="shared" si="186"/>
        <v>1</v>
      </c>
      <c r="BP433" s="2578"/>
      <c r="BQ433" s="2562"/>
      <c r="BR433" s="2562"/>
      <c r="BS433" s="2585"/>
      <c r="BT433" s="2585"/>
      <c r="BU433" s="2585"/>
    </row>
    <row r="434" spans="1:73" s="22" customFormat="1" ht="15.75" hidden="1" customHeight="1" outlineLevel="1">
      <c r="A434" s="2585"/>
      <c r="B434" s="44"/>
      <c r="C434" s="45"/>
      <c r="D434" s="46"/>
      <c r="E434" s="46"/>
      <c r="F434" s="45"/>
      <c r="G434" s="46"/>
      <c r="H434" s="45"/>
      <c r="I434" s="45"/>
      <c r="J434" s="47"/>
      <c r="K434" s="48"/>
      <c r="L434" s="47"/>
      <c r="M434" s="1913"/>
      <c r="N434" s="48"/>
      <c r="O434" s="49"/>
      <c r="P434" s="49"/>
      <c r="Q434" s="1884">
        <f t="shared" si="172"/>
        <v>0</v>
      </c>
      <c r="R434" s="50"/>
      <c r="S434" s="1914"/>
      <c r="T434" s="1914"/>
      <c r="U434" s="1914"/>
      <c r="V434" s="1914"/>
      <c r="W434" s="1885">
        <f t="shared" si="155"/>
        <v>0</v>
      </c>
      <c r="X434" s="1891">
        <f t="shared" si="156"/>
        <v>0</v>
      </c>
      <c r="Y434" s="1891">
        <f t="shared" si="157"/>
        <v>0</v>
      </c>
      <c r="Z434" s="50"/>
      <c r="AA434" s="50"/>
      <c r="AB434" s="48"/>
      <c r="AC434" s="48"/>
      <c r="AD434" s="48"/>
      <c r="AE434" s="45"/>
      <c r="AF434" s="51"/>
      <c r="AG434" s="42"/>
      <c r="AH434" s="52" t="s">
        <v>5109</v>
      </c>
      <c r="AI434" s="197"/>
      <c r="AJ434" s="2578"/>
      <c r="AK434" s="251"/>
      <c r="AL434" s="2578"/>
      <c r="AM434" s="2562"/>
      <c r="AN434" s="2562"/>
      <c r="AO434" s="2562"/>
      <c r="AP434" s="2562"/>
      <c r="AQ434" s="2562"/>
      <c r="AR434" s="2562"/>
      <c r="AS434" s="2562"/>
      <c r="AT434" s="252">
        <f t="shared" si="173"/>
        <v>0</v>
      </c>
      <c r="AU434" s="252">
        <f t="shared" si="174"/>
        <v>0</v>
      </c>
      <c r="AV434" s="252">
        <f t="shared" si="175"/>
        <v>0</v>
      </c>
      <c r="AW434" s="252">
        <f t="shared" si="176"/>
        <v>0</v>
      </c>
      <c r="AX434" s="252">
        <f t="shared" si="177"/>
        <v>0</v>
      </c>
      <c r="AY434" s="252">
        <f t="shared" si="178"/>
        <v>0</v>
      </c>
      <c r="AZ434" s="252">
        <f t="shared" si="179"/>
        <v>0</v>
      </c>
      <c r="BA434" s="237"/>
      <c r="BB434" s="237"/>
      <c r="BC434" s="2562"/>
      <c r="BD434" s="2562"/>
      <c r="BE434" s="2562"/>
      <c r="BF434" s="2562"/>
      <c r="BG434" s="252">
        <f t="shared" si="180"/>
        <v>0</v>
      </c>
      <c r="BH434" s="2562"/>
      <c r="BI434" s="237"/>
      <c r="BJ434" s="252">
        <f t="shared" si="181"/>
        <v>0</v>
      </c>
      <c r="BK434" s="252">
        <f t="shared" si="182"/>
        <v>0</v>
      </c>
      <c r="BL434" s="252">
        <f t="shared" si="183"/>
        <v>0</v>
      </c>
      <c r="BM434" s="252">
        <f t="shared" si="184"/>
        <v>0</v>
      </c>
      <c r="BN434" s="252">
        <f t="shared" si="185"/>
        <v>0</v>
      </c>
      <c r="BO434" s="252">
        <f t="shared" si="186"/>
        <v>1</v>
      </c>
      <c r="BP434" s="2578"/>
      <c r="BQ434" s="2562"/>
      <c r="BR434" s="2562"/>
      <c r="BS434" s="2585"/>
      <c r="BT434" s="2585"/>
      <c r="BU434" s="2585"/>
    </row>
    <row r="435" spans="1:73" s="22" customFormat="1" ht="15.75" hidden="1" customHeight="1" outlineLevel="1">
      <c r="A435" s="2585"/>
      <c r="B435" s="44"/>
      <c r="C435" s="45"/>
      <c r="D435" s="46"/>
      <c r="E435" s="46"/>
      <c r="F435" s="45"/>
      <c r="G435" s="46"/>
      <c r="H435" s="45"/>
      <c r="I435" s="45"/>
      <c r="J435" s="47"/>
      <c r="K435" s="48"/>
      <c r="L435" s="47"/>
      <c r="M435" s="1913"/>
      <c r="N435" s="48"/>
      <c r="O435" s="49"/>
      <c r="P435" s="49"/>
      <c r="Q435" s="1884">
        <f t="shared" si="172"/>
        <v>0</v>
      </c>
      <c r="R435" s="50"/>
      <c r="S435" s="1914"/>
      <c r="T435" s="1914"/>
      <c r="U435" s="1914"/>
      <c r="V435" s="1914"/>
      <c r="W435" s="1885">
        <f t="shared" si="155"/>
        <v>0</v>
      </c>
      <c r="X435" s="1891">
        <f t="shared" si="156"/>
        <v>0</v>
      </c>
      <c r="Y435" s="1891">
        <f t="shared" si="157"/>
        <v>0</v>
      </c>
      <c r="Z435" s="50"/>
      <c r="AA435" s="50"/>
      <c r="AB435" s="48"/>
      <c r="AC435" s="48"/>
      <c r="AD435" s="48"/>
      <c r="AE435" s="45"/>
      <c r="AF435" s="51"/>
      <c r="AG435" s="42"/>
      <c r="AH435" s="52" t="s">
        <v>5110</v>
      </c>
      <c r="AI435" s="197"/>
      <c r="AJ435" s="2578"/>
      <c r="AK435" s="251"/>
      <c r="AL435" s="2578"/>
      <c r="AM435" s="2562"/>
      <c r="AN435" s="2562"/>
      <c r="AO435" s="2562"/>
      <c r="AP435" s="2562"/>
      <c r="AQ435" s="2562"/>
      <c r="AR435" s="2562"/>
      <c r="AS435" s="2562"/>
      <c r="AT435" s="252">
        <f t="shared" si="173"/>
        <v>0</v>
      </c>
      <c r="AU435" s="252">
        <f t="shared" si="174"/>
        <v>0</v>
      </c>
      <c r="AV435" s="252">
        <f t="shared" si="175"/>
        <v>0</v>
      </c>
      <c r="AW435" s="252">
        <f t="shared" si="176"/>
        <v>0</v>
      </c>
      <c r="AX435" s="252">
        <f t="shared" si="177"/>
        <v>0</v>
      </c>
      <c r="AY435" s="252">
        <f t="shared" si="178"/>
        <v>0</v>
      </c>
      <c r="AZ435" s="252">
        <f t="shared" si="179"/>
        <v>0</v>
      </c>
      <c r="BA435" s="237"/>
      <c r="BB435" s="237"/>
      <c r="BC435" s="2562"/>
      <c r="BD435" s="2562"/>
      <c r="BE435" s="2562"/>
      <c r="BF435" s="2562"/>
      <c r="BG435" s="252">
        <f t="shared" si="180"/>
        <v>0</v>
      </c>
      <c r="BH435" s="2562"/>
      <c r="BI435" s="237"/>
      <c r="BJ435" s="252">
        <f t="shared" si="181"/>
        <v>0</v>
      </c>
      <c r="BK435" s="252">
        <f t="shared" si="182"/>
        <v>0</v>
      </c>
      <c r="BL435" s="252">
        <f t="shared" si="183"/>
        <v>0</v>
      </c>
      <c r="BM435" s="252">
        <f t="shared" si="184"/>
        <v>0</v>
      </c>
      <c r="BN435" s="252">
        <f t="shared" si="185"/>
        <v>0</v>
      </c>
      <c r="BO435" s="252">
        <f t="shared" si="186"/>
        <v>1</v>
      </c>
      <c r="BP435" s="2578"/>
      <c r="BQ435" s="2562"/>
      <c r="BR435" s="2562"/>
      <c r="BS435" s="2585"/>
      <c r="BT435" s="2585"/>
      <c r="BU435" s="2585"/>
    </row>
    <row r="436" spans="1:73" s="22" customFormat="1" ht="15.75" hidden="1" customHeight="1" outlineLevel="1">
      <c r="A436" s="2585"/>
      <c r="B436" s="44"/>
      <c r="C436" s="45"/>
      <c r="D436" s="46"/>
      <c r="E436" s="46"/>
      <c r="F436" s="45"/>
      <c r="G436" s="46"/>
      <c r="H436" s="45"/>
      <c r="I436" s="45"/>
      <c r="J436" s="47"/>
      <c r="K436" s="48"/>
      <c r="L436" s="47"/>
      <c r="M436" s="1913"/>
      <c r="N436" s="48"/>
      <c r="O436" s="49"/>
      <c r="P436" s="49"/>
      <c r="Q436" s="1884">
        <f t="shared" si="172"/>
        <v>0</v>
      </c>
      <c r="R436" s="50"/>
      <c r="S436" s="1914"/>
      <c r="T436" s="1914"/>
      <c r="U436" s="1914"/>
      <c r="V436" s="1914"/>
      <c r="W436" s="1885">
        <f t="shared" si="155"/>
        <v>0</v>
      </c>
      <c r="X436" s="1891">
        <f t="shared" si="156"/>
        <v>0</v>
      </c>
      <c r="Y436" s="1891">
        <f t="shared" si="157"/>
        <v>0</v>
      </c>
      <c r="Z436" s="50"/>
      <c r="AA436" s="50"/>
      <c r="AB436" s="48"/>
      <c r="AC436" s="48"/>
      <c r="AD436" s="48"/>
      <c r="AE436" s="45"/>
      <c r="AF436" s="51"/>
      <c r="AG436" s="42"/>
      <c r="AH436" s="52" t="s">
        <v>5111</v>
      </c>
      <c r="AI436" s="197"/>
      <c r="AJ436" s="2578"/>
      <c r="AK436" s="251"/>
      <c r="AL436" s="2578"/>
      <c r="AM436" s="2562"/>
      <c r="AN436" s="2562"/>
      <c r="AO436" s="2562"/>
      <c r="AP436" s="2562"/>
      <c r="AQ436" s="2562"/>
      <c r="AR436" s="2562"/>
      <c r="AS436" s="2562"/>
      <c r="AT436" s="252">
        <f t="shared" si="173"/>
        <v>0</v>
      </c>
      <c r="AU436" s="252">
        <f t="shared" si="174"/>
        <v>0</v>
      </c>
      <c r="AV436" s="252">
        <f t="shared" si="175"/>
        <v>1</v>
      </c>
      <c r="AW436" s="252">
        <f t="shared" si="176"/>
        <v>0</v>
      </c>
      <c r="AX436" s="252">
        <f t="shared" si="177"/>
        <v>0</v>
      </c>
      <c r="AY436" s="252">
        <f t="shared" si="178"/>
        <v>0</v>
      </c>
      <c r="AZ436" s="252">
        <f t="shared" si="179"/>
        <v>0</v>
      </c>
      <c r="BA436" s="237"/>
      <c r="BB436" s="237"/>
      <c r="BC436" s="2562"/>
      <c r="BD436" s="2562"/>
      <c r="BE436" s="2562"/>
      <c r="BF436" s="2562"/>
      <c r="BG436" s="252">
        <f t="shared" si="180"/>
        <v>0</v>
      </c>
      <c r="BH436" s="2562"/>
      <c r="BI436" s="237"/>
      <c r="BJ436" s="252">
        <f t="shared" si="181"/>
        <v>0</v>
      </c>
      <c r="BK436" s="252">
        <f t="shared" si="182"/>
        <v>0</v>
      </c>
      <c r="BL436" s="252">
        <f t="shared" si="183"/>
        <v>0</v>
      </c>
      <c r="BM436" s="252">
        <f t="shared" si="184"/>
        <v>0</v>
      </c>
      <c r="BN436" s="252">
        <f t="shared" si="185"/>
        <v>0</v>
      </c>
      <c r="BO436" s="252">
        <f t="shared" si="186"/>
        <v>1</v>
      </c>
      <c r="BP436" s="2578"/>
      <c r="BQ436" s="2562"/>
      <c r="BR436" s="2562"/>
      <c r="BS436" s="2585"/>
      <c r="BT436" s="2585"/>
      <c r="BU436" s="2585"/>
    </row>
    <row r="437" spans="1:73" s="22" customFormat="1" ht="15.75" hidden="1" customHeight="1" outlineLevel="1">
      <c r="A437" s="2585"/>
      <c r="B437" s="44"/>
      <c r="C437" s="45"/>
      <c r="D437" s="46"/>
      <c r="E437" s="46"/>
      <c r="F437" s="45"/>
      <c r="G437" s="46"/>
      <c r="H437" s="45"/>
      <c r="I437" s="45"/>
      <c r="J437" s="47"/>
      <c r="K437" s="48"/>
      <c r="L437" s="47"/>
      <c r="M437" s="1913"/>
      <c r="N437" s="48"/>
      <c r="O437" s="49"/>
      <c r="P437" s="49"/>
      <c r="Q437" s="1884">
        <f t="shared" si="172"/>
        <v>0</v>
      </c>
      <c r="R437" s="50"/>
      <c r="S437" s="1914"/>
      <c r="T437" s="1914"/>
      <c r="U437" s="1914"/>
      <c r="V437" s="1914"/>
      <c r="W437" s="1885">
        <f t="shared" si="155"/>
        <v>0</v>
      </c>
      <c r="X437" s="1891">
        <f t="shared" si="156"/>
        <v>0</v>
      </c>
      <c r="Y437" s="1891">
        <f t="shared" si="157"/>
        <v>0</v>
      </c>
      <c r="Z437" s="50"/>
      <c r="AA437" s="50"/>
      <c r="AB437" s="48"/>
      <c r="AC437" s="48"/>
      <c r="AD437" s="48"/>
      <c r="AE437" s="45"/>
      <c r="AF437" s="51"/>
      <c r="AG437" s="42"/>
      <c r="AH437" s="52" t="s">
        <v>5112</v>
      </c>
      <c r="AI437" s="197"/>
      <c r="AJ437" s="2578"/>
      <c r="AK437" s="251"/>
      <c r="AL437" s="2578"/>
      <c r="AM437" s="2562"/>
      <c r="AN437" s="2562"/>
      <c r="AO437" s="2562"/>
      <c r="AP437" s="2562"/>
      <c r="AQ437" s="2562"/>
      <c r="AR437" s="2562"/>
      <c r="AS437" s="2562"/>
      <c r="AT437" s="252">
        <f t="shared" si="173"/>
        <v>0</v>
      </c>
      <c r="AU437" s="252">
        <f t="shared" si="174"/>
        <v>0</v>
      </c>
      <c r="AV437" s="252">
        <f t="shared" si="175"/>
        <v>0</v>
      </c>
      <c r="AW437" s="252">
        <f t="shared" si="176"/>
        <v>0</v>
      </c>
      <c r="AX437" s="252">
        <f t="shared" si="177"/>
        <v>0</v>
      </c>
      <c r="AY437" s="252">
        <f t="shared" si="178"/>
        <v>0</v>
      </c>
      <c r="AZ437" s="252">
        <f t="shared" si="179"/>
        <v>0</v>
      </c>
      <c r="BA437" s="237"/>
      <c r="BB437" s="237"/>
      <c r="BC437" s="2562"/>
      <c r="BD437" s="2562"/>
      <c r="BE437" s="2562"/>
      <c r="BF437" s="2562"/>
      <c r="BG437" s="252">
        <f t="shared" si="180"/>
        <v>0</v>
      </c>
      <c r="BH437" s="2562"/>
      <c r="BI437" s="237"/>
      <c r="BJ437" s="252">
        <f t="shared" si="181"/>
        <v>0</v>
      </c>
      <c r="BK437" s="252">
        <f t="shared" si="182"/>
        <v>0</v>
      </c>
      <c r="BL437" s="252">
        <f t="shared" si="183"/>
        <v>0</v>
      </c>
      <c r="BM437" s="252">
        <f t="shared" si="184"/>
        <v>0</v>
      </c>
      <c r="BN437" s="252">
        <f t="shared" si="185"/>
        <v>0</v>
      </c>
      <c r="BO437" s="252">
        <f t="shared" si="186"/>
        <v>1</v>
      </c>
      <c r="BP437" s="2578"/>
      <c r="BQ437" s="2562"/>
      <c r="BR437" s="2562"/>
      <c r="BS437" s="2585"/>
      <c r="BT437" s="2585"/>
      <c r="BU437" s="2585"/>
    </row>
    <row r="438" spans="1:73" s="22" customFormat="1" ht="15.75" hidden="1" customHeight="1" outlineLevel="1">
      <c r="A438" s="2585"/>
      <c r="B438" s="44"/>
      <c r="C438" s="45"/>
      <c r="D438" s="46"/>
      <c r="E438" s="46"/>
      <c r="F438" s="45"/>
      <c r="G438" s="46"/>
      <c r="H438" s="45"/>
      <c r="I438" s="45"/>
      <c r="J438" s="47"/>
      <c r="K438" s="48"/>
      <c r="L438" s="47"/>
      <c r="M438" s="1913"/>
      <c r="N438" s="48"/>
      <c r="O438" s="49"/>
      <c r="P438" s="49"/>
      <c r="Q438" s="1884">
        <f t="shared" si="172"/>
        <v>0</v>
      </c>
      <c r="R438" s="50"/>
      <c r="S438" s="1914"/>
      <c r="T438" s="1914"/>
      <c r="U438" s="1914"/>
      <c r="V438" s="1914"/>
      <c r="W438" s="1885">
        <f t="shared" si="155"/>
        <v>0</v>
      </c>
      <c r="X438" s="1891">
        <f t="shared" si="156"/>
        <v>0</v>
      </c>
      <c r="Y438" s="1891">
        <f t="shared" si="157"/>
        <v>0</v>
      </c>
      <c r="Z438" s="50"/>
      <c r="AA438" s="50"/>
      <c r="AB438" s="48"/>
      <c r="AC438" s="48"/>
      <c r="AD438" s="48"/>
      <c r="AE438" s="45"/>
      <c r="AF438" s="51"/>
      <c r="AG438" s="42"/>
      <c r="AH438" s="52" t="s">
        <v>5113</v>
      </c>
      <c r="AI438" s="197"/>
      <c r="AJ438" s="2578"/>
      <c r="AK438" s="251"/>
      <c r="AL438" s="2578"/>
      <c r="AM438" s="2562"/>
      <c r="AN438" s="2562"/>
      <c r="AO438" s="2562"/>
      <c r="AP438" s="2562"/>
      <c r="AQ438" s="2562"/>
      <c r="AR438" s="2562"/>
      <c r="AS438" s="2562"/>
      <c r="AT438" s="252">
        <f t="shared" si="173"/>
        <v>0</v>
      </c>
      <c r="AU438" s="252">
        <f t="shared" si="174"/>
        <v>0</v>
      </c>
      <c r="AV438" s="252">
        <f t="shared" si="175"/>
        <v>0</v>
      </c>
      <c r="AW438" s="252">
        <f t="shared" si="176"/>
        <v>0</v>
      </c>
      <c r="AX438" s="252">
        <f t="shared" si="177"/>
        <v>0</v>
      </c>
      <c r="AY438" s="252">
        <f t="shared" si="178"/>
        <v>0</v>
      </c>
      <c r="AZ438" s="252">
        <f t="shared" si="179"/>
        <v>0</v>
      </c>
      <c r="BA438" s="237"/>
      <c r="BB438" s="237"/>
      <c r="BC438" s="2562"/>
      <c r="BD438" s="2562"/>
      <c r="BE438" s="2562"/>
      <c r="BF438" s="2562"/>
      <c r="BG438" s="252">
        <f t="shared" si="180"/>
        <v>0</v>
      </c>
      <c r="BH438" s="2562"/>
      <c r="BI438" s="237"/>
      <c r="BJ438" s="252">
        <f t="shared" si="181"/>
        <v>0</v>
      </c>
      <c r="BK438" s="252">
        <f t="shared" si="182"/>
        <v>0</v>
      </c>
      <c r="BL438" s="252">
        <f t="shared" si="183"/>
        <v>0</v>
      </c>
      <c r="BM438" s="252">
        <f t="shared" si="184"/>
        <v>0</v>
      </c>
      <c r="BN438" s="252">
        <f t="shared" si="185"/>
        <v>0</v>
      </c>
      <c r="BO438" s="252">
        <f t="shared" si="186"/>
        <v>1</v>
      </c>
      <c r="BP438" s="2578"/>
      <c r="BQ438" s="2562"/>
      <c r="BR438" s="2562"/>
      <c r="BS438" s="2585"/>
      <c r="BT438" s="2585"/>
      <c r="BU438" s="2585"/>
    </row>
    <row r="439" spans="1:73" s="22" customFormat="1" ht="15.75" hidden="1" customHeight="1" outlineLevel="1">
      <c r="A439" s="2585"/>
      <c r="B439" s="44"/>
      <c r="C439" s="45"/>
      <c r="D439" s="46"/>
      <c r="E439" s="46"/>
      <c r="F439" s="45"/>
      <c r="G439" s="46"/>
      <c r="H439" s="45"/>
      <c r="I439" s="45"/>
      <c r="J439" s="47"/>
      <c r="K439" s="48"/>
      <c r="L439" s="47"/>
      <c r="M439" s="1913"/>
      <c r="N439" s="48"/>
      <c r="O439" s="49"/>
      <c r="P439" s="49"/>
      <c r="Q439" s="1884">
        <f t="shared" si="172"/>
        <v>0</v>
      </c>
      <c r="R439" s="50"/>
      <c r="S439" s="1914"/>
      <c r="T439" s="1914"/>
      <c r="U439" s="1914"/>
      <c r="V439" s="1914"/>
      <c r="W439" s="1885">
        <f t="shared" si="155"/>
        <v>0</v>
      </c>
      <c r="X439" s="1891">
        <f t="shared" si="156"/>
        <v>0</v>
      </c>
      <c r="Y439" s="1891">
        <f t="shared" si="157"/>
        <v>0</v>
      </c>
      <c r="Z439" s="50"/>
      <c r="AA439" s="50"/>
      <c r="AB439" s="48"/>
      <c r="AC439" s="48"/>
      <c r="AD439" s="48"/>
      <c r="AE439" s="45"/>
      <c r="AF439" s="51"/>
      <c r="AG439" s="42"/>
      <c r="AH439" s="52" t="s">
        <v>5114</v>
      </c>
      <c r="AI439" s="197"/>
      <c r="AJ439" s="2578"/>
      <c r="AK439" s="251"/>
      <c r="AL439" s="2578"/>
      <c r="AM439" s="2562"/>
      <c r="AN439" s="2562"/>
      <c r="AO439" s="2562"/>
      <c r="AP439" s="2562"/>
      <c r="AQ439" s="2562"/>
      <c r="AR439" s="2562"/>
      <c r="AS439" s="2562"/>
      <c r="AT439" s="252">
        <f t="shared" si="173"/>
        <v>0</v>
      </c>
      <c r="AU439" s="252">
        <f t="shared" si="174"/>
        <v>0</v>
      </c>
      <c r="AV439" s="252">
        <f t="shared" si="175"/>
        <v>0</v>
      </c>
      <c r="AW439" s="252">
        <f t="shared" si="176"/>
        <v>0</v>
      </c>
      <c r="AX439" s="252">
        <f t="shared" si="177"/>
        <v>0</v>
      </c>
      <c r="AY439" s="252">
        <f t="shared" si="178"/>
        <v>0</v>
      </c>
      <c r="AZ439" s="252">
        <f t="shared" si="179"/>
        <v>0</v>
      </c>
      <c r="BA439" s="237"/>
      <c r="BB439" s="237"/>
      <c r="BC439" s="2562"/>
      <c r="BD439" s="2562"/>
      <c r="BE439" s="2562"/>
      <c r="BF439" s="2562"/>
      <c r="BG439" s="252">
        <f t="shared" si="180"/>
        <v>0</v>
      </c>
      <c r="BH439" s="2562"/>
      <c r="BI439" s="237"/>
      <c r="BJ439" s="252">
        <f t="shared" si="181"/>
        <v>0</v>
      </c>
      <c r="BK439" s="252">
        <f t="shared" si="182"/>
        <v>0</v>
      </c>
      <c r="BL439" s="252">
        <f t="shared" si="183"/>
        <v>0</v>
      </c>
      <c r="BM439" s="252">
        <f t="shared" si="184"/>
        <v>0</v>
      </c>
      <c r="BN439" s="252">
        <f t="shared" si="185"/>
        <v>0</v>
      </c>
      <c r="BO439" s="252">
        <f t="shared" si="186"/>
        <v>1</v>
      </c>
      <c r="BP439" s="2578"/>
      <c r="BQ439" s="2562"/>
      <c r="BR439" s="2562"/>
      <c r="BS439" s="2585"/>
      <c r="BT439" s="2585"/>
      <c r="BU439" s="2585"/>
    </row>
    <row r="440" spans="1:73" s="22" customFormat="1" ht="15.75" hidden="1" customHeight="1" outlineLevel="1">
      <c r="A440" s="2585"/>
      <c r="B440" s="44"/>
      <c r="C440" s="45"/>
      <c r="D440" s="46"/>
      <c r="E440" s="46"/>
      <c r="F440" s="45"/>
      <c r="G440" s="46"/>
      <c r="H440" s="45"/>
      <c r="I440" s="45"/>
      <c r="J440" s="47"/>
      <c r="K440" s="48"/>
      <c r="L440" s="47"/>
      <c r="M440" s="1913"/>
      <c r="N440" s="48"/>
      <c r="O440" s="49"/>
      <c r="P440" s="49"/>
      <c r="Q440" s="1884">
        <f t="shared" si="172"/>
        <v>0</v>
      </c>
      <c r="R440" s="50"/>
      <c r="S440" s="1914"/>
      <c r="T440" s="1914"/>
      <c r="U440" s="1914"/>
      <c r="V440" s="1914"/>
      <c r="W440" s="1885">
        <f t="shared" si="155"/>
        <v>0</v>
      </c>
      <c r="X440" s="1891">
        <f t="shared" si="156"/>
        <v>0</v>
      </c>
      <c r="Y440" s="1891">
        <f t="shared" si="157"/>
        <v>0</v>
      </c>
      <c r="Z440" s="50"/>
      <c r="AA440" s="50"/>
      <c r="AB440" s="48"/>
      <c r="AC440" s="48"/>
      <c r="AD440" s="48"/>
      <c r="AE440" s="45"/>
      <c r="AF440" s="51"/>
      <c r="AG440" s="42"/>
      <c r="AH440" s="52" t="s">
        <v>5115</v>
      </c>
      <c r="AI440" s="197"/>
      <c r="AJ440" s="2578"/>
      <c r="AK440" s="251"/>
      <c r="AL440" s="2578"/>
      <c r="AM440" s="2562"/>
      <c r="AN440" s="2562"/>
      <c r="AO440" s="2562"/>
      <c r="AP440" s="2562"/>
      <c r="AQ440" s="2562"/>
      <c r="AR440" s="2562"/>
      <c r="AS440" s="2562"/>
      <c r="AT440" s="252">
        <f t="shared" si="173"/>
        <v>0</v>
      </c>
      <c r="AU440" s="252">
        <f t="shared" si="174"/>
        <v>0</v>
      </c>
      <c r="AV440" s="252">
        <f t="shared" si="175"/>
        <v>0</v>
      </c>
      <c r="AW440" s="252">
        <f t="shared" si="176"/>
        <v>0</v>
      </c>
      <c r="AX440" s="252">
        <f t="shared" si="177"/>
        <v>0</v>
      </c>
      <c r="AY440" s="252">
        <f t="shared" si="178"/>
        <v>0</v>
      </c>
      <c r="AZ440" s="252">
        <f t="shared" si="179"/>
        <v>0</v>
      </c>
      <c r="BA440" s="237"/>
      <c r="BB440" s="237"/>
      <c r="BC440" s="2562"/>
      <c r="BD440" s="2562"/>
      <c r="BE440" s="2562"/>
      <c r="BF440" s="2562"/>
      <c r="BG440" s="252">
        <f t="shared" si="180"/>
        <v>0</v>
      </c>
      <c r="BH440" s="2562"/>
      <c r="BI440" s="237"/>
      <c r="BJ440" s="252">
        <f t="shared" si="181"/>
        <v>0</v>
      </c>
      <c r="BK440" s="252">
        <f t="shared" si="182"/>
        <v>0</v>
      </c>
      <c r="BL440" s="252">
        <f t="shared" si="183"/>
        <v>0</v>
      </c>
      <c r="BM440" s="252">
        <f t="shared" si="184"/>
        <v>0</v>
      </c>
      <c r="BN440" s="252">
        <f t="shared" si="185"/>
        <v>0</v>
      </c>
      <c r="BO440" s="252">
        <f t="shared" si="186"/>
        <v>1</v>
      </c>
      <c r="BP440" s="2578"/>
      <c r="BQ440" s="2562"/>
      <c r="BR440" s="2562"/>
      <c r="BS440" s="2585"/>
      <c r="BT440" s="2585"/>
      <c r="BU440" s="2585"/>
    </row>
    <row r="441" spans="1:73" s="22" customFormat="1" ht="15.75" hidden="1" customHeight="1" outlineLevel="1">
      <c r="A441" s="2585"/>
      <c r="B441" s="44"/>
      <c r="C441" s="45"/>
      <c r="D441" s="46"/>
      <c r="E441" s="46"/>
      <c r="F441" s="45"/>
      <c r="G441" s="46"/>
      <c r="H441" s="45"/>
      <c r="I441" s="45"/>
      <c r="J441" s="47"/>
      <c r="K441" s="48"/>
      <c r="L441" s="47"/>
      <c r="M441" s="1913"/>
      <c r="N441" s="48"/>
      <c r="O441" s="49"/>
      <c r="P441" s="49"/>
      <c r="Q441" s="1884">
        <f t="shared" si="172"/>
        <v>0</v>
      </c>
      <c r="R441" s="50"/>
      <c r="S441" s="1914"/>
      <c r="T441" s="1914"/>
      <c r="U441" s="1914"/>
      <c r="V441" s="1914"/>
      <c r="W441" s="1885">
        <f t="shared" si="155"/>
        <v>0</v>
      </c>
      <c r="X441" s="1891">
        <f t="shared" si="156"/>
        <v>0</v>
      </c>
      <c r="Y441" s="1891">
        <f t="shared" si="157"/>
        <v>0</v>
      </c>
      <c r="Z441" s="50"/>
      <c r="AA441" s="50"/>
      <c r="AB441" s="48"/>
      <c r="AC441" s="48"/>
      <c r="AD441" s="48"/>
      <c r="AE441" s="45"/>
      <c r="AF441" s="51"/>
      <c r="AG441" s="42"/>
      <c r="AH441" s="52" t="s">
        <v>5116</v>
      </c>
      <c r="AI441" s="197"/>
      <c r="AJ441" s="2578"/>
      <c r="AK441" s="251"/>
      <c r="AL441" s="2578"/>
      <c r="AM441" s="2562"/>
      <c r="AN441" s="2562"/>
      <c r="AO441" s="2562"/>
      <c r="AP441" s="2562"/>
      <c r="AQ441" s="2562"/>
      <c r="AR441" s="2562"/>
      <c r="AS441" s="2562"/>
      <c r="AT441" s="252">
        <f t="shared" si="173"/>
        <v>0</v>
      </c>
      <c r="AU441" s="252">
        <f t="shared" si="174"/>
        <v>0</v>
      </c>
      <c r="AV441" s="252">
        <f t="shared" si="175"/>
        <v>0</v>
      </c>
      <c r="AW441" s="252">
        <f t="shared" si="176"/>
        <v>0</v>
      </c>
      <c r="AX441" s="252">
        <f t="shared" si="177"/>
        <v>0</v>
      </c>
      <c r="AY441" s="252">
        <f t="shared" si="178"/>
        <v>0</v>
      </c>
      <c r="AZ441" s="252">
        <f t="shared" si="179"/>
        <v>0</v>
      </c>
      <c r="BA441" s="237"/>
      <c r="BB441" s="237"/>
      <c r="BC441" s="2562"/>
      <c r="BD441" s="2562"/>
      <c r="BE441" s="2562"/>
      <c r="BF441" s="2562"/>
      <c r="BG441" s="252">
        <f t="shared" si="180"/>
        <v>0</v>
      </c>
      <c r="BH441" s="2562"/>
      <c r="BI441" s="237"/>
      <c r="BJ441" s="252">
        <f t="shared" si="181"/>
        <v>0</v>
      </c>
      <c r="BK441" s="252">
        <f t="shared" si="182"/>
        <v>0</v>
      </c>
      <c r="BL441" s="252">
        <f t="shared" si="183"/>
        <v>0</v>
      </c>
      <c r="BM441" s="252">
        <f t="shared" si="184"/>
        <v>0</v>
      </c>
      <c r="BN441" s="252">
        <f t="shared" si="185"/>
        <v>0</v>
      </c>
      <c r="BO441" s="252">
        <f t="shared" si="186"/>
        <v>1</v>
      </c>
      <c r="BP441" s="2578"/>
      <c r="BQ441" s="2562"/>
      <c r="BR441" s="2562"/>
      <c r="BS441" s="2585"/>
      <c r="BT441" s="2585"/>
      <c r="BU441" s="2585"/>
    </row>
    <row r="442" spans="1:73" s="22" customFormat="1" ht="15.75" hidden="1" customHeight="1" outlineLevel="1">
      <c r="A442" s="2585"/>
      <c r="B442" s="44"/>
      <c r="C442" s="45"/>
      <c r="D442" s="46"/>
      <c r="E442" s="46"/>
      <c r="F442" s="45"/>
      <c r="G442" s="46"/>
      <c r="H442" s="45"/>
      <c r="I442" s="45"/>
      <c r="J442" s="47"/>
      <c r="K442" s="48"/>
      <c r="L442" s="47"/>
      <c r="M442" s="1913"/>
      <c r="N442" s="48"/>
      <c r="O442" s="49"/>
      <c r="P442" s="49"/>
      <c r="Q442" s="1884">
        <f t="shared" si="172"/>
        <v>0</v>
      </c>
      <c r="R442" s="50"/>
      <c r="S442" s="1914"/>
      <c r="T442" s="1914"/>
      <c r="U442" s="1914"/>
      <c r="V442" s="1914"/>
      <c r="W442" s="1885">
        <f t="shared" si="155"/>
        <v>0</v>
      </c>
      <c r="X442" s="1891">
        <f t="shared" si="156"/>
        <v>0</v>
      </c>
      <c r="Y442" s="1891">
        <f t="shared" si="157"/>
        <v>0</v>
      </c>
      <c r="Z442" s="50"/>
      <c r="AA442" s="50"/>
      <c r="AB442" s="48"/>
      <c r="AC442" s="48"/>
      <c r="AD442" s="48"/>
      <c r="AE442" s="45"/>
      <c r="AF442" s="51"/>
      <c r="AG442" s="42"/>
      <c r="AH442" s="52" t="s">
        <v>5117</v>
      </c>
      <c r="AI442" s="197"/>
      <c r="AJ442" s="2578"/>
      <c r="AK442" s="251"/>
      <c r="AL442" s="2578"/>
      <c r="AM442" s="2562"/>
      <c r="AN442" s="2562"/>
      <c r="AO442" s="2562"/>
      <c r="AP442" s="2562"/>
      <c r="AQ442" s="2562"/>
      <c r="AR442" s="2562"/>
      <c r="AS442" s="2562"/>
      <c r="AT442" s="252">
        <f t="shared" si="173"/>
        <v>0</v>
      </c>
      <c r="AU442" s="252">
        <f t="shared" si="174"/>
        <v>0</v>
      </c>
      <c r="AV442" s="252">
        <f t="shared" si="175"/>
        <v>0</v>
      </c>
      <c r="AW442" s="252">
        <f t="shared" si="176"/>
        <v>0</v>
      </c>
      <c r="AX442" s="252">
        <f t="shared" si="177"/>
        <v>0</v>
      </c>
      <c r="AY442" s="252">
        <f t="shared" si="178"/>
        <v>0</v>
      </c>
      <c r="AZ442" s="252">
        <f t="shared" si="179"/>
        <v>0</v>
      </c>
      <c r="BA442" s="237"/>
      <c r="BB442" s="237"/>
      <c r="BC442" s="2562"/>
      <c r="BD442" s="2562"/>
      <c r="BE442" s="2562"/>
      <c r="BF442" s="2562"/>
      <c r="BG442" s="252">
        <f t="shared" si="180"/>
        <v>0</v>
      </c>
      <c r="BH442" s="2562"/>
      <c r="BI442" s="237"/>
      <c r="BJ442" s="252">
        <f t="shared" si="181"/>
        <v>0</v>
      </c>
      <c r="BK442" s="252">
        <f t="shared" si="182"/>
        <v>0</v>
      </c>
      <c r="BL442" s="252">
        <f t="shared" si="183"/>
        <v>0</v>
      </c>
      <c r="BM442" s="252">
        <f t="shared" si="184"/>
        <v>0</v>
      </c>
      <c r="BN442" s="252">
        <f t="shared" si="185"/>
        <v>0</v>
      </c>
      <c r="BO442" s="252">
        <f t="shared" si="186"/>
        <v>1</v>
      </c>
      <c r="BP442" s="2578"/>
      <c r="BQ442" s="2562"/>
      <c r="BR442" s="2562"/>
      <c r="BS442" s="2585"/>
      <c r="BT442" s="2585"/>
      <c r="BU442" s="2585"/>
    </row>
    <row r="443" spans="1:73" s="22" customFormat="1" ht="15.75" hidden="1" customHeight="1" outlineLevel="1">
      <c r="A443" s="2585"/>
      <c r="B443" s="44"/>
      <c r="C443" s="45"/>
      <c r="D443" s="46"/>
      <c r="E443" s="46"/>
      <c r="F443" s="45"/>
      <c r="G443" s="46"/>
      <c r="H443" s="45"/>
      <c r="I443" s="45"/>
      <c r="J443" s="47"/>
      <c r="K443" s="48"/>
      <c r="L443" s="47"/>
      <c r="M443" s="1913"/>
      <c r="N443" s="48"/>
      <c r="O443" s="49"/>
      <c r="P443" s="49"/>
      <c r="Q443" s="1884">
        <f t="shared" si="172"/>
        <v>0</v>
      </c>
      <c r="R443" s="50"/>
      <c r="S443" s="1914"/>
      <c r="T443" s="1914"/>
      <c r="U443" s="1914"/>
      <c r="V443" s="1914"/>
      <c r="W443" s="1885">
        <f t="shared" ref="W443:W464" si="187">IF(R443=0,0,((1+R443)*(1+C$626))-1)</f>
        <v>0</v>
      </c>
      <c r="X443" s="1891">
        <f t="shared" ref="X443:X464" si="188">W443*P443</f>
        <v>0</v>
      </c>
      <c r="Y443" s="1891">
        <f t="shared" ref="Y443:Y464" si="189" xml:space="preserve"> R443*P443</f>
        <v>0</v>
      </c>
      <c r="Z443" s="50"/>
      <c r="AA443" s="50"/>
      <c r="AB443" s="48"/>
      <c r="AC443" s="48"/>
      <c r="AD443" s="48"/>
      <c r="AE443" s="45"/>
      <c r="AF443" s="51"/>
      <c r="AG443" s="42"/>
      <c r="AH443" s="52" t="s">
        <v>5118</v>
      </c>
      <c r="AI443" s="197"/>
      <c r="AJ443" s="2578"/>
      <c r="AK443" s="251"/>
      <c r="AL443" s="2578"/>
      <c r="AM443" s="2562"/>
      <c r="AN443" s="2562"/>
      <c r="AO443" s="2562"/>
      <c r="AP443" s="2562"/>
      <c r="AQ443" s="2562"/>
      <c r="AR443" s="2562"/>
      <c r="AS443" s="2562"/>
      <c r="AT443" s="252">
        <f t="shared" si="173"/>
        <v>0</v>
      </c>
      <c r="AU443" s="252">
        <f t="shared" si="174"/>
        <v>0</v>
      </c>
      <c r="AV443" s="252">
        <f t="shared" si="175"/>
        <v>0</v>
      </c>
      <c r="AW443" s="252">
        <f t="shared" si="176"/>
        <v>0</v>
      </c>
      <c r="AX443" s="252">
        <f t="shared" si="177"/>
        <v>0</v>
      </c>
      <c r="AY443" s="252">
        <f t="shared" si="178"/>
        <v>0</v>
      </c>
      <c r="AZ443" s="252">
        <f t="shared" si="179"/>
        <v>0</v>
      </c>
      <c r="BA443" s="237"/>
      <c r="BB443" s="237"/>
      <c r="BC443" s="2562"/>
      <c r="BD443" s="2562"/>
      <c r="BE443" s="2562"/>
      <c r="BF443" s="2562"/>
      <c r="BG443" s="252">
        <f t="shared" si="180"/>
        <v>0</v>
      </c>
      <c r="BH443" s="2562"/>
      <c r="BI443" s="237"/>
      <c r="BJ443" s="252">
        <f t="shared" si="181"/>
        <v>0</v>
      </c>
      <c r="BK443" s="252">
        <f t="shared" si="182"/>
        <v>0</v>
      </c>
      <c r="BL443" s="252">
        <f t="shared" si="183"/>
        <v>0</v>
      </c>
      <c r="BM443" s="252">
        <f t="shared" si="184"/>
        <v>0</v>
      </c>
      <c r="BN443" s="252">
        <f t="shared" si="185"/>
        <v>0</v>
      </c>
      <c r="BO443" s="252">
        <f t="shared" si="186"/>
        <v>1</v>
      </c>
      <c r="BP443" s="2578"/>
      <c r="BQ443" s="2562"/>
      <c r="BR443" s="2562"/>
      <c r="BS443" s="2585"/>
      <c r="BT443" s="2585"/>
      <c r="BU443" s="2585"/>
    </row>
    <row r="444" spans="1:73" s="22" customFormat="1" ht="15.75" hidden="1" customHeight="1" outlineLevel="1">
      <c r="A444" s="2585"/>
      <c r="B444" s="44"/>
      <c r="C444" s="45"/>
      <c r="D444" s="46"/>
      <c r="E444" s="46"/>
      <c r="F444" s="45"/>
      <c r="G444" s="46"/>
      <c r="H444" s="45"/>
      <c r="I444" s="45"/>
      <c r="J444" s="47"/>
      <c r="K444" s="48"/>
      <c r="L444" s="47"/>
      <c r="M444" s="1913"/>
      <c r="N444" s="48"/>
      <c r="O444" s="49"/>
      <c r="P444" s="49"/>
      <c r="Q444" s="1884">
        <f t="shared" si="172"/>
        <v>0</v>
      </c>
      <c r="R444" s="50"/>
      <c r="S444" s="1914"/>
      <c r="T444" s="1914"/>
      <c r="U444" s="1914"/>
      <c r="V444" s="1914"/>
      <c r="W444" s="1885">
        <f t="shared" si="187"/>
        <v>0</v>
      </c>
      <c r="X444" s="1891">
        <f t="shared" si="188"/>
        <v>0</v>
      </c>
      <c r="Y444" s="1891">
        <f t="shared" si="189"/>
        <v>0</v>
      </c>
      <c r="Z444" s="50"/>
      <c r="AA444" s="50"/>
      <c r="AB444" s="48"/>
      <c r="AC444" s="48"/>
      <c r="AD444" s="48"/>
      <c r="AE444" s="45"/>
      <c r="AF444" s="51"/>
      <c r="AG444" s="42"/>
      <c r="AH444" s="52" t="s">
        <v>5119</v>
      </c>
      <c r="AI444" s="197"/>
      <c r="AJ444" s="2578"/>
      <c r="AK444" s="251"/>
      <c r="AL444" s="2578"/>
      <c r="AM444" s="2562"/>
      <c r="AN444" s="2562"/>
      <c r="AO444" s="2562"/>
      <c r="AP444" s="2562"/>
      <c r="AQ444" s="2562"/>
      <c r="AR444" s="2562"/>
      <c r="AS444" s="2562"/>
      <c r="AT444" s="252">
        <f t="shared" si="173"/>
        <v>0</v>
      </c>
      <c r="AU444" s="252">
        <f t="shared" si="174"/>
        <v>0</v>
      </c>
      <c r="AV444" s="252">
        <f t="shared" si="175"/>
        <v>0</v>
      </c>
      <c r="AW444" s="252">
        <f t="shared" si="176"/>
        <v>0</v>
      </c>
      <c r="AX444" s="252">
        <f t="shared" si="177"/>
        <v>0</v>
      </c>
      <c r="AY444" s="252">
        <f t="shared" si="178"/>
        <v>0</v>
      </c>
      <c r="AZ444" s="252">
        <f t="shared" si="179"/>
        <v>0</v>
      </c>
      <c r="BA444" s="237"/>
      <c r="BB444" s="237"/>
      <c r="BC444" s="2562"/>
      <c r="BD444" s="2562"/>
      <c r="BE444" s="2562"/>
      <c r="BF444" s="2562"/>
      <c r="BG444" s="252">
        <f t="shared" si="180"/>
        <v>0</v>
      </c>
      <c r="BH444" s="2562"/>
      <c r="BI444" s="237"/>
      <c r="BJ444" s="252">
        <f t="shared" si="181"/>
        <v>0</v>
      </c>
      <c r="BK444" s="252">
        <f t="shared" si="182"/>
        <v>0</v>
      </c>
      <c r="BL444" s="252">
        <f t="shared" si="183"/>
        <v>0</v>
      </c>
      <c r="BM444" s="252">
        <f t="shared" si="184"/>
        <v>0</v>
      </c>
      <c r="BN444" s="252">
        <f t="shared" si="185"/>
        <v>0</v>
      </c>
      <c r="BO444" s="252">
        <f t="shared" si="186"/>
        <v>1</v>
      </c>
      <c r="BP444" s="2578"/>
      <c r="BQ444" s="2562"/>
      <c r="BR444" s="2562"/>
      <c r="BS444" s="2585"/>
      <c r="BT444" s="2585"/>
      <c r="BU444" s="2585"/>
    </row>
    <row r="445" spans="1:73" s="22" customFormat="1" ht="15.75" hidden="1" customHeight="1" outlineLevel="1">
      <c r="A445" s="2585"/>
      <c r="B445" s="44"/>
      <c r="C445" s="45"/>
      <c r="D445" s="46"/>
      <c r="E445" s="46"/>
      <c r="F445" s="45"/>
      <c r="G445" s="46"/>
      <c r="H445" s="45"/>
      <c r="I445" s="45"/>
      <c r="J445" s="47"/>
      <c r="K445" s="48"/>
      <c r="L445" s="47"/>
      <c r="M445" s="1913"/>
      <c r="N445" s="48"/>
      <c r="O445" s="49"/>
      <c r="P445" s="49"/>
      <c r="Q445" s="1884">
        <f t="shared" ref="Q445:Q464" si="190">IFERROR(M445*O445,"")</f>
        <v>0</v>
      </c>
      <c r="R445" s="50"/>
      <c r="S445" s="1914"/>
      <c r="T445" s="1914"/>
      <c r="U445" s="1914"/>
      <c r="V445" s="1914"/>
      <c r="W445" s="1885">
        <f t="shared" si="187"/>
        <v>0</v>
      </c>
      <c r="X445" s="1891">
        <f t="shared" si="188"/>
        <v>0</v>
      </c>
      <c r="Y445" s="1891">
        <f t="shared" si="189"/>
        <v>0</v>
      </c>
      <c r="Z445" s="50"/>
      <c r="AA445" s="50"/>
      <c r="AB445" s="48"/>
      <c r="AC445" s="48"/>
      <c r="AD445" s="48"/>
      <c r="AE445" s="45"/>
      <c r="AF445" s="51"/>
      <c r="AG445" s="42"/>
      <c r="AH445" s="52" t="s">
        <v>5120</v>
      </c>
      <c r="AI445" s="197"/>
      <c r="AJ445" s="2578"/>
      <c r="AK445" s="251"/>
      <c r="AL445" s="2578"/>
      <c r="AM445" s="2562"/>
      <c r="AN445" s="2562"/>
      <c r="AO445" s="2562"/>
      <c r="AP445" s="2562"/>
      <c r="AQ445" s="2562"/>
      <c r="AR445" s="2562"/>
      <c r="AS445" s="2562"/>
      <c r="AT445" s="252">
        <f t="shared" si="173"/>
        <v>1</v>
      </c>
      <c r="AU445" s="252">
        <f t="shared" si="174"/>
        <v>1</v>
      </c>
      <c r="AV445" s="252">
        <f t="shared" si="175"/>
        <v>1</v>
      </c>
      <c r="AW445" s="252">
        <f t="shared" si="176"/>
        <v>1</v>
      </c>
      <c r="AX445" s="252">
        <f t="shared" si="177"/>
        <v>1</v>
      </c>
      <c r="AY445" s="252">
        <f t="shared" si="178"/>
        <v>1</v>
      </c>
      <c r="AZ445" s="252">
        <f t="shared" si="179"/>
        <v>1</v>
      </c>
      <c r="BA445" s="237"/>
      <c r="BB445" s="237"/>
      <c r="BC445" s="2562"/>
      <c r="BD445" s="2562"/>
      <c r="BE445" s="2562"/>
      <c r="BF445" s="2562"/>
      <c r="BG445" s="252">
        <f t="shared" si="180"/>
        <v>0</v>
      </c>
      <c r="BH445" s="2562"/>
      <c r="BI445" s="237"/>
      <c r="BJ445" s="252">
        <f t="shared" si="181"/>
        <v>1</v>
      </c>
      <c r="BK445" s="252">
        <f t="shared" si="182"/>
        <v>1</v>
      </c>
      <c r="BL445" s="252">
        <f t="shared" si="183"/>
        <v>1</v>
      </c>
      <c r="BM445" s="252">
        <f t="shared" si="184"/>
        <v>1</v>
      </c>
      <c r="BN445" s="252">
        <f t="shared" si="185"/>
        <v>1</v>
      </c>
      <c r="BO445" s="252">
        <f t="shared" si="186"/>
        <v>1</v>
      </c>
      <c r="BP445" s="2578"/>
      <c r="BQ445" s="2562"/>
      <c r="BR445" s="2562"/>
      <c r="BS445" s="2585"/>
      <c r="BT445" s="2585"/>
      <c r="BU445" s="2585"/>
    </row>
    <row r="446" spans="1:73" s="22" customFormat="1" ht="15.75" hidden="1" customHeight="1" outlineLevel="1">
      <c r="A446" s="2585"/>
      <c r="B446" s="44"/>
      <c r="C446" s="45"/>
      <c r="D446" s="46"/>
      <c r="E446" s="46"/>
      <c r="F446" s="45"/>
      <c r="G446" s="46"/>
      <c r="H446" s="45"/>
      <c r="I446" s="45"/>
      <c r="J446" s="47"/>
      <c r="K446" s="48"/>
      <c r="L446" s="47"/>
      <c r="M446" s="1913"/>
      <c r="N446" s="48"/>
      <c r="O446" s="49"/>
      <c r="P446" s="49"/>
      <c r="Q446" s="1884">
        <f t="shared" si="190"/>
        <v>0</v>
      </c>
      <c r="R446" s="50"/>
      <c r="S446" s="1914"/>
      <c r="T446" s="1914"/>
      <c r="U446" s="1914"/>
      <c r="V446" s="1914"/>
      <c r="W446" s="1885">
        <f t="shared" si="187"/>
        <v>0</v>
      </c>
      <c r="X446" s="1891">
        <f t="shared" si="188"/>
        <v>0</v>
      </c>
      <c r="Y446" s="1891">
        <f t="shared" si="189"/>
        <v>0</v>
      </c>
      <c r="Z446" s="50"/>
      <c r="AA446" s="50"/>
      <c r="AB446" s="48"/>
      <c r="AC446" s="48"/>
      <c r="AD446" s="48"/>
      <c r="AE446" s="45"/>
      <c r="AF446" s="51"/>
      <c r="AG446" s="42"/>
      <c r="AH446" s="52" t="s">
        <v>5121</v>
      </c>
      <c r="AI446" s="197"/>
      <c r="AJ446" s="2578"/>
      <c r="AK446" s="251"/>
      <c r="AL446" s="2578"/>
      <c r="AM446" s="2562"/>
      <c r="AN446" s="2562"/>
      <c r="AO446" s="2562"/>
      <c r="AP446" s="2562"/>
      <c r="AQ446" s="2562"/>
      <c r="AR446" s="2562"/>
      <c r="AS446" s="2562"/>
      <c r="AT446" s="252">
        <f t="shared" si="173"/>
        <v>1</v>
      </c>
      <c r="AU446" s="252">
        <f t="shared" si="174"/>
        <v>1</v>
      </c>
      <c r="AV446" s="252">
        <f t="shared" si="175"/>
        <v>1</v>
      </c>
      <c r="AW446" s="252">
        <f t="shared" si="176"/>
        <v>1</v>
      </c>
      <c r="AX446" s="252">
        <f t="shared" si="177"/>
        <v>1</v>
      </c>
      <c r="AY446" s="252">
        <f t="shared" si="178"/>
        <v>1</v>
      </c>
      <c r="AZ446" s="252">
        <f t="shared" si="179"/>
        <v>1</v>
      </c>
      <c r="BA446" s="237"/>
      <c r="BB446" s="237"/>
      <c r="BC446" s="2562"/>
      <c r="BD446" s="2562"/>
      <c r="BE446" s="2562"/>
      <c r="BF446" s="2562"/>
      <c r="BG446" s="252">
        <f t="shared" si="180"/>
        <v>0</v>
      </c>
      <c r="BH446" s="2562"/>
      <c r="BI446" s="237"/>
      <c r="BJ446" s="252">
        <f t="shared" si="181"/>
        <v>1</v>
      </c>
      <c r="BK446" s="252">
        <f t="shared" si="182"/>
        <v>1</v>
      </c>
      <c r="BL446" s="252">
        <f t="shared" si="183"/>
        <v>1</v>
      </c>
      <c r="BM446" s="252">
        <f t="shared" si="184"/>
        <v>1</v>
      </c>
      <c r="BN446" s="252">
        <f t="shared" si="185"/>
        <v>1</v>
      </c>
      <c r="BO446" s="252">
        <f t="shared" si="186"/>
        <v>1</v>
      </c>
      <c r="BP446" s="2578"/>
      <c r="BQ446" s="2562"/>
      <c r="BR446" s="2562"/>
      <c r="BS446" s="2585"/>
      <c r="BT446" s="2585"/>
      <c r="BU446" s="2585"/>
    </row>
    <row r="447" spans="1:73" s="22" customFormat="1" ht="15.75" hidden="1" customHeight="1" outlineLevel="1">
      <c r="A447" s="2585"/>
      <c r="B447" s="44"/>
      <c r="C447" s="45"/>
      <c r="D447" s="46"/>
      <c r="E447" s="46"/>
      <c r="F447" s="45"/>
      <c r="G447" s="46"/>
      <c r="H447" s="45"/>
      <c r="I447" s="45"/>
      <c r="J447" s="47"/>
      <c r="K447" s="48"/>
      <c r="L447" s="47"/>
      <c r="M447" s="1913"/>
      <c r="N447" s="48"/>
      <c r="O447" s="49"/>
      <c r="P447" s="49"/>
      <c r="Q447" s="1884">
        <f t="shared" si="190"/>
        <v>0</v>
      </c>
      <c r="R447" s="50"/>
      <c r="S447" s="1914"/>
      <c r="T447" s="1914"/>
      <c r="U447" s="1914"/>
      <c r="V447" s="1914"/>
      <c r="W447" s="1885">
        <f t="shared" si="187"/>
        <v>0</v>
      </c>
      <c r="X447" s="1891">
        <f t="shared" si="188"/>
        <v>0</v>
      </c>
      <c r="Y447" s="1891">
        <f t="shared" si="189"/>
        <v>0</v>
      </c>
      <c r="Z447" s="50"/>
      <c r="AA447" s="50"/>
      <c r="AB447" s="48"/>
      <c r="AC447" s="48"/>
      <c r="AD447" s="48"/>
      <c r="AE447" s="45"/>
      <c r="AF447" s="51"/>
      <c r="AG447" s="42"/>
      <c r="AH447" s="52" t="s">
        <v>5122</v>
      </c>
      <c r="AI447" s="197"/>
      <c r="AJ447" s="2578"/>
      <c r="AK447" s="251"/>
      <c r="AL447" s="2578"/>
      <c r="AM447" s="2562"/>
      <c r="AN447" s="2562"/>
      <c r="AO447" s="2562"/>
      <c r="AP447" s="2562"/>
      <c r="AQ447" s="2562"/>
      <c r="AR447" s="2562"/>
      <c r="AS447" s="2562"/>
      <c r="AT447" s="252">
        <f t="shared" si="173"/>
        <v>1</v>
      </c>
      <c r="AU447" s="252">
        <f t="shared" si="174"/>
        <v>1</v>
      </c>
      <c r="AV447" s="252">
        <f t="shared" si="175"/>
        <v>1</v>
      </c>
      <c r="AW447" s="252">
        <f t="shared" si="176"/>
        <v>1</v>
      </c>
      <c r="AX447" s="252">
        <f t="shared" si="177"/>
        <v>1</v>
      </c>
      <c r="AY447" s="252">
        <f t="shared" si="178"/>
        <v>1</v>
      </c>
      <c r="AZ447" s="252">
        <f t="shared" si="179"/>
        <v>1</v>
      </c>
      <c r="BA447" s="237"/>
      <c r="BB447" s="237"/>
      <c r="BC447" s="2562"/>
      <c r="BD447" s="2562"/>
      <c r="BE447" s="2562"/>
      <c r="BF447" s="2562"/>
      <c r="BG447" s="252">
        <f t="shared" si="180"/>
        <v>0</v>
      </c>
      <c r="BH447" s="2562"/>
      <c r="BI447" s="237"/>
      <c r="BJ447" s="252">
        <f t="shared" si="181"/>
        <v>1</v>
      </c>
      <c r="BK447" s="252">
        <f t="shared" si="182"/>
        <v>1</v>
      </c>
      <c r="BL447" s="252">
        <f t="shared" si="183"/>
        <v>1</v>
      </c>
      <c r="BM447" s="252">
        <f t="shared" si="184"/>
        <v>1</v>
      </c>
      <c r="BN447" s="252">
        <f t="shared" si="185"/>
        <v>1</v>
      </c>
      <c r="BO447" s="252">
        <f t="shared" si="186"/>
        <v>1</v>
      </c>
      <c r="BP447" s="2578"/>
      <c r="BQ447" s="2562"/>
      <c r="BR447" s="2562"/>
      <c r="BS447" s="2585"/>
      <c r="BT447" s="2585"/>
      <c r="BU447" s="2585"/>
    </row>
    <row r="448" spans="1:73" s="22" customFormat="1" ht="15.75" hidden="1" customHeight="1" outlineLevel="1">
      <c r="A448" s="2585"/>
      <c r="B448" s="44"/>
      <c r="C448" s="45"/>
      <c r="D448" s="46"/>
      <c r="E448" s="46"/>
      <c r="F448" s="45"/>
      <c r="G448" s="46"/>
      <c r="H448" s="45"/>
      <c r="I448" s="45"/>
      <c r="J448" s="47"/>
      <c r="K448" s="48"/>
      <c r="L448" s="47"/>
      <c r="M448" s="1913"/>
      <c r="N448" s="48"/>
      <c r="O448" s="49"/>
      <c r="P448" s="49"/>
      <c r="Q448" s="1884">
        <f t="shared" si="190"/>
        <v>0</v>
      </c>
      <c r="R448" s="50"/>
      <c r="S448" s="1914"/>
      <c r="T448" s="1914"/>
      <c r="U448" s="1914"/>
      <c r="V448" s="1914"/>
      <c r="W448" s="1885">
        <f t="shared" si="187"/>
        <v>0</v>
      </c>
      <c r="X448" s="1891">
        <f t="shared" si="188"/>
        <v>0</v>
      </c>
      <c r="Y448" s="1891">
        <f t="shared" si="189"/>
        <v>0</v>
      </c>
      <c r="Z448" s="50"/>
      <c r="AA448" s="50"/>
      <c r="AB448" s="48"/>
      <c r="AC448" s="48"/>
      <c r="AD448" s="48"/>
      <c r="AE448" s="45"/>
      <c r="AF448" s="51"/>
      <c r="AG448" s="42"/>
      <c r="AH448" s="52" t="s">
        <v>5123</v>
      </c>
      <c r="AI448" s="197"/>
      <c r="AJ448" s="2578"/>
      <c r="AK448" s="251"/>
      <c r="AL448" s="2578"/>
      <c r="AM448" s="2562"/>
      <c r="AN448" s="2562"/>
      <c r="AO448" s="2562"/>
      <c r="AP448" s="2562"/>
      <c r="AQ448" s="2562"/>
      <c r="AR448" s="2562"/>
      <c r="AS448" s="2562"/>
      <c r="AT448" s="252">
        <f t="shared" si="173"/>
        <v>1</v>
      </c>
      <c r="AU448" s="252">
        <f t="shared" si="174"/>
        <v>1</v>
      </c>
      <c r="AV448" s="252">
        <f t="shared" si="175"/>
        <v>1</v>
      </c>
      <c r="AW448" s="252">
        <f t="shared" si="176"/>
        <v>1</v>
      </c>
      <c r="AX448" s="252">
        <f t="shared" si="177"/>
        <v>1</v>
      </c>
      <c r="AY448" s="252">
        <f t="shared" si="178"/>
        <v>1</v>
      </c>
      <c r="AZ448" s="252">
        <f t="shared" si="179"/>
        <v>1</v>
      </c>
      <c r="BA448" s="237"/>
      <c r="BB448" s="237"/>
      <c r="BC448" s="2562"/>
      <c r="BD448" s="2562"/>
      <c r="BE448" s="2562"/>
      <c r="BF448" s="2562"/>
      <c r="BG448" s="252">
        <f t="shared" si="180"/>
        <v>0</v>
      </c>
      <c r="BH448" s="2562"/>
      <c r="BI448" s="237"/>
      <c r="BJ448" s="252">
        <f t="shared" si="181"/>
        <v>1</v>
      </c>
      <c r="BK448" s="252">
        <f t="shared" si="182"/>
        <v>1</v>
      </c>
      <c r="BL448" s="252">
        <f t="shared" si="183"/>
        <v>1</v>
      </c>
      <c r="BM448" s="252">
        <f t="shared" si="184"/>
        <v>1</v>
      </c>
      <c r="BN448" s="252">
        <f t="shared" si="185"/>
        <v>1</v>
      </c>
      <c r="BO448" s="252">
        <f t="shared" si="186"/>
        <v>1</v>
      </c>
      <c r="BP448" s="2578"/>
      <c r="BQ448" s="2562"/>
      <c r="BR448" s="2562"/>
      <c r="BS448" s="2585"/>
      <c r="BT448" s="2585"/>
      <c r="BU448" s="2585"/>
    </row>
    <row r="449" spans="1:73" s="22" customFormat="1" ht="15.75" hidden="1" customHeight="1" outlineLevel="1">
      <c r="A449" s="2585"/>
      <c r="B449" s="44"/>
      <c r="C449" s="45"/>
      <c r="D449" s="46"/>
      <c r="E449" s="46"/>
      <c r="F449" s="45"/>
      <c r="G449" s="46"/>
      <c r="H449" s="45"/>
      <c r="I449" s="45"/>
      <c r="J449" s="47"/>
      <c r="K449" s="48"/>
      <c r="L449" s="47"/>
      <c r="M449" s="1913"/>
      <c r="N449" s="48"/>
      <c r="O449" s="49"/>
      <c r="P449" s="49"/>
      <c r="Q449" s="1884">
        <f t="shared" si="190"/>
        <v>0</v>
      </c>
      <c r="R449" s="50"/>
      <c r="S449" s="1914"/>
      <c r="T449" s="1914"/>
      <c r="U449" s="1914"/>
      <c r="V449" s="1914"/>
      <c r="W449" s="1885">
        <f t="shared" si="187"/>
        <v>0</v>
      </c>
      <c r="X449" s="1891">
        <f t="shared" si="188"/>
        <v>0</v>
      </c>
      <c r="Y449" s="1891">
        <f t="shared" si="189"/>
        <v>0</v>
      </c>
      <c r="Z449" s="50"/>
      <c r="AA449" s="50"/>
      <c r="AB449" s="48"/>
      <c r="AC449" s="48"/>
      <c r="AD449" s="48"/>
      <c r="AE449" s="45"/>
      <c r="AF449" s="51"/>
      <c r="AG449" s="42"/>
      <c r="AH449" s="52" t="s">
        <v>5124</v>
      </c>
      <c r="AI449" s="197"/>
      <c r="AJ449" s="2578"/>
      <c r="AK449" s="251"/>
      <c r="AL449" s="2578"/>
      <c r="AM449" s="2562"/>
      <c r="AN449" s="2562"/>
      <c r="AO449" s="2562"/>
      <c r="AP449" s="2562"/>
      <c r="AQ449" s="2562"/>
      <c r="AR449" s="2562"/>
      <c r="AS449" s="2562"/>
      <c r="AT449" s="252">
        <f t="shared" si="173"/>
        <v>1</v>
      </c>
      <c r="AU449" s="252">
        <f t="shared" si="174"/>
        <v>1</v>
      </c>
      <c r="AV449" s="252">
        <f t="shared" si="175"/>
        <v>1</v>
      </c>
      <c r="AW449" s="252">
        <f t="shared" si="176"/>
        <v>1</v>
      </c>
      <c r="AX449" s="252">
        <f t="shared" si="177"/>
        <v>1</v>
      </c>
      <c r="AY449" s="252">
        <f t="shared" si="178"/>
        <v>1</v>
      </c>
      <c r="AZ449" s="252">
        <f t="shared" si="179"/>
        <v>1</v>
      </c>
      <c r="BA449" s="237"/>
      <c r="BB449" s="237"/>
      <c r="BC449" s="2562"/>
      <c r="BD449" s="2562"/>
      <c r="BE449" s="2562"/>
      <c r="BF449" s="2562"/>
      <c r="BG449" s="252">
        <f t="shared" si="180"/>
        <v>0</v>
      </c>
      <c r="BH449" s="2562"/>
      <c r="BI449" s="237"/>
      <c r="BJ449" s="252">
        <f t="shared" si="181"/>
        <v>1</v>
      </c>
      <c r="BK449" s="252">
        <f t="shared" si="182"/>
        <v>1</v>
      </c>
      <c r="BL449" s="252">
        <f t="shared" si="183"/>
        <v>1</v>
      </c>
      <c r="BM449" s="252">
        <f t="shared" si="184"/>
        <v>1</v>
      </c>
      <c r="BN449" s="252">
        <f t="shared" si="185"/>
        <v>1</v>
      </c>
      <c r="BO449" s="252">
        <f t="shared" si="186"/>
        <v>1</v>
      </c>
      <c r="BP449" s="2578"/>
      <c r="BQ449" s="2562"/>
      <c r="BR449" s="2562"/>
      <c r="BS449" s="2585"/>
      <c r="BT449" s="2585"/>
      <c r="BU449" s="2585"/>
    </row>
    <row r="450" spans="1:73" s="22" customFormat="1" ht="15.75" hidden="1" customHeight="1" outlineLevel="1">
      <c r="A450" s="2585"/>
      <c r="B450" s="44"/>
      <c r="C450" s="45"/>
      <c r="D450" s="46"/>
      <c r="E450" s="46"/>
      <c r="F450" s="45"/>
      <c r="G450" s="46"/>
      <c r="H450" s="45"/>
      <c r="I450" s="45"/>
      <c r="J450" s="47"/>
      <c r="K450" s="48"/>
      <c r="L450" s="47"/>
      <c r="M450" s="1913"/>
      <c r="N450" s="48"/>
      <c r="O450" s="49"/>
      <c r="P450" s="49"/>
      <c r="Q450" s="1884">
        <f t="shared" si="190"/>
        <v>0</v>
      </c>
      <c r="R450" s="50"/>
      <c r="S450" s="1914"/>
      <c r="T450" s="1914"/>
      <c r="U450" s="1914"/>
      <c r="V450" s="1914"/>
      <c r="W450" s="1885">
        <f t="shared" si="187"/>
        <v>0</v>
      </c>
      <c r="X450" s="1891">
        <f t="shared" si="188"/>
        <v>0</v>
      </c>
      <c r="Y450" s="1891">
        <f t="shared" si="189"/>
        <v>0</v>
      </c>
      <c r="Z450" s="50"/>
      <c r="AA450" s="50"/>
      <c r="AB450" s="48"/>
      <c r="AC450" s="48"/>
      <c r="AD450" s="48"/>
      <c r="AE450" s="45"/>
      <c r="AF450" s="51"/>
      <c r="AG450" s="42"/>
      <c r="AH450" s="52" t="s">
        <v>5125</v>
      </c>
      <c r="AI450" s="197"/>
      <c r="AJ450" s="2578"/>
      <c r="AK450" s="251"/>
      <c r="AL450" s="2578"/>
      <c r="AM450" s="2562"/>
      <c r="AN450" s="2562"/>
      <c r="AO450" s="2562"/>
      <c r="AP450" s="2562"/>
      <c r="AQ450" s="2562"/>
      <c r="AR450" s="2562"/>
      <c r="AS450" s="2562"/>
      <c r="AT450" s="252">
        <f t="shared" si="173"/>
        <v>1</v>
      </c>
      <c r="AU450" s="252">
        <f t="shared" si="174"/>
        <v>1</v>
      </c>
      <c r="AV450" s="252">
        <f t="shared" si="175"/>
        <v>1</v>
      </c>
      <c r="AW450" s="252">
        <f t="shared" si="176"/>
        <v>1</v>
      </c>
      <c r="AX450" s="252">
        <f t="shared" si="177"/>
        <v>1</v>
      </c>
      <c r="AY450" s="252">
        <f t="shared" si="178"/>
        <v>1</v>
      </c>
      <c r="AZ450" s="252">
        <f t="shared" si="179"/>
        <v>1</v>
      </c>
      <c r="BA450" s="237"/>
      <c r="BB450" s="237"/>
      <c r="BC450" s="2562"/>
      <c r="BD450" s="2562"/>
      <c r="BE450" s="2562"/>
      <c r="BF450" s="2562"/>
      <c r="BG450" s="252">
        <f t="shared" si="180"/>
        <v>0</v>
      </c>
      <c r="BH450" s="2562"/>
      <c r="BI450" s="237"/>
      <c r="BJ450" s="252">
        <f t="shared" si="181"/>
        <v>1</v>
      </c>
      <c r="BK450" s="252">
        <f t="shared" si="182"/>
        <v>1</v>
      </c>
      <c r="BL450" s="252">
        <f t="shared" si="183"/>
        <v>1</v>
      </c>
      <c r="BM450" s="252">
        <f t="shared" si="184"/>
        <v>1</v>
      </c>
      <c r="BN450" s="252">
        <f t="shared" si="185"/>
        <v>1</v>
      </c>
      <c r="BO450" s="252">
        <f t="shared" si="186"/>
        <v>1</v>
      </c>
      <c r="BP450" s="2578"/>
      <c r="BQ450" s="2562"/>
      <c r="BR450" s="2562"/>
      <c r="BS450" s="2585"/>
      <c r="BT450" s="2585"/>
      <c r="BU450" s="2585"/>
    </row>
    <row r="451" spans="1:73" s="22" customFormat="1" ht="15.75" hidden="1" customHeight="1" outlineLevel="1">
      <c r="A451" s="2585"/>
      <c r="B451" s="44"/>
      <c r="C451" s="45"/>
      <c r="D451" s="46"/>
      <c r="E451" s="46"/>
      <c r="F451" s="45"/>
      <c r="G451" s="46"/>
      <c r="H451" s="45"/>
      <c r="I451" s="45"/>
      <c r="J451" s="47"/>
      <c r="K451" s="48"/>
      <c r="L451" s="47"/>
      <c r="M451" s="1913"/>
      <c r="N451" s="48"/>
      <c r="O451" s="49"/>
      <c r="P451" s="49"/>
      <c r="Q451" s="1884">
        <f t="shared" si="190"/>
        <v>0</v>
      </c>
      <c r="R451" s="50"/>
      <c r="S451" s="1914"/>
      <c r="T451" s="1914"/>
      <c r="U451" s="1914"/>
      <c r="V451" s="1914"/>
      <c r="W451" s="1885">
        <f t="shared" si="187"/>
        <v>0</v>
      </c>
      <c r="X451" s="1891">
        <f t="shared" si="188"/>
        <v>0</v>
      </c>
      <c r="Y451" s="1891">
        <f t="shared" si="189"/>
        <v>0</v>
      </c>
      <c r="Z451" s="50"/>
      <c r="AA451" s="50"/>
      <c r="AB451" s="48"/>
      <c r="AC451" s="48"/>
      <c r="AD451" s="48"/>
      <c r="AE451" s="45"/>
      <c r="AF451" s="51"/>
      <c r="AG451" s="42"/>
      <c r="AH451" s="52" t="s">
        <v>5126</v>
      </c>
      <c r="AI451" s="197"/>
      <c r="AJ451" s="2578"/>
      <c r="AK451" s="251"/>
      <c r="AL451" s="2578"/>
      <c r="AM451" s="2562"/>
      <c r="AN451" s="2562"/>
      <c r="AO451" s="2562"/>
      <c r="AP451" s="2562"/>
      <c r="AQ451" s="2562"/>
      <c r="AR451" s="2562"/>
      <c r="AS451" s="2562"/>
      <c r="AT451" s="252">
        <f t="shared" si="173"/>
        <v>1</v>
      </c>
      <c r="AU451" s="252">
        <f t="shared" si="174"/>
        <v>1</v>
      </c>
      <c r="AV451" s="252">
        <f t="shared" si="175"/>
        <v>1</v>
      </c>
      <c r="AW451" s="252">
        <f t="shared" si="176"/>
        <v>1</v>
      </c>
      <c r="AX451" s="252">
        <f t="shared" si="177"/>
        <v>1</v>
      </c>
      <c r="AY451" s="252">
        <f t="shared" si="178"/>
        <v>1</v>
      </c>
      <c r="AZ451" s="252">
        <f t="shared" si="179"/>
        <v>1</v>
      </c>
      <c r="BA451" s="237"/>
      <c r="BB451" s="237"/>
      <c r="BC451" s="2562"/>
      <c r="BD451" s="2562"/>
      <c r="BE451" s="2562"/>
      <c r="BF451" s="2562"/>
      <c r="BG451" s="252">
        <f t="shared" si="180"/>
        <v>0</v>
      </c>
      <c r="BH451" s="2562"/>
      <c r="BI451" s="237"/>
      <c r="BJ451" s="252">
        <f t="shared" si="181"/>
        <v>1</v>
      </c>
      <c r="BK451" s="252">
        <f t="shared" si="182"/>
        <v>1</v>
      </c>
      <c r="BL451" s="252">
        <f t="shared" si="183"/>
        <v>1</v>
      </c>
      <c r="BM451" s="252">
        <f t="shared" si="184"/>
        <v>1</v>
      </c>
      <c r="BN451" s="252">
        <f t="shared" si="185"/>
        <v>1</v>
      </c>
      <c r="BO451" s="252">
        <f t="shared" si="186"/>
        <v>1</v>
      </c>
      <c r="BP451" s="2578"/>
      <c r="BQ451" s="2562"/>
      <c r="BR451" s="2562"/>
      <c r="BS451" s="2585"/>
      <c r="BT451" s="2585"/>
      <c r="BU451" s="2585"/>
    </row>
    <row r="452" spans="1:73" s="22" customFormat="1" ht="15.75" hidden="1" customHeight="1" outlineLevel="1">
      <c r="A452" s="2585"/>
      <c r="B452" s="44"/>
      <c r="C452" s="45"/>
      <c r="D452" s="46"/>
      <c r="E452" s="46"/>
      <c r="F452" s="45"/>
      <c r="G452" s="46"/>
      <c r="H452" s="45"/>
      <c r="I452" s="45"/>
      <c r="J452" s="47"/>
      <c r="K452" s="48"/>
      <c r="L452" s="47"/>
      <c r="M452" s="1913"/>
      <c r="N452" s="48"/>
      <c r="O452" s="49"/>
      <c r="P452" s="49"/>
      <c r="Q452" s="1884">
        <f t="shared" si="190"/>
        <v>0</v>
      </c>
      <c r="R452" s="50"/>
      <c r="S452" s="1914"/>
      <c r="T452" s="1914"/>
      <c r="U452" s="1914"/>
      <c r="V452" s="1914"/>
      <c r="W452" s="1885">
        <f t="shared" si="187"/>
        <v>0</v>
      </c>
      <c r="X452" s="1891">
        <f t="shared" si="188"/>
        <v>0</v>
      </c>
      <c r="Y452" s="1891">
        <f t="shared" si="189"/>
        <v>0</v>
      </c>
      <c r="Z452" s="50"/>
      <c r="AA452" s="50"/>
      <c r="AB452" s="48"/>
      <c r="AC452" s="48"/>
      <c r="AD452" s="48"/>
      <c r="AE452" s="45"/>
      <c r="AF452" s="51"/>
      <c r="AG452" s="42"/>
      <c r="AH452" s="52" t="s">
        <v>5127</v>
      </c>
      <c r="AI452" s="197"/>
      <c r="AJ452" s="2578"/>
      <c r="AK452" s="251"/>
      <c r="AL452" s="2578"/>
      <c r="AM452" s="2562"/>
      <c r="AN452" s="2562"/>
      <c r="AO452" s="2562"/>
      <c r="AP452" s="2562"/>
      <c r="AQ452" s="2562"/>
      <c r="AR452" s="2562"/>
      <c r="AS452" s="2562"/>
      <c r="AT452" s="252">
        <f t="shared" si="173"/>
        <v>1</v>
      </c>
      <c r="AU452" s="252">
        <f t="shared" si="174"/>
        <v>1</v>
      </c>
      <c r="AV452" s="252">
        <f t="shared" si="175"/>
        <v>1</v>
      </c>
      <c r="AW452" s="252">
        <f t="shared" si="176"/>
        <v>1</v>
      </c>
      <c r="AX452" s="252">
        <f t="shared" si="177"/>
        <v>1</v>
      </c>
      <c r="AY452" s="252">
        <f t="shared" si="178"/>
        <v>1</v>
      </c>
      <c r="AZ452" s="252">
        <f t="shared" si="179"/>
        <v>1</v>
      </c>
      <c r="BA452" s="237"/>
      <c r="BB452" s="237"/>
      <c r="BC452" s="2562"/>
      <c r="BD452" s="2562"/>
      <c r="BE452" s="2562"/>
      <c r="BF452" s="2562"/>
      <c r="BG452" s="252">
        <f t="shared" si="180"/>
        <v>0</v>
      </c>
      <c r="BH452" s="2562"/>
      <c r="BI452" s="237"/>
      <c r="BJ452" s="252">
        <f t="shared" si="181"/>
        <v>1</v>
      </c>
      <c r="BK452" s="252">
        <f t="shared" si="182"/>
        <v>1</v>
      </c>
      <c r="BL452" s="252">
        <f t="shared" si="183"/>
        <v>1</v>
      </c>
      <c r="BM452" s="252">
        <f t="shared" si="184"/>
        <v>1</v>
      </c>
      <c r="BN452" s="252">
        <f t="shared" si="185"/>
        <v>1</v>
      </c>
      <c r="BO452" s="252">
        <f t="shared" si="186"/>
        <v>1</v>
      </c>
      <c r="BP452" s="2578"/>
      <c r="BQ452" s="2562"/>
      <c r="BR452" s="2562"/>
      <c r="BS452" s="2585"/>
      <c r="BT452" s="2585"/>
      <c r="BU452" s="2585"/>
    </row>
    <row r="453" spans="1:73" s="22" customFormat="1" ht="15.75" hidden="1" customHeight="1" outlineLevel="1">
      <c r="A453" s="2585"/>
      <c r="B453" s="44"/>
      <c r="C453" s="45"/>
      <c r="D453" s="46"/>
      <c r="E453" s="46"/>
      <c r="F453" s="45"/>
      <c r="G453" s="46"/>
      <c r="H453" s="45"/>
      <c r="I453" s="45"/>
      <c r="J453" s="47"/>
      <c r="K453" s="48"/>
      <c r="L453" s="47"/>
      <c r="M453" s="1913"/>
      <c r="N453" s="48"/>
      <c r="O453" s="49"/>
      <c r="P453" s="49"/>
      <c r="Q453" s="1884">
        <f t="shared" si="190"/>
        <v>0</v>
      </c>
      <c r="R453" s="50"/>
      <c r="S453" s="1914"/>
      <c r="T453" s="1914"/>
      <c r="U453" s="1914"/>
      <c r="V453" s="1914"/>
      <c r="W453" s="1885">
        <f t="shared" si="187"/>
        <v>0</v>
      </c>
      <c r="X453" s="1891">
        <f t="shared" si="188"/>
        <v>0</v>
      </c>
      <c r="Y453" s="1891">
        <f t="shared" si="189"/>
        <v>0</v>
      </c>
      <c r="Z453" s="50"/>
      <c r="AA453" s="50"/>
      <c r="AB453" s="48"/>
      <c r="AC453" s="48"/>
      <c r="AD453" s="48"/>
      <c r="AE453" s="45"/>
      <c r="AF453" s="51"/>
      <c r="AG453" s="42"/>
      <c r="AH453" s="52" t="s">
        <v>5128</v>
      </c>
      <c r="AI453" s="197"/>
      <c r="AJ453" s="2578"/>
      <c r="AK453" s="251"/>
      <c r="AL453" s="2578"/>
      <c r="AM453" s="2562"/>
      <c r="AN453" s="2562"/>
      <c r="AO453" s="2562"/>
      <c r="AP453" s="2562"/>
      <c r="AQ453" s="2562"/>
      <c r="AR453" s="2562"/>
      <c r="AS453" s="2562"/>
      <c r="AT453" s="252">
        <f t="shared" si="173"/>
        <v>1</v>
      </c>
      <c r="AU453" s="252">
        <f t="shared" si="174"/>
        <v>1</v>
      </c>
      <c r="AV453" s="252">
        <f t="shared" si="175"/>
        <v>1</v>
      </c>
      <c r="AW453" s="252">
        <f t="shared" si="176"/>
        <v>1</v>
      </c>
      <c r="AX453" s="252">
        <f t="shared" si="177"/>
        <v>1</v>
      </c>
      <c r="AY453" s="252">
        <f t="shared" si="178"/>
        <v>1</v>
      </c>
      <c r="AZ453" s="252">
        <f t="shared" si="179"/>
        <v>1</v>
      </c>
      <c r="BA453" s="237"/>
      <c r="BB453" s="237"/>
      <c r="BC453" s="2562"/>
      <c r="BD453" s="2562"/>
      <c r="BE453" s="2562"/>
      <c r="BF453" s="2562"/>
      <c r="BG453" s="252">
        <f t="shared" si="180"/>
        <v>0</v>
      </c>
      <c r="BH453" s="2562"/>
      <c r="BI453" s="237"/>
      <c r="BJ453" s="252">
        <f t="shared" si="181"/>
        <v>1</v>
      </c>
      <c r="BK453" s="252">
        <f t="shared" si="182"/>
        <v>1</v>
      </c>
      <c r="BL453" s="252">
        <f t="shared" si="183"/>
        <v>1</v>
      </c>
      <c r="BM453" s="252">
        <f t="shared" si="184"/>
        <v>1</v>
      </c>
      <c r="BN453" s="252">
        <f t="shared" si="185"/>
        <v>1</v>
      </c>
      <c r="BO453" s="252">
        <f t="shared" si="186"/>
        <v>1</v>
      </c>
      <c r="BP453" s="2578"/>
      <c r="BQ453" s="2562"/>
      <c r="BR453" s="2562"/>
      <c r="BS453" s="2585"/>
      <c r="BT453" s="2585"/>
      <c r="BU453" s="2585"/>
    </row>
    <row r="454" spans="1:73" s="22" customFormat="1" ht="15.75" hidden="1" customHeight="1" outlineLevel="1">
      <c r="A454" s="2585"/>
      <c r="B454" s="44"/>
      <c r="C454" s="45"/>
      <c r="D454" s="46"/>
      <c r="E454" s="46"/>
      <c r="F454" s="45"/>
      <c r="G454" s="46"/>
      <c r="H454" s="45"/>
      <c r="I454" s="45"/>
      <c r="J454" s="47"/>
      <c r="K454" s="48"/>
      <c r="L454" s="47"/>
      <c r="M454" s="1913"/>
      <c r="N454" s="48"/>
      <c r="O454" s="49"/>
      <c r="P454" s="49"/>
      <c r="Q454" s="1884">
        <f t="shared" si="190"/>
        <v>0</v>
      </c>
      <c r="R454" s="50"/>
      <c r="S454" s="1914"/>
      <c r="T454" s="1914"/>
      <c r="U454" s="1914"/>
      <c r="V454" s="1914"/>
      <c r="W454" s="1885">
        <f t="shared" si="187"/>
        <v>0</v>
      </c>
      <c r="X454" s="1891">
        <f t="shared" si="188"/>
        <v>0</v>
      </c>
      <c r="Y454" s="1891">
        <f t="shared" si="189"/>
        <v>0</v>
      </c>
      <c r="Z454" s="50"/>
      <c r="AA454" s="50"/>
      <c r="AB454" s="48"/>
      <c r="AC454" s="48"/>
      <c r="AD454" s="48"/>
      <c r="AE454" s="45"/>
      <c r="AF454" s="51"/>
      <c r="AG454" s="42"/>
      <c r="AH454" s="52" t="s">
        <v>5129</v>
      </c>
      <c r="AI454" s="197"/>
      <c r="AJ454" s="2578"/>
      <c r="AK454" s="251"/>
      <c r="AL454" s="2578"/>
      <c r="AM454" s="2562"/>
      <c r="AN454" s="2562"/>
      <c r="AO454" s="2562"/>
      <c r="AP454" s="2562"/>
      <c r="AQ454" s="2562"/>
      <c r="AR454" s="2562"/>
      <c r="AS454" s="2562"/>
      <c r="AT454" s="252">
        <f t="shared" si="173"/>
        <v>1</v>
      </c>
      <c r="AU454" s="252">
        <f t="shared" si="174"/>
        <v>1</v>
      </c>
      <c r="AV454" s="252">
        <f t="shared" si="175"/>
        <v>1</v>
      </c>
      <c r="AW454" s="252">
        <f t="shared" si="176"/>
        <v>1</v>
      </c>
      <c r="AX454" s="252">
        <f t="shared" si="177"/>
        <v>1</v>
      </c>
      <c r="AY454" s="252">
        <f t="shared" si="178"/>
        <v>1</v>
      </c>
      <c r="AZ454" s="252">
        <f t="shared" si="179"/>
        <v>1</v>
      </c>
      <c r="BA454" s="237"/>
      <c r="BB454" s="237"/>
      <c r="BC454" s="2562"/>
      <c r="BD454" s="2562"/>
      <c r="BE454" s="2562"/>
      <c r="BF454" s="2562"/>
      <c r="BG454" s="252">
        <f t="shared" si="180"/>
        <v>0</v>
      </c>
      <c r="BH454" s="2562"/>
      <c r="BI454" s="237"/>
      <c r="BJ454" s="252">
        <f t="shared" si="181"/>
        <v>1</v>
      </c>
      <c r="BK454" s="252">
        <f t="shared" si="182"/>
        <v>1</v>
      </c>
      <c r="BL454" s="252">
        <f t="shared" si="183"/>
        <v>1</v>
      </c>
      <c r="BM454" s="252">
        <f t="shared" si="184"/>
        <v>1</v>
      </c>
      <c r="BN454" s="252">
        <f t="shared" si="185"/>
        <v>1</v>
      </c>
      <c r="BO454" s="252">
        <f t="shared" si="186"/>
        <v>1</v>
      </c>
      <c r="BP454" s="2578"/>
      <c r="BQ454" s="2562"/>
      <c r="BR454" s="2562"/>
      <c r="BS454" s="2585"/>
      <c r="BT454" s="2585"/>
      <c r="BU454" s="2585"/>
    </row>
    <row r="455" spans="1:73" s="22" customFormat="1" ht="15.75" hidden="1" customHeight="1" outlineLevel="1">
      <c r="A455" s="2585"/>
      <c r="B455" s="44"/>
      <c r="C455" s="45"/>
      <c r="D455" s="46"/>
      <c r="E455" s="46"/>
      <c r="F455" s="45"/>
      <c r="G455" s="46"/>
      <c r="H455" s="45"/>
      <c r="I455" s="45"/>
      <c r="J455" s="47"/>
      <c r="K455" s="48"/>
      <c r="L455" s="47"/>
      <c r="M455" s="1913"/>
      <c r="N455" s="48"/>
      <c r="O455" s="49"/>
      <c r="P455" s="49"/>
      <c r="Q455" s="1884">
        <f t="shared" si="190"/>
        <v>0</v>
      </c>
      <c r="R455" s="50"/>
      <c r="S455" s="1914"/>
      <c r="T455" s="1914"/>
      <c r="U455" s="1914"/>
      <c r="V455" s="1914"/>
      <c r="W455" s="1885">
        <f t="shared" si="187"/>
        <v>0</v>
      </c>
      <c r="X455" s="1891">
        <f t="shared" si="188"/>
        <v>0</v>
      </c>
      <c r="Y455" s="1891">
        <f t="shared" si="189"/>
        <v>0</v>
      </c>
      <c r="Z455" s="50"/>
      <c r="AA455" s="50"/>
      <c r="AB455" s="48"/>
      <c r="AC455" s="48"/>
      <c r="AD455" s="48"/>
      <c r="AE455" s="45"/>
      <c r="AF455" s="51"/>
      <c r="AG455" s="42"/>
      <c r="AH455" s="52" t="s">
        <v>5130</v>
      </c>
      <c r="AI455" s="197"/>
      <c r="AJ455" s="2578"/>
      <c r="AK455" s="251"/>
      <c r="AL455" s="2578"/>
      <c r="AM455" s="2562"/>
      <c r="AN455" s="2562"/>
      <c r="AO455" s="2562"/>
      <c r="AP455" s="2562"/>
      <c r="AQ455" s="2562"/>
      <c r="AR455" s="2562"/>
      <c r="AS455" s="2562"/>
      <c r="AT455" s="252">
        <f t="shared" si="173"/>
        <v>1</v>
      </c>
      <c r="AU455" s="252">
        <f t="shared" si="174"/>
        <v>1</v>
      </c>
      <c r="AV455" s="252">
        <f t="shared" si="175"/>
        <v>1</v>
      </c>
      <c r="AW455" s="252">
        <f t="shared" si="176"/>
        <v>1</v>
      </c>
      <c r="AX455" s="252">
        <f t="shared" si="177"/>
        <v>1</v>
      </c>
      <c r="AY455" s="252">
        <f t="shared" si="178"/>
        <v>1</v>
      </c>
      <c r="AZ455" s="252">
        <f t="shared" si="179"/>
        <v>1</v>
      </c>
      <c r="BA455" s="237"/>
      <c r="BB455" s="237"/>
      <c r="BC455" s="2562"/>
      <c r="BD455" s="2562"/>
      <c r="BE455" s="2562"/>
      <c r="BF455" s="2562"/>
      <c r="BG455" s="252">
        <f t="shared" si="180"/>
        <v>0</v>
      </c>
      <c r="BH455" s="2562"/>
      <c r="BI455" s="237"/>
      <c r="BJ455" s="252">
        <f t="shared" si="181"/>
        <v>1</v>
      </c>
      <c r="BK455" s="252">
        <f t="shared" si="182"/>
        <v>1</v>
      </c>
      <c r="BL455" s="252">
        <f t="shared" si="183"/>
        <v>1</v>
      </c>
      <c r="BM455" s="252">
        <f t="shared" si="184"/>
        <v>1</v>
      </c>
      <c r="BN455" s="252">
        <f t="shared" si="185"/>
        <v>1</v>
      </c>
      <c r="BO455" s="252">
        <f t="shared" si="186"/>
        <v>1</v>
      </c>
      <c r="BP455" s="2578"/>
      <c r="BQ455" s="2562"/>
      <c r="BR455" s="2562"/>
      <c r="BS455" s="2585"/>
      <c r="BT455" s="2585"/>
      <c r="BU455" s="2585"/>
    </row>
    <row r="456" spans="1:73" s="22" customFormat="1" ht="15.75" hidden="1" customHeight="1" outlineLevel="1">
      <c r="A456" s="2585"/>
      <c r="B456" s="44"/>
      <c r="C456" s="45"/>
      <c r="D456" s="46"/>
      <c r="E456" s="46"/>
      <c r="F456" s="45"/>
      <c r="G456" s="46"/>
      <c r="H456" s="45"/>
      <c r="I456" s="45"/>
      <c r="J456" s="47"/>
      <c r="K456" s="48"/>
      <c r="L456" s="47"/>
      <c r="M456" s="1913"/>
      <c r="N456" s="48"/>
      <c r="O456" s="49"/>
      <c r="P456" s="49"/>
      <c r="Q456" s="1884">
        <f t="shared" si="190"/>
        <v>0</v>
      </c>
      <c r="R456" s="50"/>
      <c r="S456" s="1914"/>
      <c r="T456" s="1914"/>
      <c r="U456" s="1914"/>
      <c r="V456" s="1914"/>
      <c r="W456" s="1885">
        <f t="shared" si="187"/>
        <v>0</v>
      </c>
      <c r="X456" s="1891">
        <f t="shared" si="188"/>
        <v>0</v>
      </c>
      <c r="Y456" s="1891">
        <f t="shared" si="189"/>
        <v>0</v>
      </c>
      <c r="Z456" s="50"/>
      <c r="AA456" s="50"/>
      <c r="AB456" s="48"/>
      <c r="AC456" s="48"/>
      <c r="AD456" s="48"/>
      <c r="AE456" s="45"/>
      <c r="AF456" s="51"/>
      <c r="AG456" s="42"/>
      <c r="AH456" s="52" t="s">
        <v>5131</v>
      </c>
      <c r="AI456" s="197"/>
      <c r="AJ456" s="2578"/>
      <c r="AK456" s="251"/>
      <c r="AL456" s="2578"/>
      <c r="AM456" s="2562"/>
      <c r="AN456" s="2562"/>
      <c r="AO456" s="2562"/>
      <c r="AP456" s="2562"/>
      <c r="AQ456" s="2562"/>
      <c r="AR456" s="2562"/>
      <c r="AS456" s="2562"/>
      <c r="AT456" s="252">
        <f t="shared" si="173"/>
        <v>1</v>
      </c>
      <c r="AU456" s="252">
        <f t="shared" si="174"/>
        <v>1</v>
      </c>
      <c r="AV456" s="252">
        <f t="shared" si="175"/>
        <v>1</v>
      </c>
      <c r="AW456" s="252">
        <f t="shared" si="176"/>
        <v>1</v>
      </c>
      <c r="AX456" s="252">
        <f t="shared" si="177"/>
        <v>1</v>
      </c>
      <c r="AY456" s="252">
        <f t="shared" si="178"/>
        <v>1</v>
      </c>
      <c r="AZ456" s="252">
        <f t="shared" si="179"/>
        <v>1</v>
      </c>
      <c r="BA456" s="237"/>
      <c r="BB456" s="237"/>
      <c r="BC456" s="2562"/>
      <c r="BD456" s="2562"/>
      <c r="BE456" s="2562"/>
      <c r="BF456" s="2562"/>
      <c r="BG456" s="252">
        <f t="shared" si="180"/>
        <v>0</v>
      </c>
      <c r="BH456" s="2562"/>
      <c r="BI456" s="237"/>
      <c r="BJ456" s="252">
        <f t="shared" si="181"/>
        <v>1</v>
      </c>
      <c r="BK456" s="252">
        <f t="shared" si="182"/>
        <v>1</v>
      </c>
      <c r="BL456" s="252">
        <f t="shared" si="183"/>
        <v>1</v>
      </c>
      <c r="BM456" s="252">
        <f t="shared" si="184"/>
        <v>1</v>
      </c>
      <c r="BN456" s="252">
        <f t="shared" si="185"/>
        <v>1</v>
      </c>
      <c r="BO456" s="252">
        <f t="shared" si="186"/>
        <v>1</v>
      </c>
      <c r="BP456" s="2578"/>
      <c r="BQ456" s="2562"/>
      <c r="BR456" s="2562"/>
      <c r="BS456" s="2585"/>
      <c r="BT456" s="2585"/>
      <c r="BU456" s="2585"/>
    </row>
    <row r="457" spans="1:73" s="22" customFormat="1" ht="15.75" hidden="1" customHeight="1" outlineLevel="1">
      <c r="A457" s="2585"/>
      <c r="B457" s="44"/>
      <c r="C457" s="45"/>
      <c r="D457" s="46"/>
      <c r="E457" s="46"/>
      <c r="F457" s="45"/>
      <c r="G457" s="46"/>
      <c r="H457" s="45"/>
      <c r="I457" s="45"/>
      <c r="J457" s="47"/>
      <c r="K457" s="48"/>
      <c r="L457" s="47"/>
      <c r="M457" s="1913"/>
      <c r="N457" s="48"/>
      <c r="O457" s="49"/>
      <c r="P457" s="49"/>
      <c r="Q457" s="1884">
        <f t="shared" si="190"/>
        <v>0</v>
      </c>
      <c r="R457" s="50"/>
      <c r="S457" s="1914"/>
      <c r="T457" s="1914"/>
      <c r="U457" s="1914"/>
      <c r="V457" s="1914"/>
      <c r="W457" s="1885">
        <f t="shared" si="187"/>
        <v>0</v>
      </c>
      <c r="X457" s="1891">
        <f t="shared" si="188"/>
        <v>0</v>
      </c>
      <c r="Y457" s="1891">
        <f t="shared" si="189"/>
        <v>0</v>
      </c>
      <c r="Z457" s="50"/>
      <c r="AA457" s="50"/>
      <c r="AB457" s="48"/>
      <c r="AC457" s="48"/>
      <c r="AD457" s="48"/>
      <c r="AE457" s="45"/>
      <c r="AF457" s="51"/>
      <c r="AG457" s="42"/>
      <c r="AH457" s="52" t="s">
        <v>5132</v>
      </c>
      <c r="AI457" s="197"/>
      <c r="AJ457" s="2578"/>
      <c r="AK457" s="251"/>
      <c r="AL457" s="2578"/>
      <c r="AM457" s="2562"/>
      <c r="AN457" s="2562"/>
      <c r="AO457" s="2562"/>
      <c r="AP457" s="2562"/>
      <c r="AQ457" s="2562"/>
      <c r="AR457" s="2562"/>
      <c r="AS457" s="2562"/>
      <c r="AT457" s="252">
        <f t="shared" si="173"/>
        <v>1</v>
      </c>
      <c r="AU457" s="252">
        <f t="shared" si="174"/>
        <v>1</v>
      </c>
      <c r="AV457" s="252">
        <f t="shared" si="175"/>
        <v>1</v>
      </c>
      <c r="AW457" s="252">
        <f t="shared" si="176"/>
        <v>1</v>
      </c>
      <c r="AX457" s="252">
        <f t="shared" si="177"/>
        <v>1</v>
      </c>
      <c r="AY457" s="252">
        <f t="shared" si="178"/>
        <v>1</v>
      </c>
      <c r="AZ457" s="252">
        <f t="shared" si="179"/>
        <v>1</v>
      </c>
      <c r="BA457" s="237"/>
      <c r="BB457" s="237"/>
      <c r="BC457" s="2562"/>
      <c r="BD457" s="2562"/>
      <c r="BE457" s="2562"/>
      <c r="BF457" s="2562"/>
      <c r="BG457" s="252">
        <f t="shared" si="180"/>
        <v>0</v>
      </c>
      <c r="BH457" s="2562"/>
      <c r="BI457" s="237"/>
      <c r="BJ457" s="252">
        <f t="shared" si="181"/>
        <v>1</v>
      </c>
      <c r="BK457" s="252">
        <f t="shared" si="182"/>
        <v>1</v>
      </c>
      <c r="BL457" s="252">
        <f t="shared" si="183"/>
        <v>1</v>
      </c>
      <c r="BM457" s="252">
        <f t="shared" si="184"/>
        <v>1</v>
      </c>
      <c r="BN457" s="252">
        <f t="shared" si="185"/>
        <v>1</v>
      </c>
      <c r="BO457" s="252">
        <f t="shared" si="186"/>
        <v>1</v>
      </c>
      <c r="BP457" s="2578"/>
      <c r="BQ457" s="2562"/>
      <c r="BR457" s="2562"/>
      <c r="BS457" s="2585"/>
      <c r="BT457" s="2585"/>
      <c r="BU457" s="2585"/>
    </row>
    <row r="458" spans="1:73" s="22" customFormat="1" ht="15.75" hidden="1" customHeight="1" outlineLevel="1">
      <c r="A458" s="2585"/>
      <c r="B458" s="44"/>
      <c r="C458" s="45"/>
      <c r="D458" s="46"/>
      <c r="E458" s="46"/>
      <c r="F458" s="45"/>
      <c r="G458" s="46"/>
      <c r="H458" s="45"/>
      <c r="I458" s="45"/>
      <c r="J458" s="47"/>
      <c r="K458" s="48"/>
      <c r="L458" s="47"/>
      <c r="M458" s="1913"/>
      <c r="N458" s="48"/>
      <c r="O458" s="49"/>
      <c r="P458" s="49"/>
      <c r="Q458" s="1884">
        <f t="shared" si="190"/>
        <v>0</v>
      </c>
      <c r="R458" s="50"/>
      <c r="S458" s="1914"/>
      <c r="T458" s="1914"/>
      <c r="U458" s="1914"/>
      <c r="V458" s="1914"/>
      <c r="W458" s="1885">
        <f t="shared" si="187"/>
        <v>0</v>
      </c>
      <c r="X458" s="1891">
        <f t="shared" si="188"/>
        <v>0</v>
      </c>
      <c r="Y458" s="1891">
        <f t="shared" si="189"/>
        <v>0</v>
      </c>
      <c r="Z458" s="50"/>
      <c r="AA458" s="50"/>
      <c r="AB458" s="48"/>
      <c r="AC458" s="48"/>
      <c r="AD458" s="48"/>
      <c r="AE458" s="45"/>
      <c r="AF458" s="51"/>
      <c r="AG458" s="42"/>
      <c r="AH458" s="52" t="s">
        <v>5133</v>
      </c>
      <c r="AI458" s="197"/>
      <c r="AJ458" s="2578"/>
      <c r="AK458" s="251"/>
      <c r="AL458" s="2578"/>
      <c r="AM458" s="2562"/>
      <c r="AN458" s="2562"/>
      <c r="AO458" s="2562"/>
      <c r="AP458" s="2562"/>
      <c r="AQ458" s="2562"/>
      <c r="AR458" s="2562"/>
      <c r="AS458" s="2562"/>
      <c r="AT458" s="252">
        <f t="shared" si="173"/>
        <v>1</v>
      </c>
      <c r="AU458" s="252">
        <f t="shared" si="174"/>
        <v>1</v>
      </c>
      <c r="AV458" s="252">
        <f t="shared" si="175"/>
        <v>1</v>
      </c>
      <c r="AW458" s="252">
        <f t="shared" si="176"/>
        <v>1</v>
      </c>
      <c r="AX458" s="252">
        <f t="shared" si="177"/>
        <v>1</v>
      </c>
      <c r="AY458" s="252">
        <f t="shared" si="178"/>
        <v>1</v>
      </c>
      <c r="AZ458" s="252">
        <f t="shared" si="179"/>
        <v>1</v>
      </c>
      <c r="BA458" s="237"/>
      <c r="BB458" s="237"/>
      <c r="BC458" s="2562"/>
      <c r="BD458" s="2562"/>
      <c r="BE458" s="2562"/>
      <c r="BF458" s="2562"/>
      <c r="BG458" s="252">
        <f t="shared" si="180"/>
        <v>0</v>
      </c>
      <c r="BH458" s="2562"/>
      <c r="BI458" s="237"/>
      <c r="BJ458" s="252">
        <f t="shared" si="181"/>
        <v>1</v>
      </c>
      <c r="BK458" s="252">
        <f t="shared" si="182"/>
        <v>1</v>
      </c>
      <c r="BL458" s="252">
        <f t="shared" si="183"/>
        <v>1</v>
      </c>
      <c r="BM458" s="252">
        <f t="shared" si="184"/>
        <v>1</v>
      </c>
      <c r="BN458" s="252">
        <f t="shared" si="185"/>
        <v>1</v>
      </c>
      <c r="BO458" s="252">
        <f t="shared" si="186"/>
        <v>1</v>
      </c>
      <c r="BP458" s="2578"/>
      <c r="BQ458" s="2562"/>
      <c r="BR458" s="2562"/>
      <c r="BS458" s="2585"/>
      <c r="BT458" s="2585"/>
      <c r="BU458" s="2585"/>
    </row>
    <row r="459" spans="1:73" s="22" customFormat="1" ht="15.75" hidden="1" customHeight="1" outlineLevel="1">
      <c r="A459" s="2585"/>
      <c r="B459" s="44"/>
      <c r="C459" s="45"/>
      <c r="D459" s="46"/>
      <c r="E459" s="46"/>
      <c r="F459" s="45"/>
      <c r="G459" s="46"/>
      <c r="H459" s="45"/>
      <c r="I459" s="45"/>
      <c r="J459" s="47"/>
      <c r="K459" s="48"/>
      <c r="L459" s="47"/>
      <c r="M459" s="1913"/>
      <c r="N459" s="48"/>
      <c r="O459" s="49"/>
      <c r="P459" s="49"/>
      <c r="Q459" s="1884">
        <f t="shared" si="190"/>
        <v>0</v>
      </c>
      <c r="R459" s="50"/>
      <c r="S459" s="1914"/>
      <c r="T459" s="1914"/>
      <c r="U459" s="1914"/>
      <c r="V459" s="1914"/>
      <c r="W459" s="1885">
        <f t="shared" si="187"/>
        <v>0</v>
      </c>
      <c r="X459" s="1891">
        <f t="shared" si="188"/>
        <v>0</v>
      </c>
      <c r="Y459" s="1891">
        <f t="shared" si="189"/>
        <v>0</v>
      </c>
      <c r="Z459" s="50"/>
      <c r="AA459" s="50"/>
      <c r="AB459" s="48"/>
      <c r="AC459" s="48"/>
      <c r="AD459" s="48"/>
      <c r="AE459" s="45"/>
      <c r="AF459" s="51"/>
      <c r="AG459" s="42"/>
      <c r="AH459" s="52" t="s">
        <v>5134</v>
      </c>
      <c r="AI459" s="197"/>
      <c r="AJ459" s="2578"/>
      <c r="AK459" s="251"/>
      <c r="AL459" s="2578"/>
      <c r="AM459" s="2562"/>
      <c r="AN459" s="2562"/>
      <c r="AO459" s="2562"/>
      <c r="AP459" s="2562"/>
      <c r="AQ459" s="2562"/>
      <c r="AR459" s="2562"/>
      <c r="AS459" s="2562"/>
      <c r="AT459" s="252">
        <f t="shared" si="173"/>
        <v>1</v>
      </c>
      <c r="AU459" s="252">
        <f t="shared" si="174"/>
        <v>1</v>
      </c>
      <c r="AV459" s="252">
        <f t="shared" si="175"/>
        <v>1</v>
      </c>
      <c r="AW459" s="252">
        <f t="shared" si="176"/>
        <v>1</v>
      </c>
      <c r="AX459" s="252">
        <f t="shared" si="177"/>
        <v>1</v>
      </c>
      <c r="AY459" s="252">
        <f t="shared" si="178"/>
        <v>1</v>
      </c>
      <c r="AZ459" s="252">
        <f t="shared" si="179"/>
        <v>1</v>
      </c>
      <c r="BA459" s="237"/>
      <c r="BB459" s="237"/>
      <c r="BC459" s="2562"/>
      <c r="BD459" s="2562"/>
      <c r="BE459" s="2562"/>
      <c r="BF459" s="2562"/>
      <c r="BG459" s="252">
        <f t="shared" si="180"/>
        <v>0</v>
      </c>
      <c r="BH459" s="2562"/>
      <c r="BI459" s="237"/>
      <c r="BJ459" s="252">
        <f t="shared" si="181"/>
        <v>1</v>
      </c>
      <c r="BK459" s="252">
        <f t="shared" si="182"/>
        <v>1</v>
      </c>
      <c r="BL459" s="252">
        <f t="shared" si="183"/>
        <v>1</v>
      </c>
      <c r="BM459" s="252">
        <f t="shared" si="184"/>
        <v>1</v>
      </c>
      <c r="BN459" s="252">
        <f t="shared" si="185"/>
        <v>1</v>
      </c>
      <c r="BO459" s="252">
        <f t="shared" si="186"/>
        <v>1</v>
      </c>
      <c r="BP459" s="2578"/>
      <c r="BQ459" s="2562"/>
      <c r="BR459" s="2562"/>
      <c r="BS459" s="2585"/>
      <c r="BT459" s="2585"/>
      <c r="BU459" s="2585"/>
    </row>
    <row r="460" spans="1:73" s="22" customFormat="1" ht="15.75" hidden="1" customHeight="1" outlineLevel="1">
      <c r="A460" s="2585"/>
      <c r="B460" s="44"/>
      <c r="C460" s="45"/>
      <c r="D460" s="46"/>
      <c r="E460" s="46"/>
      <c r="F460" s="45"/>
      <c r="G460" s="46"/>
      <c r="H460" s="45"/>
      <c r="I460" s="45"/>
      <c r="J460" s="47"/>
      <c r="K460" s="48"/>
      <c r="L460" s="47"/>
      <c r="M460" s="1913"/>
      <c r="N460" s="48"/>
      <c r="O460" s="49"/>
      <c r="P460" s="49"/>
      <c r="Q460" s="1884">
        <f t="shared" si="190"/>
        <v>0</v>
      </c>
      <c r="R460" s="50"/>
      <c r="S460" s="1914"/>
      <c r="T460" s="1914"/>
      <c r="U460" s="1914"/>
      <c r="V460" s="1914"/>
      <c r="W460" s="1885">
        <f t="shared" si="187"/>
        <v>0</v>
      </c>
      <c r="X460" s="1891">
        <f t="shared" si="188"/>
        <v>0</v>
      </c>
      <c r="Y460" s="1891">
        <f t="shared" si="189"/>
        <v>0</v>
      </c>
      <c r="Z460" s="50"/>
      <c r="AA460" s="50"/>
      <c r="AB460" s="48"/>
      <c r="AC460" s="48"/>
      <c r="AD460" s="48"/>
      <c r="AE460" s="45"/>
      <c r="AF460" s="51"/>
      <c r="AG460" s="42"/>
      <c r="AH460" s="52" t="s">
        <v>5135</v>
      </c>
      <c r="AI460" s="197"/>
      <c r="AJ460" s="2578"/>
      <c r="AK460" s="251"/>
      <c r="AL460" s="2578"/>
      <c r="AM460" s="2562"/>
      <c r="AN460" s="2562"/>
      <c r="AO460" s="2562"/>
      <c r="AP460" s="2562"/>
      <c r="AQ460" s="2562"/>
      <c r="AR460" s="2562"/>
      <c r="AS460" s="2562"/>
      <c r="AT460" s="252">
        <f t="shared" si="173"/>
        <v>1</v>
      </c>
      <c r="AU460" s="252">
        <f t="shared" si="174"/>
        <v>1</v>
      </c>
      <c r="AV460" s="252">
        <f t="shared" si="175"/>
        <v>1</v>
      </c>
      <c r="AW460" s="252">
        <f t="shared" si="176"/>
        <v>1</v>
      </c>
      <c r="AX460" s="252">
        <f t="shared" si="177"/>
        <v>1</v>
      </c>
      <c r="AY460" s="252">
        <f t="shared" si="178"/>
        <v>1</v>
      </c>
      <c r="AZ460" s="252">
        <f t="shared" si="179"/>
        <v>1</v>
      </c>
      <c r="BA460" s="237"/>
      <c r="BB460" s="237"/>
      <c r="BC460" s="2562"/>
      <c r="BD460" s="2562"/>
      <c r="BE460" s="2562"/>
      <c r="BF460" s="2562"/>
      <c r="BG460" s="252">
        <f t="shared" si="180"/>
        <v>0</v>
      </c>
      <c r="BH460" s="2562"/>
      <c r="BI460" s="237"/>
      <c r="BJ460" s="252">
        <f t="shared" si="181"/>
        <v>1</v>
      </c>
      <c r="BK460" s="252">
        <f t="shared" si="182"/>
        <v>1</v>
      </c>
      <c r="BL460" s="252">
        <f t="shared" si="183"/>
        <v>1</v>
      </c>
      <c r="BM460" s="252">
        <f t="shared" si="184"/>
        <v>1</v>
      </c>
      <c r="BN460" s="252">
        <f t="shared" si="185"/>
        <v>1</v>
      </c>
      <c r="BO460" s="252">
        <f t="shared" si="186"/>
        <v>1</v>
      </c>
      <c r="BP460" s="2578"/>
      <c r="BQ460" s="2562"/>
      <c r="BR460" s="2562"/>
      <c r="BS460" s="2585"/>
      <c r="BT460" s="2585"/>
      <c r="BU460" s="2585"/>
    </row>
    <row r="461" spans="1:73" s="22" customFormat="1" ht="15.75" hidden="1" customHeight="1" outlineLevel="1">
      <c r="A461" s="2585"/>
      <c r="B461" s="44"/>
      <c r="C461" s="45"/>
      <c r="D461" s="46"/>
      <c r="E461" s="46"/>
      <c r="F461" s="45"/>
      <c r="G461" s="46"/>
      <c r="H461" s="45"/>
      <c r="I461" s="45"/>
      <c r="J461" s="47"/>
      <c r="K461" s="48"/>
      <c r="L461" s="47"/>
      <c r="M461" s="1913"/>
      <c r="N461" s="48"/>
      <c r="O461" s="49"/>
      <c r="P461" s="49"/>
      <c r="Q461" s="1884">
        <f t="shared" si="190"/>
        <v>0</v>
      </c>
      <c r="R461" s="50"/>
      <c r="S461" s="1914"/>
      <c r="T461" s="1914"/>
      <c r="U461" s="1914"/>
      <c r="V461" s="1914"/>
      <c r="W461" s="1885">
        <f t="shared" si="187"/>
        <v>0</v>
      </c>
      <c r="X461" s="1891">
        <f t="shared" si="188"/>
        <v>0</v>
      </c>
      <c r="Y461" s="1891">
        <f t="shared" si="189"/>
        <v>0</v>
      </c>
      <c r="Z461" s="50"/>
      <c r="AA461" s="50"/>
      <c r="AB461" s="48"/>
      <c r="AC461" s="48"/>
      <c r="AD461" s="48"/>
      <c r="AE461" s="45"/>
      <c r="AF461" s="51"/>
      <c r="AG461" s="42"/>
      <c r="AH461" s="52" t="s">
        <v>5136</v>
      </c>
      <c r="AI461" s="197"/>
      <c r="AJ461" s="2578"/>
      <c r="AK461" s="251"/>
      <c r="AL461" s="2578"/>
      <c r="AM461" s="2562"/>
      <c r="AN461" s="2562"/>
      <c r="AO461" s="2562"/>
      <c r="AP461" s="2562"/>
      <c r="AQ461" s="2562"/>
      <c r="AR461" s="2562"/>
      <c r="AS461" s="2562"/>
      <c r="AT461" s="252">
        <f t="shared" si="173"/>
        <v>1</v>
      </c>
      <c r="AU461" s="252">
        <f t="shared" si="174"/>
        <v>1</v>
      </c>
      <c r="AV461" s="252">
        <f t="shared" si="175"/>
        <v>1</v>
      </c>
      <c r="AW461" s="252">
        <f t="shared" si="176"/>
        <v>1</v>
      </c>
      <c r="AX461" s="252">
        <f t="shared" si="177"/>
        <v>1</v>
      </c>
      <c r="AY461" s="252">
        <f t="shared" si="178"/>
        <v>1</v>
      </c>
      <c r="AZ461" s="252">
        <f t="shared" si="179"/>
        <v>1</v>
      </c>
      <c r="BA461" s="237"/>
      <c r="BB461" s="237"/>
      <c r="BC461" s="2562"/>
      <c r="BD461" s="2562"/>
      <c r="BE461" s="2562"/>
      <c r="BF461" s="2562"/>
      <c r="BG461" s="252">
        <f t="shared" si="180"/>
        <v>0</v>
      </c>
      <c r="BH461" s="2562"/>
      <c r="BI461" s="237"/>
      <c r="BJ461" s="252">
        <f t="shared" si="181"/>
        <v>1</v>
      </c>
      <c r="BK461" s="252">
        <f t="shared" si="182"/>
        <v>1</v>
      </c>
      <c r="BL461" s="252">
        <f t="shared" si="183"/>
        <v>1</v>
      </c>
      <c r="BM461" s="252">
        <f t="shared" si="184"/>
        <v>1</v>
      </c>
      <c r="BN461" s="252">
        <f t="shared" si="185"/>
        <v>1</v>
      </c>
      <c r="BO461" s="252">
        <f t="shared" si="186"/>
        <v>1</v>
      </c>
      <c r="BP461" s="2578"/>
      <c r="BQ461" s="2562"/>
      <c r="BR461" s="2562"/>
      <c r="BS461" s="2585"/>
      <c r="BT461" s="2585"/>
      <c r="BU461" s="2585"/>
    </row>
    <row r="462" spans="1:73" s="22" customFormat="1" ht="15.75" hidden="1" customHeight="1" outlineLevel="1">
      <c r="A462" s="2585"/>
      <c r="B462" s="44"/>
      <c r="C462" s="45"/>
      <c r="D462" s="46"/>
      <c r="E462" s="46"/>
      <c r="F462" s="45"/>
      <c r="G462" s="46"/>
      <c r="H462" s="45"/>
      <c r="I462" s="45"/>
      <c r="J462" s="47"/>
      <c r="K462" s="48"/>
      <c r="L462" s="47"/>
      <c r="M462" s="1913"/>
      <c r="N462" s="48"/>
      <c r="O462" s="49"/>
      <c r="P462" s="49"/>
      <c r="Q462" s="1884">
        <f t="shared" si="190"/>
        <v>0</v>
      </c>
      <c r="R462" s="50"/>
      <c r="S462" s="1914"/>
      <c r="T462" s="1914"/>
      <c r="U462" s="1914"/>
      <c r="V462" s="1914"/>
      <c r="W462" s="1885">
        <f t="shared" si="187"/>
        <v>0</v>
      </c>
      <c r="X462" s="1891">
        <f t="shared" si="188"/>
        <v>0</v>
      </c>
      <c r="Y462" s="1891">
        <f t="shared" si="189"/>
        <v>0</v>
      </c>
      <c r="Z462" s="50"/>
      <c r="AA462" s="50"/>
      <c r="AB462" s="48"/>
      <c r="AC462" s="48"/>
      <c r="AD462" s="48"/>
      <c r="AE462" s="45"/>
      <c r="AF462" s="51"/>
      <c r="AG462" s="42"/>
      <c r="AH462" s="52" t="s">
        <v>5137</v>
      </c>
      <c r="AI462" s="197"/>
      <c r="AJ462" s="2578"/>
      <c r="AK462" s="251"/>
      <c r="AL462" s="2578"/>
      <c r="AM462" s="2562"/>
      <c r="AN462" s="2562"/>
      <c r="AO462" s="2562"/>
      <c r="AP462" s="2562"/>
      <c r="AQ462" s="2562"/>
      <c r="AR462" s="2562"/>
      <c r="AS462" s="2562"/>
      <c r="AT462" s="252">
        <f t="shared" si="173"/>
        <v>1</v>
      </c>
      <c r="AU462" s="252">
        <f t="shared" si="174"/>
        <v>1</v>
      </c>
      <c r="AV462" s="252">
        <f t="shared" si="175"/>
        <v>1</v>
      </c>
      <c r="AW462" s="252">
        <f t="shared" si="176"/>
        <v>1</v>
      </c>
      <c r="AX462" s="252">
        <f t="shared" si="177"/>
        <v>1</v>
      </c>
      <c r="AY462" s="252">
        <f t="shared" si="178"/>
        <v>1</v>
      </c>
      <c r="AZ462" s="252">
        <f t="shared" si="179"/>
        <v>1</v>
      </c>
      <c r="BA462" s="237"/>
      <c r="BB462" s="237"/>
      <c r="BC462" s="2562"/>
      <c r="BD462" s="2562"/>
      <c r="BE462" s="2562"/>
      <c r="BF462" s="2562"/>
      <c r="BG462" s="252">
        <f t="shared" si="180"/>
        <v>0</v>
      </c>
      <c r="BH462" s="2562"/>
      <c r="BI462" s="237"/>
      <c r="BJ462" s="252">
        <f t="shared" si="181"/>
        <v>1</v>
      </c>
      <c r="BK462" s="252">
        <f t="shared" si="182"/>
        <v>1</v>
      </c>
      <c r="BL462" s="252">
        <f t="shared" si="183"/>
        <v>1</v>
      </c>
      <c r="BM462" s="252">
        <f t="shared" si="184"/>
        <v>1</v>
      </c>
      <c r="BN462" s="252">
        <f t="shared" si="185"/>
        <v>1</v>
      </c>
      <c r="BO462" s="252">
        <f t="shared" si="186"/>
        <v>1</v>
      </c>
      <c r="BP462" s="2578"/>
      <c r="BQ462" s="2562"/>
      <c r="BR462" s="2562"/>
      <c r="BS462" s="2585"/>
      <c r="BT462" s="2585"/>
      <c r="BU462" s="2585"/>
    </row>
    <row r="463" spans="1:73" s="22" customFormat="1" ht="15.75" hidden="1" customHeight="1" outlineLevel="1">
      <c r="A463" s="2585"/>
      <c r="B463" s="44"/>
      <c r="C463" s="45"/>
      <c r="D463" s="46"/>
      <c r="E463" s="46"/>
      <c r="F463" s="45"/>
      <c r="G463" s="46"/>
      <c r="H463" s="45"/>
      <c r="I463" s="45"/>
      <c r="J463" s="47"/>
      <c r="K463" s="48"/>
      <c r="L463" s="47"/>
      <c r="M463" s="1913"/>
      <c r="N463" s="48"/>
      <c r="O463" s="49"/>
      <c r="P463" s="49"/>
      <c r="Q463" s="1884">
        <f t="shared" si="190"/>
        <v>0</v>
      </c>
      <c r="R463" s="50"/>
      <c r="S463" s="1914"/>
      <c r="T463" s="1914"/>
      <c r="U463" s="1914"/>
      <c r="V463" s="1914"/>
      <c r="W463" s="1885">
        <f t="shared" si="187"/>
        <v>0</v>
      </c>
      <c r="X463" s="1891">
        <f t="shared" si="188"/>
        <v>0</v>
      </c>
      <c r="Y463" s="1891">
        <f t="shared" si="189"/>
        <v>0</v>
      </c>
      <c r="Z463" s="50"/>
      <c r="AA463" s="50"/>
      <c r="AB463" s="48"/>
      <c r="AC463" s="48"/>
      <c r="AD463" s="48"/>
      <c r="AE463" s="45"/>
      <c r="AF463" s="51"/>
      <c r="AG463" s="42"/>
      <c r="AH463" s="52" t="s">
        <v>5138</v>
      </c>
      <c r="AI463" s="197"/>
      <c r="AJ463" s="2578"/>
      <c r="AK463" s="251"/>
      <c r="AL463" s="2578"/>
      <c r="AM463" s="2562"/>
      <c r="AN463" s="2562"/>
      <c r="AO463" s="2562"/>
      <c r="AP463" s="2562"/>
      <c r="AQ463" s="2562"/>
      <c r="AR463" s="2562"/>
      <c r="AS463" s="2562"/>
      <c r="AT463" s="252">
        <f t="shared" si="173"/>
        <v>1</v>
      </c>
      <c r="AU463" s="252">
        <f t="shared" si="174"/>
        <v>1</v>
      </c>
      <c r="AV463" s="252">
        <f t="shared" si="175"/>
        <v>1</v>
      </c>
      <c r="AW463" s="252">
        <f t="shared" si="176"/>
        <v>1</v>
      </c>
      <c r="AX463" s="252">
        <f t="shared" si="177"/>
        <v>1</v>
      </c>
      <c r="AY463" s="252">
        <f t="shared" si="178"/>
        <v>1</v>
      </c>
      <c r="AZ463" s="252">
        <f t="shared" si="179"/>
        <v>1</v>
      </c>
      <c r="BA463" s="237"/>
      <c r="BB463" s="237"/>
      <c r="BC463" s="2562"/>
      <c r="BD463" s="2562"/>
      <c r="BE463" s="2562"/>
      <c r="BF463" s="2562"/>
      <c r="BG463" s="252">
        <f t="shared" si="180"/>
        <v>0</v>
      </c>
      <c r="BH463" s="2562"/>
      <c r="BI463" s="237"/>
      <c r="BJ463" s="252">
        <f t="shared" si="181"/>
        <v>1</v>
      </c>
      <c r="BK463" s="252">
        <f t="shared" si="182"/>
        <v>1</v>
      </c>
      <c r="BL463" s="252">
        <f t="shared" si="183"/>
        <v>1</v>
      </c>
      <c r="BM463" s="252">
        <f t="shared" si="184"/>
        <v>1</v>
      </c>
      <c r="BN463" s="252">
        <f t="shared" si="185"/>
        <v>1</v>
      </c>
      <c r="BO463" s="252">
        <f t="shared" si="186"/>
        <v>1</v>
      </c>
      <c r="BP463" s="2578"/>
      <c r="BQ463" s="2562"/>
      <c r="BR463" s="2562"/>
      <c r="BS463" s="2585"/>
      <c r="BT463" s="2585"/>
      <c r="BU463" s="2585"/>
    </row>
    <row r="464" spans="1:73" s="22" customFormat="1" ht="15.75" hidden="1" customHeight="1" outlineLevel="1">
      <c r="A464" s="2585"/>
      <c r="B464" s="44"/>
      <c r="C464" s="45"/>
      <c r="D464" s="46"/>
      <c r="E464" s="46"/>
      <c r="F464" s="45"/>
      <c r="G464" s="46"/>
      <c r="H464" s="45"/>
      <c r="I464" s="45"/>
      <c r="J464" s="47"/>
      <c r="K464" s="48"/>
      <c r="L464" s="47"/>
      <c r="M464" s="1913"/>
      <c r="N464" s="48"/>
      <c r="O464" s="49"/>
      <c r="P464" s="49"/>
      <c r="Q464" s="1884">
        <f t="shared" si="190"/>
        <v>0</v>
      </c>
      <c r="R464" s="50"/>
      <c r="S464" s="1914"/>
      <c r="T464" s="1914"/>
      <c r="U464" s="1914"/>
      <c r="V464" s="1914"/>
      <c r="W464" s="1885">
        <f t="shared" si="187"/>
        <v>0</v>
      </c>
      <c r="X464" s="1891">
        <f t="shared" si="188"/>
        <v>0</v>
      </c>
      <c r="Y464" s="1891">
        <f t="shared" si="189"/>
        <v>0</v>
      </c>
      <c r="Z464" s="50"/>
      <c r="AA464" s="50"/>
      <c r="AB464" s="48"/>
      <c r="AC464" s="48"/>
      <c r="AD464" s="48"/>
      <c r="AE464" s="45"/>
      <c r="AF464" s="51"/>
      <c r="AG464" s="42"/>
      <c r="AH464" s="52" t="s">
        <v>5139</v>
      </c>
      <c r="AI464" s="197"/>
      <c r="AJ464" s="2578"/>
      <c r="AK464" s="251"/>
      <c r="AL464" s="2578"/>
      <c r="AM464" s="2562"/>
      <c r="AN464" s="2562"/>
      <c r="AO464" s="2562"/>
      <c r="AP464" s="2562"/>
      <c r="AQ464" s="2562"/>
      <c r="AR464" s="2562"/>
      <c r="AS464" s="2562"/>
      <c r="AT464" s="252">
        <f t="shared" si="173"/>
        <v>1</v>
      </c>
      <c r="AU464" s="252">
        <f t="shared" si="174"/>
        <v>1</v>
      </c>
      <c r="AV464" s="252">
        <f t="shared" si="175"/>
        <v>1</v>
      </c>
      <c r="AW464" s="252">
        <f t="shared" si="176"/>
        <v>1</v>
      </c>
      <c r="AX464" s="252">
        <f t="shared" si="177"/>
        <v>1</v>
      </c>
      <c r="AY464" s="252">
        <f t="shared" si="178"/>
        <v>1</v>
      </c>
      <c r="AZ464" s="252">
        <f t="shared" si="179"/>
        <v>1</v>
      </c>
      <c r="BA464" s="237"/>
      <c r="BB464" s="237"/>
      <c r="BC464" s="2562"/>
      <c r="BD464" s="2562"/>
      <c r="BE464" s="2562"/>
      <c r="BF464" s="2562"/>
      <c r="BG464" s="252">
        <f t="shared" si="180"/>
        <v>0</v>
      </c>
      <c r="BH464" s="2562"/>
      <c r="BI464" s="237"/>
      <c r="BJ464" s="252">
        <f t="shared" si="181"/>
        <v>1</v>
      </c>
      <c r="BK464" s="252">
        <f t="shared" si="182"/>
        <v>1</v>
      </c>
      <c r="BL464" s="252">
        <f t="shared" si="183"/>
        <v>1</v>
      </c>
      <c r="BM464" s="252">
        <f t="shared" si="184"/>
        <v>1</v>
      </c>
      <c r="BN464" s="252">
        <f t="shared" si="185"/>
        <v>1</v>
      </c>
      <c r="BO464" s="252">
        <f t="shared" si="186"/>
        <v>1</v>
      </c>
      <c r="BP464" s="2578"/>
      <c r="BQ464" s="2562"/>
      <c r="BR464" s="2562"/>
      <c r="BS464" s="2585"/>
      <c r="BT464" s="2585"/>
      <c r="BU464" s="2585"/>
    </row>
    <row r="465" spans="1:73" s="22" customFormat="1" ht="15.75" customHeight="1" collapsed="1" thickBot="1">
      <c r="A465" s="2585"/>
      <c r="B465" s="53" t="s">
        <v>5140</v>
      </c>
      <c r="C465" s="1915"/>
      <c r="D465" s="1915"/>
      <c r="E465" s="1915"/>
      <c r="F465" s="1916"/>
      <c r="G465" s="1916"/>
      <c r="H465" s="1917"/>
      <c r="I465" s="1917"/>
      <c r="J465" s="1918"/>
      <c r="K465" s="1919"/>
      <c r="L465" s="1918"/>
      <c r="M465" s="1920"/>
      <c r="N465" s="1887">
        <f>SUM(N315:N464)</f>
        <v>2274</v>
      </c>
      <c r="O465" s="1887">
        <f>SUM(O315:O464)</f>
        <v>3446.91</v>
      </c>
      <c r="P465" s="1887">
        <f>SUM(P315:P464)</f>
        <v>4072.5210000000006</v>
      </c>
      <c r="Q465" s="1886">
        <f>SUM(Q315:Q464)</f>
        <v>72619.985801355549</v>
      </c>
      <c r="R465" s="1920"/>
      <c r="S465" s="1920"/>
      <c r="T465" s="1920"/>
      <c r="U465" s="1920"/>
      <c r="V465" s="1920"/>
      <c r="W465" s="1920"/>
      <c r="X465" s="1887">
        <f>SUM(X315:X464)</f>
        <v>669.37422674753691</v>
      </c>
      <c r="Y465" s="1887">
        <f>SUM(Y315:Y464)</f>
        <v>105.04737105889998</v>
      </c>
      <c r="Z465" s="1920"/>
      <c r="AA465" s="1920"/>
      <c r="AB465" s="1887">
        <f>SUM(AB315:AB464)</f>
        <v>-4.3293071299999992</v>
      </c>
      <c r="AC465" s="1887">
        <f>SUM(AC315:AC464)</f>
        <v>3533.8795671832522</v>
      </c>
      <c r="AD465" s="1887">
        <f>SUM(AD315:AD464)</f>
        <v>2865.8202684862126</v>
      </c>
      <c r="AE465" s="1917"/>
      <c r="AF465" s="1922"/>
      <c r="AG465" s="42"/>
      <c r="AH465" s="54" t="s">
        <v>5141</v>
      </c>
      <c r="AI465" s="197"/>
      <c r="AJ465" s="2578"/>
      <c r="AK465" s="251"/>
      <c r="AL465" s="2578"/>
      <c r="AM465" s="2562"/>
      <c r="AN465" s="2562"/>
      <c r="AO465" s="2562"/>
      <c r="AP465" s="2562"/>
      <c r="AQ465" s="2562"/>
      <c r="AR465" s="2562"/>
      <c r="AS465" s="2562"/>
      <c r="AT465" s="2562"/>
      <c r="AU465" s="2562"/>
      <c r="AV465" s="2562"/>
      <c r="AW465" s="2562"/>
      <c r="AX465" s="2562"/>
      <c r="AY465" s="2562"/>
      <c r="AZ465" s="2562"/>
      <c r="BA465" s="2562"/>
      <c r="BB465" s="2562"/>
      <c r="BC465" s="2562"/>
      <c r="BD465" s="2562"/>
      <c r="BE465" s="2562"/>
      <c r="BF465" s="2562"/>
      <c r="BG465" s="2562"/>
      <c r="BH465" s="2562"/>
      <c r="BI465" s="2562"/>
      <c r="BJ465" s="2562"/>
      <c r="BK465" s="2562"/>
      <c r="BL465" s="2562"/>
      <c r="BM465" s="2562"/>
      <c r="BN465" s="2562"/>
      <c r="BO465" s="252">
        <f t="shared" ref="BO465" si="191" xml:space="preserve"> IF( ISNUMBER(AF465 ), 0, 1 )</f>
        <v>1</v>
      </c>
      <c r="BP465" s="2578"/>
      <c r="BQ465" s="2562"/>
      <c r="BR465" s="2562"/>
      <c r="BS465" s="2585"/>
      <c r="BT465" s="2585"/>
      <c r="BU465" s="2585"/>
    </row>
    <row r="466" spans="1:73" s="22" customFormat="1" ht="15.75" customHeight="1" thickTop="1" thickBot="1">
      <c r="A466" s="2585"/>
      <c r="B466" s="56"/>
      <c r="C466" s="1929"/>
      <c r="D466" s="1929"/>
      <c r="E466" s="1929"/>
      <c r="F466" s="1924"/>
      <c r="G466" s="1924"/>
      <c r="H466" s="1924"/>
      <c r="I466" s="1924"/>
      <c r="J466" s="1925"/>
      <c r="K466" s="1926"/>
      <c r="L466" s="1925"/>
      <c r="M466" s="1926"/>
      <c r="N466" s="1926"/>
      <c r="O466" s="1927"/>
      <c r="P466" s="1927"/>
      <c r="Q466" s="1927"/>
      <c r="R466" s="1926"/>
      <c r="S466" s="1926"/>
      <c r="T466" s="1926"/>
      <c r="U466" s="1926"/>
      <c r="V466" s="1926"/>
      <c r="W466" s="1926"/>
      <c r="X466" s="1927"/>
      <c r="Y466" s="1927"/>
      <c r="Z466" s="1927"/>
      <c r="AA466" s="1927"/>
      <c r="AB466" s="1930"/>
      <c r="AC466" s="1930"/>
      <c r="AD466" s="1930"/>
      <c r="AE466" s="1924"/>
      <c r="AF466" s="1930"/>
      <c r="AG466" s="42"/>
      <c r="AH466" s="28"/>
      <c r="AI466" s="197"/>
      <c r="AJ466" s="2578"/>
      <c r="AK466" s="2562"/>
      <c r="AL466" s="2578"/>
      <c r="AM466" s="2562"/>
      <c r="AN466" s="2562"/>
      <c r="AO466" s="2562"/>
      <c r="AP466" s="2562"/>
      <c r="AQ466" s="2562"/>
      <c r="AR466" s="2562"/>
      <c r="AS466" s="2562"/>
      <c r="AT466" s="2562"/>
      <c r="AU466" s="2562"/>
      <c r="AV466" s="2562"/>
      <c r="AW466" s="2562"/>
      <c r="AX466" s="2562"/>
      <c r="AY466" s="2562"/>
      <c r="AZ466" s="2562"/>
      <c r="BA466" s="2562"/>
      <c r="BB466" s="2562"/>
      <c r="BC466" s="2562"/>
      <c r="BD466" s="2562"/>
      <c r="BE466" s="2562"/>
      <c r="BF466" s="2562"/>
      <c r="BG466" s="2562"/>
      <c r="BH466" s="2562"/>
      <c r="BI466" s="2562"/>
      <c r="BJ466" s="2562"/>
      <c r="BK466" s="2562"/>
      <c r="BL466" s="2562"/>
      <c r="BM466" s="2562"/>
      <c r="BN466" s="2562"/>
      <c r="BO466" s="2562"/>
      <c r="BP466" s="2578"/>
      <c r="BQ466" s="2562"/>
      <c r="BR466" s="2562"/>
      <c r="BS466" s="2585"/>
      <c r="BT466" s="2585"/>
      <c r="BU466" s="2585"/>
    </row>
    <row r="467" spans="1:73" s="22" customFormat="1" ht="15.75" customHeight="1" thickTop="1" thickBot="1">
      <c r="A467" s="2585"/>
      <c r="B467" s="33" t="s">
        <v>5142</v>
      </c>
      <c r="C467" s="1924"/>
      <c r="D467" s="1924"/>
      <c r="E467" s="1924"/>
      <c r="F467" s="1924"/>
      <c r="G467" s="1924"/>
      <c r="H467" s="1924"/>
      <c r="I467" s="1924"/>
      <c r="J467" s="1925"/>
      <c r="K467" s="1926"/>
      <c r="L467" s="1925"/>
      <c r="M467" s="1926"/>
      <c r="N467" s="1926"/>
      <c r="O467" s="1927"/>
      <c r="P467" s="1927"/>
      <c r="Q467" s="1927"/>
      <c r="R467" s="1926"/>
      <c r="S467" s="1926"/>
      <c r="T467" s="1926"/>
      <c r="U467" s="1926"/>
      <c r="V467" s="1926"/>
      <c r="W467" s="1926"/>
      <c r="X467" s="1927"/>
      <c r="Y467" s="1927"/>
      <c r="Z467" s="1927"/>
      <c r="AA467" s="1927"/>
      <c r="AB467" s="1930"/>
      <c r="AC467" s="1930"/>
      <c r="AD467" s="1930"/>
      <c r="AE467" s="1924"/>
      <c r="AF467" s="1930"/>
      <c r="AG467" s="42"/>
      <c r="AH467" s="28"/>
      <c r="AI467" s="197"/>
      <c r="AJ467" s="2578"/>
      <c r="AK467" s="2562"/>
      <c r="AL467" s="2578"/>
      <c r="AM467" s="2562"/>
      <c r="AN467" s="2562"/>
      <c r="AO467" s="2562"/>
      <c r="AP467" s="2562"/>
      <c r="AQ467" s="2562"/>
      <c r="AR467" s="2562"/>
      <c r="AS467" s="2562"/>
      <c r="AT467" s="2562"/>
      <c r="AU467" s="2562"/>
      <c r="AV467" s="2562"/>
      <c r="AW467" s="2562"/>
      <c r="AX467" s="2562"/>
      <c r="AY467" s="2562"/>
      <c r="AZ467" s="2562"/>
      <c r="BA467" s="2562"/>
      <c r="BB467" s="2562"/>
      <c r="BC467" s="2562"/>
      <c r="BD467" s="2562"/>
      <c r="BE467" s="2562"/>
      <c r="BF467" s="2562"/>
      <c r="BG467" s="2562"/>
      <c r="BH467" s="2562"/>
      <c r="BI467" s="2562"/>
      <c r="BJ467" s="2562"/>
      <c r="BK467" s="2562"/>
      <c r="BL467" s="2562"/>
      <c r="BM467" s="2562"/>
      <c r="BN467" s="2562"/>
      <c r="BO467" s="2562"/>
      <c r="BP467" s="2578"/>
      <c r="BQ467" s="2562"/>
      <c r="BR467" s="2562"/>
      <c r="BS467" s="2585"/>
      <c r="BT467" s="2585"/>
      <c r="BU467" s="2585"/>
    </row>
    <row r="468" spans="1:73" s="22" customFormat="1" ht="15.75" customHeight="1" thickTop="1">
      <c r="A468" s="2585"/>
      <c r="B468" s="35" t="s">
        <v>5143</v>
      </c>
      <c r="C468" s="36" t="s">
        <v>50</v>
      </c>
      <c r="D468" s="37" t="s">
        <v>4474</v>
      </c>
      <c r="E468" s="37" t="s">
        <v>4429</v>
      </c>
      <c r="F468" s="36" t="s">
        <v>4459</v>
      </c>
      <c r="G468" s="36" t="s">
        <v>4431</v>
      </c>
      <c r="H468" s="36" t="s">
        <v>4475</v>
      </c>
      <c r="I468" s="36" t="s">
        <v>4433</v>
      </c>
      <c r="J468" s="38">
        <v>43308</v>
      </c>
      <c r="K468" s="39">
        <v>100</v>
      </c>
      <c r="L468" s="38">
        <v>48040</v>
      </c>
      <c r="M468" s="1911">
        <v>8.280555555555555</v>
      </c>
      <c r="N468" s="39">
        <v>25</v>
      </c>
      <c r="O468" s="39">
        <v>30.015999999999998</v>
      </c>
      <c r="P468" s="39">
        <v>30.015999999999998</v>
      </c>
      <c r="Q468" s="1882">
        <f>IFERROR(M468*O468,"")</f>
        <v>248.54915555555553</v>
      </c>
      <c r="R468" s="1931"/>
      <c r="S468" s="40">
        <v>8.1250000000000037E-3</v>
      </c>
      <c r="T468" s="1931"/>
      <c r="U468" s="1931"/>
      <c r="V468" s="1931"/>
      <c r="W468" s="1883">
        <f t="shared" ref="W468:W531" si="192">IF(S468=0,0,((1+S468)*(1+C$627))-1)</f>
        <v>0.10971231853116992</v>
      </c>
      <c r="X468" s="1890">
        <f t="shared" ref="X468:X531" si="193">W468*P468</f>
        <v>3.293124953031596</v>
      </c>
      <c r="Y468" s="1890">
        <f t="shared" ref="Y468:Y531" si="194" xml:space="preserve"> S468*P468</f>
        <v>0.2438800000000001</v>
      </c>
      <c r="Z468" s="40">
        <v>0</v>
      </c>
      <c r="AA468" s="40">
        <v>0</v>
      </c>
      <c r="AB468" s="39">
        <v>-5.2681609999999997E-2</v>
      </c>
      <c r="AC468" s="39">
        <v>29.896451873855014</v>
      </c>
      <c r="AD468" s="39">
        <v>26.981183914062942</v>
      </c>
      <c r="AE468" s="36"/>
      <c r="AF468" s="41" t="s">
        <v>4435</v>
      </c>
      <c r="AG468" s="42"/>
      <c r="AH468" s="43" t="s">
        <v>5144</v>
      </c>
      <c r="AI468" s="197"/>
      <c r="AJ468" s="2578"/>
      <c r="AK468" s="251"/>
      <c r="AL468" s="2578"/>
      <c r="AM468" s="2562"/>
      <c r="AN468" s="2562"/>
      <c r="AO468" s="2562"/>
      <c r="AP468" s="2562"/>
      <c r="AQ468" s="2562"/>
      <c r="AR468" s="2562"/>
      <c r="AS468" s="2562"/>
      <c r="AT468" s="252">
        <f t="shared" ref="AT468:AT531" si="195" xml:space="preserve"> IF( ISNUMBER(J468 ), 0, 1 )</f>
        <v>0</v>
      </c>
      <c r="AU468" s="252">
        <f t="shared" ref="AU468:AU531" si="196" xml:space="preserve"> IF( ISNUMBER(K468 ), 0, 1 )</f>
        <v>0</v>
      </c>
      <c r="AV468" s="252">
        <f t="shared" ref="AV468:AV531" si="197" xml:space="preserve"> IF( ISNUMBER(L468 ), 0, 1 )</f>
        <v>0</v>
      </c>
      <c r="AW468" s="252">
        <f t="shared" ref="AW468:AW531" si="198" xml:space="preserve"> IF( ISNUMBER(M468 ), 0, 1 )</f>
        <v>0</v>
      </c>
      <c r="AX468" s="252">
        <f t="shared" ref="AX468:AX531" si="199" xml:space="preserve"> IF( ISNUMBER(N468 ), 0, 1 )</f>
        <v>0</v>
      </c>
      <c r="AY468" s="252">
        <f t="shared" ref="AY468:AY531" si="200" xml:space="preserve"> IF( ISNUMBER(O468 ), 0, 1 )</f>
        <v>0</v>
      </c>
      <c r="AZ468" s="252">
        <f t="shared" ref="AZ468:AZ531" si="201" xml:space="preserve"> IF( ISNUMBER(P468 ), 0, 1 )</f>
        <v>0</v>
      </c>
      <c r="BA468" s="237"/>
      <c r="BB468" s="237"/>
      <c r="BC468" s="252">
        <f t="shared" ref="BC468:BC531" si="202" xml:space="preserve"> IF( ISNUMBER(S468 ), 0, 1 )</f>
        <v>0</v>
      </c>
      <c r="BD468" s="237"/>
      <c r="BE468" s="237"/>
      <c r="BF468" s="237"/>
      <c r="BG468" s="237"/>
      <c r="BH468" s="237"/>
      <c r="BI468" s="237"/>
      <c r="BJ468" s="252">
        <f t="shared" ref="BJ468:BJ531" si="203" xml:space="preserve"> IF( ISNUMBER(Z468 ), 0, 1 )</f>
        <v>0</v>
      </c>
      <c r="BK468" s="252">
        <f t="shared" ref="BK468:BK531" si="204" xml:space="preserve"> IF( ISNUMBER(AA468 ), 0, 1 )</f>
        <v>0</v>
      </c>
      <c r="BL468" s="252">
        <f t="shared" ref="BL468:BL531" si="205" xml:space="preserve"> IF( ISNUMBER(AB468 ), 0, 1 )</f>
        <v>0</v>
      </c>
      <c r="BM468" s="252">
        <f t="shared" ref="BM468:BM531" si="206" xml:space="preserve"> IF( ISNUMBER(AC468 ), 0, 1 )</f>
        <v>0</v>
      </c>
      <c r="BN468" s="252">
        <f t="shared" ref="BN468:BN531" si="207" xml:space="preserve"> IF( ISNUMBER(AD468 ), 0, 1 )</f>
        <v>0</v>
      </c>
      <c r="BO468" s="252">
        <f t="shared" ref="BO468:BO531" si="208" xml:space="preserve"> IF( ISNUMBER(AF468 ), 0, 1 )</f>
        <v>1</v>
      </c>
      <c r="BP468" s="2578"/>
      <c r="BQ468" s="2562"/>
      <c r="BR468" s="2562"/>
      <c r="BS468" s="2585"/>
      <c r="BT468" s="2585"/>
      <c r="BU468" s="2585"/>
    </row>
    <row r="469" spans="1:73" s="22" customFormat="1" ht="15.75" customHeight="1">
      <c r="A469" s="2585"/>
      <c r="B469" s="44" t="s">
        <v>5145</v>
      </c>
      <c r="C469" s="45" t="s">
        <v>50</v>
      </c>
      <c r="D469" s="46" t="s">
        <v>4474</v>
      </c>
      <c r="E469" s="46" t="s">
        <v>4429</v>
      </c>
      <c r="F469" s="45" t="s">
        <v>4459</v>
      </c>
      <c r="G469" s="46" t="s">
        <v>4431</v>
      </c>
      <c r="H469" s="45" t="s">
        <v>4459</v>
      </c>
      <c r="I469" s="45" t="s">
        <v>4433</v>
      </c>
      <c r="J469" s="47">
        <v>43551</v>
      </c>
      <c r="K469" s="48">
        <v>100</v>
      </c>
      <c r="L469" s="47">
        <v>47205</v>
      </c>
      <c r="M469" s="1913">
        <v>5.9944444444444445</v>
      </c>
      <c r="N469" s="48">
        <v>100</v>
      </c>
      <c r="O469" s="49">
        <v>119.006</v>
      </c>
      <c r="P469" s="49">
        <v>119.006</v>
      </c>
      <c r="Q469" s="1884">
        <f>IFERROR(M469*O469,"")</f>
        <v>713.37485555555554</v>
      </c>
      <c r="R469" s="1932"/>
      <c r="S469" s="50">
        <v>4.7450000000000001E-3</v>
      </c>
      <c r="T469" s="1932"/>
      <c r="U469" s="1932"/>
      <c r="V469" s="1932"/>
      <c r="W469" s="1885">
        <f t="shared" si="192"/>
        <v>0.10599172075149443</v>
      </c>
      <c r="X469" s="1891">
        <f t="shared" si="193"/>
        <v>12.613650719752346</v>
      </c>
      <c r="Y469" s="1891">
        <f t="shared" si="194"/>
        <v>0.56468346999999997</v>
      </c>
      <c r="Z469" s="50">
        <v>0</v>
      </c>
      <c r="AA469" s="50">
        <v>0</v>
      </c>
      <c r="AB469" s="48">
        <v>-5.2125360000000003E-2</v>
      </c>
      <c r="AC469" s="48">
        <v>118.97744854340171</v>
      </c>
      <c r="AD469" s="48">
        <v>107.07182310093765</v>
      </c>
      <c r="AE469" s="45"/>
      <c r="AF469" s="51" t="s">
        <v>4435</v>
      </c>
      <c r="AG469" s="42"/>
      <c r="AH469" s="52" t="s">
        <v>5146</v>
      </c>
      <c r="AI469" s="197"/>
      <c r="AJ469" s="2578"/>
      <c r="AK469" s="251"/>
      <c r="AL469" s="2578"/>
      <c r="AM469" s="2562"/>
      <c r="AN469" s="2562"/>
      <c r="AO469" s="2562"/>
      <c r="AP469" s="2562"/>
      <c r="AQ469" s="2562"/>
      <c r="AR469" s="2562"/>
      <c r="AS469" s="2562"/>
      <c r="AT469" s="252">
        <f t="shared" si="195"/>
        <v>0</v>
      </c>
      <c r="AU469" s="252">
        <f t="shared" si="196"/>
        <v>0</v>
      </c>
      <c r="AV469" s="252">
        <f t="shared" si="197"/>
        <v>0</v>
      </c>
      <c r="AW469" s="252">
        <f t="shared" si="198"/>
        <v>0</v>
      </c>
      <c r="AX469" s="252">
        <f t="shared" si="199"/>
        <v>0</v>
      </c>
      <c r="AY469" s="252">
        <f t="shared" si="200"/>
        <v>0</v>
      </c>
      <c r="AZ469" s="252">
        <f t="shared" si="201"/>
        <v>0</v>
      </c>
      <c r="BA469" s="237"/>
      <c r="BB469" s="237"/>
      <c r="BC469" s="252">
        <f t="shared" si="202"/>
        <v>0</v>
      </c>
      <c r="BD469" s="237"/>
      <c r="BE469" s="237"/>
      <c r="BF469" s="237"/>
      <c r="BG469" s="237"/>
      <c r="BH469" s="237"/>
      <c r="BI469" s="237"/>
      <c r="BJ469" s="252">
        <f t="shared" si="203"/>
        <v>0</v>
      </c>
      <c r="BK469" s="252">
        <f t="shared" si="204"/>
        <v>0</v>
      </c>
      <c r="BL469" s="252">
        <f t="shared" si="205"/>
        <v>0</v>
      </c>
      <c r="BM469" s="252">
        <f t="shared" si="206"/>
        <v>0</v>
      </c>
      <c r="BN469" s="252">
        <f t="shared" si="207"/>
        <v>0</v>
      </c>
      <c r="BO469" s="252">
        <f t="shared" si="208"/>
        <v>1</v>
      </c>
      <c r="BP469" s="2578"/>
      <c r="BQ469" s="2562"/>
      <c r="BR469" s="2562"/>
      <c r="BS469" s="2585"/>
      <c r="BT469" s="2585"/>
      <c r="BU469" s="2585"/>
    </row>
    <row r="470" spans="1:73" s="22" customFormat="1" ht="15.75" customHeight="1">
      <c r="A470" s="2585"/>
      <c r="B470" s="44" t="s">
        <v>5147</v>
      </c>
      <c r="C470" s="45" t="s">
        <v>50</v>
      </c>
      <c r="D470" s="46" t="s">
        <v>4474</v>
      </c>
      <c r="E470" s="46" t="s">
        <v>4429</v>
      </c>
      <c r="F470" s="45" t="s">
        <v>4459</v>
      </c>
      <c r="G470" s="46" t="s">
        <v>4431</v>
      </c>
      <c r="H470" s="45" t="s">
        <v>4459</v>
      </c>
      <c r="I470" s="45" t="s">
        <v>4433</v>
      </c>
      <c r="J470" s="47">
        <v>44785</v>
      </c>
      <c r="K470" s="48">
        <v>100</v>
      </c>
      <c r="L470" s="47">
        <v>48438</v>
      </c>
      <c r="M470" s="1913">
        <v>9.3666666666666671</v>
      </c>
      <c r="N470" s="48">
        <v>100</v>
      </c>
      <c r="O470" s="49">
        <v>107.94199999999999</v>
      </c>
      <c r="P470" s="49">
        <v>107.94199999999999</v>
      </c>
      <c r="Q470" s="1884">
        <f t="shared" ref="Q470:Q533" si="209">IFERROR(M470*O470,"")</f>
        <v>1011.0567333333333</v>
      </c>
      <c r="R470" s="1932"/>
      <c r="S470" s="50">
        <v>6.9499999999999996E-3</v>
      </c>
      <c r="T470" s="1932"/>
      <c r="U470" s="1932"/>
      <c r="V470" s="1932"/>
      <c r="W470" s="1885">
        <f t="shared" si="192"/>
        <v>0.10841891545687443</v>
      </c>
      <c r="X470" s="1891">
        <f t="shared" si="193"/>
        <v>11.70295457224594</v>
      </c>
      <c r="Y470" s="1891">
        <f t="shared" si="194"/>
        <v>0.75019689999999994</v>
      </c>
      <c r="Z470" s="50">
        <v>0</v>
      </c>
      <c r="AA470" s="50">
        <v>0</v>
      </c>
      <c r="AB470" s="48">
        <v>-5.4437439999999997E-2</v>
      </c>
      <c r="AC470" s="48">
        <v>107.89050147663825</v>
      </c>
      <c r="AD470" s="48">
        <v>92.261755926274418</v>
      </c>
      <c r="AE470" s="45"/>
      <c r="AF470" s="51"/>
      <c r="AG470" s="42"/>
      <c r="AH470" s="52" t="s">
        <v>5148</v>
      </c>
      <c r="AI470" s="197"/>
      <c r="AJ470" s="2578"/>
      <c r="AK470" s="251"/>
      <c r="AL470" s="2578"/>
      <c r="AM470" s="2562"/>
      <c r="AN470" s="2562"/>
      <c r="AO470" s="2562"/>
      <c r="AP470" s="2562"/>
      <c r="AQ470" s="2562"/>
      <c r="AR470" s="2562"/>
      <c r="AS470" s="2562"/>
      <c r="AT470" s="252">
        <f t="shared" si="195"/>
        <v>0</v>
      </c>
      <c r="AU470" s="252">
        <f t="shared" si="196"/>
        <v>0</v>
      </c>
      <c r="AV470" s="252">
        <f t="shared" si="197"/>
        <v>0</v>
      </c>
      <c r="AW470" s="252">
        <f t="shared" si="198"/>
        <v>0</v>
      </c>
      <c r="AX470" s="252">
        <f t="shared" si="199"/>
        <v>0</v>
      </c>
      <c r="AY470" s="252">
        <f t="shared" si="200"/>
        <v>0</v>
      </c>
      <c r="AZ470" s="252">
        <f t="shared" si="201"/>
        <v>0</v>
      </c>
      <c r="BA470" s="237"/>
      <c r="BB470" s="237"/>
      <c r="BC470" s="252">
        <f t="shared" si="202"/>
        <v>0</v>
      </c>
      <c r="BD470" s="237"/>
      <c r="BE470" s="237"/>
      <c r="BF470" s="237"/>
      <c r="BG470" s="237"/>
      <c r="BH470" s="237"/>
      <c r="BI470" s="237"/>
      <c r="BJ470" s="252">
        <f t="shared" si="203"/>
        <v>0</v>
      </c>
      <c r="BK470" s="252">
        <f t="shared" si="204"/>
        <v>0</v>
      </c>
      <c r="BL470" s="252">
        <f t="shared" si="205"/>
        <v>0</v>
      </c>
      <c r="BM470" s="252">
        <f t="shared" si="206"/>
        <v>0</v>
      </c>
      <c r="BN470" s="252">
        <f t="shared" si="207"/>
        <v>0</v>
      </c>
      <c r="BO470" s="252">
        <f t="shared" si="208"/>
        <v>1</v>
      </c>
      <c r="BP470" s="2578"/>
      <c r="BQ470" s="2562"/>
      <c r="BR470" s="2562"/>
      <c r="BS470" s="2585"/>
      <c r="BT470" s="2585"/>
      <c r="BU470" s="2585"/>
    </row>
    <row r="471" spans="1:73" s="22" customFormat="1" ht="15.75" customHeight="1">
      <c r="A471" s="2585"/>
      <c r="B471" s="44"/>
      <c r="C471" s="45"/>
      <c r="D471" s="46"/>
      <c r="E471" s="46"/>
      <c r="F471" s="45"/>
      <c r="G471" s="46"/>
      <c r="H471" s="45"/>
      <c r="I471" s="45"/>
      <c r="J471" s="47"/>
      <c r="K471" s="48"/>
      <c r="L471" s="47"/>
      <c r="M471" s="1913"/>
      <c r="N471" s="48"/>
      <c r="O471" s="49"/>
      <c r="P471" s="49"/>
      <c r="Q471" s="1884">
        <f t="shared" si="209"/>
        <v>0</v>
      </c>
      <c r="R471" s="1932"/>
      <c r="S471" s="50"/>
      <c r="T471" s="1932"/>
      <c r="U471" s="1932"/>
      <c r="V471" s="1932"/>
      <c r="W471" s="1885">
        <f t="shared" si="192"/>
        <v>0</v>
      </c>
      <c r="X471" s="1891">
        <f t="shared" si="193"/>
        <v>0</v>
      </c>
      <c r="Y471" s="1891">
        <f t="shared" si="194"/>
        <v>0</v>
      </c>
      <c r="Z471" s="50"/>
      <c r="AA471" s="50"/>
      <c r="AB471" s="48"/>
      <c r="AC471" s="48"/>
      <c r="AD471" s="48"/>
      <c r="AE471" s="45"/>
      <c r="AF471" s="51"/>
      <c r="AG471" s="42"/>
      <c r="AH471" s="52" t="s">
        <v>5149</v>
      </c>
      <c r="AI471" s="197"/>
      <c r="AJ471" s="2578"/>
      <c r="AK471" s="251"/>
      <c r="AL471" s="2578"/>
      <c r="AM471" s="2562"/>
      <c r="AN471" s="2562"/>
      <c r="AO471" s="2562"/>
      <c r="AP471" s="2562"/>
      <c r="AQ471" s="2562"/>
      <c r="AR471" s="2562"/>
      <c r="AS471" s="2562"/>
      <c r="AT471" s="252">
        <f t="shared" si="195"/>
        <v>1</v>
      </c>
      <c r="AU471" s="252">
        <f t="shared" si="196"/>
        <v>1</v>
      </c>
      <c r="AV471" s="252">
        <f t="shared" si="197"/>
        <v>1</v>
      </c>
      <c r="AW471" s="252">
        <f t="shared" si="198"/>
        <v>1</v>
      </c>
      <c r="AX471" s="252">
        <f t="shared" si="199"/>
        <v>1</v>
      </c>
      <c r="AY471" s="252">
        <f t="shared" si="200"/>
        <v>1</v>
      </c>
      <c r="AZ471" s="252">
        <f t="shared" si="201"/>
        <v>1</v>
      </c>
      <c r="BA471" s="237"/>
      <c r="BB471" s="237"/>
      <c r="BC471" s="252">
        <f t="shared" si="202"/>
        <v>1</v>
      </c>
      <c r="BD471" s="237"/>
      <c r="BE471" s="237"/>
      <c r="BF471" s="237"/>
      <c r="BG471" s="237"/>
      <c r="BH471" s="237"/>
      <c r="BI471" s="237"/>
      <c r="BJ471" s="252">
        <f t="shared" si="203"/>
        <v>1</v>
      </c>
      <c r="BK471" s="252">
        <f t="shared" si="204"/>
        <v>1</v>
      </c>
      <c r="BL471" s="252">
        <f t="shared" si="205"/>
        <v>1</v>
      </c>
      <c r="BM471" s="252">
        <f t="shared" si="206"/>
        <v>1</v>
      </c>
      <c r="BN471" s="252">
        <f t="shared" si="207"/>
        <v>1</v>
      </c>
      <c r="BO471" s="252">
        <f t="shared" si="208"/>
        <v>1</v>
      </c>
      <c r="BP471" s="2578"/>
      <c r="BQ471" s="2562"/>
      <c r="BR471" s="2562"/>
      <c r="BS471" s="2585"/>
      <c r="BT471" s="2585"/>
      <c r="BU471" s="2585"/>
    </row>
    <row r="472" spans="1:73" s="22" customFormat="1" ht="15.75" hidden="1" customHeight="1" outlineLevel="1">
      <c r="A472" s="2585"/>
      <c r="B472" s="44"/>
      <c r="C472" s="45"/>
      <c r="D472" s="46"/>
      <c r="E472" s="46"/>
      <c r="F472" s="45"/>
      <c r="G472" s="46"/>
      <c r="H472" s="45"/>
      <c r="I472" s="45"/>
      <c r="J472" s="47"/>
      <c r="K472" s="48"/>
      <c r="L472" s="47"/>
      <c r="M472" s="1913"/>
      <c r="N472" s="48"/>
      <c r="O472" s="49"/>
      <c r="P472" s="49"/>
      <c r="Q472" s="1884">
        <f t="shared" si="209"/>
        <v>0</v>
      </c>
      <c r="R472" s="1932"/>
      <c r="S472" s="50"/>
      <c r="T472" s="1932"/>
      <c r="U472" s="1932"/>
      <c r="V472" s="1932"/>
      <c r="W472" s="1885">
        <f t="shared" si="192"/>
        <v>0</v>
      </c>
      <c r="X472" s="1891">
        <f t="shared" si="193"/>
        <v>0</v>
      </c>
      <c r="Y472" s="1891">
        <f t="shared" si="194"/>
        <v>0</v>
      </c>
      <c r="Z472" s="50"/>
      <c r="AA472" s="50"/>
      <c r="AB472" s="48"/>
      <c r="AC472" s="48"/>
      <c r="AD472" s="48"/>
      <c r="AE472" s="45"/>
      <c r="AF472" s="51"/>
      <c r="AG472" s="42"/>
      <c r="AH472" s="52" t="s">
        <v>5150</v>
      </c>
      <c r="AI472" s="197"/>
      <c r="AJ472" s="2578"/>
      <c r="AK472" s="251"/>
      <c r="AL472" s="2578"/>
      <c r="AM472" s="2562"/>
      <c r="AN472" s="2562"/>
      <c r="AO472" s="2562"/>
      <c r="AP472" s="2562"/>
      <c r="AQ472" s="2562"/>
      <c r="AR472" s="2562"/>
      <c r="AS472" s="2562"/>
      <c r="AT472" s="252">
        <f t="shared" si="195"/>
        <v>1</v>
      </c>
      <c r="AU472" s="252">
        <f t="shared" si="196"/>
        <v>1</v>
      </c>
      <c r="AV472" s="252">
        <f t="shared" si="197"/>
        <v>1</v>
      </c>
      <c r="AW472" s="252">
        <f t="shared" si="198"/>
        <v>1</v>
      </c>
      <c r="AX472" s="252">
        <f t="shared" si="199"/>
        <v>1</v>
      </c>
      <c r="AY472" s="252">
        <f t="shared" si="200"/>
        <v>1</v>
      </c>
      <c r="AZ472" s="252">
        <f t="shared" si="201"/>
        <v>1</v>
      </c>
      <c r="BA472" s="237"/>
      <c r="BB472" s="237"/>
      <c r="BC472" s="252">
        <f t="shared" si="202"/>
        <v>1</v>
      </c>
      <c r="BD472" s="237"/>
      <c r="BE472" s="237"/>
      <c r="BF472" s="237"/>
      <c r="BG472" s="237"/>
      <c r="BH472" s="237"/>
      <c r="BI472" s="237"/>
      <c r="BJ472" s="252">
        <f t="shared" si="203"/>
        <v>1</v>
      </c>
      <c r="BK472" s="252">
        <f t="shared" si="204"/>
        <v>1</v>
      </c>
      <c r="BL472" s="252">
        <f t="shared" si="205"/>
        <v>1</v>
      </c>
      <c r="BM472" s="252">
        <f t="shared" si="206"/>
        <v>1</v>
      </c>
      <c r="BN472" s="252">
        <f t="shared" si="207"/>
        <v>1</v>
      </c>
      <c r="BO472" s="252">
        <f t="shared" si="208"/>
        <v>1</v>
      </c>
      <c r="BP472" s="2578"/>
      <c r="BQ472" s="2562"/>
      <c r="BR472" s="2562"/>
      <c r="BS472" s="2585"/>
      <c r="BT472" s="2585"/>
      <c r="BU472" s="2585"/>
    </row>
    <row r="473" spans="1:73" s="22" customFormat="1" ht="15.75" hidden="1" customHeight="1" outlineLevel="1">
      <c r="A473" s="2585"/>
      <c r="B473" s="44"/>
      <c r="C473" s="45"/>
      <c r="D473" s="46"/>
      <c r="E473" s="46"/>
      <c r="F473" s="45"/>
      <c r="G473" s="46"/>
      <c r="H473" s="45"/>
      <c r="I473" s="45"/>
      <c r="J473" s="47"/>
      <c r="K473" s="48"/>
      <c r="L473" s="47"/>
      <c r="M473" s="1913"/>
      <c r="N473" s="48"/>
      <c r="O473" s="49"/>
      <c r="P473" s="49"/>
      <c r="Q473" s="1884">
        <f t="shared" si="209"/>
        <v>0</v>
      </c>
      <c r="R473" s="1932"/>
      <c r="S473" s="50"/>
      <c r="T473" s="1932"/>
      <c r="U473" s="1932"/>
      <c r="V473" s="1932"/>
      <c r="W473" s="1885">
        <f t="shared" si="192"/>
        <v>0</v>
      </c>
      <c r="X473" s="1891">
        <f t="shared" si="193"/>
        <v>0</v>
      </c>
      <c r="Y473" s="1891">
        <f t="shared" si="194"/>
        <v>0</v>
      </c>
      <c r="Z473" s="50"/>
      <c r="AA473" s="50"/>
      <c r="AB473" s="48"/>
      <c r="AC473" s="48"/>
      <c r="AD473" s="48"/>
      <c r="AE473" s="45"/>
      <c r="AF473" s="51"/>
      <c r="AG473" s="42"/>
      <c r="AH473" s="52" t="s">
        <v>5151</v>
      </c>
      <c r="AI473" s="197"/>
      <c r="AJ473" s="2578"/>
      <c r="AK473" s="251"/>
      <c r="AL473" s="2578"/>
      <c r="AM473" s="2562"/>
      <c r="AN473" s="2562"/>
      <c r="AO473" s="2562"/>
      <c r="AP473" s="2562"/>
      <c r="AQ473" s="2562"/>
      <c r="AR473" s="2562"/>
      <c r="AS473" s="2562"/>
      <c r="AT473" s="252">
        <f t="shared" si="195"/>
        <v>1</v>
      </c>
      <c r="AU473" s="252">
        <f t="shared" si="196"/>
        <v>1</v>
      </c>
      <c r="AV473" s="252">
        <f t="shared" si="197"/>
        <v>1</v>
      </c>
      <c r="AW473" s="252">
        <f t="shared" si="198"/>
        <v>1</v>
      </c>
      <c r="AX473" s="252">
        <f t="shared" si="199"/>
        <v>1</v>
      </c>
      <c r="AY473" s="252">
        <f t="shared" si="200"/>
        <v>1</v>
      </c>
      <c r="AZ473" s="252">
        <f t="shared" si="201"/>
        <v>1</v>
      </c>
      <c r="BA473" s="237"/>
      <c r="BB473" s="237"/>
      <c r="BC473" s="252">
        <f t="shared" si="202"/>
        <v>1</v>
      </c>
      <c r="BD473" s="237"/>
      <c r="BE473" s="237"/>
      <c r="BF473" s="237"/>
      <c r="BG473" s="237"/>
      <c r="BH473" s="237"/>
      <c r="BI473" s="237"/>
      <c r="BJ473" s="252">
        <f t="shared" si="203"/>
        <v>1</v>
      </c>
      <c r="BK473" s="252">
        <f t="shared" si="204"/>
        <v>1</v>
      </c>
      <c r="BL473" s="252">
        <f t="shared" si="205"/>
        <v>1</v>
      </c>
      <c r="BM473" s="252">
        <f t="shared" si="206"/>
        <v>1</v>
      </c>
      <c r="BN473" s="252">
        <f t="shared" si="207"/>
        <v>1</v>
      </c>
      <c r="BO473" s="252">
        <f t="shared" si="208"/>
        <v>1</v>
      </c>
      <c r="BP473" s="2578"/>
      <c r="BQ473" s="2562"/>
      <c r="BR473" s="2562"/>
      <c r="BS473" s="2585"/>
      <c r="BT473" s="2585"/>
      <c r="BU473" s="2585"/>
    </row>
    <row r="474" spans="1:73" s="22" customFormat="1" ht="15.75" hidden="1" customHeight="1" outlineLevel="1">
      <c r="A474" s="2585"/>
      <c r="B474" s="44"/>
      <c r="C474" s="45"/>
      <c r="D474" s="46"/>
      <c r="E474" s="46"/>
      <c r="F474" s="45"/>
      <c r="G474" s="46"/>
      <c r="H474" s="45"/>
      <c r="I474" s="45"/>
      <c r="J474" s="47"/>
      <c r="K474" s="48"/>
      <c r="L474" s="47"/>
      <c r="M474" s="1913"/>
      <c r="N474" s="48"/>
      <c r="O474" s="49"/>
      <c r="P474" s="49"/>
      <c r="Q474" s="1884">
        <f t="shared" si="209"/>
        <v>0</v>
      </c>
      <c r="R474" s="1932"/>
      <c r="S474" s="50"/>
      <c r="T474" s="1932"/>
      <c r="U474" s="1932"/>
      <c r="V474" s="1932"/>
      <c r="W474" s="1885">
        <f t="shared" si="192"/>
        <v>0</v>
      </c>
      <c r="X474" s="1891">
        <f t="shared" si="193"/>
        <v>0</v>
      </c>
      <c r="Y474" s="1891">
        <f t="shared" si="194"/>
        <v>0</v>
      </c>
      <c r="Z474" s="50"/>
      <c r="AA474" s="50"/>
      <c r="AB474" s="48"/>
      <c r="AC474" s="48"/>
      <c r="AD474" s="48"/>
      <c r="AE474" s="45"/>
      <c r="AF474" s="51"/>
      <c r="AG474" s="42"/>
      <c r="AH474" s="52" t="s">
        <v>5152</v>
      </c>
      <c r="AI474" s="197"/>
      <c r="AJ474" s="2578"/>
      <c r="AK474" s="251"/>
      <c r="AL474" s="2578"/>
      <c r="AM474" s="2562"/>
      <c r="AN474" s="2562"/>
      <c r="AO474" s="2562"/>
      <c r="AP474" s="2562"/>
      <c r="AQ474" s="2562"/>
      <c r="AR474" s="2562"/>
      <c r="AS474" s="2562"/>
      <c r="AT474" s="252">
        <f t="shared" si="195"/>
        <v>1</v>
      </c>
      <c r="AU474" s="252">
        <f t="shared" si="196"/>
        <v>1</v>
      </c>
      <c r="AV474" s="252">
        <f t="shared" si="197"/>
        <v>1</v>
      </c>
      <c r="AW474" s="252">
        <f t="shared" si="198"/>
        <v>1</v>
      </c>
      <c r="AX474" s="252">
        <f t="shared" si="199"/>
        <v>1</v>
      </c>
      <c r="AY474" s="252">
        <f t="shared" si="200"/>
        <v>1</v>
      </c>
      <c r="AZ474" s="252">
        <f t="shared" si="201"/>
        <v>1</v>
      </c>
      <c r="BA474" s="237"/>
      <c r="BB474" s="237"/>
      <c r="BC474" s="252">
        <f t="shared" si="202"/>
        <v>1</v>
      </c>
      <c r="BD474" s="237"/>
      <c r="BE474" s="237"/>
      <c r="BF474" s="237"/>
      <c r="BG474" s="237"/>
      <c r="BH474" s="237"/>
      <c r="BI474" s="237"/>
      <c r="BJ474" s="252">
        <f t="shared" si="203"/>
        <v>1</v>
      </c>
      <c r="BK474" s="252">
        <f t="shared" si="204"/>
        <v>1</v>
      </c>
      <c r="BL474" s="252">
        <f t="shared" si="205"/>
        <v>1</v>
      </c>
      <c r="BM474" s="252">
        <f t="shared" si="206"/>
        <v>1</v>
      </c>
      <c r="BN474" s="252">
        <f t="shared" si="207"/>
        <v>1</v>
      </c>
      <c r="BO474" s="252">
        <f t="shared" si="208"/>
        <v>1</v>
      </c>
      <c r="BP474" s="2578"/>
      <c r="BQ474" s="2562"/>
      <c r="BR474" s="2562"/>
      <c r="BS474" s="2585"/>
      <c r="BT474" s="2585"/>
      <c r="BU474" s="2585"/>
    </row>
    <row r="475" spans="1:73" s="22" customFormat="1" ht="15.75" hidden="1" customHeight="1" outlineLevel="1">
      <c r="A475" s="2585"/>
      <c r="B475" s="44"/>
      <c r="C475" s="45"/>
      <c r="D475" s="46"/>
      <c r="E475" s="46"/>
      <c r="F475" s="45"/>
      <c r="G475" s="46"/>
      <c r="H475" s="45"/>
      <c r="I475" s="45"/>
      <c r="J475" s="47"/>
      <c r="K475" s="48"/>
      <c r="L475" s="47"/>
      <c r="M475" s="1913"/>
      <c r="N475" s="48"/>
      <c r="O475" s="49"/>
      <c r="P475" s="49"/>
      <c r="Q475" s="1884">
        <f t="shared" si="209"/>
        <v>0</v>
      </c>
      <c r="R475" s="1932"/>
      <c r="S475" s="50"/>
      <c r="T475" s="1932"/>
      <c r="U475" s="1932"/>
      <c r="V475" s="1932"/>
      <c r="W475" s="1885">
        <f t="shared" si="192"/>
        <v>0</v>
      </c>
      <c r="X475" s="1891">
        <f t="shared" si="193"/>
        <v>0</v>
      </c>
      <c r="Y475" s="1891">
        <f t="shared" si="194"/>
        <v>0</v>
      </c>
      <c r="Z475" s="50"/>
      <c r="AA475" s="50"/>
      <c r="AB475" s="48"/>
      <c r="AC475" s="48"/>
      <c r="AD475" s="48"/>
      <c r="AE475" s="45"/>
      <c r="AF475" s="51"/>
      <c r="AG475" s="42"/>
      <c r="AH475" s="52" t="s">
        <v>5153</v>
      </c>
      <c r="AI475" s="197"/>
      <c r="AJ475" s="2578"/>
      <c r="AK475" s="251"/>
      <c r="AL475" s="2578"/>
      <c r="AM475" s="2562"/>
      <c r="AN475" s="2562"/>
      <c r="AO475" s="2562"/>
      <c r="AP475" s="2562"/>
      <c r="AQ475" s="2562"/>
      <c r="AR475" s="2562"/>
      <c r="AS475" s="2562"/>
      <c r="AT475" s="252">
        <f t="shared" si="195"/>
        <v>1</v>
      </c>
      <c r="AU475" s="252">
        <f t="shared" si="196"/>
        <v>1</v>
      </c>
      <c r="AV475" s="252">
        <f t="shared" si="197"/>
        <v>1</v>
      </c>
      <c r="AW475" s="252">
        <f t="shared" si="198"/>
        <v>1</v>
      </c>
      <c r="AX475" s="252">
        <f t="shared" si="199"/>
        <v>1</v>
      </c>
      <c r="AY475" s="252">
        <f t="shared" si="200"/>
        <v>1</v>
      </c>
      <c r="AZ475" s="252">
        <f t="shared" si="201"/>
        <v>1</v>
      </c>
      <c r="BA475" s="237"/>
      <c r="BB475" s="237"/>
      <c r="BC475" s="252">
        <f t="shared" si="202"/>
        <v>1</v>
      </c>
      <c r="BD475" s="237"/>
      <c r="BE475" s="237"/>
      <c r="BF475" s="237"/>
      <c r="BG475" s="237"/>
      <c r="BH475" s="237"/>
      <c r="BI475" s="237"/>
      <c r="BJ475" s="252">
        <f t="shared" si="203"/>
        <v>1</v>
      </c>
      <c r="BK475" s="252">
        <f t="shared" si="204"/>
        <v>1</v>
      </c>
      <c r="BL475" s="252">
        <f t="shared" si="205"/>
        <v>1</v>
      </c>
      <c r="BM475" s="252">
        <f t="shared" si="206"/>
        <v>1</v>
      </c>
      <c r="BN475" s="252">
        <f t="shared" si="207"/>
        <v>1</v>
      </c>
      <c r="BO475" s="252">
        <f t="shared" si="208"/>
        <v>1</v>
      </c>
      <c r="BP475" s="2578"/>
      <c r="BQ475" s="2562"/>
      <c r="BR475" s="2562"/>
      <c r="BS475" s="2585"/>
      <c r="BT475" s="2585"/>
      <c r="BU475" s="2585"/>
    </row>
    <row r="476" spans="1:73" s="22" customFormat="1" ht="15.75" hidden="1" customHeight="1" outlineLevel="1">
      <c r="A476" s="2585"/>
      <c r="B476" s="44"/>
      <c r="C476" s="45"/>
      <c r="D476" s="46"/>
      <c r="E476" s="46"/>
      <c r="F476" s="45"/>
      <c r="G476" s="46"/>
      <c r="H476" s="45"/>
      <c r="I476" s="45"/>
      <c r="J476" s="47"/>
      <c r="K476" s="48"/>
      <c r="L476" s="47"/>
      <c r="M476" s="1913"/>
      <c r="N476" s="48"/>
      <c r="O476" s="49"/>
      <c r="P476" s="49"/>
      <c r="Q476" s="1884">
        <f t="shared" si="209"/>
        <v>0</v>
      </c>
      <c r="R476" s="1932"/>
      <c r="S476" s="50"/>
      <c r="T476" s="1932"/>
      <c r="U476" s="1932"/>
      <c r="V476" s="1932"/>
      <c r="W476" s="1885">
        <f t="shared" si="192"/>
        <v>0</v>
      </c>
      <c r="X476" s="1891">
        <f t="shared" si="193"/>
        <v>0</v>
      </c>
      <c r="Y476" s="1891">
        <f t="shared" si="194"/>
        <v>0</v>
      </c>
      <c r="Z476" s="50"/>
      <c r="AA476" s="50"/>
      <c r="AB476" s="48"/>
      <c r="AC476" s="48"/>
      <c r="AD476" s="48"/>
      <c r="AE476" s="45"/>
      <c r="AF476" s="51"/>
      <c r="AG476" s="42"/>
      <c r="AH476" s="52" t="s">
        <v>5154</v>
      </c>
      <c r="AI476" s="197"/>
      <c r="AJ476" s="2578"/>
      <c r="AK476" s="251"/>
      <c r="AL476" s="2578"/>
      <c r="AM476" s="2562"/>
      <c r="AN476" s="2562"/>
      <c r="AO476" s="2562"/>
      <c r="AP476" s="2562"/>
      <c r="AQ476" s="2562"/>
      <c r="AR476" s="2562"/>
      <c r="AS476" s="2562"/>
      <c r="AT476" s="252">
        <f t="shared" si="195"/>
        <v>1</v>
      </c>
      <c r="AU476" s="252">
        <f t="shared" si="196"/>
        <v>1</v>
      </c>
      <c r="AV476" s="252">
        <f t="shared" si="197"/>
        <v>1</v>
      </c>
      <c r="AW476" s="252">
        <f t="shared" si="198"/>
        <v>1</v>
      </c>
      <c r="AX476" s="252">
        <f t="shared" si="199"/>
        <v>1</v>
      </c>
      <c r="AY476" s="252">
        <f t="shared" si="200"/>
        <v>1</v>
      </c>
      <c r="AZ476" s="252">
        <f t="shared" si="201"/>
        <v>1</v>
      </c>
      <c r="BA476" s="237"/>
      <c r="BB476" s="237"/>
      <c r="BC476" s="252">
        <f t="shared" si="202"/>
        <v>1</v>
      </c>
      <c r="BD476" s="237"/>
      <c r="BE476" s="237"/>
      <c r="BF476" s="237"/>
      <c r="BG476" s="237"/>
      <c r="BH476" s="237"/>
      <c r="BI476" s="237"/>
      <c r="BJ476" s="252">
        <f t="shared" si="203"/>
        <v>1</v>
      </c>
      <c r="BK476" s="252">
        <f t="shared" si="204"/>
        <v>1</v>
      </c>
      <c r="BL476" s="252">
        <f t="shared" si="205"/>
        <v>1</v>
      </c>
      <c r="BM476" s="252">
        <f t="shared" si="206"/>
        <v>1</v>
      </c>
      <c r="BN476" s="252">
        <f t="shared" si="207"/>
        <v>1</v>
      </c>
      <c r="BO476" s="252">
        <f t="shared" si="208"/>
        <v>1</v>
      </c>
      <c r="BP476" s="2578"/>
      <c r="BQ476" s="2562"/>
      <c r="BR476" s="2562"/>
      <c r="BS476" s="2585"/>
      <c r="BT476" s="2585"/>
      <c r="BU476" s="2585"/>
    </row>
    <row r="477" spans="1:73" s="22" customFormat="1" ht="15.75" hidden="1" customHeight="1" outlineLevel="1">
      <c r="A477" s="2585"/>
      <c r="B477" s="44"/>
      <c r="C477" s="45"/>
      <c r="D477" s="46"/>
      <c r="E477" s="46"/>
      <c r="F477" s="45"/>
      <c r="G477" s="46"/>
      <c r="H477" s="45"/>
      <c r="I477" s="45"/>
      <c r="J477" s="47"/>
      <c r="K477" s="48"/>
      <c r="L477" s="47"/>
      <c r="M477" s="1913"/>
      <c r="N477" s="48"/>
      <c r="O477" s="49"/>
      <c r="P477" s="49"/>
      <c r="Q477" s="1884">
        <f t="shared" si="209"/>
        <v>0</v>
      </c>
      <c r="R477" s="1932"/>
      <c r="S477" s="50"/>
      <c r="T477" s="1932"/>
      <c r="U477" s="1932"/>
      <c r="V477" s="1932"/>
      <c r="W477" s="1885">
        <f t="shared" si="192"/>
        <v>0</v>
      </c>
      <c r="X477" s="1891">
        <f t="shared" si="193"/>
        <v>0</v>
      </c>
      <c r="Y477" s="1891">
        <f t="shared" si="194"/>
        <v>0</v>
      </c>
      <c r="Z477" s="50"/>
      <c r="AA477" s="50"/>
      <c r="AB477" s="48"/>
      <c r="AC477" s="48"/>
      <c r="AD477" s="48"/>
      <c r="AE477" s="45"/>
      <c r="AF477" s="51"/>
      <c r="AG477" s="42"/>
      <c r="AH477" s="52" t="s">
        <v>5155</v>
      </c>
      <c r="AI477" s="197"/>
      <c r="AJ477" s="2578"/>
      <c r="AK477" s="251"/>
      <c r="AL477" s="2578"/>
      <c r="AM477" s="2562"/>
      <c r="AN477" s="2562"/>
      <c r="AO477" s="2562"/>
      <c r="AP477" s="2562"/>
      <c r="AQ477" s="2562"/>
      <c r="AR477" s="2562"/>
      <c r="AS477" s="2562"/>
      <c r="AT477" s="252">
        <f t="shared" si="195"/>
        <v>1</v>
      </c>
      <c r="AU477" s="252">
        <f t="shared" si="196"/>
        <v>1</v>
      </c>
      <c r="AV477" s="252">
        <f t="shared" si="197"/>
        <v>1</v>
      </c>
      <c r="AW477" s="252">
        <f t="shared" si="198"/>
        <v>1</v>
      </c>
      <c r="AX477" s="252">
        <f t="shared" si="199"/>
        <v>1</v>
      </c>
      <c r="AY477" s="252">
        <f t="shared" si="200"/>
        <v>1</v>
      </c>
      <c r="AZ477" s="252">
        <f t="shared" si="201"/>
        <v>1</v>
      </c>
      <c r="BA477" s="237"/>
      <c r="BB477" s="237"/>
      <c r="BC477" s="252">
        <f t="shared" si="202"/>
        <v>1</v>
      </c>
      <c r="BD477" s="237"/>
      <c r="BE477" s="237"/>
      <c r="BF477" s="237"/>
      <c r="BG477" s="237"/>
      <c r="BH477" s="237"/>
      <c r="BI477" s="237"/>
      <c r="BJ477" s="252">
        <f t="shared" si="203"/>
        <v>1</v>
      </c>
      <c r="BK477" s="252">
        <f t="shared" si="204"/>
        <v>1</v>
      </c>
      <c r="BL477" s="252">
        <f t="shared" si="205"/>
        <v>1</v>
      </c>
      <c r="BM477" s="252">
        <f t="shared" si="206"/>
        <v>1</v>
      </c>
      <c r="BN477" s="252">
        <f t="shared" si="207"/>
        <v>1</v>
      </c>
      <c r="BO477" s="252">
        <f t="shared" si="208"/>
        <v>1</v>
      </c>
      <c r="BP477" s="2578"/>
      <c r="BQ477" s="2562"/>
      <c r="BR477" s="2562"/>
      <c r="BS477" s="2585"/>
      <c r="BT477" s="2585"/>
      <c r="BU477" s="2585"/>
    </row>
    <row r="478" spans="1:73" s="22" customFormat="1" ht="15.75" hidden="1" customHeight="1" outlineLevel="1">
      <c r="A478" s="2585"/>
      <c r="B478" s="44"/>
      <c r="C478" s="45"/>
      <c r="D478" s="46"/>
      <c r="E478" s="46"/>
      <c r="F478" s="45"/>
      <c r="G478" s="46"/>
      <c r="H478" s="45"/>
      <c r="I478" s="45"/>
      <c r="J478" s="47"/>
      <c r="K478" s="48"/>
      <c r="L478" s="47"/>
      <c r="M478" s="1913"/>
      <c r="N478" s="48"/>
      <c r="O478" s="49"/>
      <c r="P478" s="49"/>
      <c r="Q478" s="1884">
        <f t="shared" si="209"/>
        <v>0</v>
      </c>
      <c r="R478" s="1932"/>
      <c r="S478" s="50"/>
      <c r="T478" s="1932"/>
      <c r="U478" s="1932"/>
      <c r="V478" s="1932"/>
      <c r="W478" s="1885">
        <f t="shared" si="192"/>
        <v>0</v>
      </c>
      <c r="X478" s="1891">
        <f t="shared" si="193"/>
        <v>0</v>
      </c>
      <c r="Y478" s="1891">
        <f t="shared" si="194"/>
        <v>0</v>
      </c>
      <c r="Z478" s="50"/>
      <c r="AA478" s="50"/>
      <c r="AB478" s="48"/>
      <c r="AC478" s="48"/>
      <c r="AD478" s="48"/>
      <c r="AE478" s="45"/>
      <c r="AF478" s="51"/>
      <c r="AG478" s="42"/>
      <c r="AH478" s="52" t="s">
        <v>5156</v>
      </c>
      <c r="AI478" s="197"/>
      <c r="AJ478" s="2578"/>
      <c r="AK478" s="251"/>
      <c r="AL478" s="2578"/>
      <c r="AM478" s="2562"/>
      <c r="AN478" s="2562"/>
      <c r="AO478" s="2562"/>
      <c r="AP478" s="2562"/>
      <c r="AQ478" s="2562"/>
      <c r="AR478" s="2562"/>
      <c r="AS478" s="2562"/>
      <c r="AT478" s="252">
        <f t="shared" si="195"/>
        <v>1</v>
      </c>
      <c r="AU478" s="252">
        <f t="shared" si="196"/>
        <v>1</v>
      </c>
      <c r="AV478" s="252">
        <f t="shared" si="197"/>
        <v>1</v>
      </c>
      <c r="AW478" s="252">
        <f t="shared" si="198"/>
        <v>1</v>
      </c>
      <c r="AX478" s="252">
        <f t="shared" si="199"/>
        <v>1</v>
      </c>
      <c r="AY478" s="252">
        <f t="shared" si="200"/>
        <v>1</v>
      </c>
      <c r="AZ478" s="252">
        <f t="shared" si="201"/>
        <v>1</v>
      </c>
      <c r="BA478" s="237"/>
      <c r="BB478" s="237"/>
      <c r="BC478" s="252">
        <f t="shared" si="202"/>
        <v>1</v>
      </c>
      <c r="BD478" s="237"/>
      <c r="BE478" s="237"/>
      <c r="BF478" s="237"/>
      <c r="BG478" s="237"/>
      <c r="BH478" s="237"/>
      <c r="BI478" s="237"/>
      <c r="BJ478" s="252">
        <f t="shared" si="203"/>
        <v>1</v>
      </c>
      <c r="BK478" s="252">
        <f t="shared" si="204"/>
        <v>1</v>
      </c>
      <c r="BL478" s="252">
        <f t="shared" si="205"/>
        <v>1</v>
      </c>
      <c r="BM478" s="252">
        <f t="shared" si="206"/>
        <v>1</v>
      </c>
      <c r="BN478" s="252">
        <f t="shared" si="207"/>
        <v>1</v>
      </c>
      <c r="BO478" s="252">
        <f t="shared" si="208"/>
        <v>1</v>
      </c>
      <c r="BP478" s="2578"/>
      <c r="BQ478" s="2562"/>
      <c r="BR478" s="2562"/>
      <c r="BS478" s="2585"/>
      <c r="BT478" s="2585"/>
      <c r="BU478" s="2585"/>
    </row>
    <row r="479" spans="1:73" s="22" customFormat="1" ht="15.75" hidden="1" customHeight="1" outlineLevel="1">
      <c r="A479" s="2585"/>
      <c r="B479" s="44"/>
      <c r="C479" s="45"/>
      <c r="D479" s="46"/>
      <c r="E479" s="46"/>
      <c r="F479" s="45"/>
      <c r="G479" s="46"/>
      <c r="H479" s="45"/>
      <c r="I479" s="45"/>
      <c r="J479" s="47"/>
      <c r="K479" s="48"/>
      <c r="L479" s="47"/>
      <c r="M479" s="1913"/>
      <c r="N479" s="48"/>
      <c r="O479" s="49"/>
      <c r="P479" s="49"/>
      <c r="Q479" s="1884">
        <f t="shared" si="209"/>
        <v>0</v>
      </c>
      <c r="R479" s="1932"/>
      <c r="S479" s="50"/>
      <c r="T479" s="1932"/>
      <c r="U479" s="1932"/>
      <c r="V479" s="1932"/>
      <c r="W479" s="1885">
        <f t="shared" si="192"/>
        <v>0</v>
      </c>
      <c r="X479" s="1891">
        <f t="shared" si="193"/>
        <v>0</v>
      </c>
      <c r="Y479" s="1891">
        <f t="shared" si="194"/>
        <v>0</v>
      </c>
      <c r="Z479" s="50"/>
      <c r="AA479" s="50"/>
      <c r="AB479" s="48"/>
      <c r="AC479" s="48"/>
      <c r="AD479" s="48"/>
      <c r="AE479" s="45"/>
      <c r="AF479" s="51"/>
      <c r="AG479" s="42"/>
      <c r="AH479" s="52" t="s">
        <v>5157</v>
      </c>
      <c r="AI479" s="197"/>
      <c r="AJ479" s="2578"/>
      <c r="AK479" s="251"/>
      <c r="AL479" s="2578"/>
      <c r="AM479" s="2562"/>
      <c r="AN479" s="2562"/>
      <c r="AO479" s="2562"/>
      <c r="AP479" s="2562"/>
      <c r="AQ479" s="2562"/>
      <c r="AR479" s="2562"/>
      <c r="AS479" s="2562"/>
      <c r="AT479" s="252">
        <f t="shared" si="195"/>
        <v>1</v>
      </c>
      <c r="AU479" s="252">
        <f t="shared" si="196"/>
        <v>1</v>
      </c>
      <c r="AV479" s="252">
        <f t="shared" si="197"/>
        <v>1</v>
      </c>
      <c r="AW479" s="252">
        <f t="shared" si="198"/>
        <v>1</v>
      </c>
      <c r="AX479" s="252">
        <f t="shared" si="199"/>
        <v>1</v>
      </c>
      <c r="AY479" s="252">
        <f t="shared" si="200"/>
        <v>1</v>
      </c>
      <c r="AZ479" s="252">
        <f t="shared" si="201"/>
        <v>1</v>
      </c>
      <c r="BA479" s="237"/>
      <c r="BB479" s="237"/>
      <c r="BC479" s="252">
        <f t="shared" si="202"/>
        <v>1</v>
      </c>
      <c r="BD479" s="237"/>
      <c r="BE479" s="237"/>
      <c r="BF479" s="237"/>
      <c r="BG479" s="237"/>
      <c r="BH479" s="237"/>
      <c r="BI479" s="237"/>
      <c r="BJ479" s="252">
        <f t="shared" si="203"/>
        <v>1</v>
      </c>
      <c r="BK479" s="252">
        <f t="shared" si="204"/>
        <v>1</v>
      </c>
      <c r="BL479" s="252">
        <f t="shared" si="205"/>
        <v>1</v>
      </c>
      <c r="BM479" s="252">
        <f t="shared" si="206"/>
        <v>1</v>
      </c>
      <c r="BN479" s="252">
        <f t="shared" si="207"/>
        <v>1</v>
      </c>
      <c r="BO479" s="252">
        <f t="shared" si="208"/>
        <v>1</v>
      </c>
      <c r="BP479" s="2578"/>
      <c r="BQ479" s="2562"/>
      <c r="BR479" s="2562"/>
      <c r="BS479" s="2585"/>
      <c r="BT479" s="2585"/>
      <c r="BU479" s="2585"/>
    </row>
    <row r="480" spans="1:73" s="22" customFormat="1" ht="15.75" hidden="1" customHeight="1" outlineLevel="1">
      <c r="A480" s="2585"/>
      <c r="B480" s="44"/>
      <c r="C480" s="45"/>
      <c r="D480" s="46"/>
      <c r="E480" s="46"/>
      <c r="F480" s="45"/>
      <c r="G480" s="46"/>
      <c r="H480" s="45"/>
      <c r="I480" s="45"/>
      <c r="J480" s="47"/>
      <c r="K480" s="48"/>
      <c r="L480" s="47"/>
      <c r="M480" s="1913"/>
      <c r="N480" s="48"/>
      <c r="O480" s="49"/>
      <c r="P480" s="49"/>
      <c r="Q480" s="1884">
        <f t="shared" si="209"/>
        <v>0</v>
      </c>
      <c r="R480" s="1932"/>
      <c r="S480" s="50"/>
      <c r="T480" s="1932"/>
      <c r="U480" s="1932"/>
      <c r="V480" s="1932"/>
      <c r="W480" s="1885">
        <f t="shared" si="192"/>
        <v>0</v>
      </c>
      <c r="X480" s="1891">
        <f t="shared" si="193"/>
        <v>0</v>
      </c>
      <c r="Y480" s="1891">
        <f t="shared" si="194"/>
        <v>0</v>
      </c>
      <c r="Z480" s="50"/>
      <c r="AA480" s="50"/>
      <c r="AB480" s="48"/>
      <c r="AC480" s="48"/>
      <c r="AD480" s="48"/>
      <c r="AE480" s="45"/>
      <c r="AF480" s="51"/>
      <c r="AG480" s="42"/>
      <c r="AH480" s="52" t="s">
        <v>5158</v>
      </c>
      <c r="AI480" s="197"/>
      <c r="AJ480" s="2578"/>
      <c r="AK480" s="251"/>
      <c r="AL480" s="2578"/>
      <c r="AM480" s="2562"/>
      <c r="AN480" s="2562"/>
      <c r="AO480" s="2562"/>
      <c r="AP480" s="2562"/>
      <c r="AQ480" s="2562"/>
      <c r="AR480" s="2562"/>
      <c r="AS480" s="2562"/>
      <c r="AT480" s="252">
        <f t="shared" si="195"/>
        <v>1</v>
      </c>
      <c r="AU480" s="252">
        <f t="shared" si="196"/>
        <v>1</v>
      </c>
      <c r="AV480" s="252">
        <f t="shared" si="197"/>
        <v>1</v>
      </c>
      <c r="AW480" s="252">
        <f t="shared" si="198"/>
        <v>1</v>
      </c>
      <c r="AX480" s="252">
        <f t="shared" si="199"/>
        <v>1</v>
      </c>
      <c r="AY480" s="252">
        <f t="shared" si="200"/>
        <v>1</v>
      </c>
      <c r="AZ480" s="252">
        <f t="shared" si="201"/>
        <v>1</v>
      </c>
      <c r="BA480" s="237"/>
      <c r="BB480" s="237"/>
      <c r="BC480" s="252">
        <f t="shared" si="202"/>
        <v>1</v>
      </c>
      <c r="BD480" s="237"/>
      <c r="BE480" s="237"/>
      <c r="BF480" s="237"/>
      <c r="BG480" s="237"/>
      <c r="BH480" s="237"/>
      <c r="BI480" s="237"/>
      <c r="BJ480" s="252">
        <f t="shared" si="203"/>
        <v>1</v>
      </c>
      <c r="BK480" s="252">
        <f t="shared" si="204"/>
        <v>1</v>
      </c>
      <c r="BL480" s="252">
        <f t="shared" si="205"/>
        <v>1</v>
      </c>
      <c r="BM480" s="252">
        <f t="shared" si="206"/>
        <v>1</v>
      </c>
      <c r="BN480" s="252">
        <f t="shared" si="207"/>
        <v>1</v>
      </c>
      <c r="BO480" s="252">
        <f t="shared" si="208"/>
        <v>1</v>
      </c>
      <c r="BP480" s="2578"/>
      <c r="BQ480" s="2562"/>
      <c r="BR480" s="2562"/>
      <c r="BS480" s="2585"/>
      <c r="BT480" s="2585"/>
      <c r="BU480" s="2585"/>
    </row>
    <row r="481" spans="1:73" s="22" customFormat="1" ht="15.75" hidden="1" customHeight="1" outlineLevel="1">
      <c r="A481" s="2585"/>
      <c r="B481" s="44"/>
      <c r="C481" s="45"/>
      <c r="D481" s="46"/>
      <c r="E481" s="46"/>
      <c r="F481" s="45"/>
      <c r="G481" s="46"/>
      <c r="H481" s="45"/>
      <c r="I481" s="45"/>
      <c r="J481" s="47"/>
      <c r="K481" s="48"/>
      <c r="L481" s="47"/>
      <c r="M481" s="1913"/>
      <c r="N481" s="48"/>
      <c r="O481" s="49"/>
      <c r="P481" s="49"/>
      <c r="Q481" s="1884">
        <f t="shared" si="209"/>
        <v>0</v>
      </c>
      <c r="R481" s="1932"/>
      <c r="S481" s="50"/>
      <c r="T481" s="1932"/>
      <c r="U481" s="1932"/>
      <c r="V481" s="1932"/>
      <c r="W481" s="1885">
        <f t="shared" si="192"/>
        <v>0</v>
      </c>
      <c r="X481" s="1891">
        <f t="shared" si="193"/>
        <v>0</v>
      </c>
      <c r="Y481" s="1891">
        <f t="shared" si="194"/>
        <v>0</v>
      </c>
      <c r="Z481" s="50"/>
      <c r="AA481" s="50"/>
      <c r="AB481" s="48"/>
      <c r="AC481" s="48"/>
      <c r="AD481" s="48"/>
      <c r="AE481" s="45"/>
      <c r="AF481" s="51"/>
      <c r="AG481" s="42"/>
      <c r="AH481" s="52" t="s">
        <v>5159</v>
      </c>
      <c r="AI481" s="197"/>
      <c r="AJ481" s="2578"/>
      <c r="AK481" s="251"/>
      <c r="AL481" s="2578"/>
      <c r="AM481" s="2562"/>
      <c r="AN481" s="2562"/>
      <c r="AO481" s="2562"/>
      <c r="AP481" s="2562"/>
      <c r="AQ481" s="2562"/>
      <c r="AR481" s="2562"/>
      <c r="AS481" s="2562"/>
      <c r="AT481" s="252">
        <f t="shared" si="195"/>
        <v>1</v>
      </c>
      <c r="AU481" s="252">
        <f t="shared" si="196"/>
        <v>1</v>
      </c>
      <c r="AV481" s="252">
        <f t="shared" si="197"/>
        <v>1</v>
      </c>
      <c r="AW481" s="252">
        <f t="shared" si="198"/>
        <v>1</v>
      </c>
      <c r="AX481" s="252">
        <f t="shared" si="199"/>
        <v>1</v>
      </c>
      <c r="AY481" s="252">
        <f t="shared" si="200"/>
        <v>1</v>
      </c>
      <c r="AZ481" s="252">
        <f t="shared" si="201"/>
        <v>1</v>
      </c>
      <c r="BA481" s="237"/>
      <c r="BB481" s="237"/>
      <c r="BC481" s="252">
        <f t="shared" si="202"/>
        <v>1</v>
      </c>
      <c r="BD481" s="237"/>
      <c r="BE481" s="237"/>
      <c r="BF481" s="237"/>
      <c r="BG481" s="237"/>
      <c r="BH481" s="237"/>
      <c r="BI481" s="237"/>
      <c r="BJ481" s="252">
        <f t="shared" si="203"/>
        <v>1</v>
      </c>
      <c r="BK481" s="252">
        <f t="shared" si="204"/>
        <v>1</v>
      </c>
      <c r="BL481" s="252">
        <f t="shared" si="205"/>
        <v>1</v>
      </c>
      <c r="BM481" s="252">
        <f t="shared" si="206"/>
        <v>1</v>
      </c>
      <c r="BN481" s="252">
        <f t="shared" si="207"/>
        <v>1</v>
      </c>
      <c r="BO481" s="252">
        <f t="shared" si="208"/>
        <v>1</v>
      </c>
      <c r="BP481" s="2578"/>
      <c r="BQ481" s="2562"/>
      <c r="BR481" s="2562"/>
      <c r="BS481" s="2585"/>
      <c r="BT481" s="2585"/>
      <c r="BU481" s="2585"/>
    </row>
    <row r="482" spans="1:73" s="22" customFormat="1" ht="15.75" hidden="1" customHeight="1" outlineLevel="1">
      <c r="A482" s="2585"/>
      <c r="B482" s="44"/>
      <c r="C482" s="45"/>
      <c r="D482" s="46"/>
      <c r="E482" s="46"/>
      <c r="F482" s="45"/>
      <c r="G482" s="46"/>
      <c r="H482" s="45"/>
      <c r="I482" s="45"/>
      <c r="J482" s="47"/>
      <c r="K482" s="48"/>
      <c r="L482" s="47"/>
      <c r="M482" s="1913"/>
      <c r="N482" s="48"/>
      <c r="O482" s="49"/>
      <c r="P482" s="49"/>
      <c r="Q482" s="1884">
        <f t="shared" si="209"/>
        <v>0</v>
      </c>
      <c r="R482" s="1932"/>
      <c r="S482" s="50"/>
      <c r="T482" s="1932"/>
      <c r="U482" s="1932"/>
      <c r="V482" s="1932"/>
      <c r="W482" s="1885">
        <f t="shared" si="192"/>
        <v>0</v>
      </c>
      <c r="X482" s="1891">
        <f t="shared" si="193"/>
        <v>0</v>
      </c>
      <c r="Y482" s="1891">
        <f t="shared" si="194"/>
        <v>0</v>
      </c>
      <c r="Z482" s="50"/>
      <c r="AA482" s="50"/>
      <c r="AB482" s="48"/>
      <c r="AC482" s="48"/>
      <c r="AD482" s="48"/>
      <c r="AE482" s="45"/>
      <c r="AF482" s="51"/>
      <c r="AG482" s="42"/>
      <c r="AH482" s="52" t="s">
        <v>5160</v>
      </c>
      <c r="AI482" s="197"/>
      <c r="AJ482" s="2578"/>
      <c r="AK482" s="251"/>
      <c r="AL482" s="2578"/>
      <c r="AM482" s="2562"/>
      <c r="AN482" s="2562"/>
      <c r="AO482" s="2562"/>
      <c r="AP482" s="2562"/>
      <c r="AQ482" s="2562"/>
      <c r="AR482" s="2562"/>
      <c r="AS482" s="2562"/>
      <c r="AT482" s="252">
        <f t="shared" si="195"/>
        <v>1</v>
      </c>
      <c r="AU482" s="252">
        <f t="shared" si="196"/>
        <v>1</v>
      </c>
      <c r="AV482" s="252">
        <f t="shared" si="197"/>
        <v>1</v>
      </c>
      <c r="AW482" s="252">
        <f t="shared" si="198"/>
        <v>1</v>
      </c>
      <c r="AX482" s="252">
        <f t="shared" si="199"/>
        <v>1</v>
      </c>
      <c r="AY482" s="252">
        <f t="shared" si="200"/>
        <v>1</v>
      </c>
      <c r="AZ482" s="252">
        <f t="shared" si="201"/>
        <v>1</v>
      </c>
      <c r="BA482" s="237"/>
      <c r="BB482" s="237"/>
      <c r="BC482" s="252">
        <f t="shared" si="202"/>
        <v>1</v>
      </c>
      <c r="BD482" s="237"/>
      <c r="BE482" s="237"/>
      <c r="BF482" s="237"/>
      <c r="BG482" s="237"/>
      <c r="BH482" s="237"/>
      <c r="BI482" s="237"/>
      <c r="BJ482" s="252">
        <f t="shared" si="203"/>
        <v>1</v>
      </c>
      <c r="BK482" s="252">
        <f t="shared" si="204"/>
        <v>1</v>
      </c>
      <c r="BL482" s="252">
        <f t="shared" si="205"/>
        <v>1</v>
      </c>
      <c r="BM482" s="252">
        <f t="shared" si="206"/>
        <v>1</v>
      </c>
      <c r="BN482" s="252">
        <f t="shared" si="207"/>
        <v>1</v>
      </c>
      <c r="BO482" s="252">
        <f t="shared" si="208"/>
        <v>1</v>
      </c>
      <c r="BP482" s="2578"/>
      <c r="BQ482" s="2562"/>
      <c r="BR482" s="2562"/>
      <c r="BS482" s="2585"/>
      <c r="BT482" s="2585"/>
      <c r="BU482" s="2585"/>
    </row>
    <row r="483" spans="1:73" s="22" customFormat="1" ht="15.75" hidden="1" customHeight="1" outlineLevel="1">
      <c r="A483" s="2585"/>
      <c r="B483" s="44"/>
      <c r="C483" s="45"/>
      <c r="D483" s="46"/>
      <c r="E483" s="46"/>
      <c r="F483" s="45"/>
      <c r="G483" s="46"/>
      <c r="H483" s="45"/>
      <c r="I483" s="45"/>
      <c r="J483" s="47"/>
      <c r="K483" s="48"/>
      <c r="L483" s="47"/>
      <c r="M483" s="1913"/>
      <c r="N483" s="48"/>
      <c r="O483" s="49"/>
      <c r="P483" s="49"/>
      <c r="Q483" s="1884">
        <f t="shared" si="209"/>
        <v>0</v>
      </c>
      <c r="R483" s="1932"/>
      <c r="S483" s="50"/>
      <c r="T483" s="1932"/>
      <c r="U483" s="1932"/>
      <c r="V483" s="1932"/>
      <c r="W483" s="1885">
        <f t="shared" si="192"/>
        <v>0</v>
      </c>
      <c r="X483" s="1891">
        <f t="shared" si="193"/>
        <v>0</v>
      </c>
      <c r="Y483" s="1891">
        <f t="shared" si="194"/>
        <v>0</v>
      </c>
      <c r="Z483" s="50"/>
      <c r="AA483" s="50"/>
      <c r="AB483" s="48"/>
      <c r="AC483" s="48"/>
      <c r="AD483" s="48"/>
      <c r="AE483" s="45"/>
      <c r="AF483" s="51"/>
      <c r="AG483" s="42"/>
      <c r="AH483" s="52" t="s">
        <v>5161</v>
      </c>
      <c r="AI483" s="197"/>
      <c r="AJ483" s="2578"/>
      <c r="AK483" s="251"/>
      <c r="AL483" s="2578"/>
      <c r="AM483" s="2562"/>
      <c r="AN483" s="2562"/>
      <c r="AO483" s="2562"/>
      <c r="AP483" s="2562"/>
      <c r="AQ483" s="2562"/>
      <c r="AR483" s="2562"/>
      <c r="AS483" s="2562"/>
      <c r="AT483" s="252">
        <f t="shared" si="195"/>
        <v>1</v>
      </c>
      <c r="AU483" s="252">
        <f t="shared" si="196"/>
        <v>1</v>
      </c>
      <c r="AV483" s="252">
        <f t="shared" si="197"/>
        <v>1</v>
      </c>
      <c r="AW483" s="252">
        <f t="shared" si="198"/>
        <v>1</v>
      </c>
      <c r="AX483" s="252">
        <f t="shared" si="199"/>
        <v>1</v>
      </c>
      <c r="AY483" s="252">
        <f t="shared" si="200"/>
        <v>1</v>
      </c>
      <c r="AZ483" s="252">
        <f t="shared" si="201"/>
        <v>1</v>
      </c>
      <c r="BA483" s="237"/>
      <c r="BB483" s="237"/>
      <c r="BC483" s="252">
        <f t="shared" si="202"/>
        <v>1</v>
      </c>
      <c r="BD483" s="237"/>
      <c r="BE483" s="237"/>
      <c r="BF483" s="237"/>
      <c r="BG483" s="237"/>
      <c r="BH483" s="237"/>
      <c r="BI483" s="237"/>
      <c r="BJ483" s="252">
        <f t="shared" si="203"/>
        <v>1</v>
      </c>
      <c r="BK483" s="252">
        <f t="shared" si="204"/>
        <v>1</v>
      </c>
      <c r="BL483" s="252">
        <f t="shared" si="205"/>
        <v>1</v>
      </c>
      <c r="BM483" s="252">
        <f t="shared" si="206"/>
        <v>1</v>
      </c>
      <c r="BN483" s="252">
        <f t="shared" si="207"/>
        <v>1</v>
      </c>
      <c r="BO483" s="252">
        <f t="shared" si="208"/>
        <v>1</v>
      </c>
      <c r="BP483" s="2578"/>
      <c r="BQ483" s="2562"/>
      <c r="BR483" s="2562"/>
      <c r="BS483" s="2585"/>
      <c r="BT483" s="2585"/>
      <c r="BU483" s="2585"/>
    </row>
    <row r="484" spans="1:73" s="22" customFormat="1" ht="15.75" hidden="1" customHeight="1" outlineLevel="1">
      <c r="A484" s="2585"/>
      <c r="B484" s="44"/>
      <c r="C484" s="45"/>
      <c r="D484" s="46"/>
      <c r="E484" s="46"/>
      <c r="F484" s="45"/>
      <c r="G484" s="46"/>
      <c r="H484" s="45"/>
      <c r="I484" s="45"/>
      <c r="J484" s="47"/>
      <c r="K484" s="48"/>
      <c r="L484" s="47"/>
      <c r="M484" s="1913"/>
      <c r="N484" s="48"/>
      <c r="O484" s="49"/>
      <c r="P484" s="49"/>
      <c r="Q484" s="1884">
        <f t="shared" si="209"/>
        <v>0</v>
      </c>
      <c r="R484" s="1932"/>
      <c r="S484" s="50"/>
      <c r="T484" s="1932"/>
      <c r="U484" s="1932"/>
      <c r="V484" s="1932"/>
      <c r="W484" s="1885">
        <f t="shared" si="192"/>
        <v>0</v>
      </c>
      <c r="X484" s="1891">
        <f t="shared" si="193"/>
        <v>0</v>
      </c>
      <c r="Y484" s="1891">
        <f t="shared" si="194"/>
        <v>0</v>
      </c>
      <c r="Z484" s="50"/>
      <c r="AA484" s="50"/>
      <c r="AB484" s="48"/>
      <c r="AC484" s="48"/>
      <c r="AD484" s="48"/>
      <c r="AE484" s="45"/>
      <c r="AF484" s="51"/>
      <c r="AG484" s="42"/>
      <c r="AH484" s="52" t="s">
        <v>5162</v>
      </c>
      <c r="AI484" s="197"/>
      <c r="AJ484" s="2578"/>
      <c r="AK484" s="251"/>
      <c r="AL484" s="2578"/>
      <c r="AM484" s="2562"/>
      <c r="AN484" s="2562"/>
      <c r="AO484" s="2562"/>
      <c r="AP484" s="2562"/>
      <c r="AQ484" s="2562"/>
      <c r="AR484" s="2562"/>
      <c r="AS484" s="2562"/>
      <c r="AT484" s="252">
        <f t="shared" si="195"/>
        <v>1</v>
      </c>
      <c r="AU484" s="252">
        <f t="shared" si="196"/>
        <v>1</v>
      </c>
      <c r="AV484" s="252">
        <f t="shared" si="197"/>
        <v>1</v>
      </c>
      <c r="AW484" s="252">
        <f t="shared" si="198"/>
        <v>1</v>
      </c>
      <c r="AX484" s="252">
        <f t="shared" si="199"/>
        <v>1</v>
      </c>
      <c r="AY484" s="252">
        <f t="shared" si="200"/>
        <v>1</v>
      </c>
      <c r="AZ484" s="252">
        <f t="shared" si="201"/>
        <v>1</v>
      </c>
      <c r="BA484" s="237"/>
      <c r="BB484" s="237"/>
      <c r="BC484" s="252">
        <f t="shared" si="202"/>
        <v>1</v>
      </c>
      <c r="BD484" s="237"/>
      <c r="BE484" s="237"/>
      <c r="BF484" s="237"/>
      <c r="BG484" s="237"/>
      <c r="BH484" s="237"/>
      <c r="BI484" s="237"/>
      <c r="BJ484" s="252">
        <f t="shared" si="203"/>
        <v>1</v>
      </c>
      <c r="BK484" s="252">
        <f t="shared" si="204"/>
        <v>1</v>
      </c>
      <c r="BL484" s="252">
        <f t="shared" si="205"/>
        <v>1</v>
      </c>
      <c r="BM484" s="252">
        <f t="shared" si="206"/>
        <v>1</v>
      </c>
      <c r="BN484" s="252">
        <f t="shared" si="207"/>
        <v>1</v>
      </c>
      <c r="BO484" s="252">
        <f t="shared" si="208"/>
        <v>1</v>
      </c>
      <c r="BP484" s="2578"/>
      <c r="BQ484" s="2562"/>
      <c r="BR484" s="2562"/>
      <c r="BS484" s="2585"/>
      <c r="BT484" s="2585"/>
      <c r="BU484" s="2585"/>
    </row>
    <row r="485" spans="1:73" s="22" customFormat="1" ht="15.75" hidden="1" customHeight="1" outlineLevel="1">
      <c r="A485" s="2585"/>
      <c r="B485" s="44"/>
      <c r="C485" s="45"/>
      <c r="D485" s="46"/>
      <c r="E485" s="46"/>
      <c r="F485" s="45"/>
      <c r="G485" s="46"/>
      <c r="H485" s="45"/>
      <c r="I485" s="45"/>
      <c r="J485" s="47"/>
      <c r="K485" s="48"/>
      <c r="L485" s="47"/>
      <c r="M485" s="1913"/>
      <c r="N485" s="48"/>
      <c r="O485" s="49"/>
      <c r="P485" s="49"/>
      <c r="Q485" s="1884">
        <f t="shared" si="209"/>
        <v>0</v>
      </c>
      <c r="R485" s="1932"/>
      <c r="S485" s="50"/>
      <c r="T485" s="1932"/>
      <c r="U485" s="1932"/>
      <c r="V485" s="1932"/>
      <c r="W485" s="1885">
        <f t="shared" si="192"/>
        <v>0</v>
      </c>
      <c r="X485" s="1891">
        <f t="shared" si="193"/>
        <v>0</v>
      </c>
      <c r="Y485" s="1891">
        <f t="shared" si="194"/>
        <v>0</v>
      </c>
      <c r="Z485" s="50"/>
      <c r="AA485" s="50"/>
      <c r="AB485" s="48"/>
      <c r="AC485" s="48"/>
      <c r="AD485" s="48"/>
      <c r="AE485" s="45"/>
      <c r="AF485" s="51"/>
      <c r="AG485" s="42"/>
      <c r="AH485" s="52" t="s">
        <v>5163</v>
      </c>
      <c r="AI485" s="197"/>
      <c r="AJ485" s="2578"/>
      <c r="AK485" s="251"/>
      <c r="AL485" s="2578"/>
      <c r="AM485" s="2562"/>
      <c r="AN485" s="2562"/>
      <c r="AO485" s="2562"/>
      <c r="AP485" s="2562"/>
      <c r="AQ485" s="2562"/>
      <c r="AR485" s="2562"/>
      <c r="AS485" s="2562"/>
      <c r="AT485" s="252">
        <f t="shared" si="195"/>
        <v>1</v>
      </c>
      <c r="AU485" s="252">
        <f t="shared" si="196"/>
        <v>1</v>
      </c>
      <c r="AV485" s="252">
        <f t="shared" si="197"/>
        <v>1</v>
      </c>
      <c r="AW485" s="252">
        <f t="shared" si="198"/>
        <v>1</v>
      </c>
      <c r="AX485" s="252">
        <f t="shared" si="199"/>
        <v>1</v>
      </c>
      <c r="AY485" s="252">
        <f t="shared" si="200"/>
        <v>1</v>
      </c>
      <c r="AZ485" s="252">
        <f t="shared" si="201"/>
        <v>1</v>
      </c>
      <c r="BA485" s="237"/>
      <c r="BB485" s="237"/>
      <c r="BC485" s="252">
        <f t="shared" si="202"/>
        <v>1</v>
      </c>
      <c r="BD485" s="237"/>
      <c r="BE485" s="237"/>
      <c r="BF485" s="237"/>
      <c r="BG485" s="237"/>
      <c r="BH485" s="237"/>
      <c r="BI485" s="237"/>
      <c r="BJ485" s="252">
        <f t="shared" si="203"/>
        <v>1</v>
      </c>
      <c r="BK485" s="252">
        <f t="shared" si="204"/>
        <v>1</v>
      </c>
      <c r="BL485" s="252">
        <f t="shared" si="205"/>
        <v>1</v>
      </c>
      <c r="BM485" s="252">
        <f t="shared" si="206"/>
        <v>1</v>
      </c>
      <c r="BN485" s="252">
        <f t="shared" si="207"/>
        <v>1</v>
      </c>
      <c r="BO485" s="252">
        <f t="shared" si="208"/>
        <v>1</v>
      </c>
      <c r="BP485" s="2578"/>
      <c r="BQ485" s="2562"/>
      <c r="BR485" s="2562"/>
      <c r="BS485" s="2585"/>
      <c r="BT485" s="2585"/>
      <c r="BU485" s="2585"/>
    </row>
    <row r="486" spans="1:73" s="22" customFormat="1" ht="15.75" hidden="1" customHeight="1" outlineLevel="1">
      <c r="A486" s="2585"/>
      <c r="B486" s="44"/>
      <c r="C486" s="45"/>
      <c r="D486" s="46"/>
      <c r="E486" s="46"/>
      <c r="F486" s="45"/>
      <c r="G486" s="46"/>
      <c r="H486" s="45"/>
      <c r="I486" s="45"/>
      <c r="J486" s="47"/>
      <c r="K486" s="48"/>
      <c r="L486" s="47"/>
      <c r="M486" s="1913"/>
      <c r="N486" s="48"/>
      <c r="O486" s="49"/>
      <c r="P486" s="49"/>
      <c r="Q486" s="1884">
        <f t="shared" si="209"/>
        <v>0</v>
      </c>
      <c r="R486" s="1932"/>
      <c r="S486" s="50"/>
      <c r="T486" s="1932"/>
      <c r="U486" s="1932"/>
      <c r="V486" s="1932"/>
      <c r="W486" s="1885">
        <f t="shared" si="192"/>
        <v>0</v>
      </c>
      <c r="X486" s="1891">
        <f t="shared" si="193"/>
        <v>0</v>
      </c>
      <c r="Y486" s="1891">
        <f t="shared" si="194"/>
        <v>0</v>
      </c>
      <c r="Z486" s="50"/>
      <c r="AA486" s="50"/>
      <c r="AB486" s="48"/>
      <c r="AC486" s="48"/>
      <c r="AD486" s="48"/>
      <c r="AE486" s="45"/>
      <c r="AF486" s="51"/>
      <c r="AG486" s="42"/>
      <c r="AH486" s="52" t="s">
        <v>5164</v>
      </c>
      <c r="AI486" s="197"/>
      <c r="AJ486" s="2578"/>
      <c r="AK486" s="251"/>
      <c r="AL486" s="2578"/>
      <c r="AM486" s="2562"/>
      <c r="AN486" s="2562"/>
      <c r="AO486" s="2562"/>
      <c r="AP486" s="2562"/>
      <c r="AQ486" s="2562"/>
      <c r="AR486" s="2562"/>
      <c r="AS486" s="2562"/>
      <c r="AT486" s="252">
        <f t="shared" si="195"/>
        <v>1</v>
      </c>
      <c r="AU486" s="252">
        <f t="shared" si="196"/>
        <v>1</v>
      </c>
      <c r="AV486" s="252">
        <f t="shared" si="197"/>
        <v>1</v>
      </c>
      <c r="AW486" s="252">
        <f t="shared" si="198"/>
        <v>1</v>
      </c>
      <c r="AX486" s="252">
        <f t="shared" si="199"/>
        <v>1</v>
      </c>
      <c r="AY486" s="252">
        <f t="shared" si="200"/>
        <v>1</v>
      </c>
      <c r="AZ486" s="252">
        <f t="shared" si="201"/>
        <v>1</v>
      </c>
      <c r="BA486" s="237"/>
      <c r="BB486" s="237"/>
      <c r="BC486" s="252">
        <f t="shared" si="202"/>
        <v>1</v>
      </c>
      <c r="BD486" s="237"/>
      <c r="BE486" s="237"/>
      <c r="BF486" s="237"/>
      <c r="BG486" s="237"/>
      <c r="BH486" s="237"/>
      <c r="BI486" s="237"/>
      <c r="BJ486" s="252">
        <f t="shared" si="203"/>
        <v>1</v>
      </c>
      <c r="BK486" s="252">
        <f t="shared" si="204"/>
        <v>1</v>
      </c>
      <c r="BL486" s="252">
        <f t="shared" si="205"/>
        <v>1</v>
      </c>
      <c r="BM486" s="252">
        <f t="shared" si="206"/>
        <v>1</v>
      </c>
      <c r="BN486" s="252">
        <f t="shared" si="207"/>
        <v>1</v>
      </c>
      <c r="BO486" s="252">
        <f t="shared" si="208"/>
        <v>1</v>
      </c>
      <c r="BP486" s="2578"/>
      <c r="BQ486" s="2562"/>
      <c r="BR486" s="2562"/>
      <c r="BS486" s="2585"/>
      <c r="BT486" s="2585"/>
      <c r="BU486" s="2585"/>
    </row>
    <row r="487" spans="1:73" s="22" customFormat="1" ht="15.75" hidden="1" customHeight="1" outlineLevel="1">
      <c r="A487" s="2585"/>
      <c r="B487" s="44"/>
      <c r="C487" s="45"/>
      <c r="D487" s="46"/>
      <c r="E487" s="46"/>
      <c r="F487" s="45"/>
      <c r="G487" s="46"/>
      <c r="H487" s="45"/>
      <c r="I487" s="45"/>
      <c r="J487" s="47"/>
      <c r="K487" s="48"/>
      <c r="L487" s="47"/>
      <c r="M487" s="1913"/>
      <c r="N487" s="48"/>
      <c r="O487" s="49"/>
      <c r="P487" s="49"/>
      <c r="Q487" s="1884">
        <f t="shared" si="209"/>
        <v>0</v>
      </c>
      <c r="R487" s="1932"/>
      <c r="S487" s="50"/>
      <c r="T487" s="1932"/>
      <c r="U487" s="1932"/>
      <c r="V487" s="1932"/>
      <c r="W487" s="1885">
        <f t="shared" si="192"/>
        <v>0</v>
      </c>
      <c r="X487" s="1891">
        <f t="shared" si="193"/>
        <v>0</v>
      </c>
      <c r="Y487" s="1891">
        <f t="shared" si="194"/>
        <v>0</v>
      </c>
      <c r="Z487" s="50"/>
      <c r="AA487" s="50"/>
      <c r="AB487" s="48"/>
      <c r="AC487" s="48"/>
      <c r="AD487" s="48"/>
      <c r="AE487" s="45"/>
      <c r="AF487" s="51"/>
      <c r="AG487" s="42"/>
      <c r="AH487" s="52" t="s">
        <v>5165</v>
      </c>
      <c r="AI487" s="197"/>
      <c r="AJ487" s="2578"/>
      <c r="AK487" s="251"/>
      <c r="AL487" s="2578"/>
      <c r="AM487" s="2562"/>
      <c r="AN487" s="2562"/>
      <c r="AO487" s="2562"/>
      <c r="AP487" s="2562"/>
      <c r="AQ487" s="2562"/>
      <c r="AR487" s="2562"/>
      <c r="AS487" s="2562"/>
      <c r="AT487" s="252">
        <f t="shared" si="195"/>
        <v>1</v>
      </c>
      <c r="AU487" s="252">
        <f t="shared" si="196"/>
        <v>1</v>
      </c>
      <c r="AV487" s="252">
        <f t="shared" si="197"/>
        <v>1</v>
      </c>
      <c r="AW487" s="252">
        <f t="shared" si="198"/>
        <v>1</v>
      </c>
      <c r="AX487" s="252">
        <f t="shared" si="199"/>
        <v>1</v>
      </c>
      <c r="AY487" s="252">
        <f t="shared" si="200"/>
        <v>1</v>
      </c>
      <c r="AZ487" s="252">
        <f t="shared" si="201"/>
        <v>1</v>
      </c>
      <c r="BA487" s="237"/>
      <c r="BB487" s="237"/>
      <c r="BC487" s="252">
        <f t="shared" si="202"/>
        <v>1</v>
      </c>
      <c r="BD487" s="237"/>
      <c r="BE487" s="237"/>
      <c r="BF487" s="237"/>
      <c r="BG487" s="237"/>
      <c r="BH487" s="237"/>
      <c r="BI487" s="237"/>
      <c r="BJ487" s="252">
        <f t="shared" si="203"/>
        <v>1</v>
      </c>
      <c r="BK487" s="252">
        <f t="shared" si="204"/>
        <v>1</v>
      </c>
      <c r="BL487" s="252">
        <f t="shared" si="205"/>
        <v>1</v>
      </c>
      <c r="BM487" s="252">
        <f t="shared" si="206"/>
        <v>1</v>
      </c>
      <c r="BN487" s="252">
        <f t="shared" si="207"/>
        <v>1</v>
      </c>
      <c r="BO487" s="252">
        <f t="shared" si="208"/>
        <v>1</v>
      </c>
      <c r="BP487" s="2578"/>
      <c r="BQ487" s="2562"/>
      <c r="BR487" s="2562"/>
      <c r="BS487" s="2585"/>
      <c r="BT487" s="2585"/>
      <c r="BU487" s="2585"/>
    </row>
    <row r="488" spans="1:73" s="22" customFormat="1" ht="15.75" hidden="1" customHeight="1" outlineLevel="1">
      <c r="A488" s="2585"/>
      <c r="B488" s="44"/>
      <c r="C488" s="45"/>
      <c r="D488" s="46"/>
      <c r="E488" s="46"/>
      <c r="F488" s="45"/>
      <c r="G488" s="46"/>
      <c r="H488" s="45"/>
      <c r="I488" s="45"/>
      <c r="J488" s="47"/>
      <c r="K488" s="48"/>
      <c r="L488" s="47"/>
      <c r="M488" s="1913"/>
      <c r="N488" s="48"/>
      <c r="O488" s="49"/>
      <c r="P488" s="49"/>
      <c r="Q488" s="1884">
        <f t="shared" si="209"/>
        <v>0</v>
      </c>
      <c r="R488" s="1932"/>
      <c r="S488" s="50"/>
      <c r="T488" s="1932"/>
      <c r="U488" s="1932"/>
      <c r="V488" s="1932"/>
      <c r="W488" s="1885">
        <f t="shared" si="192"/>
        <v>0</v>
      </c>
      <c r="X488" s="1891">
        <f t="shared" si="193"/>
        <v>0</v>
      </c>
      <c r="Y488" s="1891">
        <f t="shared" si="194"/>
        <v>0</v>
      </c>
      <c r="Z488" s="50"/>
      <c r="AA488" s="50"/>
      <c r="AB488" s="48"/>
      <c r="AC488" s="48"/>
      <c r="AD488" s="48"/>
      <c r="AE488" s="45"/>
      <c r="AF488" s="51"/>
      <c r="AG488" s="42"/>
      <c r="AH488" s="52" t="s">
        <v>5166</v>
      </c>
      <c r="AI488" s="197"/>
      <c r="AJ488" s="2578"/>
      <c r="AK488" s="251"/>
      <c r="AL488" s="2578"/>
      <c r="AM488" s="2562"/>
      <c r="AN488" s="2562"/>
      <c r="AO488" s="2562"/>
      <c r="AP488" s="2562"/>
      <c r="AQ488" s="2562"/>
      <c r="AR488" s="2562"/>
      <c r="AS488" s="2562"/>
      <c r="AT488" s="252">
        <f t="shared" si="195"/>
        <v>1</v>
      </c>
      <c r="AU488" s="252">
        <f t="shared" si="196"/>
        <v>1</v>
      </c>
      <c r="AV488" s="252">
        <f t="shared" si="197"/>
        <v>1</v>
      </c>
      <c r="AW488" s="252">
        <f t="shared" si="198"/>
        <v>1</v>
      </c>
      <c r="AX488" s="252">
        <f t="shared" si="199"/>
        <v>1</v>
      </c>
      <c r="AY488" s="252">
        <f t="shared" si="200"/>
        <v>1</v>
      </c>
      <c r="AZ488" s="252">
        <f t="shared" si="201"/>
        <v>1</v>
      </c>
      <c r="BA488" s="237"/>
      <c r="BB488" s="237"/>
      <c r="BC488" s="252">
        <f t="shared" si="202"/>
        <v>1</v>
      </c>
      <c r="BD488" s="237"/>
      <c r="BE488" s="237"/>
      <c r="BF488" s="237"/>
      <c r="BG488" s="237"/>
      <c r="BH488" s="237"/>
      <c r="BI488" s="237"/>
      <c r="BJ488" s="252">
        <f t="shared" si="203"/>
        <v>1</v>
      </c>
      <c r="BK488" s="252">
        <f t="shared" si="204"/>
        <v>1</v>
      </c>
      <c r="BL488" s="252">
        <f t="shared" si="205"/>
        <v>1</v>
      </c>
      <c r="BM488" s="252">
        <f t="shared" si="206"/>
        <v>1</v>
      </c>
      <c r="BN488" s="252">
        <f t="shared" si="207"/>
        <v>1</v>
      </c>
      <c r="BO488" s="252">
        <f t="shared" si="208"/>
        <v>1</v>
      </c>
      <c r="BP488" s="2578"/>
      <c r="BQ488" s="2562"/>
      <c r="BR488" s="2562"/>
      <c r="BS488" s="2585"/>
      <c r="BT488" s="2585"/>
      <c r="BU488" s="2585"/>
    </row>
    <row r="489" spans="1:73" s="22" customFormat="1" ht="15.75" hidden="1" customHeight="1" outlineLevel="1">
      <c r="A489" s="2585"/>
      <c r="B489" s="44"/>
      <c r="C489" s="45"/>
      <c r="D489" s="46"/>
      <c r="E489" s="46"/>
      <c r="F489" s="45"/>
      <c r="G489" s="46"/>
      <c r="H489" s="45"/>
      <c r="I489" s="45"/>
      <c r="J489" s="47"/>
      <c r="K489" s="48"/>
      <c r="L489" s="47"/>
      <c r="M489" s="1913"/>
      <c r="N489" s="48"/>
      <c r="O489" s="49"/>
      <c r="P489" s="49"/>
      <c r="Q489" s="1884">
        <f t="shared" si="209"/>
        <v>0</v>
      </c>
      <c r="R489" s="1932"/>
      <c r="S489" s="50"/>
      <c r="T489" s="1932"/>
      <c r="U489" s="1932"/>
      <c r="V489" s="1932"/>
      <c r="W489" s="1885">
        <f t="shared" si="192"/>
        <v>0</v>
      </c>
      <c r="X489" s="1891">
        <f t="shared" si="193"/>
        <v>0</v>
      </c>
      <c r="Y489" s="1891">
        <f t="shared" si="194"/>
        <v>0</v>
      </c>
      <c r="Z489" s="50"/>
      <c r="AA489" s="50"/>
      <c r="AB489" s="48"/>
      <c r="AC489" s="48"/>
      <c r="AD489" s="48"/>
      <c r="AE489" s="45"/>
      <c r="AF489" s="51"/>
      <c r="AG489" s="42"/>
      <c r="AH489" s="52" t="s">
        <v>5167</v>
      </c>
      <c r="AI489" s="197"/>
      <c r="AJ489" s="2578"/>
      <c r="AK489" s="251"/>
      <c r="AL489" s="2578"/>
      <c r="AM489" s="2562"/>
      <c r="AN489" s="2562"/>
      <c r="AO489" s="2562"/>
      <c r="AP489" s="2562"/>
      <c r="AQ489" s="2562"/>
      <c r="AR489" s="2562"/>
      <c r="AS489" s="2562"/>
      <c r="AT489" s="252">
        <f t="shared" si="195"/>
        <v>1</v>
      </c>
      <c r="AU489" s="252">
        <f t="shared" si="196"/>
        <v>1</v>
      </c>
      <c r="AV489" s="252">
        <f t="shared" si="197"/>
        <v>1</v>
      </c>
      <c r="AW489" s="252">
        <f t="shared" si="198"/>
        <v>1</v>
      </c>
      <c r="AX489" s="252">
        <f t="shared" si="199"/>
        <v>1</v>
      </c>
      <c r="AY489" s="252">
        <f t="shared" si="200"/>
        <v>1</v>
      </c>
      <c r="AZ489" s="252">
        <f t="shared" si="201"/>
        <v>1</v>
      </c>
      <c r="BA489" s="237"/>
      <c r="BB489" s="237"/>
      <c r="BC489" s="252">
        <f t="shared" si="202"/>
        <v>1</v>
      </c>
      <c r="BD489" s="237"/>
      <c r="BE489" s="237"/>
      <c r="BF489" s="237"/>
      <c r="BG489" s="237"/>
      <c r="BH489" s="237"/>
      <c r="BI489" s="237"/>
      <c r="BJ489" s="252">
        <f t="shared" si="203"/>
        <v>1</v>
      </c>
      <c r="BK489" s="252">
        <f t="shared" si="204"/>
        <v>1</v>
      </c>
      <c r="BL489" s="252">
        <f t="shared" si="205"/>
        <v>1</v>
      </c>
      <c r="BM489" s="252">
        <f t="shared" si="206"/>
        <v>1</v>
      </c>
      <c r="BN489" s="252">
        <f t="shared" si="207"/>
        <v>1</v>
      </c>
      <c r="BO489" s="252">
        <f t="shared" si="208"/>
        <v>1</v>
      </c>
      <c r="BP489" s="2578"/>
      <c r="BQ489" s="2562"/>
      <c r="BR489" s="2562"/>
      <c r="BS489" s="2585"/>
      <c r="BT489" s="2585"/>
      <c r="BU489" s="2585"/>
    </row>
    <row r="490" spans="1:73" s="22" customFormat="1" ht="15.75" hidden="1" customHeight="1" outlineLevel="1">
      <c r="A490" s="2585"/>
      <c r="B490" s="44"/>
      <c r="C490" s="45"/>
      <c r="D490" s="46"/>
      <c r="E490" s="46"/>
      <c r="F490" s="45"/>
      <c r="G490" s="46"/>
      <c r="H490" s="45"/>
      <c r="I490" s="45"/>
      <c r="J490" s="47"/>
      <c r="K490" s="48"/>
      <c r="L490" s="47"/>
      <c r="M490" s="1913"/>
      <c r="N490" s="48"/>
      <c r="O490" s="49"/>
      <c r="P490" s="49"/>
      <c r="Q490" s="1884">
        <f t="shared" si="209"/>
        <v>0</v>
      </c>
      <c r="R490" s="1932"/>
      <c r="S490" s="50"/>
      <c r="T490" s="1932"/>
      <c r="U490" s="1932"/>
      <c r="V490" s="1932"/>
      <c r="W490" s="1885">
        <f t="shared" si="192"/>
        <v>0</v>
      </c>
      <c r="X490" s="1891">
        <f t="shared" si="193"/>
        <v>0</v>
      </c>
      <c r="Y490" s="1891">
        <f t="shared" si="194"/>
        <v>0</v>
      </c>
      <c r="Z490" s="50"/>
      <c r="AA490" s="50"/>
      <c r="AB490" s="48"/>
      <c r="AC490" s="48"/>
      <c r="AD490" s="48"/>
      <c r="AE490" s="45"/>
      <c r="AF490" s="51"/>
      <c r="AG490" s="42"/>
      <c r="AH490" s="52" t="s">
        <v>5168</v>
      </c>
      <c r="AI490" s="197"/>
      <c r="AJ490" s="2578"/>
      <c r="AK490" s="251"/>
      <c r="AL490" s="2578"/>
      <c r="AM490" s="2562"/>
      <c r="AN490" s="2562"/>
      <c r="AO490" s="2562"/>
      <c r="AP490" s="2562"/>
      <c r="AQ490" s="2562"/>
      <c r="AR490" s="2562"/>
      <c r="AS490" s="2562"/>
      <c r="AT490" s="252">
        <f t="shared" si="195"/>
        <v>1</v>
      </c>
      <c r="AU490" s="252">
        <f t="shared" si="196"/>
        <v>1</v>
      </c>
      <c r="AV490" s="252">
        <f t="shared" si="197"/>
        <v>1</v>
      </c>
      <c r="AW490" s="252">
        <f t="shared" si="198"/>
        <v>1</v>
      </c>
      <c r="AX490" s="252">
        <f t="shared" si="199"/>
        <v>1</v>
      </c>
      <c r="AY490" s="252">
        <f t="shared" si="200"/>
        <v>1</v>
      </c>
      <c r="AZ490" s="252">
        <f t="shared" si="201"/>
        <v>1</v>
      </c>
      <c r="BA490" s="237"/>
      <c r="BB490" s="237"/>
      <c r="BC490" s="252">
        <f t="shared" si="202"/>
        <v>1</v>
      </c>
      <c r="BD490" s="237"/>
      <c r="BE490" s="237"/>
      <c r="BF490" s="237"/>
      <c r="BG490" s="237"/>
      <c r="BH490" s="237"/>
      <c r="BI490" s="237"/>
      <c r="BJ490" s="252">
        <f t="shared" si="203"/>
        <v>1</v>
      </c>
      <c r="BK490" s="252">
        <f t="shared" si="204"/>
        <v>1</v>
      </c>
      <c r="BL490" s="252">
        <f t="shared" si="205"/>
        <v>1</v>
      </c>
      <c r="BM490" s="252">
        <f t="shared" si="206"/>
        <v>1</v>
      </c>
      <c r="BN490" s="252">
        <f t="shared" si="207"/>
        <v>1</v>
      </c>
      <c r="BO490" s="252">
        <f t="shared" si="208"/>
        <v>1</v>
      </c>
      <c r="BP490" s="2578"/>
      <c r="BQ490" s="2562"/>
      <c r="BR490" s="2562"/>
      <c r="BS490" s="2585"/>
      <c r="BT490" s="2585"/>
      <c r="BU490" s="2585"/>
    </row>
    <row r="491" spans="1:73" s="22" customFormat="1" ht="15.75" hidden="1" customHeight="1" outlineLevel="1">
      <c r="A491" s="2585"/>
      <c r="B491" s="44"/>
      <c r="C491" s="45"/>
      <c r="D491" s="46"/>
      <c r="E491" s="46"/>
      <c r="F491" s="45"/>
      <c r="G491" s="46"/>
      <c r="H491" s="45"/>
      <c r="I491" s="45"/>
      <c r="J491" s="47"/>
      <c r="K491" s="48"/>
      <c r="L491" s="47"/>
      <c r="M491" s="1913"/>
      <c r="N491" s="48"/>
      <c r="O491" s="49"/>
      <c r="P491" s="49"/>
      <c r="Q491" s="1884">
        <f t="shared" si="209"/>
        <v>0</v>
      </c>
      <c r="R491" s="1932"/>
      <c r="S491" s="50"/>
      <c r="T491" s="1932"/>
      <c r="U491" s="1932"/>
      <c r="V491" s="1932"/>
      <c r="W491" s="1885">
        <f t="shared" si="192"/>
        <v>0</v>
      </c>
      <c r="X491" s="1891">
        <f t="shared" si="193"/>
        <v>0</v>
      </c>
      <c r="Y491" s="1891">
        <f t="shared" si="194"/>
        <v>0</v>
      </c>
      <c r="Z491" s="50"/>
      <c r="AA491" s="50"/>
      <c r="AB491" s="48"/>
      <c r="AC491" s="48"/>
      <c r="AD491" s="48"/>
      <c r="AE491" s="45"/>
      <c r="AF491" s="51"/>
      <c r="AG491" s="42"/>
      <c r="AH491" s="52" t="s">
        <v>5169</v>
      </c>
      <c r="AI491" s="197"/>
      <c r="AJ491" s="2578"/>
      <c r="AK491" s="251"/>
      <c r="AL491" s="2578"/>
      <c r="AM491" s="2562"/>
      <c r="AN491" s="2562"/>
      <c r="AO491" s="2562"/>
      <c r="AP491" s="2562"/>
      <c r="AQ491" s="2562"/>
      <c r="AR491" s="2562"/>
      <c r="AS491" s="2562"/>
      <c r="AT491" s="252">
        <f t="shared" si="195"/>
        <v>1</v>
      </c>
      <c r="AU491" s="252">
        <f t="shared" si="196"/>
        <v>1</v>
      </c>
      <c r="AV491" s="252">
        <f t="shared" si="197"/>
        <v>1</v>
      </c>
      <c r="AW491" s="252">
        <f t="shared" si="198"/>
        <v>1</v>
      </c>
      <c r="AX491" s="252">
        <f t="shared" si="199"/>
        <v>1</v>
      </c>
      <c r="AY491" s="252">
        <f t="shared" si="200"/>
        <v>1</v>
      </c>
      <c r="AZ491" s="252">
        <f t="shared" si="201"/>
        <v>1</v>
      </c>
      <c r="BA491" s="237"/>
      <c r="BB491" s="237"/>
      <c r="BC491" s="252">
        <f t="shared" si="202"/>
        <v>1</v>
      </c>
      <c r="BD491" s="237"/>
      <c r="BE491" s="237"/>
      <c r="BF491" s="237"/>
      <c r="BG491" s="237"/>
      <c r="BH491" s="237"/>
      <c r="BI491" s="237"/>
      <c r="BJ491" s="252">
        <f t="shared" si="203"/>
        <v>1</v>
      </c>
      <c r="BK491" s="252">
        <f t="shared" si="204"/>
        <v>1</v>
      </c>
      <c r="BL491" s="252">
        <f t="shared" si="205"/>
        <v>1</v>
      </c>
      <c r="BM491" s="252">
        <f t="shared" si="206"/>
        <v>1</v>
      </c>
      <c r="BN491" s="252">
        <f t="shared" si="207"/>
        <v>1</v>
      </c>
      <c r="BO491" s="252">
        <f t="shared" si="208"/>
        <v>1</v>
      </c>
      <c r="BP491" s="2578"/>
      <c r="BQ491" s="2562"/>
      <c r="BR491" s="2562"/>
      <c r="BS491" s="2585"/>
      <c r="BT491" s="2585"/>
      <c r="BU491" s="2585"/>
    </row>
    <row r="492" spans="1:73" s="22" customFormat="1" ht="15.75" hidden="1" customHeight="1" outlineLevel="1">
      <c r="A492" s="2585"/>
      <c r="B492" s="44"/>
      <c r="C492" s="45"/>
      <c r="D492" s="46"/>
      <c r="E492" s="46"/>
      <c r="F492" s="45"/>
      <c r="G492" s="46"/>
      <c r="H492" s="45"/>
      <c r="I492" s="45"/>
      <c r="J492" s="47"/>
      <c r="K492" s="48"/>
      <c r="L492" s="47"/>
      <c r="M492" s="1913"/>
      <c r="N492" s="48"/>
      <c r="O492" s="49"/>
      <c r="P492" s="49"/>
      <c r="Q492" s="1884">
        <f t="shared" si="209"/>
        <v>0</v>
      </c>
      <c r="R492" s="1932"/>
      <c r="S492" s="50"/>
      <c r="T492" s="1932"/>
      <c r="U492" s="1932"/>
      <c r="V492" s="1932"/>
      <c r="W492" s="1885">
        <f t="shared" si="192"/>
        <v>0</v>
      </c>
      <c r="X492" s="1891">
        <f t="shared" si="193"/>
        <v>0</v>
      </c>
      <c r="Y492" s="1891">
        <f t="shared" si="194"/>
        <v>0</v>
      </c>
      <c r="Z492" s="50"/>
      <c r="AA492" s="50"/>
      <c r="AB492" s="48"/>
      <c r="AC492" s="48"/>
      <c r="AD492" s="48"/>
      <c r="AE492" s="45"/>
      <c r="AF492" s="51"/>
      <c r="AG492" s="42"/>
      <c r="AH492" s="52" t="s">
        <v>5170</v>
      </c>
      <c r="AI492" s="197"/>
      <c r="AJ492" s="2578"/>
      <c r="AK492" s="251"/>
      <c r="AL492" s="2578"/>
      <c r="AM492" s="2562"/>
      <c r="AN492" s="2562"/>
      <c r="AO492" s="2562"/>
      <c r="AP492" s="2562"/>
      <c r="AQ492" s="2562"/>
      <c r="AR492" s="2562"/>
      <c r="AS492" s="2562"/>
      <c r="AT492" s="252">
        <f t="shared" si="195"/>
        <v>1</v>
      </c>
      <c r="AU492" s="252">
        <f t="shared" si="196"/>
        <v>1</v>
      </c>
      <c r="AV492" s="252">
        <f t="shared" si="197"/>
        <v>1</v>
      </c>
      <c r="AW492" s="252">
        <f t="shared" si="198"/>
        <v>1</v>
      </c>
      <c r="AX492" s="252">
        <f t="shared" si="199"/>
        <v>1</v>
      </c>
      <c r="AY492" s="252">
        <f t="shared" si="200"/>
        <v>1</v>
      </c>
      <c r="AZ492" s="252">
        <f t="shared" si="201"/>
        <v>1</v>
      </c>
      <c r="BA492" s="237"/>
      <c r="BB492" s="237"/>
      <c r="BC492" s="252">
        <f t="shared" si="202"/>
        <v>1</v>
      </c>
      <c r="BD492" s="237"/>
      <c r="BE492" s="237"/>
      <c r="BF492" s="237"/>
      <c r="BG492" s="237"/>
      <c r="BH492" s="237"/>
      <c r="BI492" s="237"/>
      <c r="BJ492" s="252">
        <f t="shared" si="203"/>
        <v>1</v>
      </c>
      <c r="BK492" s="252">
        <f t="shared" si="204"/>
        <v>1</v>
      </c>
      <c r="BL492" s="252">
        <f t="shared" si="205"/>
        <v>1</v>
      </c>
      <c r="BM492" s="252">
        <f t="shared" si="206"/>
        <v>1</v>
      </c>
      <c r="BN492" s="252">
        <f t="shared" si="207"/>
        <v>1</v>
      </c>
      <c r="BO492" s="252">
        <f t="shared" si="208"/>
        <v>1</v>
      </c>
      <c r="BP492" s="2578"/>
      <c r="BQ492" s="2562"/>
      <c r="BR492" s="2562"/>
      <c r="BS492" s="2585"/>
      <c r="BT492" s="2585"/>
      <c r="BU492" s="2585"/>
    </row>
    <row r="493" spans="1:73" s="22" customFormat="1" ht="15.75" hidden="1" customHeight="1" outlineLevel="1">
      <c r="A493" s="2585"/>
      <c r="B493" s="44"/>
      <c r="C493" s="45"/>
      <c r="D493" s="46"/>
      <c r="E493" s="46"/>
      <c r="F493" s="45"/>
      <c r="G493" s="46"/>
      <c r="H493" s="45"/>
      <c r="I493" s="45"/>
      <c r="J493" s="47"/>
      <c r="K493" s="48"/>
      <c r="L493" s="47"/>
      <c r="M493" s="1913"/>
      <c r="N493" s="48"/>
      <c r="O493" s="49"/>
      <c r="P493" s="49"/>
      <c r="Q493" s="1884">
        <f t="shared" si="209"/>
        <v>0</v>
      </c>
      <c r="R493" s="1932"/>
      <c r="S493" s="50"/>
      <c r="T493" s="1932"/>
      <c r="U493" s="1932"/>
      <c r="V493" s="1932"/>
      <c r="W493" s="1885">
        <f t="shared" si="192"/>
        <v>0</v>
      </c>
      <c r="X493" s="1891">
        <f t="shared" si="193"/>
        <v>0</v>
      </c>
      <c r="Y493" s="1891">
        <f t="shared" si="194"/>
        <v>0</v>
      </c>
      <c r="Z493" s="50"/>
      <c r="AA493" s="50"/>
      <c r="AB493" s="48"/>
      <c r="AC493" s="48"/>
      <c r="AD493" s="48"/>
      <c r="AE493" s="45"/>
      <c r="AF493" s="51"/>
      <c r="AG493" s="42"/>
      <c r="AH493" s="52" t="s">
        <v>5171</v>
      </c>
      <c r="AI493" s="197"/>
      <c r="AJ493" s="2578"/>
      <c r="AK493" s="251"/>
      <c r="AL493" s="2578"/>
      <c r="AM493" s="2562"/>
      <c r="AN493" s="2562"/>
      <c r="AO493" s="2562"/>
      <c r="AP493" s="2562"/>
      <c r="AQ493" s="2562"/>
      <c r="AR493" s="2562"/>
      <c r="AS493" s="2562"/>
      <c r="AT493" s="252">
        <f t="shared" si="195"/>
        <v>1</v>
      </c>
      <c r="AU493" s="252">
        <f t="shared" si="196"/>
        <v>1</v>
      </c>
      <c r="AV493" s="252">
        <f t="shared" si="197"/>
        <v>1</v>
      </c>
      <c r="AW493" s="252">
        <f t="shared" si="198"/>
        <v>1</v>
      </c>
      <c r="AX493" s="252">
        <f t="shared" si="199"/>
        <v>1</v>
      </c>
      <c r="AY493" s="252">
        <f t="shared" si="200"/>
        <v>1</v>
      </c>
      <c r="AZ493" s="252">
        <f t="shared" si="201"/>
        <v>1</v>
      </c>
      <c r="BA493" s="237"/>
      <c r="BB493" s="237"/>
      <c r="BC493" s="252">
        <f t="shared" si="202"/>
        <v>1</v>
      </c>
      <c r="BD493" s="237"/>
      <c r="BE493" s="237"/>
      <c r="BF493" s="237"/>
      <c r="BG493" s="237"/>
      <c r="BH493" s="237"/>
      <c r="BI493" s="237"/>
      <c r="BJ493" s="252">
        <f t="shared" si="203"/>
        <v>1</v>
      </c>
      <c r="BK493" s="252">
        <f t="shared" si="204"/>
        <v>1</v>
      </c>
      <c r="BL493" s="252">
        <f t="shared" si="205"/>
        <v>1</v>
      </c>
      <c r="BM493" s="252">
        <f t="shared" si="206"/>
        <v>1</v>
      </c>
      <c r="BN493" s="252">
        <f t="shared" si="207"/>
        <v>1</v>
      </c>
      <c r="BO493" s="252">
        <f t="shared" si="208"/>
        <v>1</v>
      </c>
      <c r="BP493" s="2578"/>
      <c r="BQ493" s="2562"/>
      <c r="BR493" s="2562"/>
      <c r="BS493" s="2585"/>
      <c r="BT493" s="2585"/>
      <c r="BU493" s="2585"/>
    </row>
    <row r="494" spans="1:73" s="22" customFormat="1" ht="15.75" hidden="1" customHeight="1" outlineLevel="1">
      <c r="A494" s="2585"/>
      <c r="B494" s="44"/>
      <c r="C494" s="45"/>
      <c r="D494" s="46"/>
      <c r="E494" s="46"/>
      <c r="F494" s="45"/>
      <c r="G494" s="46"/>
      <c r="H494" s="45"/>
      <c r="I494" s="45"/>
      <c r="J494" s="47"/>
      <c r="K494" s="48"/>
      <c r="L494" s="47"/>
      <c r="M494" s="1913"/>
      <c r="N494" s="48"/>
      <c r="O494" s="49"/>
      <c r="P494" s="49"/>
      <c r="Q494" s="1884">
        <f t="shared" si="209"/>
        <v>0</v>
      </c>
      <c r="R494" s="1932"/>
      <c r="S494" s="50"/>
      <c r="T494" s="1932"/>
      <c r="U494" s="1932"/>
      <c r="V494" s="1932"/>
      <c r="W494" s="1885">
        <f t="shared" si="192"/>
        <v>0</v>
      </c>
      <c r="X494" s="1891">
        <f t="shared" si="193"/>
        <v>0</v>
      </c>
      <c r="Y494" s="1891">
        <f t="shared" si="194"/>
        <v>0</v>
      </c>
      <c r="Z494" s="50"/>
      <c r="AA494" s="50"/>
      <c r="AB494" s="48"/>
      <c r="AC494" s="48"/>
      <c r="AD494" s="48"/>
      <c r="AE494" s="45"/>
      <c r="AF494" s="51"/>
      <c r="AG494" s="42"/>
      <c r="AH494" s="52" t="s">
        <v>5172</v>
      </c>
      <c r="AI494" s="197"/>
      <c r="AJ494" s="2578"/>
      <c r="AK494" s="251"/>
      <c r="AL494" s="2578"/>
      <c r="AM494" s="2562"/>
      <c r="AN494" s="2562"/>
      <c r="AO494" s="2562"/>
      <c r="AP494" s="2562"/>
      <c r="AQ494" s="2562"/>
      <c r="AR494" s="2562"/>
      <c r="AS494" s="2562"/>
      <c r="AT494" s="252">
        <f t="shared" si="195"/>
        <v>1</v>
      </c>
      <c r="AU494" s="252">
        <f t="shared" si="196"/>
        <v>1</v>
      </c>
      <c r="AV494" s="252">
        <f t="shared" si="197"/>
        <v>1</v>
      </c>
      <c r="AW494" s="252">
        <f t="shared" si="198"/>
        <v>1</v>
      </c>
      <c r="AX494" s="252">
        <f t="shared" si="199"/>
        <v>1</v>
      </c>
      <c r="AY494" s="252">
        <f t="shared" si="200"/>
        <v>1</v>
      </c>
      <c r="AZ494" s="252">
        <f t="shared" si="201"/>
        <v>1</v>
      </c>
      <c r="BA494" s="237"/>
      <c r="BB494" s="237"/>
      <c r="BC494" s="252">
        <f t="shared" si="202"/>
        <v>1</v>
      </c>
      <c r="BD494" s="237"/>
      <c r="BE494" s="237"/>
      <c r="BF494" s="237"/>
      <c r="BG494" s="237"/>
      <c r="BH494" s="237"/>
      <c r="BI494" s="237"/>
      <c r="BJ494" s="252">
        <f t="shared" si="203"/>
        <v>1</v>
      </c>
      <c r="BK494" s="252">
        <f t="shared" si="204"/>
        <v>1</v>
      </c>
      <c r="BL494" s="252">
        <f t="shared" si="205"/>
        <v>1</v>
      </c>
      <c r="BM494" s="252">
        <f t="shared" si="206"/>
        <v>1</v>
      </c>
      <c r="BN494" s="252">
        <f t="shared" si="207"/>
        <v>1</v>
      </c>
      <c r="BO494" s="252">
        <f t="shared" si="208"/>
        <v>1</v>
      </c>
      <c r="BP494" s="2578"/>
      <c r="BQ494" s="2562"/>
      <c r="BR494" s="2562"/>
      <c r="BS494" s="2585"/>
      <c r="BT494" s="2585"/>
      <c r="BU494" s="2585"/>
    </row>
    <row r="495" spans="1:73" s="22" customFormat="1" ht="15.75" hidden="1" customHeight="1" outlineLevel="1">
      <c r="A495" s="2585"/>
      <c r="B495" s="44"/>
      <c r="C495" s="45"/>
      <c r="D495" s="46"/>
      <c r="E495" s="46"/>
      <c r="F495" s="45"/>
      <c r="G495" s="46"/>
      <c r="H495" s="45"/>
      <c r="I495" s="45"/>
      <c r="J495" s="47"/>
      <c r="K495" s="48"/>
      <c r="L495" s="47"/>
      <c r="M495" s="1913"/>
      <c r="N495" s="48"/>
      <c r="O495" s="49"/>
      <c r="P495" s="49"/>
      <c r="Q495" s="1884">
        <f t="shared" si="209"/>
        <v>0</v>
      </c>
      <c r="R495" s="1932"/>
      <c r="S495" s="50"/>
      <c r="T495" s="1932"/>
      <c r="U495" s="1932"/>
      <c r="V495" s="1932"/>
      <c r="W495" s="1885">
        <f t="shared" si="192"/>
        <v>0</v>
      </c>
      <c r="X495" s="1891">
        <f t="shared" si="193"/>
        <v>0</v>
      </c>
      <c r="Y495" s="1891">
        <f t="shared" si="194"/>
        <v>0</v>
      </c>
      <c r="Z495" s="50"/>
      <c r="AA495" s="50"/>
      <c r="AB495" s="48"/>
      <c r="AC495" s="48"/>
      <c r="AD495" s="48"/>
      <c r="AE495" s="45"/>
      <c r="AF495" s="51"/>
      <c r="AG495" s="42"/>
      <c r="AH495" s="52" t="s">
        <v>5173</v>
      </c>
      <c r="AI495" s="197"/>
      <c r="AJ495" s="2578"/>
      <c r="AK495" s="251"/>
      <c r="AL495" s="2578"/>
      <c r="AM495" s="2562"/>
      <c r="AN495" s="2562"/>
      <c r="AO495" s="2562"/>
      <c r="AP495" s="2562"/>
      <c r="AQ495" s="2562"/>
      <c r="AR495" s="2562"/>
      <c r="AS495" s="2562"/>
      <c r="AT495" s="252">
        <f t="shared" si="195"/>
        <v>1</v>
      </c>
      <c r="AU495" s="252">
        <f t="shared" si="196"/>
        <v>1</v>
      </c>
      <c r="AV495" s="252">
        <f t="shared" si="197"/>
        <v>1</v>
      </c>
      <c r="AW495" s="252">
        <f t="shared" si="198"/>
        <v>1</v>
      </c>
      <c r="AX495" s="252">
        <f t="shared" si="199"/>
        <v>1</v>
      </c>
      <c r="AY495" s="252">
        <f t="shared" si="200"/>
        <v>1</v>
      </c>
      <c r="AZ495" s="252">
        <f t="shared" si="201"/>
        <v>1</v>
      </c>
      <c r="BA495" s="237"/>
      <c r="BB495" s="237"/>
      <c r="BC495" s="252">
        <f t="shared" si="202"/>
        <v>1</v>
      </c>
      <c r="BD495" s="237"/>
      <c r="BE495" s="237"/>
      <c r="BF495" s="237"/>
      <c r="BG495" s="237"/>
      <c r="BH495" s="237"/>
      <c r="BI495" s="237"/>
      <c r="BJ495" s="252">
        <f t="shared" si="203"/>
        <v>1</v>
      </c>
      <c r="BK495" s="252">
        <f t="shared" si="204"/>
        <v>1</v>
      </c>
      <c r="BL495" s="252">
        <f t="shared" si="205"/>
        <v>1</v>
      </c>
      <c r="BM495" s="252">
        <f t="shared" si="206"/>
        <v>1</v>
      </c>
      <c r="BN495" s="252">
        <f t="shared" si="207"/>
        <v>1</v>
      </c>
      <c r="BO495" s="252">
        <f t="shared" si="208"/>
        <v>1</v>
      </c>
      <c r="BP495" s="2578"/>
      <c r="BQ495" s="2562"/>
      <c r="BR495" s="2562"/>
      <c r="BS495" s="2585"/>
      <c r="BT495" s="2585"/>
      <c r="BU495" s="2585"/>
    </row>
    <row r="496" spans="1:73" s="22" customFormat="1" ht="15.75" hidden="1" customHeight="1" outlineLevel="1">
      <c r="A496" s="2585"/>
      <c r="B496" s="44"/>
      <c r="C496" s="45"/>
      <c r="D496" s="46"/>
      <c r="E496" s="46"/>
      <c r="F496" s="45"/>
      <c r="G496" s="46"/>
      <c r="H496" s="45"/>
      <c r="I496" s="45"/>
      <c r="J496" s="47"/>
      <c r="K496" s="48"/>
      <c r="L496" s="47"/>
      <c r="M496" s="1913"/>
      <c r="N496" s="48"/>
      <c r="O496" s="49"/>
      <c r="P496" s="49"/>
      <c r="Q496" s="1884">
        <f t="shared" si="209"/>
        <v>0</v>
      </c>
      <c r="R496" s="1932"/>
      <c r="S496" s="50"/>
      <c r="T496" s="1932"/>
      <c r="U496" s="1932"/>
      <c r="V496" s="1932"/>
      <c r="W496" s="1885">
        <f t="shared" si="192"/>
        <v>0</v>
      </c>
      <c r="X496" s="1891">
        <f t="shared" si="193"/>
        <v>0</v>
      </c>
      <c r="Y496" s="1891">
        <f t="shared" si="194"/>
        <v>0</v>
      </c>
      <c r="Z496" s="50"/>
      <c r="AA496" s="50"/>
      <c r="AB496" s="48"/>
      <c r="AC496" s="48"/>
      <c r="AD496" s="48"/>
      <c r="AE496" s="45"/>
      <c r="AF496" s="51"/>
      <c r="AG496" s="42"/>
      <c r="AH496" s="52" t="s">
        <v>5174</v>
      </c>
      <c r="AI496" s="197"/>
      <c r="AJ496" s="2578"/>
      <c r="AK496" s="251"/>
      <c r="AL496" s="2578"/>
      <c r="AM496" s="2562"/>
      <c r="AN496" s="2562"/>
      <c r="AO496" s="2562"/>
      <c r="AP496" s="2562"/>
      <c r="AQ496" s="2562"/>
      <c r="AR496" s="2562"/>
      <c r="AS496" s="2562"/>
      <c r="AT496" s="252">
        <f t="shared" si="195"/>
        <v>1</v>
      </c>
      <c r="AU496" s="252">
        <f t="shared" si="196"/>
        <v>1</v>
      </c>
      <c r="AV496" s="252">
        <f t="shared" si="197"/>
        <v>1</v>
      </c>
      <c r="AW496" s="252">
        <f t="shared" si="198"/>
        <v>1</v>
      </c>
      <c r="AX496" s="252">
        <f t="shared" si="199"/>
        <v>1</v>
      </c>
      <c r="AY496" s="252">
        <f t="shared" si="200"/>
        <v>1</v>
      </c>
      <c r="AZ496" s="252">
        <f t="shared" si="201"/>
        <v>1</v>
      </c>
      <c r="BA496" s="237"/>
      <c r="BB496" s="237"/>
      <c r="BC496" s="252">
        <f t="shared" si="202"/>
        <v>1</v>
      </c>
      <c r="BD496" s="237"/>
      <c r="BE496" s="237"/>
      <c r="BF496" s="237"/>
      <c r="BG496" s="237"/>
      <c r="BH496" s="237"/>
      <c r="BI496" s="237"/>
      <c r="BJ496" s="252">
        <f t="shared" si="203"/>
        <v>1</v>
      </c>
      <c r="BK496" s="252">
        <f t="shared" si="204"/>
        <v>1</v>
      </c>
      <c r="BL496" s="252">
        <f t="shared" si="205"/>
        <v>1</v>
      </c>
      <c r="BM496" s="252">
        <f t="shared" si="206"/>
        <v>1</v>
      </c>
      <c r="BN496" s="252">
        <f t="shared" si="207"/>
        <v>1</v>
      </c>
      <c r="BO496" s="252">
        <f t="shared" si="208"/>
        <v>1</v>
      </c>
      <c r="BP496" s="2578"/>
      <c r="BQ496" s="2562"/>
      <c r="BR496" s="2562"/>
      <c r="BS496" s="2585"/>
      <c r="BT496" s="2585"/>
      <c r="BU496" s="2585"/>
    </row>
    <row r="497" spans="1:73" s="22" customFormat="1" ht="15.75" hidden="1" customHeight="1" outlineLevel="1">
      <c r="A497" s="2585"/>
      <c r="B497" s="44"/>
      <c r="C497" s="45"/>
      <c r="D497" s="46"/>
      <c r="E497" s="46"/>
      <c r="F497" s="45"/>
      <c r="G497" s="46"/>
      <c r="H497" s="45"/>
      <c r="I497" s="45"/>
      <c r="J497" s="47"/>
      <c r="K497" s="48"/>
      <c r="L497" s="47"/>
      <c r="M497" s="1913"/>
      <c r="N497" s="48"/>
      <c r="O497" s="49"/>
      <c r="P497" s="49"/>
      <c r="Q497" s="1884">
        <f t="shared" si="209"/>
        <v>0</v>
      </c>
      <c r="R497" s="1932"/>
      <c r="S497" s="50"/>
      <c r="T497" s="1932"/>
      <c r="U497" s="1932"/>
      <c r="V497" s="1932"/>
      <c r="W497" s="1885">
        <f t="shared" si="192"/>
        <v>0</v>
      </c>
      <c r="X497" s="1891">
        <f t="shared" si="193"/>
        <v>0</v>
      </c>
      <c r="Y497" s="1891">
        <f t="shared" si="194"/>
        <v>0</v>
      </c>
      <c r="Z497" s="50"/>
      <c r="AA497" s="50"/>
      <c r="AB497" s="48"/>
      <c r="AC497" s="48"/>
      <c r="AD497" s="48"/>
      <c r="AE497" s="45"/>
      <c r="AF497" s="51"/>
      <c r="AG497" s="42"/>
      <c r="AH497" s="52" t="s">
        <v>5175</v>
      </c>
      <c r="AI497" s="197"/>
      <c r="AJ497" s="2578"/>
      <c r="AK497" s="251"/>
      <c r="AL497" s="2578"/>
      <c r="AM497" s="2562"/>
      <c r="AN497" s="2562"/>
      <c r="AO497" s="2562"/>
      <c r="AP497" s="2562"/>
      <c r="AQ497" s="2562"/>
      <c r="AR497" s="2562"/>
      <c r="AS497" s="2562"/>
      <c r="AT497" s="252">
        <f t="shared" si="195"/>
        <v>1</v>
      </c>
      <c r="AU497" s="252">
        <f t="shared" si="196"/>
        <v>1</v>
      </c>
      <c r="AV497" s="252">
        <f t="shared" si="197"/>
        <v>1</v>
      </c>
      <c r="AW497" s="252">
        <f t="shared" si="198"/>
        <v>1</v>
      </c>
      <c r="AX497" s="252">
        <f t="shared" si="199"/>
        <v>1</v>
      </c>
      <c r="AY497" s="252">
        <f t="shared" si="200"/>
        <v>1</v>
      </c>
      <c r="AZ497" s="252">
        <f t="shared" si="201"/>
        <v>1</v>
      </c>
      <c r="BA497" s="237"/>
      <c r="BB497" s="237"/>
      <c r="BC497" s="252">
        <f t="shared" si="202"/>
        <v>1</v>
      </c>
      <c r="BD497" s="237"/>
      <c r="BE497" s="237"/>
      <c r="BF497" s="237"/>
      <c r="BG497" s="237"/>
      <c r="BH497" s="237"/>
      <c r="BI497" s="237"/>
      <c r="BJ497" s="252">
        <f t="shared" si="203"/>
        <v>1</v>
      </c>
      <c r="BK497" s="252">
        <f t="shared" si="204"/>
        <v>1</v>
      </c>
      <c r="BL497" s="252">
        <f t="shared" si="205"/>
        <v>1</v>
      </c>
      <c r="BM497" s="252">
        <f t="shared" si="206"/>
        <v>1</v>
      </c>
      <c r="BN497" s="252">
        <f t="shared" si="207"/>
        <v>1</v>
      </c>
      <c r="BO497" s="252">
        <f t="shared" si="208"/>
        <v>1</v>
      </c>
      <c r="BP497" s="2578"/>
      <c r="BQ497" s="2562"/>
      <c r="BR497" s="2562"/>
      <c r="BS497" s="2585"/>
      <c r="BT497" s="2585"/>
      <c r="BU497" s="2585"/>
    </row>
    <row r="498" spans="1:73" s="22" customFormat="1" ht="15.75" hidden="1" customHeight="1" outlineLevel="1">
      <c r="A498" s="2585"/>
      <c r="B498" s="44"/>
      <c r="C498" s="45"/>
      <c r="D498" s="46"/>
      <c r="E498" s="46"/>
      <c r="F498" s="45"/>
      <c r="G498" s="46"/>
      <c r="H498" s="45"/>
      <c r="I498" s="45"/>
      <c r="J498" s="47"/>
      <c r="K498" s="48"/>
      <c r="L498" s="47"/>
      <c r="M498" s="1913"/>
      <c r="N498" s="48"/>
      <c r="O498" s="49"/>
      <c r="P498" s="49"/>
      <c r="Q498" s="1884">
        <f t="shared" si="209"/>
        <v>0</v>
      </c>
      <c r="R498" s="1932"/>
      <c r="S498" s="50"/>
      <c r="T498" s="1932"/>
      <c r="U498" s="1932"/>
      <c r="V498" s="1932"/>
      <c r="W498" s="1885">
        <f t="shared" si="192"/>
        <v>0</v>
      </c>
      <c r="X498" s="1891">
        <f t="shared" si="193"/>
        <v>0</v>
      </c>
      <c r="Y498" s="1891">
        <f t="shared" si="194"/>
        <v>0</v>
      </c>
      <c r="Z498" s="50"/>
      <c r="AA498" s="50"/>
      <c r="AB498" s="48"/>
      <c r="AC498" s="48"/>
      <c r="AD498" s="48"/>
      <c r="AE498" s="45"/>
      <c r="AF498" s="51"/>
      <c r="AG498" s="42"/>
      <c r="AH498" s="52" t="s">
        <v>5176</v>
      </c>
      <c r="AI498" s="197"/>
      <c r="AJ498" s="2578"/>
      <c r="AK498" s="251"/>
      <c r="AL498" s="2578"/>
      <c r="AM498" s="2562"/>
      <c r="AN498" s="2562"/>
      <c r="AO498" s="2562"/>
      <c r="AP498" s="2562"/>
      <c r="AQ498" s="2562"/>
      <c r="AR498" s="2562"/>
      <c r="AS498" s="2562"/>
      <c r="AT498" s="252">
        <f t="shared" si="195"/>
        <v>1</v>
      </c>
      <c r="AU498" s="252">
        <f t="shared" si="196"/>
        <v>1</v>
      </c>
      <c r="AV498" s="252">
        <f t="shared" si="197"/>
        <v>1</v>
      </c>
      <c r="AW498" s="252">
        <f t="shared" si="198"/>
        <v>1</v>
      </c>
      <c r="AX498" s="252">
        <f t="shared" si="199"/>
        <v>1</v>
      </c>
      <c r="AY498" s="252">
        <f t="shared" si="200"/>
        <v>1</v>
      </c>
      <c r="AZ498" s="252">
        <f t="shared" si="201"/>
        <v>1</v>
      </c>
      <c r="BA498" s="237"/>
      <c r="BB498" s="237"/>
      <c r="BC498" s="252">
        <f t="shared" si="202"/>
        <v>1</v>
      </c>
      <c r="BD498" s="237"/>
      <c r="BE498" s="237"/>
      <c r="BF498" s="237"/>
      <c r="BG498" s="237"/>
      <c r="BH498" s="237"/>
      <c r="BI498" s="237"/>
      <c r="BJ498" s="252">
        <f t="shared" si="203"/>
        <v>1</v>
      </c>
      <c r="BK498" s="252">
        <f t="shared" si="204"/>
        <v>1</v>
      </c>
      <c r="BL498" s="252">
        <f t="shared" si="205"/>
        <v>1</v>
      </c>
      <c r="BM498" s="252">
        <f t="shared" si="206"/>
        <v>1</v>
      </c>
      <c r="BN498" s="252">
        <f t="shared" si="207"/>
        <v>1</v>
      </c>
      <c r="BO498" s="252">
        <f t="shared" si="208"/>
        <v>1</v>
      </c>
      <c r="BP498" s="2578"/>
      <c r="BQ498" s="2562"/>
      <c r="BR498" s="2562"/>
      <c r="BS498" s="2585"/>
      <c r="BT498" s="2585"/>
      <c r="BU498" s="2585"/>
    </row>
    <row r="499" spans="1:73" s="22" customFormat="1" ht="15.75" hidden="1" customHeight="1" outlineLevel="1">
      <c r="A499" s="2585"/>
      <c r="B499" s="44"/>
      <c r="C499" s="45"/>
      <c r="D499" s="46"/>
      <c r="E499" s="46"/>
      <c r="F499" s="45"/>
      <c r="G499" s="46"/>
      <c r="H499" s="45"/>
      <c r="I499" s="45"/>
      <c r="J499" s="47"/>
      <c r="K499" s="48"/>
      <c r="L499" s="47"/>
      <c r="M499" s="1913"/>
      <c r="N499" s="48"/>
      <c r="O499" s="49"/>
      <c r="P499" s="49"/>
      <c r="Q499" s="1884">
        <f t="shared" si="209"/>
        <v>0</v>
      </c>
      <c r="R499" s="1932"/>
      <c r="S499" s="50"/>
      <c r="T499" s="1932"/>
      <c r="U499" s="1932"/>
      <c r="V499" s="1932"/>
      <c r="W499" s="1885">
        <f t="shared" si="192"/>
        <v>0</v>
      </c>
      <c r="X499" s="1891">
        <f t="shared" si="193"/>
        <v>0</v>
      </c>
      <c r="Y499" s="1891">
        <f t="shared" si="194"/>
        <v>0</v>
      </c>
      <c r="Z499" s="50"/>
      <c r="AA499" s="50"/>
      <c r="AB499" s="48"/>
      <c r="AC499" s="48"/>
      <c r="AD499" s="48"/>
      <c r="AE499" s="45"/>
      <c r="AF499" s="51"/>
      <c r="AG499" s="42"/>
      <c r="AH499" s="52" t="s">
        <v>5177</v>
      </c>
      <c r="AI499" s="197"/>
      <c r="AJ499" s="2578"/>
      <c r="AK499" s="251"/>
      <c r="AL499" s="2578"/>
      <c r="AM499" s="2562"/>
      <c r="AN499" s="2562"/>
      <c r="AO499" s="2562"/>
      <c r="AP499" s="2562"/>
      <c r="AQ499" s="2562"/>
      <c r="AR499" s="2562"/>
      <c r="AS499" s="2562"/>
      <c r="AT499" s="252">
        <f t="shared" si="195"/>
        <v>1</v>
      </c>
      <c r="AU499" s="252">
        <f t="shared" si="196"/>
        <v>1</v>
      </c>
      <c r="AV499" s="252">
        <f t="shared" si="197"/>
        <v>1</v>
      </c>
      <c r="AW499" s="252">
        <f t="shared" si="198"/>
        <v>1</v>
      </c>
      <c r="AX499" s="252">
        <f t="shared" si="199"/>
        <v>1</v>
      </c>
      <c r="AY499" s="252">
        <f t="shared" si="200"/>
        <v>1</v>
      </c>
      <c r="AZ499" s="252">
        <f t="shared" si="201"/>
        <v>1</v>
      </c>
      <c r="BA499" s="237"/>
      <c r="BB499" s="237"/>
      <c r="BC499" s="252">
        <f t="shared" si="202"/>
        <v>1</v>
      </c>
      <c r="BD499" s="237"/>
      <c r="BE499" s="237"/>
      <c r="BF499" s="237"/>
      <c r="BG499" s="237"/>
      <c r="BH499" s="237"/>
      <c r="BI499" s="237"/>
      <c r="BJ499" s="252">
        <f t="shared" si="203"/>
        <v>1</v>
      </c>
      <c r="BK499" s="252">
        <f t="shared" si="204"/>
        <v>1</v>
      </c>
      <c r="BL499" s="252">
        <f t="shared" si="205"/>
        <v>1</v>
      </c>
      <c r="BM499" s="252">
        <f t="shared" si="206"/>
        <v>1</v>
      </c>
      <c r="BN499" s="252">
        <f t="shared" si="207"/>
        <v>1</v>
      </c>
      <c r="BO499" s="252">
        <f t="shared" si="208"/>
        <v>1</v>
      </c>
      <c r="BP499" s="2578"/>
      <c r="BQ499" s="2562"/>
      <c r="BR499" s="2562"/>
      <c r="BS499" s="2585"/>
      <c r="BT499" s="2585"/>
      <c r="BU499" s="2585"/>
    </row>
    <row r="500" spans="1:73" s="22" customFormat="1" ht="15.75" hidden="1" customHeight="1" outlineLevel="1">
      <c r="A500" s="2585"/>
      <c r="B500" s="44"/>
      <c r="C500" s="45"/>
      <c r="D500" s="46"/>
      <c r="E500" s="46"/>
      <c r="F500" s="45"/>
      <c r="G500" s="46"/>
      <c r="H500" s="45"/>
      <c r="I500" s="45"/>
      <c r="J500" s="47"/>
      <c r="K500" s="48"/>
      <c r="L500" s="47"/>
      <c r="M500" s="1913"/>
      <c r="N500" s="48"/>
      <c r="O500" s="49"/>
      <c r="P500" s="49"/>
      <c r="Q500" s="1884">
        <f t="shared" si="209"/>
        <v>0</v>
      </c>
      <c r="R500" s="1932"/>
      <c r="S500" s="50"/>
      <c r="T500" s="1932"/>
      <c r="U500" s="1932"/>
      <c r="V500" s="1932"/>
      <c r="W500" s="1885">
        <f t="shared" si="192"/>
        <v>0</v>
      </c>
      <c r="X500" s="1891">
        <f t="shared" si="193"/>
        <v>0</v>
      </c>
      <c r="Y500" s="1891">
        <f t="shared" si="194"/>
        <v>0</v>
      </c>
      <c r="Z500" s="50"/>
      <c r="AA500" s="50"/>
      <c r="AB500" s="48"/>
      <c r="AC500" s="48"/>
      <c r="AD500" s="48"/>
      <c r="AE500" s="45"/>
      <c r="AF500" s="51"/>
      <c r="AG500" s="42"/>
      <c r="AH500" s="52" t="s">
        <v>5178</v>
      </c>
      <c r="AI500" s="197"/>
      <c r="AJ500" s="2578"/>
      <c r="AK500" s="251"/>
      <c r="AL500" s="2578"/>
      <c r="AM500" s="2562"/>
      <c r="AN500" s="2562"/>
      <c r="AO500" s="2562"/>
      <c r="AP500" s="2562"/>
      <c r="AQ500" s="2562"/>
      <c r="AR500" s="2562"/>
      <c r="AS500" s="2562"/>
      <c r="AT500" s="252">
        <f t="shared" si="195"/>
        <v>1</v>
      </c>
      <c r="AU500" s="252">
        <f t="shared" si="196"/>
        <v>1</v>
      </c>
      <c r="AV500" s="252">
        <f t="shared" si="197"/>
        <v>1</v>
      </c>
      <c r="AW500" s="252">
        <f t="shared" si="198"/>
        <v>1</v>
      </c>
      <c r="AX500" s="252">
        <f t="shared" si="199"/>
        <v>1</v>
      </c>
      <c r="AY500" s="252">
        <f t="shared" si="200"/>
        <v>1</v>
      </c>
      <c r="AZ500" s="252">
        <f t="shared" si="201"/>
        <v>1</v>
      </c>
      <c r="BA500" s="237"/>
      <c r="BB500" s="237"/>
      <c r="BC500" s="252">
        <f t="shared" si="202"/>
        <v>1</v>
      </c>
      <c r="BD500" s="237"/>
      <c r="BE500" s="237"/>
      <c r="BF500" s="237"/>
      <c r="BG500" s="237"/>
      <c r="BH500" s="237"/>
      <c r="BI500" s="237"/>
      <c r="BJ500" s="252">
        <f t="shared" si="203"/>
        <v>1</v>
      </c>
      <c r="BK500" s="252">
        <f t="shared" si="204"/>
        <v>1</v>
      </c>
      <c r="BL500" s="252">
        <f t="shared" si="205"/>
        <v>1</v>
      </c>
      <c r="BM500" s="252">
        <f t="shared" si="206"/>
        <v>1</v>
      </c>
      <c r="BN500" s="252">
        <f t="shared" si="207"/>
        <v>1</v>
      </c>
      <c r="BO500" s="252">
        <f t="shared" si="208"/>
        <v>1</v>
      </c>
      <c r="BP500" s="2578"/>
      <c r="BQ500" s="2562"/>
      <c r="BR500" s="2562"/>
      <c r="BS500" s="2585"/>
      <c r="BT500" s="2585"/>
      <c r="BU500" s="2585"/>
    </row>
    <row r="501" spans="1:73" s="22" customFormat="1" ht="15.75" hidden="1" customHeight="1" outlineLevel="1">
      <c r="A501" s="2585"/>
      <c r="B501" s="44"/>
      <c r="C501" s="45"/>
      <c r="D501" s="46"/>
      <c r="E501" s="46"/>
      <c r="F501" s="45"/>
      <c r="G501" s="46"/>
      <c r="H501" s="45"/>
      <c r="I501" s="45"/>
      <c r="J501" s="47"/>
      <c r="K501" s="48"/>
      <c r="L501" s="47"/>
      <c r="M501" s="1913"/>
      <c r="N501" s="48"/>
      <c r="O501" s="49"/>
      <c r="P501" s="49"/>
      <c r="Q501" s="1884">
        <f t="shared" si="209"/>
        <v>0</v>
      </c>
      <c r="R501" s="1932"/>
      <c r="S501" s="50"/>
      <c r="T501" s="1932"/>
      <c r="U501" s="1932"/>
      <c r="V501" s="1932"/>
      <c r="W501" s="1885">
        <f t="shared" si="192"/>
        <v>0</v>
      </c>
      <c r="X501" s="1891">
        <f t="shared" si="193"/>
        <v>0</v>
      </c>
      <c r="Y501" s="1891">
        <f t="shared" si="194"/>
        <v>0</v>
      </c>
      <c r="Z501" s="50"/>
      <c r="AA501" s="50"/>
      <c r="AB501" s="48"/>
      <c r="AC501" s="48"/>
      <c r="AD501" s="48"/>
      <c r="AE501" s="45"/>
      <c r="AF501" s="51"/>
      <c r="AG501" s="42"/>
      <c r="AH501" s="52" t="s">
        <v>5179</v>
      </c>
      <c r="AI501" s="197"/>
      <c r="AJ501" s="2578"/>
      <c r="AK501" s="251"/>
      <c r="AL501" s="2578"/>
      <c r="AM501" s="2562"/>
      <c r="AN501" s="2562"/>
      <c r="AO501" s="2562"/>
      <c r="AP501" s="2562"/>
      <c r="AQ501" s="2562"/>
      <c r="AR501" s="2562"/>
      <c r="AS501" s="2562"/>
      <c r="AT501" s="252">
        <f t="shared" si="195"/>
        <v>1</v>
      </c>
      <c r="AU501" s="252">
        <f t="shared" si="196"/>
        <v>1</v>
      </c>
      <c r="AV501" s="252">
        <f t="shared" si="197"/>
        <v>1</v>
      </c>
      <c r="AW501" s="252">
        <f t="shared" si="198"/>
        <v>1</v>
      </c>
      <c r="AX501" s="252">
        <f t="shared" si="199"/>
        <v>1</v>
      </c>
      <c r="AY501" s="252">
        <f t="shared" si="200"/>
        <v>1</v>
      </c>
      <c r="AZ501" s="252">
        <f t="shared" si="201"/>
        <v>1</v>
      </c>
      <c r="BA501" s="237"/>
      <c r="BB501" s="237"/>
      <c r="BC501" s="252">
        <f t="shared" si="202"/>
        <v>1</v>
      </c>
      <c r="BD501" s="237"/>
      <c r="BE501" s="237"/>
      <c r="BF501" s="237"/>
      <c r="BG501" s="237"/>
      <c r="BH501" s="237"/>
      <c r="BI501" s="237"/>
      <c r="BJ501" s="252">
        <f t="shared" si="203"/>
        <v>1</v>
      </c>
      <c r="BK501" s="252">
        <f t="shared" si="204"/>
        <v>1</v>
      </c>
      <c r="BL501" s="252">
        <f t="shared" si="205"/>
        <v>1</v>
      </c>
      <c r="BM501" s="252">
        <f t="shared" si="206"/>
        <v>1</v>
      </c>
      <c r="BN501" s="252">
        <f t="shared" si="207"/>
        <v>1</v>
      </c>
      <c r="BO501" s="252">
        <f t="shared" si="208"/>
        <v>1</v>
      </c>
      <c r="BP501" s="2578"/>
      <c r="BQ501" s="2562"/>
      <c r="BR501" s="2562"/>
      <c r="BS501" s="2585"/>
      <c r="BT501" s="2585"/>
      <c r="BU501" s="2585"/>
    </row>
    <row r="502" spans="1:73" s="22" customFormat="1" ht="15.75" hidden="1" customHeight="1" outlineLevel="1">
      <c r="A502" s="2585"/>
      <c r="B502" s="44"/>
      <c r="C502" s="45"/>
      <c r="D502" s="46"/>
      <c r="E502" s="46"/>
      <c r="F502" s="45"/>
      <c r="G502" s="46"/>
      <c r="H502" s="45"/>
      <c r="I502" s="45"/>
      <c r="J502" s="47"/>
      <c r="K502" s="48"/>
      <c r="L502" s="47"/>
      <c r="M502" s="1913"/>
      <c r="N502" s="48"/>
      <c r="O502" s="49"/>
      <c r="P502" s="49"/>
      <c r="Q502" s="1884">
        <f t="shared" si="209"/>
        <v>0</v>
      </c>
      <c r="R502" s="1932"/>
      <c r="S502" s="50"/>
      <c r="T502" s="1932"/>
      <c r="U502" s="1932"/>
      <c r="V502" s="1932"/>
      <c r="W502" s="1885">
        <f t="shared" si="192"/>
        <v>0</v>
      </c>
      <c r="X502" s="1891">
        <f t="shared" si="193"/>
        <v>0</v>
      </c>
      <c r="Y502" s="1891">
        <f t="shared" si="194"/>
        <v>0</v>
      </c>
      <c r="Z502" s="50"/>
      <c r="AA502" s="50"/>
      <c r="AB502" s="48"/>
      <c r="AC502" s="48"/>
      <c r="AD502" s="48"/>
      <c r="AE502" s="45"/>
      <c r="AF502" s="51"/>
      <c r="AG502" s="42"/>
      <c r="AH502" s="52" t="s">
        <v>5180</v>
      </c>
      <c r="AI502" s="197"/>
      <c r="AJ502" s="2578"/>
      <c r="AK502" s="251"/>
      <c r="AL502" s="2578"/>
      <c r="AM502" s="2562"/>
      <c r="AN502" s="2562"/>
      <c r="AO502" s="2562"/>
      <c r="AP502" s="2562"/>
      <c r="AQ502" s="2562"/>
      <c r="AR502" s="2562"/>
      <c r="AS502" s="2562"/>
      <c r="AT502" s="252">
        <f t="shared" si="195"/>
        <v>1</v>
      </c>
      <c r="AU502" s="252">
        <f t="shared" si="196"/>
        <v>1</v>
      </c>
      <c r="AV502" s="252">
        <f t="shared" si="197"/>
        <v>1</v>
      </c>
      <c r="AW502" s="252">
        <f t="shared" si="198"/>
        <v>1</v>
      </c>
      <c r="AX502" s="252">
        <f t="shared" si="199"/>
        <v>1</v>
      </c>
      <c r="AY502" s="252">
        <f t="shared" si="200"/>
        <v>1</v>
      </c>
      <c r="AZ502" s="252">
        <f t="shared" si="201"/>
        <v>1</v>
      </c>
      <c r="BA502" s="237"/>
      <c r="BB502" s="237"/>
      <c r="BC502" s="252">
        <f t="shared" si="202"/>
        <v>1</v>
      </c>
      <c r="BD502" s="237"/>
      <c r="BE502" s="237"/>
      <c r="BF502" s="237"/>
      <c r="BG502" s="237"/>
      <c r="BH502" s="237"/>
      <c r="BI502" s="237"/>
      <c r="BJ502" s="252">
        <f t="shared" si="203"/>
        <v>1</v>
      </c>
      <c r="BK502" s="252">
        <f t="shared" si="204"/>
        <v>1</v>
      </c>
      <c r="BL502" s="252">
        <f t="shared" si="205"/>
        <v>1</v>
      </c>
      <c r="BM502" s="252">
        <f t="shared" si="206"/>
        <v>1</v>
      </c>
      <c r="BN502" s="252">
        <f t="shared" si="207"/>
        <v>1</v>
      </c>
      <c r="BO502" s="252">
        <f t="shared" si="208"/>
        <v>1</v>
      </c>
      <c r="BP502" s="2578"/>
      <c r="BQ502" s="2562"/>
      <c r="BR502" s="2562"/>
      <c r="BS502" s="2585"/>
      <c r="BT502" s="2585"/>
      <c r="BU502" s="2585"/>
    </row>
    <row r="503" spans="1:73" s="22" customFormat="1" ht="15.75" hidden="1" customHeight="1" outlineLevel="1">
      <c r="A503" s="2585"/>
      <c r="B503" s="44"/>
      <c r="C503" s="45"/>
      <c r="D503" s="46"/>
      <c r="E503" s="46"/>
      <c r="F503" s="45"/>
      <c r="G503" s="46"/>
      <c r="H503" s="45"/>
      <c r="I503" s="45"/>
      <c r="J503" s="47"/>
      <c r="K503" s="48"/>
      <c r="L503" s="47"/>
      <c r="M503" s="1913"/>
      <c r="N503" s="48"/>
      <c r="O503" s="49"/>
      <c r="P503" s="49"/>
      <c r="Q503" s="1884">
        <f t="shared" si="209"/>
        <v>0</v>
      </c>
      <c r="R503" s="1932"/>
      <c r="S503" s="50"/>
      <c r="T503" s="1932"/>
      <c r="U503" s="1932"/>
      <c r="V503" s="1932"/>
      <c r="W503" s="1885">
        <f t="shared" si="192"/>
        <v>0</v>
      </c>
      <c r="X503" s="1891">
        <f t="shared" si="193"/>
        <v>0</v>
      </c>
      <c r="Y503" s="1891">
        <f t="shared" si="194"/>
        <v>0</v>
      </c>
      <c r="Z503" s="50"/>
      <c r="AA503" s="50"/>
      <c r="AB503" s="48"/>
      <c r="AC503" s="48"/>
      <c r="AD503" s="48"/>
      <c r="AE503" s="45"/>
      <c r="AF503" s="51"/>
      <c r="AG503" s="42"/>
      <c r="AH503" s="52" t="s">
        <v>5181</v>
      </c>
      <c r="AI503" s="197"/>
      <c r="AJ503" s="2578"/>
      <c r="AK503" s="251"/>
      <c r="AL503" s="2578"/>
      <c r="AM503" s="2562"/>
      <c r="AN503" s="2562"/>
      <c r="AO503" s="2562"/>
      <c r="AP503" s="2562"/>
      <c r="AQ503" s="2562"/>
      <c r="AR503" s="2562"/>
      <c r="AS503" s="2562"/>
      <c r="AT503" s="252">
        <f t="shared" si="195"/>
        <v>1</v>
      </c>
      <c r="AU503" s="252">
        <f t="shared" si="196"/>
        <v>1</v>
      </c>
      <c r="AV503" s="252">
        <f t="shared" si="197"/>
        <v>1</v>
      </c>
      <c r="AW503" s="252">
        <f t="shared" si="198"/>
        <v>1</v>
      </c>
      <c r="AX503" s="252">
        <f t="shared" si="199"/>
        <v>1</v>
      </c>
      <c r="AY503" s="252">
        <f t="shared" si="200"/>
        <v>1</v>
      </c>
      <c r="AZ503" s="252">
        <f t="shared" si="201"/>
        <v>1</v>
      </c>
      <c r="BA503" s="237"/>
      <c r="BB503" s="237"/>
      <c r="BC503" s="252">
        <f t="shared" si="202"/>
        <v>1</v>
      </c>
      <c r="BD503" s="237"/>
      <c r="BE503" s="237"/>
      <c r="BF503" s="237"/>
      <c r="BG503" s="237"/>
      <c r="BH503" s="237"/>
      <c r="BI503" s="237"/>
      <c r="BJ503" s="252">
        <f t="shared" si="203"/>
        <v>1</v>
      </c>
      <c r="BK503" s="252">
        <f t="shared" si="204"/>
        <v>1</v>
      </c>
      <c r="BL503" s="252">
        <f t="shared" si="205"/>
        <v>1</v>
      </c>
      <c r="BM503" s="252">
        <f t="shared" si="206"/>
        <v>1</v>
      </c>
      <c r="BN503" s="252">
        <f t="shared" si="207"/>
        <v>1</v>
      </c>
      <c r="BO503" s="252">
        <f t="shared" si="208"/>
        <v>1</v>
      </c>
      <c r="BP503" s="2578"/>
      <c r="BQ503" s="2562"/>
      <c r="BR503" s="2562"/>
      <c r="BS503" s="2585"/>
      <c r="BT503" s="2585"/>
      <c r="BU503" s="2585"/>
    </row>
    <row r="504" spans="1:73" s="22" customFormat="1" ht="15.75" hidden="1" customHeight="1" outlineLevel="1">
      <c r="A504" s="2585"/>
      <c r="B504" s="44"/>
      <c r="C504" s="45"/>
      <c r="D504" s="46"/>
      <c r="E504" s="46"/>
      <c r="F504" s="45"/>
      <c r="G504" s="46"/>
      <c r="H504" s="45"/>
      <c r="I504" s="45"/>
      <c r="J504" s="47"/>
      <c r="K504" s="48"/>
      <c r="L504" s="47"/>
      <c r="M504" s="1913"/>
      <c r="N504" s="48"/>
      <c r="O504" s="49"/>
      <c r="P504" s="49"/>
      <c r="Q504" s="1884">
        <f t="shared" si="209"/>
        <v>0</v>
      </c>
      <c r="R504" s="1932"/>
      <c r="S504" s="50"/>
      <c r="T504" s="1932"/>
      <c r="U504" s="1932"/>
      <c r="V504" s="1932"/>
      <c r="W504" s="1885">
        <f t="shared" si="192"/>
        <v>0</v>
      </c>
      <c r="X504" s="1891">
        <f t="shared" si="193"/>
        <v>0</v>
      </c>
      <c r="Y504" s="1891">
        <f t="shared" si="194"/>
        <v>0</v>
      </c>
      <c r="Z504" s="50"/>
      <c r="AA504" s="50"/>
      <c r="AB504" s="48"/>
      <c r="AC504" s="48"/>
      <c r="AD504" s="48"/>
      <c r="AE504" s="45"/>
      <c r="AF504" s="51"/>
      <c r="AG504" s="42"/>
      <c r="AH504" s="52" t="s">
        <v>5182</v>
      </c>
      <c r="AI504" s="197"/>
      <c r="AJ504" s="2578"/>
      <c r="AK504" s="251"/>
      <c r="AL504" s="2578"/>
      <c r="AM504" s="2562"/>
      <c r="AN504" s="2562"/>
      <c r="AO504" s="2562"/>
      <c r="AP504" s="2562"/>
      <c r="AQ504" s="2562"/>
      <c r="AR504" s="2562"/>
      <c r="AS504" s="2562"/>
      <c r="AT504" s="252">
        <f t="shared" si="195"/>
        <v>1</v>
      </c>
      <c r="AU504" s="252">
        <f t="shared" si="196"/>
        <v>1</v>
      </c>
      <c r="AV504" s="252">
        <f t="shared" si="197"/>
        <v>1</v>
      </c>
      <c r="AW504" s="252">
        <f t="shared" si="198"/>
        <v>1</v>
      </c>
      <c r="AX504" s="252">
        <f t="shared" si="199"/>
        <v>1</v>
      </c>
      <c r="AY504" s="252">
        <f t="shared" si="200"/>
        <v>1</v>
      </c>
      <c r="AZ504" s="252">
        <f t="shared" si="201"/>
        <v>1</v>
      </c>
      <c r="BA504" s="237"/>
      <c r="BB504" s="237"/>
      <c r="BC504" s="252">
        <f t="shared" si="202"/>
        <v>1</v>
      </c>
      <c r="BD504" s="237"/>
      <c r="BE504" s="237"/>
      <c r="BF504" s="237"/>
      <c r="BG504" s="237"/>
      <c r="BH504" s="237"/>
      <c r="BI504" s="237"/>
      <c r="BJ504" s="252">
        <f t="shared" si="203"/>
        <v>1</v>
      </c>
      <c r="BK504" s="252">
        <f t="shared" si="204"/>
        <v>1</v>
      </c>
      <c r="BL504" s="252">
        <f t="shared" si="205"/>
        <v>1</v>
      </c>
      <c r="BM504" s="252">
        <f t="shared" si="206"/>
        <v>1</v>
      </c>
      <c r="BN504" s="252">
        <f t="shared" si="207"/>
        <v>1</v>
      </c>
      <c r="BO504" s="252">
        <f t="shared" si="208"/>
        <v>1</v>
      </c>
      <c r="BP504" s="2578"/>
      <c r="BQ504" s="2562"/>
      <c r="BR504" s="2562"/>
      <c r="BS504" s="2585"/>
      <c r="BT504" s="2585"/>
      <c r="BU504" s="2585"/>
    </row>
    <row r="505" spans="1:73" s="22" customFormat="1" ht="15.75" hidden="1" customHeight="1" outlineLevel="1">
      <c r="A505" s="2585"/>
      <c r="B505" s="44"/>
      <c r="C505" s="45"/>
      <c r="D505" s="46"/>
      <c r="E505" s="46"/>
      <c r="F505" s="45"/>
      <c r="G505" s="46"/>
      <c r="H505" s="45"/>
      <c r="I505" s="45"/>
      <c r="J505" s="47"/>
      <c r="K505" s="48"/>
      <c r="L505" s="47"/>
      <c r="M505" s="1913"/>
      <c r="N505" s="48"/>
      <c r="O505" s="49"/>
      <c r="P505" s="49"/>
      <c r="Q505" s="1884">
        <f t="shared" si="209"/>
        <v>0</v>
      </c>
      <c r="R505" s="1932"/>
      <c r="S505" s="50"/>
      <c r="T505" s="1932"/>
      <c r="U505" s="1932"/>
      <c r="V505" s="1932"/>
      <c r="W505" s="1885">
        <f t="shared" si="192"/>
        <v>0</v>
      </c>
      <c r="X505" s="1891">
        <f t="shared" si="193"/>
        <v>0</v>
      </c>
      <c r="Y505" s="1891">
        <f t="shared" si="194"/>
        <v>0</v>
      </c>
      <c r="Z505" s="50"/>
      <c r="AA505" s="50"/>
      <c r="AB505" s="48"/>
      <c r="AC505" s="48"/>
      <c r="AD505" s="48"/>
      <c r="AE505" s="45"/>
      <c r="AF505" s="51"/>
      <c r="AG505" s="42"/>
      <c r="AH505" s="52" t="s">
        <v>5183</v>
      </c>
      <c r="AI505" s="197"/>
      <c r="AJ505" s="2578"/>
      <c r="AK505" s="251"/>
      <c r="AL505" s="2578"/>
      <c r="AM505" s="2562"/>
      <c r="AN505" s="2562"/>
      <c r="AO505" s="2562"/>
      <c r="AP505" s="2562"/>
      <c r="AQ505" s="2562"/>
      <c r="AR505" s="2562"/>
      <c r="AS505" s="2562"/>
      <c r="AT505" s="252">
        <f t="shared" si="195"/>
        <v>1</v>
      </c>
      <c r="AU505" s="252">
        <f t="shared" si="196"/>
        <v>1</v>
      </c>
      <c r="AV505" s="252">
        <f t="shared" si="197"/>
        <v>1</v>
      </c>
      <c r="AW505" s="252">
        <f t="shared" si="198"/>
        <v>1</v>
      </c>
      <c r="AX505" s="252">
        <f t="shared" si="199"/>
        <v>1</v>
      </c>
      <c r="AY505" s="252">
        <f t="shared" si="200"/>
        <v>1</v>
      </c>
      <c r="AZ505" s="252">
        <f t="shared" si="201"/>
        <v>1</v>
      </c>
      <c r="BA505" s="237"/>
      <c r="BB505" s="237"/>
      <c r="BC505" s="252">
        <f t="shared" si="202"/>
        <v>1</v>
      </c>
      <c r="BD505" s="237"/>
      <c r="BE505" s="237"/>
      <c r="BF505" s="237"/>
      <c r="BG505" s="237"/>
      <c r="BH505" s="237"/>
      <c r="BI505" s="237"/>
      <c r="BJ505" s="252">
        <f t="shared" si="203"/>
        <v>1</v>
      </c>
      <c r="BK505" s="252">
        <f t="shared" si="204"/>
        <v>1</v>
      </c>
      <c r="BL505" s="252">
        <f t="shared" si="205"/>
        <v>1</v>
      </c>
      <c r="BM505" s="252">
        <f t="shared" si="206"/>
        <v>1</v>
      </c>
      <c r="BN505" s="252">
        <f t="shared" si="207"/>
        <v>1</v>
      </c>
      <c r="BO505" s="252">
        <f t="shared" si="208"/>
        <v>1</v>
      </c>
      <c r="BP505" s="2578"/>
      <c r="BQ505" s="2562"/>
      <c r="BR505" s="2562"/>
      <c r="BS505" s="2585"/>
      <c r="BT505" s="2585"/>
      <c r="BU505" s="2585"/>
    </row>
    <row r="506" spans="1:73" s="22" customFormat="1" ht="15.75" hidden="1" customHeight="1" outlineLevel="1">
      <c r="A506" s="2585"/>
      <c r="B506" s="44"/>
      <c r="C506" s="45"/>
      <c r="D506" s="46"/>
      <c r="E506" s="46"/>
      <c r="F506" s="45"/>
      <c r="G506" s="46"/>
      <c r="H506" s="45"/>
      <c r="I506" s="45"/>
      <c r="J506" s="47"/>
      <c r="K506" s="48"/>
      <c r="L506" s="47"/>
      <c r="M506" s="1913"/>
      <c r="N506" s="48"/>
      <c r="O506" s="49"/>
      <c r="P506" s="49"/>
      <c r="Q506" s="1884">
        <f t="shared" si="209"/>
        <v>0</v>
      </c>
      <c r="R506" s="1932"/>
      <c r="S506" s="50"/>
      <c r="T506" s="1932"/>
      <c r="U506" s="1932"/>
      <c r="V506" s="1932"/>
      <c r="W506" s="1885">
        <f t="shared" si="192"/>
        <v>0</v>
      </c>
      <c r="X506" s="1891">
        <f t="shared" si="193"/>
        <v>0</v>
      </c>
      <c r="Y506" s="1891">
        <f t="shared" si="194"/>
        <v>0</v>
      </c>
      <c r="Z506" s="50"/>
      <c r="AA506" s="50"/>
      <c r="AB506" s="48"/>
      <c r="AC506" s="48"/>
      <c r="AD506" s="48"/>
      <c r="AE506" s="45"/>
      <c r="AF506" s="51"/>
      <c r="AG506" s="42"/>
      <c r="AH506" s="52" t="s">
        <v>5184</v>
      </c>
      <c r="AI506" s="197"/>
      <c r="AJ506" s="2578"/>
      <c r="AK506" s="251"/>
      <c r="AL506" s="2578"/>
      <c r="AM506" s="2562"/>
      <c r="AN506" s="2562"/>
      <c r="AO506" s="2562"/>
      <c r="AP506" s="2562"/>
      <c r="AQ506" s="2562"/>
      <c r="AR506" s="2562"/>
      <c r="AS506" s="2562"/>
      <c r="AT506" s="252">
        <f t="shared" si="195"/>
        <v>1</v>
      </c>
      <c r="AU506" s="252">
        <f t="shared" si="196"/>
        <v>1</v>
      </c>
      <c r="AV506" s="252">
        <f t="shared" si="197"/>
        <v>1</v>
      </c>
      <c r="AW506" s="252">
        <f t="shared" si="198"/>
        <v>1</v>
      </c>
      <c r="AX506" s="252">
        <f t="shared" si="199"/>
        <v>1</v>
      </c>
      <c r="AY506" s="252">
        <f t="shared" si="200"/>
        <v>1</v>
      </c>
      <c r="AZ506" s="252">
        <f t="shared" si="201"/>
        <v>1</v>
      </c>
      <c r="BA506" s="237"/>
      <c r="BB506" s="237"/>
      <c r="BC506" s="252">
        <f t="shared" si="202"/>
        <v>1</v>
      </c>
      <c r="BD506" s="237"/>
      <c r="BE506" s="237"/>
      <c r="BF506" s="237"/>
      <c r="BG506" s="237"/>
      <c r="BH506" s="237"/>
      <c r="BI506" s="237"/>
      <c r="BJ506" s="252">
        <f t="shared" si="203"/>
        <v>1</v>
      </c>
      <c r="BK506" s="252">
        <f t="shared" si="204"/>
        <v>1</v>
      </c>
      <c r="BL506" s="252">
        <f t="shared" si="205"/>
        <v>1</v>
      </c>
      <c r="BM506" s="252">
        <f t="shared" si="206"/>
        <v>1</v>
      </c>
      <c r="BN506" s="252">
        <f t="shared" si="207"/>
        <v>1</v>
      </c>
      <c r="BO506" s="252">
        <f t="shared" si="208"/>
        <v>1</v>
      </c>
      <c r="BP506" s="2578"/>
      <c r="BQ506" s="2562"/>
      <c r="BR506" s="2562"/>
      <c r="BS506" s="2585"/>
      <c r="BT506" s="2585"/>
      <c r="BU506" s="2585"/>
    </row>
    <row r="507" spans="1:73" s="22" customFormat="1" ht="15.75" hidden="1" customHeight="1" outlineLevel="1">
      <c r="A507" s="2585"/>
      <c r="B507" s="44"/>
      <c r="C507" s="45"/>
      <c r="D507" s="46"/>
      <c r="E507" s="46"/>
      <c r="F507" s="45"/>
      <c r="G507" s="46"/>
      <c r="H507" s="45"/>
      <c r="I507" s="45"/>
      <c r="J507" s="47"/>
      <c r="K507" s="48"/>
      <c r="L507" s="47"/>
      <c r="M507" s="1913"/>
      <c r="N507" s="48"/>
      <c r="O507" s="49"/>
      <c r="P507" s="49"/>
      <c r="Q507" s="1884">
        <f t="shared" si="209"/>
        <v>0</v>
      </c>
      <c r="R507" s="1932"/>
      <c r="S507" s="50"/>
      <c r="T507" s="1932"/>
      <c r="U507" s="1932"/>
      <c r="V507" s="1932"/>
      <c r="W507" s="1885">
        <f t="shared" si="192"/>
        <v>0</v>
      </c>
      <c r="X507" s="1891">
        <f t="shared" si="193"/>
        <v>0</v>
      </c>
      <c r="Y507" s="1891">
        <f t="shared" si="194"/>
        <v>0</v>
      </c>
      <c r="Z507" s="50"/>
      <c r="AA507" s="50"/>
      <c r="AB507" s="48"/>
      <c r="AC507" s="48"/>
      <c r="AD507" s="48"/>
      <c r="AE507" s="45"/>
      <c r="AF507" s="51"/>
      <c r="AG507" s="42"/>
      <c r="AH507" s="52" t="s">
        <v>5185</v>
      </c>
      <c r="AI507" s="197"/>
      <c r="AJ507" s="2578"/>
      <c r="AK507" s="251"/>
      <c r="AL507" s="2578"/>
      <c r="AM507" s="2562"/>
      <c r="AN507" s="2562"/>
      <c r="AO507" s="2562"/>
      <c r="AP507" s="2562"/>
      <c r="AQ507" s="2562"/>
      <c r="AR507" s="2562"/>
      <c r="AS507" s="2562"/>
      <c r="AT507" s="252">
        <f t="shared" si="195"/>
        <v>1</v>
      </c>
      <c r="AU507" s="252">
        <f t="shared" si="196"/>
        <v>1</v>
      </c>
      <c r="AV507" s="252">
        <f t="shared" si="197"/>
        <v>1</v>
      </c>
      <c r="AW507" s="252">
        <f t="shared" si="198"/>
        <v>1</v>
      </c>
      <c r="AX507" s="252">
        <f t="shared" si="199"/>
        <v>1</v>
      </c>
      <c r="AY507" s="252">
        <f t="shared" si="200"/>
        <v>1</v>
      </c>
      <c r="AZ507" s="252">
        <f t="shared" si="201"/>
        <v>1</v>
      </c>
      <c r="BA507" s="237"/>
      <c r="BB507" s="237"/>
      <c r="BC507" s="252">
        <f t="shared" si="202"/>
        <v>1</v>
      </c>
      <c r="BD507" s="237"/>
      <c r="BE507" s="237"/>
      <c r="BF507" s="237"/>
      <c r="BG507" s="237"/>
      <c r="BH507" s="237"/>
      <c r="BI507" s="237"/>
      <c r="BJ507" s="252">
        <f t="shared" si="203"/>
        <v>1</v>
      </c>
      <c r="BK507" s="252">
        <f t="shared" si="204"/>
        <v>1</v>
      </c>
      <c r="BL507" s="252">
        <f t="shared" si="205"/>
        <v>1</v>
      </c>
      <c r="BM507" s="252">
        <f t="shared" si="206"/>
        <v>1</v>
      </c>
      <c r="BN507" s="252">
        <f t="shared" si="207"/>
        <v>1</v>
      </c>
      <c r="BO507" s="252">
        <f t="shared" si="208"/>
        <v>1</v>
      </c>
      <c r="BP507" s="2578"/>
      <c r="BQ507" s="2562"/>
      <c r="BR507" s="2562"/>
      <c r="BS507" s="2585"/>
      <c r="BT507" s="2585"/>
      <c r="BU507" s="2585"/>
    </row>
    <row r="508" spans="1:73" s="22" customFormat="1" ht="15.75" hidden="1" customHeight="1" outlineLevel="1">
      <c r="A508" s="2585"/>
      <c r="B508" s="44"/>
      <c r="C508" s="45"/>
      <c r="D508" s="46"/>
      <c r="E508" s="46"/>
      <c r="F508" s="45"/>
      <c r="G508" s="46"/>
      <c r="H508" s="45"/>
      <c r="I508" s="45"/>
      <c r="J508" s="47"/>
      <c r="K508" s="48"/>
      <c r="L508" s="47"/>
      <c r="M508" s="1913"/>
      <c r="N508" s="48"/>
      <c r="O508" s="49"/>
      <c r="P508" s="49"/>
      <c r="Q508" s="1884">
        <f t="shared" si="209"/>
        <v>0</v>
      </c>
      <c r="R508" s="1932"/>
      <c r="S508" s="50"/>
      <c r="T508" s="1932"/>
      <c r="U508" s="1932"/>
      <c r="V508" s="1932"/>
      <c r="W508" s="1885">
        <f t="shared" si="192"/>
        <v>0</v>
      </c>
      <c r="X508" s="1891">
        <f t="shared" si="193"/>
        <v>0</v>
      </c>
      <c r="Y508" s="1891">
        <f t="shared" si="194"/>
        <v>0</v>
      </c>
      <c r="Z508" s="50"/>
      <c r="AA508" s="50"/>
      <c r="AB508" s="48"/>
      <c r="AC508" s="48"/>
      <c r="AD508" s="48"/>
      <c r="AE508" s="45"/>
      <c r="AF508" s="51"/>
      <c r="AG508" s="42"/>
      <c r="AH508" s="52" t="s">
        <v>5186</v>
      </c>
      <c r="AI508" s="197"/>
      <c r="AJ508" s="2578"/>
      <c r="AK508" s="251"/>
      <c r="AL508" s="2578"/>
      <c r="AM508" s="2562"/>
      <c r="AN508" s="2562"/>
      <c r="AO508" s="2562"/>
      <c r="AP508" s="2562"/>
      <c r="AQ508" s="2562"/>
      <c r="AR508" s="2562"/>
      <c r="AS508" s="2562"/>
      <c r="AT508" s="252">
        <f t="shared" si="195"/>
        <v>1</v>
      </c>
      <c r="AU508" s="252">
        <f t="shared" si="196"/>
        <v>1</v>
      </c>
      <c r="AV508" s="252">
        <f t="shared" si="197"/>
        <v>1</v>
      </c>
      <c r="AW508" s="252">
        <f t="shared" si="198"/>
        <v>1</v>
      </c>
      <c r="AX508" s="252">
        <f t="shared" si="199"/>
        <v>1</v>
      </c>
      <c r="AY508" s="252">
        <f t="shared" si="200"/>
        <v>1</v>
      </c>
      <c r="AZ508" s="252">
        <f t="shared" si="201"/>
        <v>1</v>
      </c>
      <c r="BA508" s="237"/>
      <c r="BB508" s="237"/>
      <c r="BC508" s="252">
        <f t="shared" si="202"/>
        <v>1</v>
      </c>
      <c r="BD508" s="237"/>
      <c r="BE508" s="237"/>
      <c r="BF508" s="237"/>
      <c r="BG508" s="237"/>
      <c r="BH508" s="237"/>
      <c r="BI508" s="237"/>
      <c r="BJ508" s="252">
        <f t="shared" si="203"/>
        <v>1</v>
      </c>
      <c r="BK508" s="252">
        <f t="shared" si="204"/>
        <v>1</v>
      </c>
      <c r="BL508" s="252">
        <f t="shared" si="205"/>
        <v>1</v>
      </c>
      <c r="BM508" s="252">
        <f t="shared" si="206"/>
        <v>1</v>
      </c>
      <c r="BN508" s="252">
        <f t="shared" si="207"/>
        <v>1</v>
      </c>
      <c r="BO508" s="252">
        <f t="shared" si="208"/>
        <v>1</v>
      </c>
      <c r="BP508" s="2578"/>
      <c r="BQ508" s="2562"/>
      <c r="BR508" s="2562"/>
      <c r="BS508" s="2585"/>
      <c r="BT508" s="2585"/>
      <c r="BU508" s="2585"/>
    </row>
    <row r="509" spans="1:73" s="22" customFormat="1" ht="15.75" hidden="1" customHeight="1" outlineLevel="1">
      <c r="A509" s="2585"/>
      <c r="B509" s="44"/>
      <c r="C509" s="45"/>
      <c r="D509" s="46"/>
      <c r="E509" s="46"/>
      <c r="F509" s="45"/>
      <c r="G509" s="46"/>
      <c r="H509" s="45"/>
      <c r="I509" s="45"/>
      <c r="J509" s="47"/>
      <c r="K509" s="48"/>
      <c r="L509" s="47"/>
      <c r="M509" s="1913"/>
      <c r="N509" s="48"/>
      <c r="O509" s="49"/>
      <c r="P509" s="49"/>
      <c r="Q509" s="1884">
        <f t="shared" si="209"/>
        <v>0</v>
      </c>
      <c r="R509" s="1932"/>
      <c r="S509" s="50"/>
      <c r="T509" s="1932"/>
      <c r="U509" s="1932"/>
      <c r="V509" s="1932"/>
      <c r="W509" s="1885">
        <f t="shared" si="192"/>
        <v>0</v>
      </c>
      <c r="X509" s="1891">
        <f t="shared" si="193"/>
        <v>0</v>
      </c>
      <c r="Y509" s="1891">
        <f t="shared" si="194"/>
        <v>0</v>
      </c>
      <c r="Z509" s="50"/>
      <c r="AA509" s="50"/>
      <c r="AB509" s="48"/>
      <c r="AC509" s="48"/>
      <c r="AD509" s="48"/>
      <c r="AE509" s="45"/>
      <c r="AF509" s="51"/>
      <c r="AG509" s="42"/>
      <c r="AH509" s="52" t="s">
        <v>5187</v>
      </c>
      <c r="AI509" s="197"/>
      <c r="AJ509" s="2578"/>
      <c r="AK509" s="251"/>
      <c r="AL509" s="2578"/>
      <c r="AM509" s="2562"/>
      <c r="AN509" s="2562"/>
      <c r="AO509" s="2562"/>
      <c r="AP509" s="2562"/>
      <c r="AQ509" s="2562"/>
      <c r="AR509" s="2562"/>
      <c r="AS509" s="2562"/>
      <c r="AT509" s="252">
        <f t="shared" si="195"/>
        <v>1</v>
      </c>
      <c r="AU509" s="252">
        <f t="shared" si="196"/>
        <v>1</v>
      </c>
      <c r="AV509" s="252">
        <f t="shared" si="197"/>
        <v>1</v>
      </c>
      <c r="AW509" s="252">
        <f t="shared" si="198"/>
        <v>1</v>
      </c>
      <c r="AX509" s="252">
        <f t="shared" si="199"/>
        <v>1</v>
      </c>
      <c r="AY509" s="252">
        <f t="shared" si="200"/>
        <v>1</v>
      </c>
      <c r="AZ509" s="252">
        <f t="shared" si="201"/>
        <v>1</v>
      </c>
      <c r="BA509" s="237"/>
      <c r="BB509" s="237"/>
      <c r="BC509" s="252">
        <f t="shared" si="202"/>
        <v>1</v>
      </c>
      <c r="BD509" s="237"/>
      <c r="BE509" s="237"/>
      <c r="BF509" s="237"/>
      <c r="BG509" s="237"/>
      <c r="BH509" s="237"/>
      <c r="BI509" s="237"/>
      <c r="BJ509" s="252">
        <f t="shared" si="203"/>
        <v>1</v>
      </c>
      <c r="BK509" s="252">
        <f t="shared" si="204"/>
        <v>1</v>
      </c>
      <c r="BL509" s="252">
        <f t="shared" si="205"/>
        <v>1</v>
      </c>
      <c r="BM509" s="252">
        <f t="shared" si="206"/>
        <v>1</v>
      </c>
      <c r="BN509" s="252">
        <f t="shared" si="207"/>
        <v>1</v>
      </c>
      <c r="BO509" s="252">
        <f t="shared" si="208"/>
        <v>1</v>
      </c>
      <c r="BP509" s="2578"/>
      <c r="BQ509" s="2562"/>
      <c r="BR509" s="2562"/>
      <c r="BS509" s="2585"/>
      <c r="BT509" s="2585"/>
      <c r="BU509" s="2585"/>
    </row>
    <row r="510" spans="1:73" s="22" customFormat="1" ht="15.75" hidden="1" customHeight="1" outlineLevel="1">
      <c r="A510" s="2585"/>
      <c r="B510" s="44"/>
      <c r="C510" s="45"/>
      <c r="D510" s="46"/>
      <c r="E510" s="46"/>
      <c r="F510" s="45"/>
      <c r="G510" s="46"/>
      <c r="H510" s="45"/>
      <c r="I510" s="45"/>
      <c r="J510" s="47"/>
      <c r="K510" s="48"/>
      <c r="L510" s="47"/>
      <c r="M510" s="1913"/>
      <c r="N510" s="48"/>
      <c r="O510" s="49"/>
      <c r="P510" s="49"/>
      <c r="Q510" s="1884">
        <f t="shared" si="209"/>
        <v>0</v>
      </c>
      <c r="R510" s="1932"/>
      <c r="S510" s="50"/>
      <c r="T510" s="1932"/>
      <c r="U510" s="1932"/>
      <c r="V510" s="1932"/>
      <c r="W510" s="1885">
        <f t="shared" si="192"/>
        <v>0</v>
      </c>
      <c r="X510" s="1891">
        <f t="shared" si="193"/>
        <v>0</v>
      </c>
      <c r="Y510" s="1891">
        <f t="shared" si="194"/>
        <v>0</v>
      </c>
      <c r="Z510" s="50"/>
      <c r="AA510" s="50"/>
      <c r="AB510" s="48"/>
      <c r="AC510" s="48"/>
      <c r="AD510" s="48"/>
      <c r="AE510" s="45"/>
      <c r="AF510" s="51"/>
      <c r="AG510" s="42"/>
      <c r="AH510" s="52" t="s">
        <v>5188</v>
      </c>
      <c r="AI510" s="197"/>
      <c r="AJ510" s="2578"/>
      <c r="AK510" s="251"/>
      <c r="AL510" s="2578"/>
      <c r="AM510" s="2562"/>
      <c r="AN510" s="2562"/>
      <c r="AO510" s="2562"/>
      <c r="AP510" s="2562"/>
      <c r="AQ510" s="2562"/>
      <c r="AR510" s="2562"/>
      <c r="AS510" s="2562"/>
      <c r="AT510" s="252">
        <f t="shared" si="195"/>
        <v>1</v>
      </c>
      <c r="AU510" s="252">
        <f t="shared" si="196"/>
        <v>1</v>
      </c>
      <c r="AV510" s="252">
        <f t="shared" si="197"/>
        <v>1</v>
      </c>
      <c r="AW510" s="252">
        <f t="shared" si="198"/>
        <v>1</v>
      </c>
      <c r="AX510" s="252">
        <f t="shared" si="199"/>
        <v>1</v>
      </c>
      <c r="AY510" s="252">
        <f t="shared" si="200"/>
        <v>1</v>
      </c>
      <c r="AZ510" s="252">
        <f t="shared" si="201"/>
        <v>1</v>
      </c>
      <c r="BA510" s="237"/>
      <c r="BB510" s="237"/>
      <c r="BC510" s="252">
        <f t="shared" si="202"/>
        <v>1</v>
      </c>
      <c r="BD510" s="237"/>
      <c r="BE510" s="237"/>
      <c r="BF510" s="237"/>
      <c r="BG510" s="237"/>
      <c r="BH510" s="237"/>
      <c r="BI510" s="237"/>
      <c r="BJ510" s="252">
        <f t="shared" si="203"/>
        <v>1</v>
      </c>
      <c r="BK510" s="252">
        <f t="shared" si="204"/>
        <v>1</v>
      </c>
      <c r="BL510" s="252">
        <f t="shared" si="205"/>
        <v>1</v>
      </c>
      <c r="BM510" s="252">
        <f t="shared" si="206"/>
        <v>1</v>
      </c>
      <c r="BN510" s="252">
        <f t="shared" si="207"/>
        <v>1</v>
      </c>
      <c r="BO510" s="252">
        <f t="shared" si="208"/>
        <v>1</v>
      </c>
      <c r="BP510" s="2578"/>
      <c r="BQ510" s="2562"/>
      <c r="BR510" s="2562"/>
      <c r="BS510" s="2585"/>
      <c r="BT510" s="2585"/>
      <c r="BU510" s="2585"/>
    </row>
    <row r="511" spans="1:73" s="22" customFormat="1" ht="15.75" hidden="1" customHeight="1" outlineLevel="1">
      <c r="A511" s="2585"/>
      <c r="B511" s="44"/>
      <c r="C511" s="45"/>
      <c r="D511" s="46"/>
      <c r="E511" s="46"/>
      <c r="F511" s="45"/>
      <c r="G511" s="46"/>
      <c r="H511" s="45"/>
      <c r="I511" s="45"/>
      <c r="J511" s="47"/>
      <c r="K511" s="48"/>
      <c r="L511" s="47"/>
      <c r="M511" s="1913"/>
      <c r="N511" s="48"/>
      <c r="O511" s="49"/>
      <c r="P511" s="49"/>
      <c r="Q511" s="1884">
        <f t="shared" si="209"/>
        <v>0</v>
      </c>
      <c r="R511" s="1932"/>
      <c r="S511" s="50"/>
      <c r="T511" s="1932"/>
      <c r="U511" s="1932"/>
      <c r="V511" s="1932"/>
      <c r="W511" s="1885">
        <f t="shared" si="192"/>
        <v>0</v>
      </c>
      <c r="X511" s="1891">
        <f t="shared" si="193"/>
        <v>0</v>
      </c>
      <c r="Y511" s="1891">
        <f t="shared" si="194"/>
        <v>0</v>
      </c>
      <c r="Z511" s="50"/>
      <c r="AA511" s="50"/>
      <c r="AB511" s="48"/>
      <c r="AC511" s="48"/>
      <c r="AD511" s="48"/>
      <c r="AE511" s="45"/>
      <c r="AF511" s="51"/>
      <c r="AG511" s="42"/>
      <c r="AH511" s="52" t="s">
        <v>5189</v>
      </c>
      <c r="AI511" s="197"/>
      <c r="AJ511" s="2578"/>
      <c r="AK511" s="251"/>
      <c r="AL511" s="2578"/>
      <c r="AM511" s="2562"/>
      <c r="AN511" s="2562"/>
      <c r="AO511" s="2562"/>
      <c r="AP511" s="2562"/>
      <c r="AQ511" s="2562"/>
      <c r="AR511" s="2562"/>
      <c r="AS511" s="2562"/>
      <c r="AT511" s="252">
        <f t="shared" si="195"/>
        <v>1</v>
      </c>
      <c r="AU511" s="252">
        <f t="shared" si="196"/>
        <v>1</v>
      </c>
      <c r="AV511" s="252">
        <f t="shared" si="197"/>
        <v>1</v>
      </c>
      <c r="AW511" s="252">
        <f t="shared" si="198"/>
        <v>1</v>
      </c>
      <c r="AX511" s="252">
        <f t="shared" si="199"/>
        <v>1</v>
      </c>
      <c r="AY511" s="252">
        <f t="shared" si="200"/>
        <v>1</v>
      </c>
      <c r="AZ511" s="252">
        <f t="shared" si="201"/>
        <v>1</v>
      </c>
      <c r="BA511" s="237"/>
      <c r="BB511" s="237"/>
      <c r="BC511" s="252">
        <f t="shared" si="202"/>
        <v>1</v>
      </c>
      <c r="BD511" s="237"/>
      <c r="BE511" s="237"/>
      <c r="BF511" s="237"/>
      <c r="BG511" s="237"/>
      <c r="BH511" s="237"/>
      <c r="BI511" s="237"/>
      <c r="BJ511" s="252">
        <f t="shared" si="203"/>
        <v>1</v>
      </c>
      <c r="BK511" s="252">
        <f t="shared" si="204"/>
        <v>1</v>
      </c>
      <c r="BL511" s="252">
        <f t="shared" si="205"/>
        <v>1</v>
      </c>
      <c r="BM511" s="252">
        <f t="shared" si="206"/>
        <v>1</v>
      </c>
      <c r="BN511" s="252">
        <f t="shared" si="207"/>
        <v>1</v>
      </c>
      <c r="BO511" s="252">
        <f t="shared" si="208"/>
        <v>1</v>
      </c>
      <c r="BP511" s="2578"/>
      <c r="BQ511" s="2562"/>
      <c r="BR511" s="2562"/>
      <c r="BS511" s="2585"/>
      <c r="BT511" s="2585"/>
      <c r="BU511" s="2585"/>
    </row>
    <row r="512" spans="1:73" s="22" customFormat="1" ht="15.75" hidden="1" customHeight="1" outlineLevel="1">
      <c r="A512" s="2585"/>
      <c r="B512" s="44"/>
      <c r="C512" s="45"/>
      <c r="D512" s="46"/>
      <c r="E512" s="46"/>
      <c r="F512" s="45"/>
      <c r="G512" s="46"/>
      <c r="H512" s="45"/>
      <c r="I512" s="45"/>
      <c r="J512" s="47"/>
      <c r="K512" s="48"/>
      <c r="L512" s="47"/>
      <c r="M512" s="1913"/>
      <c r="N512" s="48"/>
      <c r="O512" s="49"/>
      <c r="P512" s="49"/>
      <c r="Q512" s="1884">
        <f t="shared" si="209"/>
        <v>0</v>
      </c>
      <c r="R512" s="1932"/>
      <c r="S512" s="50"/>
      <c r="T512" s="1932"/>
      <c r="U512" s="1932"/>
      <c r="V512" s="1932"/>
      <c r="W512" s="1885">
        <f t="shared" si="192"/>
        <v>0</v>
      </c>
      <c r="X512" s="1891">
        <f t="shared" si="193"/>
        <v>0</v>
      </c>
      <c r="Y512" s="1891">
        <f t="shared" si="194"/>
        <v>0</v>
      </c>
      <c r="Z512" s="50"/>
      <c r="AA512" s="50"/>
      <c r="AB512" s="48"/>
      <c r="AC512" s="48"/>
      <c r="AD512" s="48"/>
      <c r="AE512" s="45"/>
      <c r="AF512" s="51"/>
      <c r="AG512" s="42"/>
      <c r="AH512" s="52" t="s">
        <v>5190</v>
      </c>
      <c r="AI512" s="197"/>
      <c r="AJ512" s="2578"/>
      <c r="AK512" s="251"/>
      <c r="AL512" s="2578"/>
      <c r="AM512" s="2562"/>
      <c r="AN512" s="2562"/>
      <c r="AO512" s="2562"/>
      <c r="AP512" s="2562"/>
      <c r="AQ512" s="2562"/>
      <c r="AR512" s="2562"/>
      <c r="AS512" s="2562"/>
      <c r="AT512" s="252">
        <f t="shared" si="195"/>
        <v>1</v>
      </c>
      <c r="AU512" s="252">
        <f t="shared" si="196"/>
        <v>1</v>
      </c>
      <c r="AV512" s="252">
        <f t="shared" si="197"/>
        <v>1</v>
      </c>
      <c r="AW512" s="252">
        <f t="shared" si="198"/>
        <v>1</v>
      </c>
      <c r="AX512" s="252">
        <f t="shared" si="199"/>
        <v>1</v>
      </c>
      <c r="AY512" s="252">
        <f t="shared" si="200"/>
        <v>1</v>
      </c>
      <c r="AZ512" s="252">
        <f t="shared" si="201"/>
        <v>1</v>
      </c>
      <c r="BA512" s="237"/>
      <c r="BB512" s="237"/>
      <c r="BC512" s="252">
        <f t="shared" si="202"/>
        <v>1</v>
      </c>
      <c r="BD512" s="237"/>
      <c r="BE512" s="237"/>
      <c r="BF512" s="237"/>
      <c r="BG512" s="237"/>
      <c r="BH512" s="237"/>
      <c r="BI512" s="237"/>
      <c r="BJ512" s="252">
        <f t="shared" si="203"/>
        <v>1</v>
      </c>
      <c r="BK512" s="252">
        <f t="shared" si="204"/>
        <v>1</v>
      </c>
      <c r="BL512" s="252">
        <f t="shared" si="205"/>
        <v>1</v>
      </c>
      <c r="BM512" s="252">
        <f t="shared" si="206"/>
        <v>1</v>
      </c>
      <c r="BN512" s="252">
        <f t="shared" si="207"/>
        <v>1</v>
      </c>
      <c r="BO512" s="252">
        <f t="shared" si="208"/>
        <v>1</v>
      </c>
      <c r="BP512" s="2578"/>
      <c r="BQ512" s="2562"/>
      <c r="BR512" s="2562"/>
      <c r="BS512" s="2585"/>
      <c r="BT512" s="2585"/>
      <c r="BU512" s="2585"/>
    </row>
    <row r="513" spans="1:73" s="22" customFormat="1" ht="15.75" hidden="1" customHeight="1" outlineLevel="1">
      <c r="A513" s="2585"/>
      <c r="B513" s="44"/>
      <c r="C513" s="45"/>
      <c r="D513" s="46"/>
      <c r="E513" s="46"/>
      <c r="F513" s="45"/>
      <c r="G513" s="46"/>
      <c r="H513" s="45"/>
      <c r="I513" s="45"/>
      <c r="J513" s="47"/>
      <c r="K513" s="48"/>
      <c r="L513" s="47"/>
      <c r="M513" s="1913"/>
      <c r="N513" s="48"/>
      <c r="O513" s="49"/>
      <c r="P513" s="49"/>
      <c r="Q513" s="1884">
        <f t="shared" si="209"/>
        <v>0</v>
      </c>
      <c r="R513" s="1932"/>
      <c r="S513" s="50"/>
      <c r="T513" s="1932"/>
      <c r="U513" s="1932"/>
      <c r="V513" s="1932"/>
      <c r="W513" s="1885">
        <f t="shared" si="192"/>
        <v>0</v>
      </c>
      <c r="X513" s="1891">
        <f t="shared" si="193"/>
        <v>0</v>
      </c>
      <c r="Y513" s="1891">
        <f t="shared" si="194"/>
        <v>0</v>
      </c>
      <c r="Z513" s="50"/>
      <c r="AA513" s="50"/>
      <c r="AB513" s="48"/>
      <c r="AC513" s="48"/>
      <c r="AD513" s="48"/>
      <c r="AE513" s="45"/>
      <c r="AF513" s="51"/>
      <c r="AG513" s="42"/>
      <c r="AH513" s="52" t="s">
        <v>5191</v>
      </c>
      <c r="AI513" s="197"/>
      <c r="AJ513" s="2578"/>
      <c r="AK513" s="251"/>
      <c r="AL513" s="2578"/>
      <c r="AM513" s="2562"/>
      <c r="AN513" s="2562"/>
      <c r="AO513" s="2562"/>
      <c r="AP513" s="2562"/>
      <c r="AQ513" s="2562"/>
      <c r="AR513" s="2562"/>
      <c r="AS513" s="2562"/>
      <c r="AT513" s="252">
        <f t="shared" si="195"/>
        <v>1</v>
      </c>
      <c r="AU513" s="252">
        <f t="shared" si="196"/>
        <v>1</v>
      </c>
      <c r="AV513" s="252">
        <f t="shared" si="197"/>
        <v>1</v>
      </c>
      <c r="AW513" s="252">
        <f t="shared" si="198"/>
        <v>1</v>
      </c>
      <c r="AX513" s="252">
        <f t="shared" si="199"/>
        <v>1</v>
      </c>
      <c r="AY513" s="252">
        <f t="shared" si="200"/>
        <v>1</v>
      </c>
      <c r="AZ513" s="252">
        <f t="shared" si="201"/>
        <v>1</v>
      </c>
      <c r="BA513" s="237"/>
      <c r="BB513" s="237"/>
      <c r="BC513" s="252">
        <f t="shared" si="202"/>
        <v>1</v>
      </c>
      <c r="BD513" s="237"/>
      <c r="BE513" s="237"/>
      <c r="BF513" s="237"/>
      <c r="BG513" s="237"/>
      <c r="BH513" s="237"/>
      <c r="BI513" s="237"/>
      <c r="BJ513" s="252">
        <f t="shared" si="203"/>
        <v>1</v>
      </c>
      <c r="BK513" s="252">
        <f t="shared" si="204"/>
        <v>1</v>
      </c>
      <c r="BL513" s="252">
        <f t="shared" si="205"/>
        <v>1</v>
      </c>
      <c r="BM513" s="252">
        <f t="shared" si="206"/>
        <v>1</v>
      </c>
      <c r="BN513" s="252">
        <f t="shared" si="207"/>
        <v>1</v>
      </c>
      <c r="BO513" s="252">
        <f t="shared" si="208"/>
        <v>1</v>
      </c>
      <c r="BP513" s="2578"/>
      <c r="BQ513" s="2562"/>
      <c r="BR513" s="2562"/>
      <c r="BS513" s="2585"/>
      <c r="BT513" s="2585"/>
      <c r="BU513" s="2585"/>
    </row>
    <row r="514" spans="1:73" s="22" customFormat="1" ht="15.75" hidden="1" customHeight="1" outlineLevel="1">
      <c r="A514" s="2585"/>
      <c r="B514" s="44"/>
      <c r="C514" s="45"/>
      <c r="D514" s="46"/>
      <c r="E514" s="46"/>
      <c r="F514" s="45"/>
      <c r="G514" s="46"/>
      <c r="H514" s="45"/>
      <c r="I514" s="45"/>
      <c r="J514" s="47"/>
      <c r="K514" s="48"/>
      <c r="L514" s="47"/>
      <c r="M514" s="1913"/>
      <c r="N514" s="48"/>
      <c r="O514" s="49"/>
      <c r="P514" s="49"/>
      <c r="Q514" s="1884">
        <f t="shared" si="209"/>
        <v>0</v>
      </c>
      <c r="R514" s="1932"/>
      <c r="S514" s="50"/>
      <c r="T514" s="1932"/>
      <c r="U514" s="1932"/>
      <c r="V514" s="1932"/>
      <c r="W514" s="1885">
        <f t="shared" si="192"/>
        <v>0</v>
      </c>
      <c r="X514" s="1891">
        <f t="shared" si="193"/>
        <v>0</v>
      </c>
      <c r="Y514" s="1891">
        <f t="shared" si="194"/>
        <v>0</v>
      </c>
      <c r="Z514" s="50"/>
      <c r="AA514" s="50"/>
      <c r="AB514" s="48"/>
      <c r="AC514" s="48"/>
      <c r="AD514" s="48"/>
      <c r="AE514" s="45"/>
      <c r="AF514" s="51"/>
      <c r="AG514" s="42"/>
      <c r="AH514" s="52" t="s">
        <v>5192</v>
      </c>
      <c r="AI514" s="197"/>
      <c r="AJ514" s="2578"/>
      <c r="AK514" s="251"/>
      <c r="AL514" s="2578"/>
      <c r="AM514" s="2562"/>
      <c r="AN514" s="2562"/>
      <c r="AO514" s="2562"/>
      <c r="AP514" s="2562"/>
      <c r="AQ514" s="2562"/>
      <c r="AR514" s="2562"/>
      <c r="AS514" s="2562"/>
      <c r="AT514" s="252">
        <f t="shared" si="195"/>
        <v>1</v>
      </c>
      <c r="AU514" s="252">
        <f t="shared" si="196"/>
        <v>1</v>
      </c>
      <c r="AV514" s="252">
        <f t="shared" si="197"/>
        <v>1</v>
      </c>
      <c r="AW514" s="252">
        <f t="shared" si="198"/>
        <v>1</v>
      </c>
      <c r="AX514" s="252">
        <f t="shared" si="199"/>
        <v>1</v>
      </c>
      <c r="AY514" s="252">
        <f t="shared" si="200"/>
        <v>1</v>
      </c>
      <c r="AZ514" s="252">
        <f t="shared" si="201"/>
        <v>1</v>
      </c>
      <c r="BA514" s="237"/>
      <c r="BB514" s="237"/>
      <c r="BC514" s="252">
        <f t="shared" si="202"/>
        <v>1</v>
      </c>
      <c r="BD514" s="237"/>
      <c r="BE514" s="237"/>
      <c r="BF514" s="237"/>
      <c r="BG514" s="237"/>
      <c r="BH514" s="237"/>
      <c r="BI514" s="237"/>
      <c r="BJ514" s="252">
        <f t="shared" si="203"/>
        <v>1</v>
      </c>
      <c r="BK514" s="252">
        <f t="shared" si="204"/>
        <v>1</v>
      </c>
      <c r="BL514" s="252">
        <f t="shared" si="205"/>
        <v>1</v>
      </c>
      <c r="BM514" s="252">
        <f t="shared" si="206"/>
        <v>1</v>
      </c>
      <c r="BN514" s="252">
        <f t="shared" si="207"/>
        <v>1</v>
      </c>
      <c r="BO514" s="252">
        <f t="shared" si="208"/>
        <v>1</v>
      </c>
      <c r="BP514" s="2578"/>
      <c r="BQ514" s="2562"/>
      <c r="BR514" s="2562"/>
      <c r="BS514" s="2585"/>
      <c r="BT514" s="2585"/>
      <c r="BU514" s="2585"/>
    </row>
    <row r="515" spans="1:73" s="22" customFormat="1" ht="15.75" hidden="1" customHeight="1" outlineLevel="1">
      <c r="A515" s="2585"/>
      <c r="B515" s="44"/>
      <c r="C515" s="45"/>
      <c r="D515" s="46"/>
      <c r="E515" s="46"/>
      <c r="F515" s="45"/>
      <c r="G515" s="46"/>
      <c r="H515" s="45"/>
      <c r="I515" s="45"/>
      <c r="J515" s="47"/>
      <c r="K515" s="48"/>
      <c r="L515" s="47"/>
      <c r="M515" s="1913"/>
      <c r="N515" s="48"/>
      <c r="O515" s="49"/>
      <c r="P515" s="49"/>
      <c r="Q515" s="1884">
        <f t="shared" si="209"/>
        <v>0</v>
      </c>
      <c r="R515" s="1932"/>
      <c r="S515" s="50"/>
      <c r="T515" s="1932"/>
      <c r="U515" s="1932"/>
      <c r="V515" s="1932"/>
      <c r="W515" s="1885">
        <f t="shared" si="192"/>
        <v>0</v>
      </c>
      <c r="X515" s="1891">
        <f t="shared" si="193"/>
        <v>0</v>
      </c>
      <c r="Y515" s="1891">
        <f t="shared" si="194"/>
        <v>0</v>
      </c>
      <c r="Z515" s="50"/>
      <c r="AA515" s="50"/>
      <c r="AB515" s="48"/>
      <c r="AC515" s="48"/>
      <c r="AD515" s="48"/>
      <c r="AE515" s="45"/>
      <c r="AF515" s="51"/>
      <c r="AG515" s="42"/>
      <c r="AH515" s="52" t="s">
        <v>5193</v>
      </c>
      <c r="AI515" s="197"/>
      <c r="AJ515" s="2578"/>
      <c r="AK515" s="251"/>
      <c r="AL515" s="2578"/>
      <c r="AM515" s="2562"/>
      <c r="AN515" s="2562"/>
      <c r="AO515" s="2562"/>
      <c r="AP515" s="2562"/>
      <c r="AQ515" s="2562"/>
      <c r="AR515" s="2562"/>
      <c r="AS515" s="2562"/>
      <c r="AT515" s="252">
        <f t="shared" si="195"/>
        <v>1</v>
      </c>
      <c r="AU515" s="252">
        <f t="shared" si="196"/>
        <v>1</v>
      </c>
      <c r="AV515" s="252">
        <f t="shared" si="197"/>
        <v>1</v>
      </c>
      <c r="AW515" s="252">
        <f t="shared" si="198"/>
        <v>1</v>
      </c>
      <c r="AX515" s="252">
        <f t="shared" si="199"/>
        <v>1</v>
      </c>
      <c r="AY515" s="252">
        <f t="shared" si="200"/>
        <v>1</v>
      </c>
      <c r="AZ515" s="252">
        <f t="shared" si="201"/>
        <v>1</v>
      </c>
      <c r="BA515" s="237"/>
      <c r="BB515" s="237"/>
      <c r="BC515" s="252">
        <f t="shared" si="202"/>
        <v>1</v>
      </c>
      <c r="BD515" s="237"/>
      <c r="BE515" s="237"/>
      <c r="BF515" s="237"/>
      <c r="BG515" s="237"/>
      <c r="BH515" s="237"/>
      <c r="BI515" s="237"/>
      <c r="BJ515" s="252">
        <f t="shared" si="203"/>
        <v>1</v>
      </c>
      <c r="BK515" s="252">
        <f t="shared" si="204"/>
        <v>1</v>
      </c>
      <c r="BL515" s="252">
        <f t="shared" si="205"/>
        <v>1</v>
      </c>
      <c r="BM515" s="252">
        <f t="shared" si="206"/>
        <v>1</v>
      </c>
      <c r="BN515" s="252">
        <f t="shared" si="207"/>
        <v>1</v>
      </c>
      <c r="BO515" s="252">
        <f t="shared" si="208"/>
        <v>1</v>
      </c>
      <c r="BP515" s="2578"/>
      <c r="BQ515" s="2562"/>
      <c r="BR515" s="2562"/>
      <c r="BS515" s="2585"/>
      <c r="BT515" s="2585"/>
      <c r="BU515" s="2585"/>
    </row>
    <row r="516" spans="1:73" s="22" customFormat="1" ht="15.75" hidden="1" customHeight="1" outlineLevel="1">
      <c r="A516" s="2585"/>
      <c r="B516" s="44"/>
      <c r="C516" s="45"/>
      <c r="D516" s="46"/>
      <c r="E516" s="46"/>
      <c r="F516" s="45"/>
      <c r="G516" s="46"/>
      <c r="H516" s="45"/>
      <c r="I516" s="45"/>
      <c r="J516" s="47"/>
      <c r="K516" s="48"/>
      <c r="L516" s="47"/>
      <c r="M516" s="1913"/>
      <c r="N516" s="48"/>
      <c r="O516" s="49"/>
      <c r="P516" s="49"/>
      <c r="Q516" s="1884">
        <f t="shared" si="209"/>
        <v>0</v>
      </c>
      <c r="R516" s="1932"/>
      <c r="S516" s="50"/>
      <c r="T516" s="1932"/>
      <c r="U516" s="1932"/>
      <c r="V516" s="1932"/>
      <c r="W516" s="1885">
        <f t="shared" si="192"/>
        <v>0</v>
      </c>
      <c r="X516" s="1891">
        <f t="shared" si="193"/>
        <v>0</v>
      </c>
      <c r="Y516" s="1891">
        <f t="shared" si="194"/>
        <v>0</v>
      </c>
      <c r="Z516" s="50"/>
      <c r="AA516" s="50"/>
      <c r="AB516" s="48"/>
      <c r="AC516" s="48"/>
      <c r="AD516" s="48"/>
      <c r="AE516" s="45"/>
      <c r="AF516" s="51"/>
      <c r="AG516" s="42"/>
      <c r="AH516" s="52" t="s">
        <v>5194</v>
      </c>
      <c r="AI516" s="197"/>
      <c r="AJ516" s="2578"/>
      <c r="AK516" s="251"/>
      <c r="AL516" s="2578"/>
      <c r="AM516" s="2562"/>
      <c r="AN516" s="2562"/>
      <c r="AO516" s="2562"/>
      <c r="AP516" s="2562"/>
      <c r="AQ516" s="2562"/>
      <c r="AR516" s="2562"/>
      <c r="AS516" s="2562"/>
      <c r="AT516" s="252">
        <f t="shared" si="195"/>
        <v>1</v>
      </c>
      <c r="AU516" s="252">
        <f t="shared" si="196"/>
        <v>1</v>
      </c>
      <c r="AV516" s="252">
        <f t="shared" si="197"/>
        <v>1</v>
      </c>
      <c r="AW516" s="252">
        <f t="shared" si="198"/>
        <v>1</v>
      </c>
      <c r="AX516" s="252">
        <f t="shared" si="199"/>
        <v>1</v>
      </c>
      <c r="AY516" s="252">
        <f t="shared" si="200"/>
        <v>1</v>
      </c>
      <c r="AZ516" s="252">
        <f t="shared" si="201"/>
        <v>1</v>
      </c>
      <c r="BA516" s="237"/>
      <c r="BB516" s="237"/>
      <c r="BC516" s="252">
        <f t="shared" si="202"/>
        <v>1</v>
      </c>
      <c r="BD516" s="237"/>
      <c r="BE516" s="237"/>
      <c r="BF516" s="237"/>
      <c r="BG516" s="237"/>
      <c r="BH516" s="237"/>
      <c r="BI516" s="237"/>
      <c r="BJ516" s="252">
        <f t="shared" si="203"/>
        <v>1</v>
      </c>
      <c r="BK516" s="252">
        <f t="shared" si="204"/>
        <v>1</v>
      </c>
      <c r="BL516" s="252">
        <f t="shared" si="205"/>
        <v>1</v>
      </c>
      <c r="BM516" s="252">
        <f t="shared" si="206"/>
        <v>1</v>
      </c>
      <c r="BN516" s="252">
        <f t="shared" si="207"/>
        <v>1</v>
      </c>
      <c r="BO516" s="252">
        <f t="shared" si="208"/>
        <v>1</v>
      </c>
      <c r="BP516" s="2578"/>
      <c r="BQ516" s="2562"/>
      <c r="BR516" s="2562"/>
      <c r="BS516" s="2585"/>
      <c r="BT516" s="2585"/>
      <c r="BU516" s="2585"/>
    </row>
    <row r="517" spans="1:73" s="22" customFormat="1" ht="15.75" hidden="1" customHeight="1" outlineLevel="1">
      <c r="A517" s="2585"/>
      <c r="B517" s="44"/>
      <c r="C517" s="45"/>
      <c r="D517" s="46"/>
      <c r="E517" s="46"/>
      <c r="F517" s="45"/>
      <c r="G517" s="46"/>
      <c r="H517" s="45"/>
      <c r="I517" s="45"/>
      <c r="J517" s="47"/>
      <c r="K517" s="48"/>
      <c r="L517" s="47"/>
      <c r="M517" s="1913"/>
      <c r="N517" s="48"/>
      <c r="O517" s="49"/>
      <c r="P517" s="49"/>
      <c r="Q517" s="1884">
        <f t="shared" si="209"/>
        <v>0</v>
      </c>
      <c r="R517" s="1932"/>
      <c r="S517" s="50"/>
      <c r="T517" s="1932"/>
      <c r="U517" s="1932"/>
      <c r="V517" s="1932"/>
      <c r="W517" s="1885">
        <f t="shared" si="192"/>
        <v>0</v>
      </c>
      <c r="X517" s="1891">
        <f t="shared" si="193"/>
        <v>0</v>
      </c>
      <c r="Y517" s="1891">
        <f t="shared" si="194"/>
        <v>0</v>
      </c>
      <c r="Z517" s="50"/>
      <c r="AA517" s="50"/>
      <c r="AB517" s="48"/>
      <c r="AC517" s="48"/>
      <c r="AD517" s="48"/>
      <c r="AE517" s="45"/>
      <c r="AF517" s="51"/>
      <c r="AG517" s="42"/>
      <c r="AH517" s="52" t="s">
        <v>5195</v>
      </c>
      <c r="AI517" s="197"/>
      <c r="AJ517" s="2578"/>
      <c r="AK517" s="251"/>
      <c r="AL517" s="2578"/>
      <c r="AM517" s="2562"/>
      <c r="AN517" s="2562"/>
      <c r="AO517" s="2562"/>
      <c r="AP517" s="2562"/>
      <c r="AQ517" s="2562"/>
      <c r="AR517" s="2562"/>
      <c r="AS517" s="2562"/>
      <c r="AT517" s="252">
        <f t="shared" si="195"/>
        <v>1</v>
      </c>
      <c r="AU517" s="252">
        <f t="shared" si="196"/>
        <v>1</v>
      </c>
      <c r="AV517" s="252">
        <f t="shared" si="197"/>
        <v>1</v>
      </c>
      <c r="AW517" s="252">
        <f t="shared" si="198"/>
        <v>1</v>
      </c>
      <c r="AX517" s="252">
        <f t="shared" si="199"/>
        <v>1</v>
      </c>
      <c r="AY517" s="252">
        <f t="shared" si="200"/>
        <v>1</v>
      </c>
      <c r="AZ517" s="252">
        <f t="shared" si="201"/>
        <v>1</v>
      </c>
      <c r="BA517" s="237"/>
      <c r="BB517" s="237"/>
      <c r="BC517" s="252">
        <f t="shared" si="202"/>
        <v>1</v>
      </c>
      <c r="BD517" s="237"/>
      <c r="BE517" s="237"/>
      <c r="BF517" s="237"/>
      <c r="BG517" s="237"/>
      <c r="BH517" s="237"/>
      <c r="BI517" s="237"/>
      <c r="BJ517" s="252">
        <f t="shared" si="203"/>
        <v>1</v>
      </c>
      <c r="BK517" s="252">
        <f t="shared" si="204"/>
        <v>1</v>
      </c>
      <c r="BL517" s="252">
        <f t="shared" si="205"/>
        <v>1</v>
      </c>
      <c r="BM517" s="252">
        <f t="shared" si="206"/>
        <v>1</v>
      </c>
      <c r="BN517" s="252">
        <f t="shared" si="207"/>
        <v>1</v>
      </c>
      <c r="BO517" s="252">
        <f t="shared" si="208"/>
        <v>1</v>
      </c>
      <c r="BP517" s="2578"/>
      <c r="BQ517" s="2562"/>
      <c r="BR517" s="2562"/>
      <c r="BS517" s="2585"/>
      <c r="BT517" s="2585"/>
      <c r="BU517" s="2585"/>
    </row>
    <row r="518" spans="1:73" s="22" customFormat="1" ht="15.75" customHeight="1" collapsed="1">
      <c r="A518" s="2585"/>
      <c r="B518" s="44"/>
      <c r="C518" s="45"/>
      <c r="D518" s="46"/>
      <c r="E518" s="46"/>
      <c r="F518" s="45"/>
      <c r="G518" s="46"/>
      <c r="H518" s="45"/>
      <c r="I518" s="45"/>
      <c r="J518" s="47"/>
      <c r="K518" s="48"/>
      <c r="L518" s="47"/>
      <c r="M518" s="1913"/>
      <c r="N518" s="48"/>
      <c r="O518" s="49"/>
      <c r="P518" s="49"/>
      <c r="Q518" s="1884">
        <f t="shared" si="209"/>
        <v>0</v>
      </c>
      <c r="R518" s="1932"/>
      <c r="S518" s="50"/>
      <c r="T518" s="1932"/>
      <c r="U518" s="1932"/>
      <c r="V518" s="1932"/>
      <c r="W518" s="1885">
        <f t="shared" si="192"/>
        <v>0</v>
      </c>
      <c r="X518" s="1891">
        <f t="shared" si="193"/>
        <v>0</v>
      </c>
      <c r="Y518" s="1891">
        <f t="shared" si="194"/>
        <v>0</v>
      </c>
      <c r="Z518" s="50"/>
      <c r="AA518" s="50"/>
      <c r="AB518" s="48"/>
      <c r="AC518" s="48"/>
      <c r="AD518" s="48"/>
      <c r="AE518" s="45"/>
      <c r="AF518" s="51"/>
      <c r="AG518" s="42"/>
      <c r="AH518" s="52" t="s">
        <v>5196</v>
      </c>
      <c r="AI518" s="197"/>
      <c r="AJ518" s="2578"/>
      <c r="AK518" s="251"/>
      <c r="AL518" s="2578"/>
      <c r="AM518" s="2562"/>
      <c r="AN518" s="2562"/>
      <c r="AO518" s="2562"/>
      <c r="AP518" s="2562"/>
      <c r="AQ518" s="2562"/>
      <c r="AR518" s="2562"/>
      <c r="AS518" s="2562"/>
      <c r="AT518" s="252">
        <f t="shared" si="195"/>
        <v>1</v>
      </c>
      <c r="AU518" s="252">
        <f t="shared" si="196"/>
        <v>1</v>
      </c>
      <c r="AV518" s="252">
        <f t="shared" si="197"/>
        <v>1</v>
      </c>
      <c r="AW518" s="252">
        <f t="shared" si="198"/>
        <v>1</v>
      </c>
      <c r="AX518" s="252">
        <f t="shared" si="199"/>
        <v>1</v>
      </c>
      <c r="AY518" s="252">
        <f t="shared" si="200"/>
        <v>1</v>
      </c>
      <c r="AZ518" s="252">
        <f t="shared" si="201"/>
        <v>1</v>
      </c>
      <c r="BA518" s="237"/>
      <c r="BB518" s="237"/>
      <c r="BC518" s="252">
        <f t="shared" si="202"/>
        <v>1</v>
      </c>
      <c r="BD518" s="237"/>
      <c r="BE518" s="237"/>
      <c r="BF518" s="237"/>
      <c r="BG518" s="237"/>
      <c r="BH518" s="237"/>
      <c r="BI518" s="237"/>
      <c r="BJ518" s="252">
        <f t="shared" si="203"/>
        <v>1</v>
      </c>
      <c r="BK518" s="252">
        <f t="shared" si="204"/>
        <v>1</v>
      </c>
      <c r="BL518" s="252">
        <f t="shared" si="205"/>
        <v>1</v>
      </c>
      <c r="BM518" s="252">
        <f t="shared" si="206"/>
        <v>1</v>
      </c>
      <c r="BN518" s="252">
        <f t="shared" si="207"/>
        <v>1</v>
      </c>
      <c r="BO518" s="252">
        <f t="shared" si="208"/>
        <v>1</v>
      </c>
      <c r="BP518" s="2578"/>
      <c r="BQ518" s="2562"/>
      <c r="BR518" s="2562"/>
      <c r="BS518" s="2585"/>
      <c r="BT518" s="2585"/>
      <c r="BU518" s="2585"/>
    </row>
    <row r="519" spans="1:73" s="22" customFormat="1" ht="15.75" hidden="1" customHeight="1" outlineLevel="1">
      <c r="A519" s="2585"/>
      <c r="B519" s="44"/>
      <c r="C519" s="45"/>
      <c r="D519" s="46"/>
      <c r="E519" s="46"/>
      <c r="F519" s="45"/>
      <c r="G519" s="46"/>
      <c r="H519" s="45"/>
      <c r="I519" s="45"/>
      <c r="J519" s="47"/>
      <c r="K519" s="48"/>
      <c r="L519" s="47"/>
      <c r="M519" s="1913"/>
      <c r="N519" s="48"/>
      <c r="O519" s="49"/>
      <c r="P519" s="49"/>
      <c r="Q519" s="1884">
        <f t="shared" si="209"/>
        <v>0</v>
      </c>
      <c r="R519" s="1932"/>
      <c r="S519" s="50"/>
      <c r="T519" s="1932"/>
      <c r="U519" s="1932"/>
      <c r="V519" s="1932"/>
      <c r="W519" s="1885">
        <f t="shared" si="192"/>
        <v>0</v>
      </c>
      <c r="X519" s="1891">
        <f t="shared" si="193"/>
        <v>0</v>
      </c>
      <c r="Y519" s="1891">
        <f t="shared" si="194"/>
        <v>0</v>
      </c>
      <c r="Z519" s="50"/>
      <c r="AA519" s="50"/>
      <c r="AB519" s="48"/>
      <c r="AC519" s="48"/>
      <c r="AD519" s="48"/>
      <c r="AE519" s="45"/>
      <c r="AF519" s="51"/>
      <c r="AG519" s="42"/>
      <c r="AH519" s="52" t="s">
        <v>5197</v>
      </c>
      <c r="AI519" s="197"/>
      <c r="AJ519" s="2578"/>
      <c r="AK519" s="251"/>
      <c r="AL519" s="2578"/>
      <c r="AM519" s="2562"/>
      <c r="AN519" s="2562"/>
      <c r="AO519" s="2562"/>
      <c r="AP519" s="2562"/>
      <c r="AQ519" s="2562"/>
      <c r="AR519" s="2562"/>
      <c r="AS519" s="2562"/>
      <c r="AT519" s="252">
        <f t="shared" si="195"/>
        <v>1</v>
      </c>
      <c r="AU519" s="252">
        <f t="shared" si="196"/>
        <v>1</v>
      </c>
      <c r="AV519" s="252">
        <f t="shared" si="197"/>
        <v>1</v>
      </c>
      <c r="AW519" s="252">
        <f t="shared" si="198"/>
        <v>1</v>
      </c>
      <c r="AX519" s="252">
        <f t="shared" si="199"/>
        <v>1</v>
      </c>
      <c r="AY519" s="252">
        <f t="shared" si="200"/>
        <v>1</v>
      </c>
      <c r="AZ519" s="252">
        <f t="shared" si="201"/>
        <v>1</v>
      </c>
      <c r="BA519" s="237"/>
      <c r="BB519" s="237"/>
      <c r="BC519" s="252">
        <f t="shared" si="202"/>
        <v>1</v>
      </c>
      <c r="BD519" s="237"/>
      <c r="BE519" s="237"/>
      <c r="BF519" s="237"/>
      <c r="BG519" s="237"/>
      <c r="BH519" s="237"/>
      <c r="BI519" s="237"/>
      <c r="BJ519" s="252">
        <f t="shared" si="203"/>
        <v>1</v>
      </c>
      <c r="BK519" s="252">
        <f t="shared" si="204"/>
        <v>1</v>
      </c>
      <c r="BL519" s="252">
        <f t="shared" si="205"/>
        <v>1</v>
      </c>
      <c r="BM519" s="252">
        <f t="shared" si="206"/>
        <v>1</v>
      </c>
      <c r="BN519" s="252">
        <f t="shared" si="207"/>
        <v>1</v>
      </c>
      <c r="BO519" s="252">
        <f t="shared" si="208"/>
        <v>1</v>
      </c>
      <c r="BP519" s="2578"/>
      <c r="BQ519" s="2562"/>
      <c r="BR519" s="2562"/>
      <c r="BS519" s="2585"/>
      <c r="BT519" s="2585"/>
      <c r="BU519" s="2585"/>
    </row>
    <row r="520" spans="1:73" s="22" customFormat="1" ht="15.75" hidden="1" customHeight="1" outlineLevel="1">
      <c r="A520" s="2585"/>
      <c r="B520" s="44"/>
      <c r="C520" s="45"/>
      <c r="D520" s="46"/>
      <c r="E520" s="46"/>
      <c r="F520" s="45"/>
      <c r="G520" s="46"/>
      <c r="H520" s="45"/>
      <c r="I520" s="45"/>
      <c r="J520" s="47"/>
      <c r="K520" s="48"/>
      <c r="L520" s="47"/>
      <c r="M520" s="1913"/>
      <c r="N520" s="48"/>
      <c r="O520" s="49"/>
      <c r="P520" s="49"/>
      <c r="Q520" s="1884">
        <f t="shared" si="209"/>
        <v>0</v>
      </c>
      <c r="R520" s="1932"/>
      <c r="S520" s="50"/>
      <c r="T520" s="1932"/>
      <c r="U520" s="1932"/>
      <c r="V520" s="1932"/>
      <c r="W520" s="1885">
        <f t="shared" si="192"/>
        <v>0</v>
      </c>
      <c r="X520" s="1891">
        <f t="shared" si="193"/>
        <v>0</v>
      </c>
      <c r="Y520" s="1891">
        <f t="shared" si="194"/>
        <v>0</v>
      </c>
      <c r="Z520" s="50"/>
      <c r="AA520" s="50"/>
      <c r="AB520" s="48"/>
      <c r="AC520" s="48"/>
      <c r="AD520" s="48"/>
      <c r="AE520" s="45"/>
      <c r="AF520" s="51"/>
      <c r="AG520" s="42"/>
      <c r="AH520" s="52" t="s">
        <v>5198</v>
      </c>
      <c r="AI520" s="197"/>
      <c r="AJ520" s="2578"/>
      <c r="AK520" s="251"/>
      <c r="AL520" s="2578"/>
      <c r="AM520" s="2562"/>
      <c r="AN520" s="2562"/>
      <c r="AO520" s="2562"/>
      <c r="AP520" s="2562"/>
      <c r="AQ520" s="2562"/>
      <c r="AR520" s="2562"/>
      <c r="AS520" s="2562"/>
      <c r="AT520" s="252">
        <f t="shared" si="195"/>
        <v>1</v>
      </c>
      <c r="AU520" s="252">
        <f t="shared" si="196"/>
        <v>1</v>
      </c>
      <c r="AV520" s="252">
        <f t="shared" si="197"/>
        <v>1</v>
      </c>
      <c r="AW520" s="252">
        <f t="shared" si="198"/>
        <v>1</v>
      </c>
      <c r="AX520" s="252">
        <f t="shared" si="199"/>
        <v>1</v>
      </c>
      <c r="AY520" s="252">
        <f t="shared" si="200"/>
        <v>1</v>
      </c>
      <c r="AZ520" s="252">
        <f t="shared" si="201"/>
        <v>1</v>
      </c>
      <c r="BA520" s="237"/>
      <c r="BB520" s="237"/>
      <c r="BC520" s="252">
        <f t="shared" si="202"/>
        <v>1</v>
      </c>
      <c r="BD520" s="237"/>
      <c r="BE520" s="237"/>
      <c r="BF520" s="237"/>
      <c r="BG520" s="237"/>
      <c r="BH520" s="237"/>
      <c r="BI520" s="237"/>
      <c r="BJ520" s="252">
        <f t="shared" si="203"/>
        <v>1</v>
      </c>
      <c r="BK520" s="252">
        <f t="shared" si="204"/>
        <v>1</v>
      </c>
      <c r="BL520" s="252">
        <f t="shared" si="205"/>
        <v>1</v>
      </c>
      <c r="BM520" s="252">
        <f t="shared" si="206"/>
        <v>1</v>
      </c>
      <c r="BN520" s="252">
        <f t="shared" si="207"/>
        <v>1</v>
      </c>
      <c r="BO520" s="252">
        <f t="shared" si="208"/>
        <v>1</v>
      </c>
      <c r="BP520" s="2578"/>
      <c r="BQ520" s="2562"/>
      <c r="BR520" s="2562"/>
      <c r="BS520" s="2585"/>
      <c r="BT520" s="2585"/>
      <c r="BU520" s="2585"/>
    </row>
    <row r="521" spans="1:73" s="22" customFormat="1" ht="15.75" hidden="1" customHeight="1" outlineLevel="1">
      <c r="A521" s="2585"/>
      <c r="B521" s="44"/>
      <c r="C521" s="45"/>
      <c r="D521" s="46"/>
      <c r="E521" s="46"/>
      <c r="F521" s="45"/>
      <c r="G521" s="46"/>
      <c r="H521" s="45"/>
      <c r="I521" s="45"/>
      <c r="J521" s="47"/>
      <c r="K521" s="48"/>
      <c r="L521" s="47"/>
      <c r="M521" s="1913"/>
      <c r="N521" s="48"/>
      <c r="O521" s="49"/>
      <c r="P521" s="49"/>
      <c r="Q521" s="1884">
        <f t="shared" si="209"/>
        <v>0</v>
      </c>
      <c r="R521" s="1932"/>
      <c r="S521" s="50"/>
      <c r="T521" s="1932"/>
      <c r="U521" s="1932"/>
      <c r="V521" s="1932"/>
      <c r="W521" s="1885">
        <f t="shared" si="192"/>
        <v>0</v>
      </c>
      <c r="X521" s="1891">
        <f t="shared" si="193"/>
        <v>0</v>
      </c>
      <c r="Y521" s="1891">
        <f t="shared" si="194"/>
        <v>0</v>
      </c>
      <c r="Z521" s="50"/>
      <c r="AA521" s="50"/>
      <c r="AB521" s="48"/>
      <c r="AC521" s="48"/>
      <c r="AD521" s="48"/>
      <c r="AE521" s="45"/>
      <c r="AF521" s="51"/>
      <c r="AG521" s="42"/>
      <c r="AH521" s="52" t="s">
        <v>5199</v>
      </c>
      <c r="AI521" s="197"/>
      <c r="AJ521" s="2578"/>
      <c r="AK521" s="251"/>
      <c r="AL521" s="2578"/>
      <c r="AM521" s="2562"/>
      <c r="AN521" s="2562"/>
      <c r="AO521" s="2562"/>
      <c r="AP521" s="2562"/>
      <c r="AQ521" s="2562"/>
      <c r="AR521" s="2562"/>
      <c r="AS521" s="2562"/>
      <c r="AT521" s="252">
        <f t="shared" si="195"/>
        <v>1</v>
      </c>
      <c r="AU521" s="252">
        <f t="shared" si="196"/>
        <v>1</v>
      </c>
      <c r="AV521" s="252">
        <f t="shared" si="197"/>
        <v>1</v>
      </c>
      <c r="AW521" s="252">
        <f t="shared" si="198"/>
        <v>1</v>
      </c>
      <c r="AX521" s="252">
        <f t="shared" si="199"/>
        <v>1</v>
      </c>
      <c r="AY521" s="252">
        <f t="shared" si="200"/>
        <v>1</v>
      </c>
      <c r="AZ521" s="252">
        <f t="shared" si="201"/>
        <v>1</v>
      </c>
      <c r="BA521" s="237"/>
      <c r="BB521" s="237"/>
      <c r="BC521" s="252">
        <f t="shared" si="202"/>
        <v>1</v>
      </c>
      <c r="BD521" s="237"/>
      <c r="BE521" s="237"/>
      <c r="BF521" s="237"/>
      <c r="BG521" s="237"/>
      <c r="BH521" s="237"/>
      <c r="BI521" s="237"/>
      <c r="BJ521" s="252">
        <f t="shared" si="203"/>
        <v>1</v>
      </c>
      <c r="BK521" s="252">
        <f t="shared" si="204"/>
        <v>1</v>
      </c>
      <c r="BL521" s="252">
        <f t="shared" si="205"/>
        <v>1</v>
      </c>
      <c r="BM521" s="252">
        <f t="shared" si="206"/>
        <v>1</v>
      </c>
      <c r="BN521" s="252">
        <f t="shared" si="207"/>
        <v>1</v>
      </c>
      <c r="BO521" s="252">
        <f t="shared" si="208"/>
        <v>1</v>
      </c>
      <c r="BP521" s="2578"/>
      <c r="BQ521" s="2562"/>
      <c r="BR521" s="2562"/>
      <c r="BS521" s="2585"/>
      <c r="BT521" s="2585"/>
      <c r="BU521" s="2585"/>
    </row>
    <row r="522" spans="1:73" s="22" customFormat="1" ht="15.75" hidden="1" customHeight="1" outlineLevel="1">
      <c r="A522" s="2585"/>
      <c r="B522" s="44"/>
      <c r="C522" s="45"/>
      <c r="D522" s="46"/>
      <c r="E522" s="46"/>
      <c r="F522" s="45"/>
      <c r="G522" s="46"/>
      <c r="H522" s="45"/>
      <c r="I522" s="45"/>
      <c r="J522" s="47"/>
      <c r="K522" s="48"/>
      <c r="L522" s="47"/>
      <c r="M522" s="1913"/>
      <c r="N522" s="48"/>
      <c r="O522" s="49"/>
      <c r="P522" s="49"/>
      <c r="Q522" s="1884">
        <f t="shared" si="209"/>
        <v>0</v>
      </c>
      <c r="R522" s="1932"/>
      <c r="S522" s="50"/>
      <c r="T522" s="1932"/>
      <c r="U522" s="1932"/>
      <c r="V522" s="1932"/>
      <c r="W522" s="1885">
        <f t="shared" si="192"/>
        <v>0</v>
      </c>
      <c r="X522" s="1891">
        <f t="shared" si="193"/>
        <v>0</v>
      </c>
      <c r="Y522" s="1891">
        <f t="shared" si="194"/>
        <v>0</v>
      </c>
      <c r="Z522" s="50"/>
      <c r="AA522" s="50"/>
      <c r="AB522" s="48"/>
      <c r="AC522" s="48"/>
      <c r="AD522" s="48"/>
      <c r="AE522" s="45"/>
      <c r="AF522" s="51"/>
      <c r="AG522" s="42"/>
      <c r="AH522" s="52" t="s">
        <v>5200</v>
      </c>
      <c r="AI522" s="197"/>
      <c r="AJ522" s="2578"/>
      <c r="AK522" s="251"/>
      <c r="AL522" s="2578"/>
      <c r="AM522" s="2562"/>
      <c r="AN522" s="2562"/>
      <c r="AO522" s="2562"/>
      <c r="AP522" s="2562"/>
      <c r="AQ522" s="2562"/>
      <c r="AR522" s="2562"/>
      <c r="AS522" s="2562"/>
      <c r="AT522" s="252">
        <f t="shared" si="195"/>
        <v>1</v>
      </c>
      <c r="AU522" s="252">
        <f t="shared" si="196"/>
        <v>1</v>
      </c>
      <c r="AV522" s="252">
        <f t="shared" si="197"/>
        <v>1</v>
      </c>
      <c r="AW522" s="252">
        <f t="shared" si="198"/>
        <v>1</v>
      </c>
      <c r="AX522" s="252">
        <f t="shared" si="199"/>
        <v>1</v>
      </c>
      <c r="AY522" s="252">
        <f t="shared" si="200"/>
        <v>1</v>
      </c>
      <c r="AZ522" s="252">
        <f t="shared" si="201"/>
        <v>1</v>
      </c>
      <c r="BA522" s="237"/>
      <c r="BB522" s="237"/>
      <c r="BC522" s="252">
        <f t="shared" si="202"/>
        <v>1</v>
      </c>
      <c r="BD522" s="237"/>
      <c r="BE522" s="237"/>
      <c r="BF522" s="237"/>
      <c r="BG522" s="237"/>
      <c r="BH522" s="237"/>
      <c r="BI522" s="237"/>
      <c r="BJ522" s="252">
        <f t="shared" si="203"/>
        <v>1</v>
      </c>
      <c r="BK522" s="252">
        <f t="shared" si="204"/>
        <v>1</v>
      </c>
      <c r="BL522" s="252">
        <f t="shared" si="205"/>
        <v>1</v>
      </c>
      <c r="BM522" s="252">
        <f t="shared" si="206"/>
        <v>1</v>
      </c>
      <c r="BN522" s="252">
        <f t="shared" si="207"/>
        <v>1</v>
      </c>
      <c r="BO522" s="252">
        <f t="shared" si="208"/>
        <v>1</v>
      </c>
      <c r="BP522" s="2578"/>
      <c r="BQ522" s="2562"/>
      <c r="BR522" s="2562"/>
      <c r="BS522" s="2585"/>
      <c r="BT522" s="2585"/>
      <c r="BU522" s="2585"/>
    </row>
    <row r="523" spans="1:73" s="22" customFormat="1" ht="15.75" hidden="1" customHeight="1" outlineLevel="1">
      <c r="A523" s="2585"/>
      <c r="B523" s="44"/>
      <c r="C523" s="45"/>
      <c r="D523" s="46"/>
      <c r="E523" s="46"/>
      <c r="F523" s="45"/>
      <c r="G523" s="46"/>
      <c r="H523" s="45"/>
      <c r="I523" s="45"/>
      <c r="J523" s="47"/>
      <c r="K523" s="48"/>
      <c r="L523" s="47"/>
      <c r="M523" s="1913"/>
      <c r="N523" s="48"/>
      <c r="O523" s="49"/>
      <c r="P523" s="49"/>
      <c r="Q523" s="1884">
        <f t="shared" si="209"/>
        <v>0</v>
      </c>
      <c r="R523" s="1932"/>
      <c r="S523" s="50"/>
      <c r="T523" s="1932"/>
      <c r="U523" s="1932"/>
      <c r="V523" s="1932"/>
      <c r="W523" s="1885">
        <f t="shared" si="192"/>
        <v>0</v>
      </c>
      <c r="X523" s="1891">
        <f t="shared" si="193"/>
        <v>0</v>
      </c>
      <c r="Y523" s="1891">
        <f t="shared" si="194"/>
        <v>0</v>
      </c>
      <c r="Z523" s="50"/>
      <c r="AA523" s="50"/>
      <c r="AB523" s="48"/>
      <c r="AC523" s="48"/>
      <c r="AD523" s="48"/>
      <c r="AE523" s="45"/>
      <c r="AF523" s="51"/>
      <c r="AG523" s="42"/>
      <c r="AH523" s="52" t="s">
        <v>5201</v>
      </c>
      <c r="AI523" s="197"/>
      <c r="AJ523" s="2578"/>
      <c r="AK523" s="251"/>
      <c r="AL523" s="2578"/>
      <c r="AM523" s="2562"/>
      <c r="AN523" s="2562"/>
      <c r="AO523" s="2562"/>
      <c r="AP523" s="2562"/>
      <c r="AQ523" s="2562"/>
      <c r="AR523" s="2562"/>
      <c r="AS523" s="2562"/>
      <c r="AT523" s="252">
        <f t="shared" si="195"/>
        <v>1</v>
      </c>
      <c r="AU523" s="252">
        <f t="shared" si="196"/>
        <v>1</v>
      </c>
      <c r="AV523" s="252">
        <f t="shared" si="197"/>
        <v>1</v>
      </c>
      <c r="AW523" s="252">
        <f t="shared" si="198"/>
        <v>1</v>
      </c>
      <c r="AX523" s="252">
        <f t="shared" si="199"/>
        <v>1</v>
      </c>
      <c r="AY523" s="252">
        <f t="shared" si="200"/>
        <v>1</v>
      </c>
      <c r="AZ523" s="252">
        <f t="shared" si="201"/>
        <v>1</v>
      </c>
      <c r="BA523" s="237"/>
      <c r="BB523" s="237"/>
      <c r="BC523" s="252">
        <f t="shared" si="202"/>
        <v>1</v>
      </c>
      <c r="BD523" s="237"/>
      <c r="BE523" s="237"/>
      <c r="BF523" s="237"/>
      <c r="BG523" s="237"/>
      <c r="BH523" s="237"/>
      <c r="BI523" s="237"/>
      <c r="BJ523" s="252">
        <f t="shared" si="203"/>
        <v>1</v>
      </c>
      <c r="BK523" s="252">
        <f t="shared" si="204"/>
        <v>1</v>
      </c>
      <c r="BL523" s="252">
        <f t="shared" si="205"/>
        <v>1</v>
      </c>
      <c r="BM523" s="252">
        <f t="shared" si="206"/>
        <v>1</v>
      </c>
      <c r="BN523" s="252">
        <f t="shared" si="207"/>
        <v>1</v>
      </c>
      <c r="BO523" s="252">
        <f t="shared" si="208"/>
        <v>1</v>
      </c>
      <c r="BP523" s="2578"/>
      <c r="BQ523" s="2562"/>
      <c r="BR523" s="2562"/>
      <c r="BS523" s="2585"/>
      <c r="BT523" s="2585"/>
      <c r="BU523" s="2585"/>
    </row>
    <row r="524" spans="1:73" s="22" customFormat="1" ht="15.75" hidden="1" customHeight="1" outlineLevel="1">
      <c r="A524" s="2585"/>
      <c r="B524" s="44"/>
      <c r="C524" s="45"/>
      <c r="D524" s="46"/>
      <c r="E524" s="46"/>
      <c r="F524" s="45"/>
      <c r="G524" s="46"/>
      <c r="H524" s="45"/>
      <c r="I524" s="45"/>
      <c r="J524" s="47"/>
      <c r="K524" s="48"/>
      <c r="L524" s="47"/>
      <c r="M524" s="1913"/>
      <c r="N524" s="48"/>
      <c r="O524" s="49"/>
      <c r="P524" s="49"/>
      <c r="Q524" s="1884">
        <f t="shared" si="209"/>
        <v>0</v>
      </c>
      <c r="R524" s="1932"/>
      <c r="S524" s="50"/>
      <c r="T524" s="1932"/>
      <c r="U524" s="1932"/>
      <c r="V524" s="1932"/>
      <c r="W524" s="1885">
        <f t="shared" si="192"/>
        <v>0</v>
      </c>
      <c r="X524" s="1891">
        <f t="shared" si="193"/>
        <v>0</v>
      </c>
      <c r="Y524" s="1891">
        <f t="shared" si="194"/>
        <v>0</v>
      </c>
      <c r="Z524" s="50"/>
      <c r="AA524" s="50"/>
      <c r="AB524" s="48"/>
      <c r="AC524" s="48"/>
      <c r="AD524" s="48"/>
      <c r="AE524" s="45"/>
      <c r="AF524" s="51"/>
      <c r="AG524" s="42"/>
      <c r="AH524" s="52" t="s">
        <v>5202</v>
      </c>
      <c r="AI524" s="197"/>
      <c r="AJ524" s="2578"/>
      <c r="AK524" s="251"/>
      <c r="AL524" s="2578"/>
      <c r="AM524" s="2562"/>
      <c r="AN524" s="2562"/>
      <c r="AO524" s="2562"/>
      <c r="AP524" s="2562"/>
      <c r="AQ524" s="2562"/>
      <c r="AR524" s="2562"/>
      <c r="AS524" s="2562"/>
      <c r="AT524" s="252">
        <f t="shared" si="195"/>
        <v>1</v>
      </c>
      <c r="AU524" s="252">
        <f t="shared" si="196"/>
        <v>1</v>
      </c>
      <c r="AV524" s="252">
        <f t="shared" si="197"/>
        <v>1</v>
      </c>
      <c r="AW524" s="252">
        <f t="shared" si="198"/>
        <v>1</v>
      </c>
      <c r="AX524" s="252">
        <f t="shared" si="199"/>
        <v>1</v>
      </c>
      <c r="AY524" s="252">
        <f t="shared" si="200"/>
        <v>1</v>
      </c>
      <c r="AZ524" s="252">
        <f t="shared" si="201"/>
        <v>1</v>
      </c>
      <c r="BA524" s="237"/>
      <c r="BB524" s="237"/>
      <c r="BC524" s="252">
        <f t="shared" si="202"/>
        <v>1</v>
      </c>
      <c r="BD524" s="237"/>
      <c r="BE524" s="237"/>
      <c r="BF524" s="237"/>
      <c r="BG524" s="237"/>
      <c r="BH524" s="237"/>
      <c r="BI524" s="237"/>
      <c r="BJ524" s="252">
        <f t="shared" si="203"/>
        <v>1</v>
      </c>
      <c r="BK524" s="252">
        <f t="shared" si="204"/>
        <v>1</v>
      </c>
      <c r="BL524" s="252">
        <f t="shared" si="205"/>
        <v>1</v>
      </c>
      <c r="BM524" s="252">
        <f t="shared" si="206"/>
        <v>1</v>
      </c>
      <c r="BN524" s="252">
        <f t="shared" si="207"/>
        <v>1</v>
      </c>
      <c r="BO524" s="252">
        <f t="shared" si="208"/>
        <v>1</v>
      </c>
      <c r="BP524" s="2578"/>
      <c r="BQ524" s="2562"/>
      <c r="BR524" s="2562"/>
      <c r="BS524" s="2585"/>
      <c r="BT524" s="2585"/>
      <c r="BU524" s="2585"/>
    </row>
    <row r="525" spans="1:73" s="22" customFormat="1" ht="15.75" hidden="1" customHeight="1" outlineLevel="1">
      <c r="A525" s="2585"/>
      <c r="B525" s="44"/>
      <c r="C525" s="45"/>
      <c r="D525" s="46"/>
      <c r="E525" s="46"/>
      <c r="F525" s="45"/>
      <c r="G525" s="46"/>
      <c r="H525" s="45"/>
      <c r="I525" s="45"/>
      <c r="J525" s="47"/>
      <c r="K525" s="48"/>
      <c r="L525" s="47"/>
      <c r="M525" s="1913"/>
      <c r="N525" s="48"/>
      <c r="O525" s="49"/>
      <c r="P525" s="49"/>
      <c r="Q525" s="1884">
        <f t="shared" si="209"/>
        <v>0</v>
      </c>
      <c r="R525" s="1932"/>
      <c r="S525" s="50"/>
      <c r="T525" s="1932"/>
      <c r="U525" s="1932"/>
      <c r="V525" s="1932"/>
      <c r="W525" s="1885">
        <f t="shared" si="192"/>
        <v>0</v>
      </c>
      <c r="X525" s="1891">
        <f t="shared" si="193"/>
        <v>0</v>
      </c>
      <c r="Y525" s="1891">
        <f t="shared" si="194"/>
        <v>0</v>
      </c>
      <c r="Z525" s="50"/>
      <c r="AA525" s="50"/>
      <c r="AB525" s="48"/>
      <c r="AC525" s="48"/>
      <c r="AD525" s="48"/>
      <c r="AE525" s="45"/>
      <c r="AF525" s="51"/>
      <c r="AG525" s="42"/>
      <c r="AH525" s="52" t="s">
        <v>5203</v>
      </c>
      <c r="AI525" s="197"/>
      <c r="AJ525" s="2578"/>
      <c r="AK525" s="251"/>
      <c r="AL525" s="2578"/>
      <c r="AM525" s="2562"/>
      <c r="AN525" s="2562"/>
      <c r="AO525" s="2562"/>
      <c r="AP525" s="2562"/>
      <c r="AQ525" s="2562"/>
      <c r="AR525" s="2562"/>
      <c r="AS525" s="2562"/>
      <c r="AT525" s="252">
        <f t="shared" si="195"/>
        <v>1</v>
      </c>
      <c r="AU525" s="252">
        <f t="shared" si="196"/>
        <v>1</v>
      </c>
      <c r="AV525" s="252">
        <f t="shared" si="197"/>
        <v>1</v>
      </c>
      <c r="AW525" s="252">
        <f t="shared" si="198"/>
        <v>1</v>
      </c>
      <c r="AX525" s="252">
        <f t="shared" si="199"/>
        <v>1</v>
      </c>
      <c r="AY525" s="252">
        <f t="shared" si="200"/>
        <v>1</v>
      </c>
      <c r="AZ525" s="252">
        <f t="shared" si="201"/>
        <v>1</v>
      </c>
      <c r="BA525" s="237"/>
      <c r="BB525" s="237"/>
      <c r="BC525" s="252">
        <f t="shared" si="202"/>
        <v>1</v>
      </c>
      <c r="BD525" s="237"/>
      <c r="BE525" s="237"/>
      <c r="BF525" s="237"/>
      <c r="BG525" s="237"/>
      <c r="BH525" s="237"/>
      <c r="BI525" s="237"/>
      <c r="BJ525" s="252">
        <f t="shared" si="203"/>
        <v>1</v>
      </c>
      <c r="BK525" s="252">
        <f t="shared" si="204"/>
        <v>1</v>
      </c>
      <c r="BL525" s="252">
        <f t="shared" si="205"/>
        <v>1</v>
      </c>
      <c r="BM525" s="252">
        <f t="shared" si="206"/>
        <v>1</v>
      </c>
      <c r="BN525" s="252">
        <f t="shared" si="207"/>
        <v>1</v>
      </c>
      <c r="BO525" s="252">
        <f t="shared" si="208"/>
        <v>1</v>
      </c>
      <c r="BP525" s="2578"/>
      <c r="BQ525" s="2562"/>
      <c r="BR525" s="2562"/>
      <c r="BS525" s="2585"/>
      <c r="BT525" s="2585"/>
      <c r="BU525" s="2585"/>
    </row>
    <row r="526" spans="1:73" s="22" customFormat="1" ht="15.75" hidden="1" customHeight="1" outlineLevel="1">
      <c r="A526" s="2585"/>
      <c r="B526" s="44"/>
      <c r="C526" s="45"/>
      <c r="D526" s="46"/>
      <c r="E526" s="46"/>
      <c r="F526" s="45"/>
      <c r="G526" s="46"/>
      <c r="H526" s="45"/>
      <c r="I526" s="45"/>
      <c r="J526" s="47"/>
      <c r="K526" s="48"/>
      <c r="L526" s="47"/>
      <c r="M526" s="1913"/>
      <c r="N526" s="48"/>
      <c r="O526" s="49"/>
      <c r="P526" s="49"/>
      <c r="Q526" s="1884">
        <f t="shared" si="209"/>
        <v>0</v>
      </c>
      <c r="R526" s="1932"/>
      <c r="S526" s="50"/>
      <c r="T526" s="1932"/>
      <c r="U526" s="1932"/>
      <c r="V526" s="1932"/>
      <c r="W526" s="1885">
        <f t="shared" si="192"/>
        <v>0</v>
      </c>
      <c r="X526" s="1891">
        <f t="shared" si="193"/>
        <v>0</v>
      </c>
      <c r="Y526" s="1891">
        <f t="shared" si="194"/>
        <v>0</v>
      </c>
      <c r="Z526" s="50"/>
      <c r="AA526" s="50"/>
      <c r="AB526" s="48"/>
      <c r="AC526" s="48"/>
      <c r="AD526" s="48"/>
      <c r="AE526" s="45"/>
      <c r="AF526" s="51"/>
      <c r="AG526" s="42"/>
      <c r="AH526" s="52" t="s">
        <v>5204</v>
      </c>
      <c r="AI526" s="197"/>
      <c r="AJ526" s="2578"/>
      <c r="AK526" s="251"/>
      <c r="AL526" s="2578"/>
      <c r="AM526" s="2562"/>
      <c r="AN526" s="2562"/>
      <c r="AO526" s="2562"/>
      <c r="AP526" s="2562"/>
      <c r="AQ526" s="2562"/>
      <c r="AR526" s="2562"/>
      <c r="AS526" s="2562"/>
      <c r="AT526" s="252">
        <f t="shared" si="195"/>
        <v>1</v>
      </c>
      <c r="AU526" s="252">
        <f t="shared" si="196"/>
        <v>1</v>
      </c>
      <c r="AV526" s="252">
        <f t="shared" si="197"/>
        <v>1</v>
      </c>
      <c r="AW526" s="252">
        <f t="shared" si="198"/>
        <v>1</v>
      </c>
      <c r="AX526" s="252">
        <f t="shared" si="199"/>
        <v>1</v>
      </c>
      <c r="AY526" s="252">
        <f t="shared" si="200"/>
        <v>1</v>
      </c>
      <c r="AZ526" s="252">
        <f t="shared" si="201"/>
        <v>1</v>
      </c>
      <c r="BA526" s="237"/>
      <c r="BB526" s="237"/>
      <c r="BC526" s="252">
        <f t="shared" si="202"/>
        <v>1</v>
      </c>
      <c r="BD526" s="237"/>
      <c r="BE526" s="237"/>
      <c r="BF526" s="237"/>
      <c r="BG526" s="237"/>
      <c r="BH526" s="237"/>
      <c r="BI526" s="237"/>
      <c r="BJ526" s="252">
        <f t="shared" si="203"/>
        <v>1</v>
      </c>
      <c r="BK526" s="252">
        <f t="shared" si="204"/>
        <v>1</v>
      </c>
      <c r="BL526" s="252">
        <f t="shared" si="205"/>
        <v>1</v>
      </c>
      <c r="BM526" s="252">
        <f t="shared" si="206"/>
        <v>1</v>
      </c>
      <c r="BN526" s="252">
        <f t="shared" si="207"/>
        <v>1</v>
      </c>
      <c r="BO526" s="252">
        <f t="shared" si="208"/>
        <v>1</v>
      </c>
      <c r="BP526" s="2578"/>
      <c r="BQ526" s="2562"/>
      <c r="BR526" s="2562"/>
      <c r="BS526" s="2585"/>
      <c r="BT526" s="2585"/>
      <c r="BU526" s="2585"/>
    </row>
    <row r="527" spans="1:73" s="22" customFormat="1" ht="15.75" hidden="1" customHeight="1" outlineLevel="1">
      <c r="A527" s="2585"/>
      <c r="B527" s="44"/>
      <c r="C527" s="45"/>
      <c r="D527" s="46"/>
      <c r="E527" s="46"/>
      <c r="F527" s="45"/>
      <c r="G527" s="46"/>
      <c r="H527" s="45"/>
      <c r="I527" s="45"/>
      <c r="J527" s="47"/>
      <c r="K527" s="48"/>
      <c r="L527" s="47"/>
      <c r="M527" s="1913"/>
      <c r="N527" s="48"/>
      <c r="O527" s="49"/>
      <c r="P527" s="49"/>
      <c r="Q527" s="1884">
        <f t="shared" si="209"/>
        <v>0</v>
      </c>
      <c r="R527" s="1932"/>
      <c r="S527" s="50"/>
      <c r="T527" s="1932"/>
      <c r="U527" s="1932"/>
      <c r="V527" s="1932"/>
      <c r="W527" s="1885">
        <f t="shared" si="192"/>
        <v>0</v>
      </c>
      <c r="X527" s="1891">
        <f t="shared" si="193"/>
        <v>0</v>
      </c>
      <c r="Y527" s="1891">
        <f t="shared" si="194"/>
        <v>0</v>
      </c>
      <c r="Z527" s="50"/>
      <c r="AA527" s="50"/>
      <c r="AB527" s="48"/>
      <c r="AC527" s="48"/>
      <c r="AD527" s="48"/>
      <c r="AE527" s="45"/>
      <c r="AF527" s="51"/>
      <c r="AG527" s="42"/>
      <c r="AH527" s="52" t="s">
        <v>5205</v>
      </c>
      <c r="AI527" s="197"/>
      <c r="AJ527" s="2578"/>
      <c r="AK527" s="251"/>
      <c r="AL527" s="2578"/>
      <c r="AM527" s="2562"/>
      <c r="AN527" s="2562"/>
      <c r="AO527" s="2562"/>
      <c r="AP527" s="2562"/>
      <c r="AQ527" s="2562"/>
      <c r="AR527" s="2562"/>
      <c r="AS527" s="2562"/>
      <c r="AT527" s="252">
        <f t="shared" si="195"/>
        <v>1</v>
      </c>
      <c r="AU527" s="252">
        <f t="shared" si="196"/>
        <v>1</v>
      </c>
      <c r="AV527" s="252">
        <f t="shared" si="197"/>
        <v>1</v>
      </c>
      <c r="AW527" s="252">
        <f t="shared" si="198"/>
        <v>1</v>
      </c>
      <c r="AX527" s="252">
        <f t="shared" si="199"/>
        <v>1</v>
      </c>
      <c r="AY527" s="252">
        <f t="shared" si="200"/>
        <v>1</v>
      </c>
      <c r="AZ527" s="252">
        <f t="shared" si="201"/>
        <v>1</v>
      </c>
      <c r="BA527" s="237"/>
      <c r="BB527" s="237"/>
      <c r="BC527" s="252">
        <f t="shared" si="202"/>
        <v>1</v>
      </c>
      <c r="BD527" s="237"/>
      <c r="BE527" s="237"/>
      <c r="BF527" s="237"/>
      <c r="BG527" s="237"/>
      <c r="BH527" s="237"/>
      <c r="BI527" s="237"/>
      <c r="BJ527" s="252">
        <f t="shared" si="203"/>
        <v>1</v>
      </c>
      <c r="BK527" s="252">
        <f t="shared" si="204"/>
        <v>1</v>
      </c>
      <c r="BL527" s="252">
        <f t="shared" si="205"/>
        <v>1</v>
      </c>
      <c r="BM527" s="252">
        <f t="shared" si="206"/>
        <v>1</v>
      </c>
      <c r="BN527" s="252">
        <f t="shared" si="207"/>
        <v>1</v>
      </c>
      <c r="BO527" s="252">
        <f t="shared" si="208"/>
        <v>1</v>
      </c>
      <c r="BP527" s="2578"/>
      <c r="BQ527" s="2562"/>
      <c r="BR527" s="2562"/>
      <c r="BS527" s="2585"/>
      <c r="BT527" s="2585"/>
      <c r="BU527" s="2585"/>
    </row>
    <row r="528" spans="1:73" s="22" customFormat="1" ht="15.75" hidden="1" customHeight="1" outlineLevel="1">
      <c r="A528" s="2585"/>
      <c r="B528" s="44"/>
      <c r="C528" s="45"/>
      <c r="D528" s="46"/>
      <c r="E528" s="46"/>
      <c r="F528" s="45"/>
      <c r="G528" s="46"/>
      <c r="H528" s="45"/>
      <c r="I528" s="45"/>
      <c r="J528" s="47"/>
      <c r="K528" s="48"/>
      <c r="L528" s="47"/>
      <c r="M528" s="1913"/>
      <c r="N528" s="48"/>
      <c r="O528" s="49"/>
      <c r="P528" s="49"/>
      <c r="Q528" s="1884">
        <f t="shared" si="209"/>
        <v>0</v>
      </c>
      <c r="R528" s="1932"/>
      <c r="S528" s="50"/>
      <c r="T528" s="1932"/>
      <c r="U528" s="1932"/>
      <c r="V528" s="1932"/>
      <c r="W528" s="1885">
        <f t="shared" si="192"/>
        <v>0</v>
      </c>
      <c r="X528" s="1891">
        <f t="shared" si="193"/>
        <v>0</v>
      </c>
      <c r="Y528" s="1891">
        <f t="shared" si="194"/>
        <v>0</v>
      </c>
      <c r="Z528" s="50"/>
      <c r="AA528" s="50"/>
      <c r="AB528" s="48"/>
      <c r="AC528" s="48"/>
      <c r="AD528" s="48"/>
      <c r="AE528" s="45"/>
      <c r="AF528" s="51"/>
      <c r="AG528" s="42"/>
      <c r="AH528" s="52" t="s">
        <v>5206</v>
      </c>
      <c r="AI528" s="197"/>
      <c r="AJ528" s="2578"/>
      <c r="AK528" s="251"/>
      <c r="AL528" s="2578"/>
      <c r="AM528" s="2562"/>
      <c r="AN528" s="2562"/>
      <c r="AO528" s="2562"/>
      <c r="AP528" s="2562"/>
      <c r="AQ528" s="2562"/>
      <c r="AR528" s="2562"/>
      <c r="AS528" s="2562"/>
      <c r="AT528" s="252">
        <f t="shared" si="195"/>
        <v>1</v>
      </c>
      <c r="AU528" s="252">
        <f t="shared" si="196"/>
        <v>1</v>
      </c>
      <c r="AV528" s="252">
        <f t="shared" si="197"/>
        <v>1</v>
      </c>
      <c r="AW528" s="252">
        <f t="shared" si="198"/>
        <v>1</v>
      </c>
      <c r="AX528" s="252">
        <f t="shared" si="199"/>
        <v>1</v>
      </c>
      <c r="AY528" s="252">
        <f t="shared" si="200"/>
        <v>1</v>
      </c>
      <c r="AZ528" s="252">
        <f t="shared" si="201"/>
        <v>1</v>
      </c>
      <c r="BA528" s="237"/>
      <c r="BB528" s="237"/>
      <c r="BC528" s="252">
        <f t="shared" si="202"/>
        <v>1</v>
      </c>
      <c r="BD528" s="237"/>
      <c r="BE528" s="237"/>
      <c r="BF528" s="237"/>
      <c r="BG528" s="237"/>
      <c r="BH528" s="237"/>
      <c r="BI528" s="237"/>
      <c r="BJ528" s="252">
        <f t="shared" si="203"/>
        <v>1</v>
      </c>
      <c r="BK528" s="252">
        <f t="shared" si="204"/>
        <v>1</v>
      </c>
      <c r="BL528" s="252">
        <f t="shared" si="205"/>
        <v>1</v>
      </c>
      <c r="BM528" s="252">
        <f t="shared" si="206"/>
        <v>1</v>
      </c>
      <c r="BN528" s="252">
        <f t="shared" si="207"/>
        <v>1</v>
      </c>
      <c r="BO528" s="252">
        <f t="shared" si="208"/>
        <v>1</v>
      </c>
      <c r="BP528" s="2578"/>
      <c r="BQ528" s="2562"/>
      <c r="BR528" s="2562"/>
      <c r="BS528" s="2585"/>
      <c r="BT528" s="2585"/>
      <c r="BU528" s="2585"/>
    </row>
    <row r="529" spans="1:73" s="22" customFormat="1" ht="15.75" hidden="1" customHeight="1" outlineLevel="1">
      <c r="A529" s="2585"/>
      <c r="B529" s="44"/>
      <c r="C529" s="45"/>
      <c r="D529" s="46"/>
      <c r="E529" s="46"/>
      <c r="F529" s="45"/>
      <c r="G529" s="46"/>
      <c r="H529" s="45"/>
      <c r="I529" s="45"/>
      <c r="J529" s="47"/>
      <c r="K529" s="48"/>
      <c r="L529" s="47"/>
      <c r="M529" s="1913"/>
      <c r="N529" s="48"/>
      <c r="O529" s="49"/>
      <c r="P529" s="49"/>
      <c r="Q529" s="1884">
        <f t="shared" si="209"/>
        <v>0</v>
      </c>
      <c r="R529" s="1932"/>
      <c r="S529" s="50"/>
      <c r="T529" s="1932"/>
      <c r="U529" s="1932"/>
      <c r="V529" s="1932"/>
      <c r="W529" s="1885">
        <f t="shared" si="192"/>
        <v>0</v>
      </c>
      <c r="X529" s="1891">
        <f t="shared" si="193"/>
        <v>0</v>
      </c>
      <c r="Y529" s="1891">
        <f t="shared" si="194"/>
        <v>0</v>
      </c>
      <c r="Z529" s="50"/>
      <c r="AA529" s="50"/>
      <c r="AB529" s="48"/>
      <c r="AC529" s="48"/>
      <c r="AD529" s="48"/>
      <c r="AE529" s="45"/>
      <c r="AF529" s="51"/>
      <c r="AG529" s="42"/>
      <c r="AH529" s="52" t="s">
        <v>5207</v>
      </c>
      <c r="AI529" s="197"/>
      <c r="AJ529" s="2578"/>
      <c r="AK529" s="251"/>
      <c r="AL529" s="2578"/>
      <c r="AM529" s="2562"/>
      <c r="AN529" s="2562"/>
      <c r="AO529" s="2562"/>
      <c r="AP529" s="2562"/>
      <c r="AQ529" s="2562"/>
      <c r="AR529" s="2562"/>
      <c r="AS529" s="2562"/>
      <c r="AT529" s="252">
        <f t="shared" si="195"/>
        <v>1</v>
      </c>
      <c r="AU529" s="252">
        <f t="shared" si="196"/>
        <v>1</v>
      </c>
      <c r="AV529" s="252">
        <f t="shared" si="197"/>
        <v>1</v>
      </c>
      <c r="AW529" s="252">
        <f t="shared" si="198"/>
        <v>1</v>
      </c>
      <c r="AX529" s="252">
        <f t="shared" si="199"/>
        <v>1</v>
      </c>
      <c r="AY529" s="252">
        <f t="shared" si="200"/>
        <v>1</v>
      </c>
      <c r="AZ529" s="252">
        <f t="shared" si="201"/>
        <v>1</v>
      </c>
      <c r="BA529" s="237"/>
      <c r="BB529" s="237"/>
      <c r="BC529" s="252">
        <f t="shared" si="202"/>
        <v>1</v>
      </c>
      <c r="BD529" s="237"/>
      <c r="BE529" s="237"/>
      <c r="BF529" s="237"/>
      <c r="BG529" s="237"/>
      <c r="BH529" s="237"/>
      <c r="BI529" s="237"/>
      <c r="BJ529" s="252">
        <f t="shared" si="203"/>
        <v>1</v>
      </c>
      <c r="BK529" s="252">
        <f t="shared" si="204"/>
        <v>1</v>
      </c>
      <c r="BL529" s="252">
        <f t="shared" si="205"/>
        <v>1</v>
      </c>
      <c r="BM529" s="252">
        <f t="shared" si="206"/>
        <v>1</v>
      </c>
      <c r="BN529" s="252">
        <f t="shared" si="207"/>
        <v>1</v>
      </c>
      <c r="BO529" s="252">
        <f t="shared" si="208"/>
        <v>1</v>
      </c>
      <c r="BP529" s="2578"/>
      <c r="BQ529" s="2562"/>
      <c r="BR529" s="2562"/>
      <c r="BS529" s="2585"/>
      <c r="BT529" s="2585"/>
      <c r="BU529" s="2585"/>
    </row>
    <row r="530" spans="1:73" s="22" customFormat="1" ht="15.75" hidden="1" customHeight="1" outlineLevel="1">
      <c r="A530" s="2585"/>
      <c r="B530" s="44"/>
      <c r="C530" s="45"/>
      <c r="D530" s="46"/>
      <c r="E530" s="46"/>
      <c r="F530" s="45"/>
      <c r="G530" s="46"/>
      <c r="H530" s="45"/>
      <c r="I530" s="45"/>
      <c r="J530" s="47"/>
      <c r="K530" s="48"/>
      <c r="L530" s="47"/>
      <c r="M530" s="1913"/>
      <c r="N530" s="48"/>
      <c r="O530" s="49"/>
      <c r="P530" s="49"/>
      <c r="Q530" s="1884">
        <f t="shared" si="209"/>
        <v>0</v>
      </c>
      <c r="R530" s="1932"/>
      <c r="S530" s="50"/>
      <c r="T530" s="1932"/>
      <c r="U530" s="1932"/>
      <c r="V530" s="1932"/>
      <c r="W530" s="1885">
        <f t="shared" si="192"/>
        <v>0</v>
      </c>
      <c r="X530" s="1891">
        <f t="shared" si="193"/>
        <v>0</v>
      </c>
      <c r="Y530" s="1891">
        <f t="shared" si="194"/>
        <v>0</v>
      </c>
      <c r="Z530" s="50"/>
      <c r="AA530" s="50"/>
      <c r="AB530" s="48"/>
      <c r="AC530" s="48"/>
      <c r="AD530" s="48"/>
      <c r="AE530" s="45"/>
      <c r="AF530" s="51"/>
      <c r="AG530" s="42"/>
      <c r="AH530" s="52" t="s">
        <v>5208</v>
      </c>
      <c r="AI530" s="197"/>
      <c r="AJ530" s="2578"/>
      <c r="AK530" s="251"/>
      <c r="AL530" s="2578"/>
      <c r="AM530" s="2562"/>
      <c r="AN530" s="2562"/>
      <c r="AO530" s="2562"/>
      <c r="AP530" s="2562"/>
      <c r="AQ530" s="2562"/>
      <c r="AR530" s="2562"/>
      <c r="AS530" s="2562"/>
      <c r="AT530" s="252">
        <f t="shared" si="195"/>
        <v>1</v>
      </c>
      <c r="AU530" s="252">
        <f t="shared" si="196"/>
        <v>1</v>
      </c>
      <c r="AV530" s="252">
        <f t="shared" si="197"/>
        <v>1</v>
      </c>
      <c r="AW530" s="252">
        <f t="shared" si="198"/>
        <v>1</v>
      </c>
      <c r="AX530" s="252">
        <f t="shared" si="199"/>
        <v>1</v>
      </c>
      <c r="AY530" s="252">
        <f t="shared" si="200"/>
        <v>1</v>
      </c>
      <c r="AZ530" s="252">
        <f t="shared" si="201"/>
        <v>1</v>
      </c>
      <c r="BA530" s="237"/>
      <c r="BB530" s="237"/>
      <c r="BC530" s="252">
        <f t="shared" si="202"/>
        <v>1</v>
      </c>
      <c r="BD530" s="237"/>
      <c r="BE530" s="237"/>
      <c r="BF530" s="237"/>
      <c r="BG530" s="237"/>
      <c r="BH530" s="237"/>
      <c r="BI530" s="237"/>
      <c r="BJ530" s="252">
        <f t="shared" si="203"/>
        <v>1</v>
      </c>
      <c r="BK530" s="252">
        <f t="shared" si="204"/>
        <v>1</v>
      </c>
      <c r="BL530" s="252">
        <f t="shared" si="205"/>
        <v>1</v>
      </c>
      <c r="BM530" s="252">
        <f t="shared" si="206"/>
        <v>1</v>
      </c>
      <c r="BN530" s="252">
        <f t="shared" si="207"/>
        <v>1</v>
      </c>
      <c r="BO530" s="252">
        <f t="shared" si="208"/>
        <v>1</v>
      </c>
      <c r="BP530" s="2578"/>
      <c r="BQ530" s="2562"/>
      <c r="BR530" s="2562"/>
      <c r="BS530" s="2585"/>
      <c r="BT530" s="2585"/>
      <c r="BU530" s="2585"/>
    </row>
    <row r="531" spans="1:73" s="22" customFormat="1" ht="15.75" hidden="1" customHeight="1" outlineLevel="1">
      <c r="A531" s="2585"/>
      <c r="B531" s="44"/>
      <c r="C531" s="45"/>
      <c r="D531" s="46"/>
      <c r="E531" s="46"/>
      <c r="F531" s="45"/>
      <c r="G531" s="46"/>
      <c r="H531" s="45"/>
      <c r="I531" s="45"/>
      <c r="J531" s="47"/>
      <c r="K531" s="48"/>
      <c r="L531" s="47"/>
      <c r="M531" s="1913"/>
      <c r="N531" s="48"/>
      <c r="O531" s="49"/>
      <c r="P531" s="49"/>
      <c r="Q531" s="1884">
        <f t="shared" si="209"/>
        <v>0</v>
      </c>
      <c r="R531" s="1932"/>
      <c r="S531" s="50"/>
      <c r="T531" s="1932"/>
      <c r="U531" s="1932"/>
      <c r="V531" s="1932"/>
      <c r="W531" s="1885">
        <f t="shared" si="192"/>
        <v>0</v>
      </c>
      <c r="X531" s="1891">
        <f t="shared" si="193"/>
        <v>0</v>
      </c>
      <c r="Y531" s="1891">
        <f t="shared" si="194"/>
        <v>0</v>
      </c>
      <c r="Z531" s="50"/>
      <c r="AA531" s="50"/>
      <c r="AB531" s="48"/>
      <c r="AC531" s="48"/>
      <c r="AD531" s="48"/>
      <c r="AE531" s="45"/>
      <c r="AF531" s="51"/>
      <c r="AG531" s="42"/>
      <c r="AH531" s="52" t="s">
        <v>5209</v>
      </c>
      <c r="AI531" s="197"/>
      <c r="AJ531" s="2578"/>
      <c r="AK531" s="251"/>
      <c r="AL531" s="2578"/>
      <c r="AM531" s="2562"/>
      <c r="AN531" s="2562"/>
      <c r="AO531" s="2562"/>
      <c r="AP531" s="2562"/>
      <c r="AQ531" s="2562"/>
      <c r="AR531" s="2562"/>
      <c r="AS531" s="2562"/>
      <c r="AT531" s="252">
        <f t="shared" si="195"/>
        <v>1</v>
      </c>
      <c r="AU531" s="252">
        <f t="shared" si="196"/>
        <v>1</v>
      </c>
      <c r="AV531" s="252">
        <f t="shared" si="197"/>
        <v>1</v>
      </c>
      <c r="AW531" s="252">
        <f t="shared" si="198"/>
        <v>1</v>
      </c>
      <c r="AX531" s="252">
        <f t="shared" si="199"/>
        <v>1</v>
      </c>
      <c r="AY531" s="252">
        <f t="shared" si="200"/>
        <v>1</v>
      </c>
      <c r="AZ531" s="252">
        <f t="shared" si="201"/>
        <v>1</v>
      </c>
      <c r="BA531" s="237"/>
      <c r="BB531" s="237"/>
      <c r="BC531" s="252">
        <f t="shared" si="202"/>
        <v>1</v>
      </c>
      <c r="BD531" s="237"/>
      <c r="BE531" s="237"/>
      <c r="BF531" s="237"/>
      <c r="BG531" s="237"/>
      <c r="BH531" s="237"/>
      <c r="BI531" s="237"/>
      <c r="BJ531" s="252">
        <f t="shared" si="203"/>
        <v>1</v>
      </c>
      <c r="BK531" s="252">
        <f t="shared" si="204"/>
        <v>1</v>
      </c>
      <c r="BL531" s="252">
        <f t="shared" si="205"/>
        <v>1</v>
      </c>
      <c r="BM531" s="252">
        <f t="shared" si="206"/>
        <v>1</v>
      </c>
      <c r="BN531" s="252">
        <f t="shared" si="207"/>
        <v>1</v>
      </c>
      <c r="BO531" s="252">
        <f t="shared" si="208"/>
        <v>1</v>
      </c>
      <c r="BP531" s="2578"/>
      <c r="BQ531" s="2562"/>
      <c r="BR531" s="2562"/>
      <c r="BS531" s="2585"/>
      <c r="BT531" s="2585"/>
      <c r="BU531" s="2585"/>
    </row>
    <row r="532" spans="1:73" s="22" customFormat="1" ht="15.75" hidden="1" customHeight="1" outlineLevel="1">
      <c r="A532" s="2585"/>
      <c r="B532" s="44"/>
      <c r="C532" s="45"/>
      <c r="D532" s="46"/>
      <c r="E532" s="46"/>
      <c r="F532" s="45"/>
      <c r="G532" s="46"/>
      <c r="H532" s="45"/>
      <c r="I532" s="45"/>
      <c r="J532" s="47"/>
      <c r="K532" s="48"/>
      <c r="L532" s="47"/>
      <c r="M532" s="1913"/>
      <c r="N532" s="48"/>
      <c r="O532" s="49"/>
      <c r="P532" s="49"/>
      <c r="Q532" s="1884">
        <f t="shared" si="209"/>
        <v>0</v>
      </c>
      <c r="R532" s="1932"/>
      <c r="S532" s="50"/>
      <c r="T532" s="1932"/>
      <c r="U532" s="1932"/>
      <c r="V532" s="1932"/>
      <c r="W532" s="1885">
        <f t="shared" ref="W532:W595" si="210">IF(S532=0,0,((1+S532)*(1+C$627))-1)</f>
        <v>0</v>
      </c>
      <c r="X532" s="1891">
        <f t="shared" ref="X532:X595" si="211">W532*P532</f>
        <v>0</v>
      </c>
      <c r="Y532" s="1891">
        <f t="shared" ref="Y532:Y595" si="212" xml:space="preserve"> S532*P532</f>
        <v>0</v>
      </c>
      <c r="Z532" s="50"/>
      <c r="AA532" s="50"/>
      <c r="AB532" s="48"/>
      <c r="AC532" s="48"/>
      <c r="AD532" s="48"/>
      <c r="AE532" s="45"/>
      <c r="AF532" s="51"/>
      <c r="AG532" s="42"/>
      <c r="AH532" s="52" t="s">
        <v>5210</v>
      </c>
      <c r="AI532" s="197"/>
      <c r="AJ532" s="2578"/>
      <c r="AK532" s="251"/>
      <c r="AL532" s="2578"/>
      <c r="AM532" s="2562"/>
      <c r="AN532" s="2562"/>
      <c r="AO532" s="2562"/>
      <c r="AP532" s="2562"/>
      <c r="AQ532" s="2562"/>
      <c r="AR532" s="2562"/>
      <c r="AS532" s="2562"/>
      <c r="AT532" s="252">
        <f t="shared" ref="AT532:AT568" si="213" xml:space="preserve"> IF( ISNUMBER(J532 ), 0, 1 )</f>
        <v>1</v>
      </c>
      <c r="AU532" s="252">
        <f t="shared" ref="AU532:AU568" si="214" xml:space="preserve"> IF( ISNUMBER(K532 ), 0, 1 )</f>
        <v>1</v>
      </c>
      <c r="AV532" s="252">
        <f t="shared" ref="AV532:AV568" si="215" xml:space="preserve"> IF( ISNUMBER(L532 ), 0, 1 )</f>
        <v>1</v>
      </c>
      <c r="AW532" s="252">
        <f t="shared" ref="AW532:AW568" si="216" xml:space="preserve"> IF( ISNUMBER(M532 ), 0, 1 )</f>
        <v>1</v>
      </c>
      <c r="AX532" s="252">
        <f t="shared" ref="AX532:AX568" si="217" xml:space="preserve"> IF( ISNUMBER(N532 ), 0, 1 )</f>
        <v>1</v>
      </c>
      <c r="AY532" s="252">
        <f t="shared" ref="AY532:AY568" si="218" xml:space="preserve"> IF( ISNUMBER(O532 ), 0, 1 )</f>
        <v>1</v>
      </c>
      <c r="AZ532" s="252">
        <f t="shared" ref="AZ532:AZ568" si="219" xml:space="preserve"> IF( ISNUMBER(P532 ), 0, 1 )</f>
        <v>1</v>
      </c>
      <c r="BA532" s="237"/>
      <c r="BB532" s="237"/>
      <c r="BC532" s="252">
        <f t="shared" ref="BC532:BC568" si="220" xml:space="preserve"> IF( ISNUMBER(S532 ), 0, 1 )</f>
        <v>1</v>
      </c>
      <c r="BD532" s="237"/>
      <c r="BE532" s="237"/>
      <c r="BF532" s="237"/>
      <c r="BG532" s="237"/>
      <c r="BH532" s="237"/>
      <c r="BI532" s="237"/>
      <c r="BJ532" s="252">
        <f t="shared" ref="BJ532:BJ568" si="221" xml:space="preserve"> IF( ISNUMBER(Z532 ), 0, 1 )</f>
        <v>1</v>
      </c>
      <c r="BK532" s="252">
        <f t="shared" ref="BK532:BK568" si="222" xml:space="preserve"> IF( ISNUMBER(AA532 ), 0, 1 )</f>
        <v>1</v>
      </c>
      <c r="BL532" s="252">
        <f t="shared" ref="BL532:BL568" si="223" xml:space="preserve"> IF( ISNUMBER(AB532 ), 0, 1 )</f>
        <v>1</v>
      </c>
      <c r="BM532" s="252">
        <f t="shared" ref="BM532:BM568" si="224" xml:space="preserve"> IF( ISNUMBER(AC532 ), 0, 1 )</f>
        <v>1</v>
      </c>
      <c r="BN532" s="252">
        <f t="shared" ref="BN532:BN568" si="225" xml:space="preserve"> IF( ISNUMBER(AD532 ), 0, 1 )</f>
        <v>1</v>
      </c>
      <c r="BO532" s="252">
        <f t="shared" ref="BO532:BO568" si="226" xml:space="preserve"> IF( ISNUMBER(AF532 ), 0, 1 )</f>
        <v>1</v>
      </c>
      <c r="BP532" s="2578"/>
      <c r="BQ532" s="2562"/>
      <c r="BR532" s="2562"/>
      <c r="BS532" s="2585"/>
      <c r="BT532" s="2585"/>
      <c r="BU532" s="2585"/>
    </row>
    <row r="533" spans="1:73" s="22" customFormat="1" ht="15.75" hidden="1" customHeight="1" outlineLevel="1">
      <c r="A533" s="2585"/>
      <c r="B533" s="44"/>
      <c r="C533" s="45"/>
      <c r="D533" s="46"/>
      <c r="E533" s="46"/>
      <c r="F533" s="45"/>
      <c r="G533" s="46"/>
      <c r="H533" s="45"/>
      <c r="I533" s="45"/>
      <c r="J533" s="47"/>
      <c r="K533" s="48"/>
      <c r="L533" s="47"/>
      <c r="M533" s="1913"/>
      <c r="N533" s="48"/>
      <c r="O533" s="49"/>
      <c r="P533" s="49"/>
      <c r="Q533" s="1884">
        <f t="shared" si="209"/>
        <v>0</v>
      </c>
      <c r="R533" s="1932"/>
      <c r="S533" s="50"/>
      <c r="T533" s="1932"/>
      <c r="U533" s="1932"/>
      <c r="V533" s="1932"/>
      <c r="W533" s="1885">
        <f t="shared" si="210"/>
        <v>0</v>
      </c>
      <c r="X533" s="1891">
        <f t="shared" si="211"/>
        <v>0</v>
      </c>
      <c r="Y533" s="1891">
        <f t="shared" si="212"/>
        <v>0</v>
      </c>
      <c r="Z533" s="50"/>
      <c r="AA533" s="50"/>
      <c r="AB533" s="48"/>
      <c r="AC533" s="48"/>
      <c r="AD533" s="48"/>
      <c r="AE533" s="45"/>
      <c r="AF533" s="51"/>
      <c r="AG533" s="42"/>
      <c r="AH533" s="52" t="s">
        <v>5211</v>
      </c>
      <c r="AI533" s="197"/>
      <c r="AJ533" s="2578"/>
      <c r="AK533" s="251"/>
      <c r="AL533" s="2578"/>
      <c r="AM533" s="2562"/>
      <c r="AN533" s="2562"/>
      <c r="AO533" s="2562"/>
      <c r="AP533" s="2562"/>
      <c r="AQ533" s="2562"/>
      <c r="AR533" s="2562"/>
      <c r="AS533" s="2562"/>
      <c r="AT533" s="252">
        <f t="shared" si="213"/>
        <v>1</v>
      </c>
      <c r="AU533" s="252">
        <f t="shared" si="214"/>
        <v>1</v>
      </c>
      <c r="AV533" s="252">
        <f t="shared" si="215"/>
        <v>1</v>
      </c>
      <c r="AW533" s="252">
        <f t="shared" si="216"/>
        <v>1</v>
      </c>
      <c r="AX533" s="252">
        <f t="shared" si="217"/>
        <v>1</v>
      </c>
      <c r="AY533" s="252">
        <f t="shared" si="218"/>
        <v>1</v>
      </c>
      <c r="AZ533" s="252">
        <f t="shared" si="219"/>
        <v>1</v>
      </c>
      <c r="BA533" s="237"/>
      <c r="BB533" s="237"/>
      <c r="BC533" s="252">
        <f t="shared" si="220"/>
        <v>1</v>
      </c>
      <c r="BD533" s="237"/>
      <c r="BE533" s="237"/>
      <c r="BF533" s="237"/>
      <c r="BG533" s="237"/>
      <c r="BH533" s="237"/>
      <c r="BI533" s="237"/>
      <c r="BJ533" s="252">
        <f t="shared" si="221"/>
        <v>1</v>
      </c>
      <c r="BK533" s="252">
        <f t="shared" si="222"/>
        <v>1</v>
      </c>
      <c r="BL533" s="252">
        <f t="shared" si="223"/>
        <v>1</v>
      </c>
      <c r="BM533" s="252">
        <f t="shared" si="224"/>
        <v>1</v>
      </c>
      <c r="BN533" s="252">
        <f t="shared" si="225"/>
        <v>1</v>
      </c>
      <c r="BO533" s="252">
        <f t="shared" si="226"/>
        <v>1</v>
      </c>
      <c r="BP533" s="2578"/>
      <c r="BQ533" s="2562"/>
      <c r="BR533" s="2562"/>
      <c r="BS533" s="2585"/>
      <c r="BT533" s="2585"/>
      <c r="BU533" s="2585"/>
    </row>
    <row r="534" spans="1:73" s="22" customFormat="1" ht="15.75" hidden="1" customHeight="1" outlineLevel="1">
      <c r="A534" s="2585"/>
      <c r="B534" s="44"/>
      <c r="C534" s="45"/>
      <c r="D534" s="46"/>
      <c r="E534" s="46"/>
      <c r="F534" s="45"/>
      <c r="G534" s="46"/>
      <c r="H534" s="45"/>
      <c r="I534" s="45"/>
      <c r="J534" s="47"/>
      <c r="K534" s="48"/>
      <c r="L534" s="47"/>
      <c r="M534" s="1913"/>
      <c r="N534" s="48"/>
      <c r="O534" s="49"/>
      <c r="P534" s="49"/>
      <c r="Q534" s="1884">
        <f t="shared" ref="Q534:Q597" si="227">IFERROR(M534*O534,"")</f>
        <v>0</v>
      </c>
      <c r="R534" s="1932"/>
      <c r="S534" s="50"/>
      <c r="T534" s="1932"/>
      <c r="U534" s="1932"/>
      <c r="V534" s="1932"/>
      <c r="W534" s="1885">
        <f t="shared" si="210"/>
        <v>0</v>
      </c>
      <c r="X534" s="1891">
        <f t="shared" si="211"/>
        <v>0</v>
      </c>
      <c r="Y534" s="1891">
        <f t="shared" si="212"/>
        <v>0</v>
      </c>
      <c r="Z534" s="50"/>
      <c r="AA534" s="50"/>
      <c r="AB534" s="48"/>
      <c r="AC534" s="48"/>
      <c r="AD534" s="48"/>
      <c r="AE534" s="45"/>
      <c r="AF534" s="51"/>
      <c r="AG534" s="42"/>
      <c r="AH534" s="52" t="s">
        <v>5212</v>
      </c>
      <c r="AI534" s="197"/>
      <c r="AJ534" s="2578"/>
      <c r="AK534" s="251"/>
      <c r="AL534" s="2578"/>
      <c r="AM534" s="2562"/>
      <c r="AN534" s="2562"/>
      <c r="AO534" s="2562"/>
      <c r="AP534" s="2562"/>
      <c r="AQ534" s="2562"/>
      <c r="AR534" s="2562"/>
      <c r="AS534" s="2562"/>
      <c r="AT534" s="252">
        <f t="shared" si="213"/>
        <v>1</v>
      </c>
      <c r="AU534" s="252">
        <f t="shared" si="214"/>
        <v>1</v>
      </c>
      <c r="AV534" s="252">
        <f t="shared" si="215"/>
        <v>1</v>
      </c>
      <c r="AW534" s="252">
        <f t="shared" si="216"/>
        <v>1</v>
      </c>
      <c r="AX534" s="252">
        <f t="shared" si="217"/>
        <v>1</v>
      </c>
      <c r="AY534" s="252">
        <f t="shared" si="218"/>
        <v>1</v>
      </c>
      <c r="AZ534" s="252">
        <f t="shared" si="219"/>
        <v>1</v>
      </c>
      <c r="BA534" s="237"/>
      <c r="BB534" s="237"/>
      <c r="BC534" s="252">
        <f t="shared" si="220"/>
        <v>1</v>
      </c>
      <c r="BD534" s="237"/>
      <c r="BE534" s="237"/>
      <c r="BF534" s="237"/>
      <c r="BG534" s="237"/>
      <c r="BH534" s="237"/>
      <c r="BI534" s="237"/>
      <c r="BJ534" s="252">
        <f t="shared" si="221"/>
        <v>1</v>
      </c>
      <c r="BK534" s="252">
        <f t="shared" si="222"/>
        <v>1</v>
      </c>
      <c r="BL534" s="252">
        <f t="shared" si="223"/>
        <v>1</v>
      </c>
      <c r="BM534" s="252">
        <f t="shared" si="224"/>
        <v>1</v>
      </c>
      <c r="BN534" s="252">
        <f t="shared" si="225"/>
        <v>1</v>
      </c>
      <c r="BO534" s="252">
        <f t="shared" si="226"/>
        <v>1</v>
      </c>
      <c r="BP534" s="2578"/>
      <c r="BQ534" s="2562"/>
      <c r="BR534" s="2562"/>
      <c r="BS534" s="2585"/>
      <c r="BT534" s="2585"/>
      <c r="BU534" s="2585"/>
    </row>
    <row r="535" spans="1:73" s="22" customFormat="1" ht="15.75" hidden="1" customHeight="1" outlineLevel="1">
      <c r="A535" s="2585"/>
      <c r="B535" s="44"/>
      <c r="C535" s="45"/>
      <c r="D535" s="46"/>
      <c r="E535" s="46"/>
      <c r="F535" s="45"/>
      <c r="G535" s="46"/>
      <c r="H535" s="45"/>
      <c r="I535" s="45"/>
      <c r="J535" s="47"/>
      <c r="K535" s="48"/>
      <c r="L535" s="47"/>
      <c r="M535" s="1913"/>
      <c r="N535" s="48"/>
      <c r="O535" s="49"/>
      <c r="P535" s="49"/>
      <c r="Q535" s="1884">
        <f t="shared" si="227"/>
        <v>0</v>
      </c>
      <c r="R535" s="1932"/>
      <c r="S535" s="50"/>
      <c r="T535" s="1932"/>
      <c r="U535" s="1932"/>
      <c r="V535" s="1932"/>
      <c r="W535" s="1885">
        <f t="shared" si="210"/>
        <v>0</v>
      </c>
      <c r="X535" s="1891">
        <f t="shared" si="211"/>
        <v>0</v>
      </c>
      <c r="Y535" s="1891">
        <f t="shared" si="212"/>
        <v>0</v>
      </c>
      <c r="Z535" s="50"/>
      <c r="AA535" s="50"/>
      <c r="AB535" s="48"/>
      <c r="AC535" s="48"/>
      <c r="AD535" s="48"/>
      <c r="AE535" s="45"/>
      <c r="AF535" s="51"/>
      <c r="AG535" s="42"/>
      <c r="AH535" s="52" t="s">
        <v>5213</v>
      </c>
      <c r="AI535" s="197"/>
      <c r="AJ535" s="2578"/>
      <c r="AK535" s="251"/>
      <c r="AL535" s="2578"/>
      <c r="AM535" s="2562"/>
      <c r="AN535" s="2562"/>
      <c r="AO535" s="2562"/>
      <c r="AP535" s="2562"/>
      <c r="AQ535" s="2562"/>
      <c r="AR535" s="2562"/>
      <c r="AS535" s="2562"/>
      <c r="AT535" s="252">
        <f t="shared" si="213"/>
        <v>1</v>
      </c>
      <c r="AU535" s="252">
        <f t="shared" si="214"/>
        <v>1</v>
      </c>
      <c r="AV535" s="252">
        <f t="shared" si="215"/>
        <v>1</v>
      </c>
      <c r="AW535" s="252">
        <f t="shared" si="216"/>
        <v>1</v>
      </c>
      <c r="AX535" s="252">
        <f t="shared" si="217"/>
        <v>1</v>
      </c>
      <c r="AY535" s="252">
        <f t="shared" si="218"/>
        <v>1</v>
      </c>
      <c r="AZ535" s="252">
        <f t="shared" si="219"/>
        <v>1</v>
      </c>
      <c r="BA535" s="237"/>
      <c r="BB535" s="237"/>
      <c r="BC535" s="252">
        <f t="shared" si="220"/>
        <v>1</v>
      </c>
      <c r="BD535" s="237"/>
      <c r="BE535" s="237"/>
      <c r="BF535" s="237"/>
      <c r="BG535" s="237"/>
      <c r="BH535" s="237"/>
      <c r="BI535" s="237"/>
      <c r="BJ535" s="252">
        <f t="shared" si="221"/>
        <v>1</v>
      </c>
      <c r="BK535" s="252">
        <f t="shared" si="222"/>
        <v>1</v>
      </c>
      <c r="BL535" s="252">
        <f t="shared" si="223"/>
        <v>1</v>
      </c>
      <c r="BM535" s="252">
        <f t="shared" si="224"/>
        <v>1</v>
      </c>
      <c r="BN535" s="252">
        <f t="shared" si="225"/>
        <v>1</v>
      </c>
      <c r="BO535" s="252">
        <f t="shared" si="226"/>
        <v>1</v>
      </c>
      <c r="BP535" s="2578"/>
      <c r="BQ535" s="2562"/>
      <c r="BR535" s="2562"/>
      <c r="BS535" s="2585"/>
      <c r="BT535" s="2585"/>
      <c r="BU535" s="2585"/>
    </row>
    <row r="536" spans="1:73" s="22" customFormat="1" ht="15.75" hidden="1" customHeight="1" outlineLevel="1">
      <c r="A536" s="2585"/>
      <c r="B536" s="44"/>
      <c r="C536" s="45"/>
      <c r="D536" s="46"/>
      <c r="E536" s="46"/>
      <c r="F536" s="45"/>
      <c r="G536" s="46"/>
      <c r="H536" s="45"/>
      <c r="I536" s="45"/>
      <c r="J536" s="47"/>
      <c r="K536" s="48"/>
      <c r="L536" s="47"/>
      <c r="M536" s="1913"/>
      <c r="N536" s="48"/>
      <c r="O536" s="49"/>
      <c r="P536" s="49"/>
      <c r="Q536" s="1884">
        <f t="shared" si="227"/>
        <v>0</v>
      </c>
      <c r="R536" s="1932"/>
      <c r="S536" s="50"/>
      <c r="T536" s="1932"/>
      <c r="U536" s="1932"/>
      <c r="V536" s="1932"/>
      <c r="W536" s="1885">
        <f t="shared" si="210"/>
        <v>0</v>
      </c>
      <c r="X536" s="1891">
        <f t="shared" si="211"/>
        <v>0</v>
      </c>
      <c r="Y536" s="1891">
        <f t="shared" si="212"/>
        <v>0</v>
      </c>
      <c r="Z536" s="50"/>
      <c r="AA536" s="50"/>
      <c r="AB536" s="48"/>
      <c r="AC536" s="48"/>
      <c r="AD536" s="48"/>
      <c r="AE536" s="45"/>
      <c r="AF536" s="51"/>
      <c r="AG536" s="42"/>
      <c r="AH536" s="52" t="s">
        <v>5214</v>
      </c>
      <c r="AI536" s="197"/>
      <c r="AJ536" s="2578"/>
      <c r="AK536" s="251"/>
      <c r="AL536" s="2578"/>
      <c r="AM536" s="2562"/>
      <c r="AN536" s="2562"/>
      <c r="AO536" s="2562"/>
      <c r="AP536" s="2562"/>
      <c r="AQ536" s="2562"/>
      <c r="AR536" s="2562"/>
      <c r="AS536" s="2562"/>
      <c r="AT536" s="252">
        <f t="shared" si="213"/>
        <v>1</v>
      </c>
      <c r="AU536" s="252">
        <f t="shared" si="214"/>
        <v>1</v>
      </c>
      <c r="AV536" s="252">
        <f t="shared" si="215"/>
        <v>1</v>
      </c>
      <c r="AW536" s="252">
        <f t="shared" si="216"/>
        <v>1</v>
      </c>
      <c r="AX536" s="252">
        <f t="shared" si="217"/>
        <v>1</v>
      </c>
      <c r="AY536" s="252">
        <f t="shared" si="218"/>
        <v>1</v>
      </c>
      <c r="AZ536" s="252">
        <f t="shared" si="219"/>
        <v>1</v>
      </c>
      <c r="BA536" s="237"/>
      <c r="BB536" s="237"/>
      <c r="BC536" s="252">
        <f t="shared" si="220"/>
        <v>1</v>
      </c>
      <c r="BD536" s="237"/>
      <c r="BE536" s="237"/>
      <c r="BF536" s="237"/>
      <c r="BG536" s="237"/>
      <c r="BH536" s="237"/>
      <c r="BI536" s="237"/>
      <c r="BJ536" s="252">
        <f t="shared" si="221"/>
        <v>1</v>
      </c>
      <c r="BK536" s="252">
        <f t="shared" si="222"/>
        <v>1</v>
      </c>
      <c r="BL536" s="252">
        <f t="shared" si="223"/>
        <v>1</v>
      </c>
      <c r="BM536" s="252">
        <f t="shared" si="224"/>
        <v>1</v>
      </c>
      <c r="BN536" s="252">
        <f t="shared" si="225"/>
        <v>1</v>
      </c>
      <c r="BO536" s="252">
        <f t="shared" si="226"/>
        <v>1</v>
      </c>
      <c r="BP536" s="2578"/>
      <c r="BQ536" s="2562"/>
      <c r="BR536" s="2562"/>
      <c r="BS536" s="2585"/>
      <c r="BT536" s="2585"/>
      <c r="BU536" s="2585"/>
    </row>
    <row r="537" spans="1:73" s="22" customFormat="1" ht="15.75" hidden="1" customHeight="1" outlineLevel="1">
      <c r="A537" s="2585"/>
      <c r="B537" s="44"/>
      <c r="C537" s="45"/>
      <c r="D537" s="46"/>
      <c r="E537" s="46"/>
      <c r="F537" s="45"/>
      <c r="G537" s="46"/>
      <c r="H537" s="45"/>
      <c r="I537" s="45"/>
      <c r="J537" s="47"/>
      <c r="K537" s="48"/>
      <c r="L537" s="47"/>
      <c r="M537" s="1913"/>
      <c r="N537" s="48"/>
      <c r="O537" s="49"/>
      <c r="P537" s="49"/>
      <c r="Q537" s="1884">
        <f t="shared" si="227"/>
        <v>0</v>
      </c>
      <c r="R537" s="1932"/>
      <c r="S537" s="50"/>
      <c r="T537" s="1932"/>
      <c r="U537" s="1932"/>
      <c r="V537" s="1932"/>
      <c r="W537" s="1885">
        <f t="shared" si="210"/>
        <v>0</v>
      </c>
      <c r="X537" s="1891">
        <f t="shared" si="211"/>
        <v>0</v>
      </c>
      <c r="Y537" s="1891">
        <f t="shared" si="212"/>
        <v>0</v>
      </c>
      <c r="Z537" s="50"/>
      <c r="AA537" s="50"/>
      <c r="AB537" s="48"/>
      <c r="AC537" s="48"/>
      <c r="AD537" s="48"/>
      <c r="AE537" s="45"/>
      <c r="AF537" s="51"/>
      <c r="AG537" s="42"/>
      <c r="AH537" s="52" t="s">
        <v>5215</v>
      </c>
      <c r="AI537" s="197"/>
      <c r="AJ537" s="2578"/>
      <c r="AK537" s="251"/>
      <c r="AL537" s="2578"/>
      <c r="AM537" s="2562"/>
      <c r="AN537" s="2562"/>
      <c r="AO537" s="2562"/>
      <c r="AP537" s="2562"/>
      <c r="AQ537" s="2562"/>
      <c r="AR537" s="2562"/>
      <c r="AS537" s="2562"/>
      <c r="AT537" s="252">
        <f t="shared" si="213"/>
        <v>1</v>
      </c>
      <c r="AU537" s="252">
        <f t="shared" si="214"/>
        <v>1</v>
      </c>
      <c r="AV537" s="252">
        <f t="shared" si="215"/>
        <v>1</v>
      </c>
      <c r="AW537" s="252">
        <f t="shared" si="216"/>
        <v>1</v>
      </c>
      <c r="AX537" s="252">
        <f t="shared" si="217"/>
        <v>1</v>
      </c>
      <c r="AY537" s="252">
        <f t="shared" si="218"/>
        <v>1</v>
      </c>
      <c r="AZ537" s="252">
        <f t="shared" si="219"/>
        <v>1</v>
      </c>
      <c r="BA537" s="237"/>
      <c r="BB537" s="237"/>
      <c r="BC537" s="252">
        <f t="shared" si="220"/>
        <v>1</v>
      </c>
      <c r="BD537" s="237"/>
      <c r="BE537" s="237"/>
      <c r="BF537" s="237"/>
      <c r="BG537" s="237"/>
      <c r="BH537" s="237"/>
      <c r="BI537" s="237"/>
      <c r="BJ537" s="252">
        <f t="shared" si="221"/>
        <v>1</v>
      </c>
      <c r="BK537" s="252">
        <f t="shared" si="222"/>
        <v>1</v>
      </c>
      <c r="BL537" s="252">
        <f t="shared" si="223"/>
        <v>1</v>
      </c>
      <c r="BM537" s="252">
        <f t="shared" si="224"/>
        <v>1</v>
      </c>
      <c r="BN537" s="252">
        <f t="shared" si="225"/>
        <v>1</v>
      </c>
      <c r="BO537" s="252">
        <f t="shared" si="226"/>
        <v>1</v>
      </c>
      <c r="BP537" s="2578"/>
      <c r="BQ537" s="2562"/>
      <c r="BR537" s="2562"/>
      <c r="BS537" s="2585"/>
      <c r="BT537" s="2585"/>
      <c r="BU537" s="2585"/>
    </row>
    <row r="538" spans="1:73" s="22" customFormat="1" ht="15.75" hidden="1" customHeight="1" outlineLevel="1">
      <c r="A538" s="2585"/>
      <c r="B538" s="44"/>
      <c r="C538" s="45"/>
      <c r="D538" s="46"/>
      <c r="E538" s="46"/>
      <c r="F538" s="45"/>
      <c r="G538" s="46"/>
      <c r="H538" s="45"/>
      <c r="I538" s="45"/>
      <c r="J538" s="47"/>
      <c r="K538" s="48"/>
      <c r="L538" s="47"/>
      <c r="M538" s="1913"/>
      <c r="N538" s="48"/>
      <c r="O538" s="49"/>
      <c r="P538" s="49"/>
      <c r="Q538" s="1884">
        <f t="shared" si="227"/>
        <v>0</v>
      </c>
      <c r="R538" s="1932"/>
      <c r="S538" s="50"/>
      <c r="T538" s="1932"/>
      <c r="U538" s="1932"/>
      <c r="V538" s="1932"/>
      <c r="W538" s="1885">
        <f t="shared" si="210"/>
        <v>0</v>
      </c>
      <c r="X538" s="1891">
        <f t="shared" si="211"/>
        <v>0</v>
      </c>
      <c r="Y538" s="1891">
        <f t="shared" si="212"/>
        <v>0</v>
      </c>
      <c r="Z538" s="50"/>
      <c r="AA538" s="50"/>
      <c r="AB538" s="48"/>
      <c r="AC538" s="48"/>
      <c r="AD538" s="48"/>
      <c r="AE538" s="45"/>
      <c r="AF538" s="51"/>
      <c r="AG538" s="42"/>
      <c r="AH538" s="52" t="s">
        <v>5216</v>
      </c>
      <c r="AI538" s="197"/>
      <c r="AJ538" s="2578"/>
      <c r="AK538" s="251"/>
      <c r="AL538" s="2578"/>
      <c r="AM538" s="2562"/>
      <c r="AN538" s="2562"/>
      <c r="AO538" s="2562"/>
      <c r="AP538" s="2562"/>
      <c r="AQ538" s="2562"/>
      <c r="AR538" s="2562"/>
      <c r="AS538" s="2562"/>
      <c r="AT538" s="252">
        <f t="shared" si="213"/>
        <v>1</v>
      </c>
      <c r="AU538" s="252">
        <f t="shared" si="214"/>
        <v>1</v>
      </c>
      <c r="AV538" s="252">
        <f t="shared" si="215"/>
        <v>1</v>
      </c>
      <c r="AW538" s="252">
        <f t="shared" si="216"/>
        <v>1</v>
      </c>
      <c r="AX538" s="252">
        <f t="shared" si="217"/>
        <v>1</v>
      </c>
      <c r="AY538" s="252">
        <f t="shared" si="218"/>
        <v>1</v>
      </c>
      <c r="AZ538" s="252">
        <f t="shared" si="219"/>
        <v>1</v>
      </c>
      <c r="BA538" s="237"/>
      <c r="BB538" s="237"/>
      <c r="BC538" s="252">
        <f t="shared" si="220"/>
        <v>1</v>
      </c>
      <c r="BD538" s="237"/>
      <c r="BE538" s="237"/>
      <c r="BF538" s="237"/>
      <c r="BG538" s="237"/>
      <c r="BH538" s="237"/>
      <c r="BI538" s="237"/>
      <c r="BJ538" s="252">
        <f t="shared" si="221"/>
        <v>1</v>
      </c>
      <c r="BK538" s="252">
        <f t="shared" si="222"/>
        <v>1</v>
      </c>
      <c r="BL538" s="252">
        <f t="shared" si="223"/>
        <v>1</v>
      </c>
      <c r="BM538" s="252">
        <f t="shared" si="224"/>
        <v>1</v>
      </c>
      <c r="BN538" s="252">
        <f t="shared" si="225"/>
        <v>1</v>
      </c>
      <c r="BO538" s="252">
        <f t="shared" si="226"/>
        <v>1</v>
      </c>
      <c r="BP538" s="2578"/>
      <c r="BQ538" s="2562"/>
      <c r="BR538" s="2562"/>
      <c r="BS538" s="2585"/>
      <c r="BT538" s="2585"/>
      <c r="BU538" s="2585"/>
    </row>
    <row r="539" spans="1:73" s="22" customFormat="1" ht="15.75" hidden="1" customHeight="1" outlineLevel="1">
      <c r="A539" s="2585"/>
      <c r="B539" s="44"/>
      <c r="C539" s="45"/>
      <c r="D539" s="46"/>
      <c r="E539" s="46"/>
      <c r="F539" s="45"/>
      <c r="G539" s="46"/>
      <c r="H539" s="45"/>
      <c r="I539" s="45"/>
      <c r="J539" s="47"/>
      <c r="K539" s="48"/>
      <c r="L539" s="47"/>
      <c r="M539" s="1913"/>
      <c r="N539" s="48"/>
      <c r="O539" s="49"/>
      <c r="P539" s="49"/>
      <c r="Q539" s="1884">
        <f t="shared" si="227"/>
        <v>0</v>
      </c>
      <c r="R539" s="1932"/>
      <c r="S539" s="50"/>
      <c r="T539" s="1932"/>
      <c r="U539" s="1932"/>
      <c r="V539" s="1932"/>
      <c r="W539" s="1885">
        <f t="shared" si="210"/>
        <v>0</v>
      </c>
      <c r="X539" s="1891">
        <f t="shared" si="211"/>
        <v>0</v>
      </c>
      <c r="Y539" s="1891">
        <f t="shared" si="212"/>
        <v>0</v>
      </c>
      <c r="Z539" s="50"/>
      <c r="AA539" s="50"/>
      <c r="AB539" s="48"/>
      <c r="AC539" s="48"/>
      <c r="AD539" s="48"/>
      <c r="AE539" s="45"/>
      <c r="AF539" s="51"/>
      <c r="AG539" s="42"/>
      <c r="AH539" s="52" t="s">
        <v>5217</v>
      </c>
      <c r="AI539" s="197"/>
      <c r="AJ539" s="2578"/>
      <c r="AK539" s="251"/>
      <c r="AL539" s="2578"/>
      <c r="AM539" s="2562"/>
      <c r="AN539" s="2562"/>
      <c r="AO539" s="2562"/>
      <c r="AP539" s="2562"/>
      <c r="AQ539" s="2562"/>
      <c r="AR539" s="2562"/>
      <c r="AS539" s="2562"/>
      <c r="AT539" s="252">
        <f t="shared" si="213"/>
        <v>1</v>
      </c>
      <c r="AU539" s="252">
        <f t="shared" si="214"/>
        <v>1</v>
      </c>
      <c r="AV539" s="252">
        <f t="shared" si="215"/>
        <v>1</v>
      </c>
      <c r="AW539" s="252">
        <f t="shared" si="216"/>
        <v>1</v>
      </c>
      <c r="AX539" s="252">
        <f t="shared" si="217"/>
        <v>1</v>
      </c>
      <c r="AY539" s="252">
        <f t="shared" si="218"/>
        <v>1</v>
      </c>
      <c r="AZ539" s="252">
        <f t="shared" si="219"/>
        <v>1</v>
      </c>
      <c r="BA539" s="237"/>
      <c r="BB539" s="237"/>
      <c r="BC539" s="252">
        <f t="shared" si="220"/>
        <v>1</v>
      </c>
      <c r="BD539" s="237"/>
      <c r="BE539" s="237"/>
      <c r="BF539" s="237"/>
      <c r="BG539" s="237"/>
      <c r="BH539" s="237"/>
      <c r="BI539" s="237"/>
      <c r="BJ539" s="252">
        <f t="shared" si="221"/>
        <v>1</v>
      </c>
      <c r="BK539" s="252">
        <f t="shared" si="222"/>
        <v>1</v>
      </c>
      <c r="BL539" s="252">
        <f t="shared" si="223"/>
        <v>1</v>
      </c>
      <c r="BM539" s="252">
        <f t="shared" si="224"/>
        <v>1</v>
      </c>
      <c r="BN539" s="252">
        <f t="shared" si="225"/>
        <v>1</v>
      </c>
      <c r="BO539" s="252">
        <f t="shared" si="226"/>
        <v>1</v>
      </c>
      <c r="BP539" s="2578"/>
      <c r="BQ539" s="2562"/>
      <c r="BR539" s="2562"/>
      <c r="BS539" s="2585"/>
      <c r="BT539" s="2585"/>
      <c r="BU539" s="2585"/>
    </row>
    <row r="540" spans="1:73" s="22" customFormat="1" ht="15.75" hidden="1" customHeight="1" outlineLevel="1">
      <c r="A540" s="2585"/>
      <c r="B540" s="44"/>
      <c r="C540" s="45"/>
      <c r="D540" s="46"/>
      <c r="E540" s="46"/>
      <c r="F540" s="45"/>
      <c r="G540" s="46"/>
      <c r="H540" s="45"/>
      <c r="I540" s="45"/>
      <c r="J540" s="47"/>
      <c r="K540" s="48"/>
      <c r="L540" s="47"/>
      <c r="M540" s="1913"/>
      <c r="N540" s="48"/>
      <c r="O540" s="49"/>
      <c r="P540" s="49"/>
      <c r="Q540" s="1884">
        <f t="shared" si="227"/>
        <v>0</v>
      </c>
      <c r="R540" s="1932"/>
      <c r="S540" s="50"/>
      <c r="T540" s="1932"/>
      <c r="U540" s="1932"/>
      <c r="V540" s="1932"/>
      <c r="W540" s="1885">
        <f t="shared" si="210"/>
        <v>0</v>
      </c>
      <c r="X540" s="1891">
        <f t="shared" si="211"/>
        <v>0</v>
      </c>
      <c r="Y540" s="1891">
        <f t="shared" si="212"/>
        <v>0</v>
      </c>
      <c r="Z540" s="50"/>
      <c r="AA540" s="50"/>
      <c r="AB540" s="48"/>
      <c r="AC540" s="48"/>
      <c r="AD540" s="48"/>
      <c r="AE540" s="45"/>
      <c r="AF540" s="51"/>
      <c r="AG540" s="42"/>
      <c r="AH540" s="52" t="s">
        <v>5218</v>
      </c>
      <c r="AI540" s="197"/>
      <c r="AJ540" s="2578"/>
      <c r="AK540" s="251"/>
      <c r="AL540" s="2578"/>
      <c r="AM540" s="2562"/>
      <c r="AN540" s="2562"/>
      <c r="AO540" s="2562"/>
      <c r="AP540" s="2562"/>
      <c r="AQ540" s="2562"/>
      <c r="AR540" s="2562"/>
      <c r="AS540" s="2562"/>
      <c r="AT540" s="252">
        <f t="shared" si="213"/>
        <v>1</v>
      </c>
      <c r="AU540" s="252">
        <f t="shared" si="214"/>
        <v>1</v>
      </c>
      <c r="AV540" s="252">
        <f t="shared" si="215"/>
        <v>1</v>
      </c>
      <c r="AW540" s="252">
        <f t="shared" si="216"/>
        <v>1</v>
      </c>
      <c r="AX540" s="252">
        <f t="shared" si="217"/>
        <v>1</v>
      </c>
      <c r="AY540" s="252">
        <f t="shared" si="218"/>
        <v>1</v>
      </c>
      <c r="AZ540" s="252">
        <f t="shared" si="219"/>
        <v>1</v>
      </c>
      <c r="BA540" s="237"/>
      <c r="BB540" s="237"/>
      <c r="BC540" s="252">
        <f t="shared" si="220"/>
        <v>1</v>
      </c>
      <c r="BD540" s="237"/>
      <c r="BE540" s="237"/>
      <c r="BF540" s="237"/>
      <c r="BG540" s="237"/>
      <c r="BH540" s="237"/>
      <c r="BI540" s="237"/>
      <c r="BJ540" s="252">
        <f t="shared" si="221"/>
        <v>1</v>
      </c>
      <c r="BK540" s="252">
        <f t="shared" si="222"/>
        <v>1</v>
      </c>
      <c r="BL540" s="252">
        <f t="shared" si="223"/>
        <v>1</v>
      </c>
      <c r="BM540" s="252">
        <f t="shared" si="224"/>
        <v>1</v>
      </c>
      <c r="BN540" s="252">
        <f t="shared" si="225"/>
        <v>1</v>
      </c>
      <c r="BO540" s="252">
        <f t="shared" si="226"/>
        <v>1</v>
      </c>
      <c r="BP540" s="2578"/>
      <c r="BQ540" s="2562"/>
      <c r="BR540" s="2562"/>
      <c r="BS540" s="2585"/>
      <c r="BT540" s="2585"/>
      <c r="BU540" s="2585"/>
    </row>
    <row r="541" spans="1:73" s="22" customFormat="1" ht="15.75" hidden="1" customHeight="1" outlineLevel="1">
      <c r="A541" s="2585"/>
      <c r="B541" s="44"/>
      <c r="C541" s="45"/>
      <c r="D541" s="46"/>
      <c r="E541" s="46"/>
      <c r="F541" s="45"/>
      <c r="G541" s="46"/>
      <c r="H541" s="45"/>
      <c r="I541" s="45"/>
      <c r="J541" s="47"/>
      <c r="K541" s="48"/>
      <c r="L541" s="47"/>
      <c r="M541" s="1913"/>
      <c r="N541" s="48"/>
      <c r="O541" s="49"/>
      <c r="P541" s="49"/>
      <c r="Q541" s="1884">
        <f t="shared" si="227"/>
        <v>0</v>
      </c>
      <c r="R541" s="1932"/>
      <c r="S541" s="50"/>
      <c r="T541" s="1932"/>
      <c r="U541" s="1932"/>
      <c r="V541" s="1932"/>
      <c r="W541" s="1885">
        <f t="shared" si="210"/>
        <v>0</v>
      </c>
      <c r="X541" s="1891">
        <f t="shared" si="211"/>
        <v>0</v>
      </c>
      <c r="Y541" s="1891">
        <f t="shared" si="212"/>
        <v>0</v>
      </c>
      <c r="Z541" s="50"/>
      <c r="AA541" s="50"/>
      <c r="AB541" s="48"/>
      <c r="AC541" s="48"/>
      <c r="AD541" s="48"/>
      <c r="AE541" s="45"/>
      <c r="AF541" s="51"/>
      <c r="AG541" s="42"/>
      <c r="AH541" s="52" t="s">
        <v>5219</v>
      </c>
      <c r="AI541" s="197"/>
      <c r="AJ541" s="2578"/>
      <c r="AK541" s="251"/>
      <c r="AL541" s="2578"/>
      <c r="AM541" s="2562"/>
      <c r="AN541" s="2562"/>
      <c r="AO541" s="2562"/>
      <c r="AP541" s="2562"/>
      <c r="AQ541" s="2562"/>
      <c r="AR541" s="2562"/>
      <c r="AS541" s="2562"/>
      <c r="AT541" s="252">
        <f t="shared" si="213"/>
        <v>1</v>
      </c>
      <c r="AU541" s="252">
        <f t="shared" si="214"/>
        <v>1</v>
      </c>
      <c r="AV541" s="252">
        <f t="shared" si="215"/>
        <v>1</v>
      </c>
      <c r="AW541" s="252">
        <f t="shared" si="216"/>
        <v>1</v>
      </c>
      <c r="AX541" s="252">
        <f t="shared" si="217"/>
        <v>1</v>
      </c>
      <c r="AY541" s="252">
        <f t="shared" si="218"/>
        <v>1</v>
      </c>
      <c r="AZ541" s="252">
        <f t="shared" si="219"/>
        <v>1</v>
      </c>
      <c r="BA541" s="237"/>
      <c r="BB541" s="237"/>
      <c r="BC541" s="252">
        <f t="shared" si="220"/>
        <v>1</v>
      </c>
      <c r="BD541" s="237"/>
      <c r="BE541" s="237"/>
      <c r="BF541" s="237"/>
      <c r="BG541" s="237"/>
      <c r="BH541" s="237"/>
      <c r="BI541" s="237"/>
      <c r="BJ541" s="252">
        <f t="shared" si="221"/>
        <v>1</v>
      </c>
      <c r="BK541" s="252">
        <f t="shared" si="222"/>
        <v>1</v>
      </c>
      <c r="BL541" s="252">
        <f t="shared" si="223"/>
        <v>1</v>
      </c>
      <c r="BM541" s="252">
        <f t="shared" si="224"/>
        <v>1</v>
      </c>
      <c r="BN541" s="252">
        <f t="shared" si="225"/>
        <v>1</v>
      </c>
      <c r="BO541" s="252">
        <f t="shared" si="226"/>
        <v>1</v>
      </c>
      <c r="BP541" s="2578"/>
      <c r="BQ541" s="2562"/>
      <c r="BR541" s="2562"/>
      <c r="BS541" s="2585"/>
      <c r="BT541" s="2585"/>
      <c r="BU541" s="2585"/>
    </row>
    <row r="542" spans="1:73" s="22" customFormat="1" ht="15.75" hidden="1" customHeight="1" outlineLevel="1">
      <c r="A542" s="2585"/>
      <c r="B542" s="44"/>
      <c r="C542" s="45"/>
      <c r="D542" s="46"/>
      <c r="E542" s="46"/>
      <c r="F542" s="45"/>
      <c r="G542" s="46"/>
      <c r="H542" s="45"/>
      <c r="I542" s="45"/>
      <c r="J542" s="47"/>
      <c r="K542" s="48"/>
      <c r="L542" s="47"/>
      <c r="M542" s="1913"/>
      <c r="N542" s="48"/>
      <c r="O542" s="49"/>
      <c r="P542" s="49"/>
      <c r="Q542" s="1884">
        <f t="shared" si="227"/>
        <v>0</v>
      </c>
      <c r="R542" s="1932"/>
      <c r="S542" s="50"/>
      <c r="T542" s="1932"/>
      <c r="U542" s="1932"/>
      <c r="V542" s="1932"/>
      <c r="W542" s="1885">
        <f t="shared" si="210"/>
        <v>0</v>
      </c>
      <c r="X542" s="1891">
        <f t="shared" si="211"/>
        <v>0</v>
      </c>
      <c r="Y542" s="1891">
        <f t="shared" si="212"/>
        <v>0</v>
      </c>
      <c r="Z542" s="50"/>
      <c r="AA542" s="50"/>
      <c r="AB542" s="48"/>
      <c r="AC542" s="48"/>
      <c r="AD542" s="48"/>
      <c r="AE542" s="45"/>
      <c r="AF542" s="51"/>
      <c r="AG542" s="42"/>
      <c r="AH542" s="52" t="s">
        <v>5220</v>
      </c>
      <c r="AI542" s="197"/>
      <c r="AJ542" s="2578"/>
      <c r="AK542" s="251"/>
      <c r="AL542" s="2578"/>
      <c r="AM542" s="2562"/>
      <c r="AN542" s="2562"/>
      <c r="AO542" s="2562"/>
      <c r="AP542" s="2562"/>
      <c r="AQ542" s="2562"/>
      <c r="AR542" s="2562"/>
      <c r="AS542" s="2562"/>
      <c r="AT542" s="252">
        <f t="shared" si="213"/>
        <v>1</v>
      </c>
      <c r="AU542" s="252">
        <f t="shared" si="214"/>
        <v>1</v>
      </c>
      <c r="AV542" s="252">
        <f t="shared" si="215"/>
        <v>1</v>
      </c>
      <c r="AW542" s="252">
        <f t="shared" si="216"/>
        <v>1</v>
      </c>
      <c r="AX542" s="252">
        <f t="shared" si="217"/>
        <v>1</v>
      </c>
      <c r="AY542" s="252">
        <f t="shared" si="218"/>
        <v>1</v>
      </c>
      <c r="AZ542" s="252">
        <f t="shared" si="219"/>
        <v>1</v>
      </c>
      <c r="BA542" s="237"/>
      <c r="BB542" s="237"/>
      <c r="BC542" s="252">
        <f t="shared" si="220"/>
        <v>1</v>
      </c>
      <c r="BD542" s="237"/>
      <c r="BE542" s="237"/>
      <c r="BF542" s="237"/>
      <c r="BG542" s="237"/>
      <c r="BH542" s="237"/>
      <c r="BI542" s="237"/>
      <c r="BJ542" s="252">
        <f t="shared" si="221"/>
        <v>1</v>
      </c>
      <c r="BK542" s="252">
        <f t="shared" si="222"/>
        <v>1</v>
      </c>
      <c r="BL542" s="252">
        <f t="shared" si="223"/>
        <v>1</v>
      </c>
      <c r="BM542" s="252">
        <f t="shared" si="224"/>
        <v>1</v>
      </c>
      <c r="BN542" s="252">
        <f t="shared" si="225"/>
        <v>1</v>
      </c>
      <c r="BO542" s="252">
        <f t="shared" si="226"/>
        <v>1</v>
      </c>
      <c r="BP542" s="2578"/>
      <c r="BQ542" s="2562"/>
      <c r="BR542" s="2562"/>
      <c r="BS542" s="2585"/>
      <c r="BT542" s="2585"/>
      <c r="BU542" s="2585"/>
    </row>
    <row r="543" spans="1:73" s="22" customFormat="1" ht="15.75" hidden="1" customHeight="1" outlineLevel="1">
      <c r="A543" s="2585"/>
      <c r="B543" s="44"/>
      <c r="C543" s="45"/>
      <c r="D543" s="46"/>
      <c r="E543" s="46"/>
      <c r="F543" s="45"/>
      <c r="G543" s="46"/>
      <c r="H543" s="45"/>
      <c r="I543" s="45"/>
      <c r="J543" s="47"/>
      <c r="K543" s="48"/>
      <c r="L543" s="47"/>
      <c r="M543" s="1913"/>
      <c r="N543" s="48"/>
      <c r="O543" s="49"/>
      <c r="P543" s="49"/>
      <c r="Q543" s="1884">
        <f t="shared" si="227"/>
        <v>0</v>
      </c>
      <c r="R543" s="1932"/>
      <c r="S543" s="50"/>
      <c r="T543" s="1932"/>
      <c r="U543" s="1932"/>
      <c r="V543" s="1932"/>
      <c r="W543" s="1885">
        <f t="shared" si="210"/>
        <v>0</v>
      </c>
      <c r="X543" s="1891">
        <f t="shared" si="211"/>
        <v>0</v>
      </c>
      <c r="Y543" s="1891">
        <f t="shared" si="212"/>
        <v>0</v>
      </c>
      <c r="Z543" s="50"/>
      <c r="AA543" s="50"/>
      <c r="AB543" s="48"/>
      <c r="AC543" s="48"/>
      <c r="AD543" s="48"/>
      <c r="AE543" s="45"/>
      <c r="AF543" s="51"/>
      <c r="AG543" s="42"/>
      <c r="AH543" s="52" t="s">
        <v>5221</v>
      </c>
      <c r="AI543" s="197"/>
      <c r="AJ543" s="2578"/>
      <c r="AK543" s="251"/>
      <c r="AL543" s="2578"/>
      <c r="AM543" s="2562"/>
      <c r="AN543" s="2562"/>
      <c r="AO543" s="2562"/>
      <c r="AP543" s="2562"/>
      <c r="AQ543" s="2562"/>
      <c r="AR543" s="2562"/>
      <c r="AS543" s="2562"/>
      <c r="AT543" s="252">
        <f t="shared" si="213"/>
        <v>1</v>
      </c>
      <c r="AU543" s="252">
        <f t="shared" si="214"/>
        <v>1</v>
      </c>
      <c r="AV543" s="252">
        <f t="shared" si="215"/>
        <v>1</v>
      </c>
      <c r="AW543" s="252">
        <f t="shared" si="216"/>
        <v>1</v>
      </c>
      <c r="AX543" s="252">
        <f t="shared" si="217"/>
        <v>1</v>
      </c>
      <c r="AY543" s="252">
        <f t="shared" si="218"/>
        <v>1</v>
      </c>
      <c r="AZ543" s="252">
        <f t="shared" si="219"/>
        <v>1</v>
      </c>
      <c r="BA543" s="237"/>
      <c r="BB543" s="237"/>
      <c r="BC543" s="252">
        <f t="shared" si="220"/>
        <v>1</v>
      </c>
      <c r="BD543" s="237"/>
      <c r="BE543" s="237"/>
      <c r="BF543" s="237"/>
      <c r="BG543" s="237"/>
      <c r="BH543" s="237"/>
      <c r="BI543" s="237"/>
      <c r="BJ543" s="252">
        <f t="shared" si="221"/>
        <v>1</v>
      </c>
      <c r="BK543" s="252">
        <f t="shared" si="222"/>
        <v>1</v>
      </c>
      <c r="BL543" s="252">
        <f t="shared" si="223"/>
        <v>1</v>
      </c>
      <c r="BM543" s="252">
        <f t="shared" si="224"/>
        <v>1</v>
      </c>
      <c r="BN543" s="252">
        <f t="shared" si="225"/>
        <v>1</v>
      </c>
      <c r="BO543" s="252">
        <f t="shared" si="226"/>
        <v>1</v>
      </c>
      <c r="BP543" s="2578"/>
      <c r="BQ543" s="2562"/>
      <c r="BR543" s="2562"/>
      <c r="BS543" s="2585"/>
      <c r="BT543" s="2585"/>
      <c r="BU543" s="2585"/>
    </row>
    <row r="544" spans="1:73" s="22" customFormat="1" ht="15.75" hidden="1" customHeight="1" outlineLevel="1">
      <c r="A544" s="2585"/>
      <c r="B544" s="44"/>
      <c r="C544" s="45"/>
      <c r="D544" s="46"/>
      <c r="E544" s="46"/>
      <c r="F544" s="45"/>
      <c r="G544" s="46"/>
      <c r="H544" s="45"/>
      <c r="I544" s="45"/>
      <c r="J544" s="47"/>
      <c r="K544" s="48"/>
      <c r="L544" s="47"/>
      <c r="M544" s="1913"/>
      <c r="N544" s="48"/>
      <c r="O544" s="49"/>
      <c r="P544" s="49"/>
      <c r="Q544" s="1884">
        <f t="shared" si="227"/>
        <v>0</v>
      </c>
      <c r="R544" s="1932"/>
      <c r="S544" s="50"/>
      <c r="T544" s="1932"/>
      <c r="U544" s="1932"/>
      <c r="V544" s="1932"/>
      <c r="W544" s="1885">
        <f t="shared" si="210"/>
        <v>0</v>
      </c>
      <c r="X544" s="1891">
        <f t="shared" si="211"/>
        <v>0</v>
      </c>
      <c r="Y544" s="1891">
        <f t="shared" si="212"/>
        <v>0</v>
      </c>
      <c r="Z544" s="50"/>
      <c r="AA544" s="50"/>
      <c r="AB544" s="48"/>
      <c r="AC544" s="48"/>
      <c r="AD544" s="48"/>
      <c r="AE544" s="45"/>
      <c r="AF544" s="51"/>
      <c r="AG544" s="42"/>
      <c r="AH544" s="52" t="s">
        <v>5222</v>
      </c>
      <c r="AI544" s="197"/>
      <c r="AJ544" s="2578"/>
      <c r="AK544" s="251"/>
      <c r="AL544" s="2578"/>
      <c r="AM544" s="2562"/>
      <c r="AN544" s="2562"/>
      <c r="AO544" s="2562"/>
      <c r="AP544" s="2562"/>
      <c r="AQ544" s="2562"/>
      <c r="AR544" s="2562"/>
      <c r="AS544" s="2562"/>
      <c r="AT544" s="252">
        <f t="shared" si="213"/>
        <v>1</v>
      </c>
      <c r="AU544" s="252">
        <f t="shared" si="214"/>
        <v>1</v>
      </c>
      <c r="AV544" s="252">
        <f t="shared" si="215"/>
        <v>1</v>
      </c>
      <c r="AW544" s="252">
        <f t="shared" si="216"/>
        <v>1</v>
      </c>
      <c r="AX544" s="252">
        <f t="shared" si="217"/>
        <v>1</v>
      </c>
      <c r="AY544" s="252">
        <f t="shared" si="218"/>
        <v>1</v>
      </c>
      <c r="AZ544" s="252">
        <f t="shared" si="219"/>
        <v>1</v>
      </c>
      <c r="BA544" s="237"/>
      <c r="BB544" s="237"/>
      <c r="BC544" s="252">
        <f t="shared" si="220"/>
        <v>1</v>
      </c>
      <c r="BD544" s="237"/>
      <c r="BE544" s="237"/>
      <c r="BF544" s="237"/>
      <c r="BG544" s="237"/>
      <c r="BH544" s="237"/>
      <c r="BI544" s="237"/>
      <c r="BJ544" s="252">
        <f t="shared" si="221"/>
        <v>1</v>
      </c>
      <c r="BK544" s="252">
        <f t="shared" si="222"/>
        <v>1</v>
      </c>
      <c r="BL544" s="252">
        <f t="shared" si="223"/>
        <v>1</v>
      </c>
      <c r="BM544" s="252">
        <f t="shared" si="224"/>
        <v>1</v>
      </c>
      <c r="BN544" s="252">
        <f t="shared" si="225"/>
        <v>1</v>
      </c>
      <c r="BO544" s="252">
        <f t="shared" si="226"/>
        <v>1</v>
      </c>
      <c r="BP544" s="2578"/>
      <c r="BQ544" s="2562"/>
      <c r="BR544" s="2562"/>
      <c r="BS544" s="2585"/>
      <c r="BT544" s="2585"/>
      <c r="BU544" s="2585"/>
    </row>
    <row r="545" spans="1:73" s="22" customFormat="1" ht="15.75" hidden="1" customHeight="1" outlineLevel="1">
      <c r="A545" s="2585"/>
      <c r="B545" s="44"/>
      <c r="C545" s="45"/>
      <c r="D545" s="46"/>
      <c r="E545" s="46"/>
      <c r="F545" s="45"/>
      <c r="G545" s="46"/>
      <c r="H545" s="45"/>
      <c r="I545" s="45"/>
      <c r="J545" s="47"/>
      <c r="K545" s="48"/>
      <c r="L545" s="47"/>
      <c r="M545" s="1913"/>
      <c r="N545" s="48"/>
      <c r="O545" s="49"/>
      <c r="P545" s="49"/>
      <c r="Q545" s="1884">
        <f t="shared" si="227"/>
        <v>0</v>
      </c>
      <c r="R545" s="1932"/>
      <c r="S545" s="50"/>
      <c r="T545" s="1932"/>
      <c r="U545" s="1932"/>
      <c r="V545" s="1932"/>
      <c r="W545" s="1885">
        <f t="shared" si="210"/>
        <v>0</v>
      </c>
      <c r="X545" s="1891">
        <f t="shared" si="211"/>
        <v>0</v>
      </c>
      <c r="Y545" s="1891">
        <f t="shared" si="212"/>
        <v>0</v>
      </c>
      <c r="Z545" s="50"/>
      <c r="AA545" s="50"/>
      <c r="AB545" s="48"/>
      <c r="AC545" s="48"/>
      <c r="AD545" s="48"/>
      <c r="AE545" s="45"/>
      <c r="AF545" s="51"/>
      <c r="AG545" s="42"/>
      <c r="AH545" s="52" t="s">
        <v>5223</v>
      </c>
      <c r="AI545" s="197"/>
      <c r="AJ545" s="2578"/>
      <c r="AK545" s="251"/>
      <c r="AL545" s="2578"/>
      <c r="AM545" s="2562"/>
      <c r="AN545" s="2562"/>
      <c r="AO545" s="2562"/>
      <c r="AP545" s="2562"/>
      <c r="AQ545" s="2562"/>
      <c r="AR545" s="2562"/>
      <c r="AS545" s="2562"/>
      <c r="AT545" s="252">
        <f t="shared" si="213"/>
        <v>1</v>
      </c>
      <c r="AU545" s="252">
        <f t="shared" si="214"/>
        <v>1</v>
      </c>
      <c r="AV545" s="252">
        <f t="shared" si="215"/>
        <v>1</v>
      </c>
      <c r="AW545" s="252">
        <f t="shared" si="216"/>
        <v>1</v>
      </c>
      <c r="AX545" s="252">
        <f t="shared" si="217"/>
        <v>1</v>
      </c>
      <c r="AY545" s="252">
        <f t="shared" si="218"/>
        <v>1</v>
      </c>
      <c r="AZ545" s="252">
        <f t="shared" si="219"/>
        <v>1</v>
      </c>
      <c r="BA545" s="237"/>
      <c r="BB545" s="237"/>
      <c r="BC545" s="252">
        <f t="shared" si="220"/>
        <v>1</v>
      </c>
      <c r="BD545" s="237"/>
      <c r="BE545" s="237"/>
      <c r="BF545" s="237"/>
      <c r="BG545" s="237"/>
      <c r="BH545" s="237"/>
      <c r="BI545" s="237"/>
      <c r="BJ545" s="252">
        <f t="shared" si="221"/>
        <v>1</v>
      </c>
      <c r="BK545" s="252">
        <f t="shared" si="222"/>
        <v>1</v>
      </c>
      <c r="BL545" s="252">
        <f t="shared" si="223"/>
        <v>1</v>
      </c>
      <c r="BM545" s="252">
        <f t="shared" si="224"/>
        <v>1</v>
      </c>
      <c r="BN545" s="252">
        <f t="shared" si="225"/>
        <v>1</v>
      </c>
      <c r="BO545" s="252">
        <f t="shared" si="226"/>
        <v>1</v>
      </c>
      <c r="BP545" s="2578"/>
      <c r="BQ545" s="2562"/>
      <c r="BR545" s="2562"/>
      <c r="BS545" s="2585"/>
      <c r="BT545" s="2585"/>
      <c r="BU545" s="2585"/>
    </row>
    <row r="546" spans="1:73" s="22" customFormat="1" ht="15.75" hidden="1" customHeight="1" outlineLevel="1">
      <c r="A546" s="2585"/>
      <c r="B546" s="44"/>
      <c r="C546" s="45"/>
      <c r="D546" s="46"/>
      <c r="E546" s="46"/>
      <c r="F546" s="45"/>
      <c r="G546" s="46"/>
      <c r="H546" s="45"/>
      <c r="I546" s="45"/>
      <c r="J546" s="47"/>
      <c r="K546" s="48"/>
      <c r="L546" s="47"/>
      <c r="M546" s="1913"/>
      <c r="N546" s="48"/>
      <c r="O546" s="49"/>
      <c r="P546" s="49"/>
      <c r="Q546" s="1884">
        <f t="shared" si="227"/>
        <v>0</v>
      </c>
      <c r="R546" s="1932"/>
      <c r="S546" s="50"/>
      <c r="T546" s="1932"/>
      <c r="U546" s="1932"/>
      <c r="V546" s="1932"/>
      <c r="W546" s="1885">
        <f t="shared" si="210"/>
        <v>0</v>
      </c>
      <c r="X546" s="1891">
        <f t="shared" si="211"/>
        <v>0</v>
      </c>
      <c r="Y546" s="1891">
        <f t="shared" si="212"/>
        <v>0</v>
      </c>
      <c r="Z546" s="50"/>
      <c r="AA546" s="50"/>
      <c r="AB546" s="48"/>
      <c r="AC546" s="48"/>
      <c r="AD546" s="48"/>
      <c r="AE546" s="45"/>
      <c r="AF546" s="51"/>
      <c r="AG546" s="42"/>
      <c r="AH546" s="52" t="s">
        <v>5224</v>
      </c>
      <c r="AI546" s="197"/>
      <c r="AJ546" s="2578"/>
      <c r="AK546" s="251"/>
      <c r="AL546" s="2578"/>
      <c r="AM546" s="2562"/>
      <c r="AN546" s="2562"/>
      <c r="AO546" s="2562"/>
      <c r="AP546" s="2562"/>
      <c r="AQ546" s="2562"/>
      <c r="AR546" s="2562"/>
      <c r="AS546" s="2562"/>
      <c r="AT546" s="252">
        <f t="shared" si="213"/>
        <v>1</v>
      </c>
      <c r="AU546" s="252">
        <f t="shared" si="214"/>
        <v>1</v>
      </c>
      <c r="AV546" s="252">
        <f t="shared" si="215"/>
        <v>1</v>
      </c>
      <c r="AW546" s="252">
        <f t="shared" si="216"/>
        <v>1</v>
      </c>
      <c r="AX546" s="252">
        <f t="shared" si="217"/>
        <v>1</v>
      </c>
      <c r="AY546" s="252">
        <f t="shared" si="218"/>
        <v>1</v>
      </c>
      <c r="AZ546" s="252">
        <f t="shared" si="219"/>
        <v>1</v>
      </c>
      <c r="BA546" s="237"/>
      <c r="BB546" s="237"/>
      <c r="BC546" s="252">
        <f t="shared" si="220"/>
        <v>1</v>
      </c>
      <c r="BD546" s="237"/>
      <c r="BE546" s="237"/>
      <c r="BF546" s="237"/>
      <c r="BG546" s="237"/>
      <c r="BH546" s="237"/>
      <c r="BI546" s="237"/>
      <c r="BJ546" s="252">
        <f t="shared" si="221"/>
        <v>1</v>
      </c>
      <c r="BK546" s="252">
        <f t="shared" si="222"/>
        <v>1</v>
      </c>
      <c r="BL546" s="252">
        <f t="shared" si="223"/>
        <v>1</v>
      </c>
      <c r="BM546" s="252">
        <f t="shared" si="224"/>
        <v>1</v>
      </c>
      <c r="BN546" s="252">
        <f t="shared" si="225"/>
        <v>1</v>
      </c>
      <c r="BO546" s="252">
        <f t="shared" si="226"/>
        <v>1</v>
      </c>
      <c r="BP546" s="2578"/>
      <c r="BQ546" s="2562"/>
      <c r="BR546" s="2562"/>
      <c r="BS546" s="2585"/>
      <c r="BT546" s="2585"/>
      <c r="BU546" s="2585"/>
    </row>
    <row r="547" spans="1:73" s="22" customFormat="1" ht="15.75" hidden="1" customHeight="1" outlineLevel="1">
      <c r="A547" s="2585"/>
      <c r="B547" s="44"/>
      <c r="C547" s="45"/>
      <c r="D547" s="46"/>
      <c r="E547" s="46"/>
      <c r="F547" s="45"/>
      <c r="G547" s="46"/>
      <c r="H547" s="45"/>
      <c r="I547" s="45"/>
      <c r="J547" s="47"/>
      <c r="K547" s="48"/>
      <c r="L547" s="47"/>
      <c r="M547" s="1913"/>
      <c r="N547" s="48"/>
      <c r="O547" s="49"/>
      <c r="P547" s="49"/>
      <c r="Q547" s="1884">
        <f t="shared" si="227"/>
        <v>0</v>
      </c>
      <c r="R547" s="1932"/>
      <c r="S547" s="50"/>
      <c r="T547" s="1932"/>
      <c r="U547" s="1932"/>
      <c r="V547" s="1932"/>
      <c r="W547" s="1885">
        <f t="shared" si="210"/>
        <v>0</v>
      </c>
      <c r="X547" s="1891">
        <f t="shared" si="211"/>
        <v>0</v>
      </c>
      <c r="Y547" s="1891">
        <f t="shared" si="212"/>
        <v>0</v>
      </c>
      <c r="Z547" s="50"/>
      <c r="AA547" s="50"/>
      <c r="AB547" s="48"/>
      <c r="AC547" s="48"/>
      <c r="AD547" s="48"/>
      <c r="AE547" s="45"/>
      <c r="AF547" s="51"/>
      <c r="AG547" s="42"/>
      <c r="AH547" s="52" t="s">
        <v>5225</v>
      </c>
      <c r="AI547" s="197"/>
      <c r="AJ547" s="2578"/>
      <c r="AK547" s="251"/>
      <c r="AL547" s="2578"/>
      <c r="AM547" s="2562"/>
      <c r="AN547" s="2562"/>
      <c r="AO547" s="2562"/>
      <c r="AP547" s="2562"/>
      <c r="AQ547" s="2562"/>
      <c r="AR547" s="2562"/>
      <c r="AS547" s="2562"/>
      <c r="AT547" s="252">
        <f t="shared" si="213"/>
        <v>1</v>
      </c>
      <c r="AU547" s="252">
        <f t="shared" si="214"/>
        <v>1</v>
      </c>
      <c r="AV547" s="252">
        <f t="shared" si="215"/>
        <v>1</v>
      </c>
      <c r="AW547" s="252">
        <f t="shared" si="216"/>
        <v>1</v>
      </c>
      <c r="AX547" s="252">
        <f t="shared" si="217"/>
        <v>1</v>
      </c>
      <c r="AY547" s="252">
        <f t="shared" si="218"/>
        <v>1</v>
      </c>
      <c r="AZ547" s="252">
        <f t="shared" si="219"/>
        <v>1</v>
      </c>
      <c r="BA547" s="237"/>
      <c r="BB547" s="237"/>
      <c r="BC547" s="252">
        <f t="shared" si="220"/>
        <v>1</v>
      </c>
      <c r="BD547" s="237"/>
      <c r="BE547" s="237"/>
      <c r="BF547" s="237"/>
      <c r="BG547" s="237"/>
      <c r="BH547" s="237"/>
      <c r="BI547" s="237"/>
      <c r="BJ547" s="252">
        <f t="shared" si="221"/>
        <v>1</v>
      </c>
      <c r="BK547" s="252">
        <f t="shared" si="222"/>
        <v>1</v>
      </c>
      <c r="BL547" s="252">
        <f t="shared" si="223"/>
        <v>1</v>
      </c>
      <c r="BM547" s="252">
        <f t="shared" si="224"/>
        <v>1</v>
      </c>
      <c r="BN547" s="252">
        <f t="shared" si="225"/>
        <v>1</v>
      </c>
      <c r="BO547" s="252">
        <f t="shared" si="226"/>
        <v>1</v>
      </c>
      <c r="BP547" s="2578"/>
      <c r="BQ547" s="2562"/>
      <c r="BR547" s="2562"/>
      <c r="BS547" s="2585"/>
      <c r="BT547" s="2585"/>
      <c r="BU547" s="2585"/>
    </row>
    <row r="548" spans="1:73" s="22" customFormat="1" ht="15.75" hidden="1" customHeight="1" outlineLevel="1">
      <c r="A548" s="2585"/>
      <c r="B548" s="44"/>
      <c r="C548" s="45"/>
      <c r="D548" s="46"/>
      <c r="E548" s="46"/>
      <c r="F548" s="45"/>
      <c r="G548" s="46"/>
      <c r="H548" s="45"/>
      <c r="I548" s="45"/>
      <c r="J548" s="47"/>
      <c r="K548" s="48"/>
      <c r="L548" s="47"/>
      <c r="M548" s="1913"/>
      <c r="N548" s="48"/>
      <c r="O548" s="49"/>
      <c r="P548" s="49"/>
      <c r="Q548" s="1884">
        <f t="shared" si="227"/>
        <v>0</v>
      </c>
      <c r="R548" s="1932"/>
      <c r="S548" s="50"/>
      <c r="T548" s="1932"/>
      <c r="U548" s="1932"/>
      <c r="V548" s="1932"/>
      <c r="W548" s="1885">
        <f t="shared" si="210"/>
        <v>0</v>
      </c>
      <c r="X548" s="1891">
        <f t="shared" si="211"/>
        <v>0</v>
      </c>
      <c r="Y548" s="1891">
        <f t="shared" si="212"/>
        <v>0</v>
      </c>
      <c r="Z548" s="50"/>
      <c r="AA548" s="50"/>
      <c r="AB548" s="48"/>
      <c r="AC548" s="48"/>
      <c r="AD548" s="48"/>
      <c r="AE548" s="45"/>
      <c r="AF548" s="51"/>
      <c r="AG548" s="42"/>
      <c r="AH548" s="52" t="s">
        <v>5226</v>
      </c>
      <c r="AI548" s="197"/>
      <c r="AJ548" s="2578"/>
      <c r="AK548" s="251"/>
      <c r="AL548" s="2578"/>
      <c r="AM548" s="2562"/>
      <c r="AN548" s="2562"/>
      <c r="AO548" s="2562"/>
      <c r="AP548" s="2562"/>
      <c r="AQ548" s="2562"/>
      <c r="AR548" s="2562"/>
      <c r="AS548" s="2562"/>
      <c r="AT548" s="252">
        <f t="shared" si="213"/>
        <v>1</v>
      </c>
      <c r="AU548" s="252">
        <f t="shared" si="214"/>
        <v>1</v>
      </c>
      <c r="AV548" s="252">
        <f t="shared" si="215"/>
        <v>1</v>
      </c>
      <c r="AW548" s="252">
        <f t="shared" si="216"/>
        <v>1</v>
      </c>
      <c r="AX548" s="252">
        <f t="shared" si="217"/>
        <v>1</v>
      </c>
      <c r="AY548" s="252">
        <f t="shared" si="218"/>
        <v>1</v>
      </c>
      <c r="AZ548" s="252">
        <f t="shared" si="219"/>
        <v>1</v>
      </c>
      <c r="BA548" s="237"/>
      <c r="BB548" s="237"/>
      <c r="BC548" s="252">
        <f t="shared" si="220"/>
        <v>1</v>
      </c>
      <c r="BD548" s="237"/>
      <c r="BE548" s="237"/>
      <c r="BF548" s="237"/>
      <c r="BG548" s="237"/>
      <c r="BH548" s="237"/>
      <c r="BI548" s="237"/>
      <c r="BJ548" s="252">
        <f t="shared" si="221"/>
        <v>1</v>
      </c>
      <c r="BK548" s="252">
        <f t="shared" si="222"/>
        <v>1</v>
      </c>
      <c r="BL548" s="252">
        <f t="shared" si="223"/>
        <v>1</v>
      </c>
      <c r="BM548" s="252">
        <f t="shared" si="224"/>
        <v>1</v>
      </c>
      <c r="BN548" s="252">
        <f t="shared" si="225"/>
        <v>1</v>
      </c>
      <c r="BO548" s="252">
        <f t="shared" si="226"/>
        <v>1</v>
      </c>
      <c r="BP548" s="2578"/>
      <c r="BQ548" s="2562"/>
      <c r="BR548" s="2562"/>
      <c r="BS548" s="2585"/>
      <c r="BT548" s="2585"/>
      <c r="BU548" s="2585"/>
    </row>
    <row r="549" spans="1:73" s="22" customFormat="1" ht="15.75" hidden="1" customHeight="1" outlineLevel="1">
      <c r="A549" s="2585"/>
      <c r="B549" s="44"/>
      <c r="C549" s="45"/>
      <c r="D549" s="46"/>
      <c r="E549" s="46"/>
      <c r="F549" s="45"/>
      <c r="G549" s="46"/>
      <c r="H549" s="45"/>
      <c r="I549" s="45"/>
      <c r="J549" s="47"/>
      <c r="K549" s="48"/>
      <c r="L549" s="47"/>
      <c r="M549" s="1913"/>
      <c r="N549" s="48"/>
      <c r="O549" s="49"/>
      <c r="P549" s="49"/>
      <c r="Q549" s="1884">
        <f t="shared" si="227"/>
        <v>0</v>
      </c>
      <c r="R549" s="1932"/>
      <c r="S549" s="50"/>
      <c r="T549" s="1932"/>
      <c r="U549" s="1932"/>
      <c r="V549" s="1932"/>
      <c r="W549" s="1885">
        <f t="shared" si="210"/>
        <v>0</v>
      </c>
      <c r="X549" s="1891">
        <f t="shared" si="211"/>
        <v>0</v>
      </c>
      <c r="Y549" s="1891">
        <f t="shared" si="212"/>
        <v>0</v>
      </c>
      <c r="Z549" s="50"/>
      <c r="AA549" s="50"/>
      <c r="AB549" s="48"/>
      <c r="AC549" s="48"/>
      <c r="AD549" s="48"/>
      <c r="AE549" s="45"/>
      <c r="AF549" s="51"/>
      <c r="AG549" s="42"/>
      <c r="AH549" s="52" t="s">
        <v>5227</v>
      </c>
      <c r="AI549" s="197"/>
      <c r="AJ549" s="2578"/>
      <c r="AK549" s="251"/>
      <c r="AL549" s="2578"/>
      <c r="AM549" s="2562"/>
      <c r="AN549" s="2562"/>
      <c r="AO549" s="2562"/>
      <c r="AP549" s="2562"/>
      <c r="AQ549" s="2562"/>
      <c r="AR549" s="2562"/>
      <c r="AS549" s="2562"/>
      <c r="AT549" s="252">
        <f t="shared" si="213"/>
        <v>1</v>
      </c>
      <c r="AU549" s="252">
        <f t="shared" si="214"/>
        <v>1</v>
      </c>
      <c r="AV549" s="252">
        <f t="shared" si="215"/>
        <v>1</v>
      </c>
      <c r="AW549" s="252">
        <f t="shared" si="216"/>
        <v>1</v>
      </c>
      <c r="AX549" s="252">
        <f t="shared" si="217"/>
        <v>1</v>
      </c>
      <c r="AY549" s="252">
        <f t="shared" si="218"/>
        <v>1</v>
      </c>
      <c r="AZ549" s="252">
        <f t="shared" si="219"/>
        <v>1</v>
      </c>
      <c r="BA549" s="237"/>
      <c r="BB549" s="237"/>
      <c r="BC549" s="252">
        <f t="shared" si="220"/>
        <v>1</v>
      </c>
      <c r="BD549" s="237"/>
      <c r="BE549" s="237"/>
      <c r="BF549" s="237"/>
      <c r="BG549" s="237"/>
      <c r="BH549" s="237"/>
      <c r="BI549" s="237"/>
      <c r="BJ549" s="252">
        <f t="shared" si="221"/>
        <v>1</v>
      </c>
      <c r="BK549" s="252">
        <f t="shared" si="222"/>
        <v>1</v>
      </c>
      <c r="BL549" s="252">
        <f t="shared" si="223"/>
        <v>1</v>
      </c>
      <c r="BM549" s="252">
        <f t="shared" si="224"/>
        <v>1</v>
      </c>
      <c r="BN549" s="252">
        <f t="shared" si="225"/>
        <v>1</v>
      </c>
      <c r="BO549" s="252">
        <f t="shared" si="226"/>
        <v>1</v>
      </c>
      <c r="BP549" s="2578"/>
      <c r="BQ549" s="2562"/>
      <c r="BR549" s="2562"/>
      <c r="BS549" s="2585"/>
      <c r="BT549" s="2585"/>
      <c r="BU549" s="2585"/>
    </row>
    <row r="550" spans="1:73" s="22" customFormat="1" ht="15.75" hidden="1" customHeight="1" outlineLevel="1">
      <c r="A550" s="2585"/>
      <c r="B550" s="44"/>
      <c r="C550" s="45"/>
      <c r="D550" s="46"/>
      <c r="E550" s="46"/>
      <c r="F550" s="45"/>
      <c r="G550" s="46"/>
      <c r="H550" s="45"/>
      <c r="I550" s="45"/>
      <c r="J550" s="47"/>
      <c r="K550" s="48"/>
      <c r="L550" s="47"/>
      <c r="M550" s="1913"/>
      <c r="N550" s="48"/>
      <c r="O550" s="49"/>
      <c r="P550" s="49"/>
      <c r="Q550" s="1884">
        <f t="shared" si="227"/>
        <v>0</v>
      </c>
      <c r="R550" s="1932"/>
      <c r="S550" s="50"/>
      <c r="T550" s="1932"/>
      <c r="U550" s="1932"/>
      <c r="V550" s="1932"/>
      <c r="W550" s="1885">
        <f t="shared" si="210"/>
        <v>0</v>
      </c>
      <c r="X550" s="1891">
        <f t="shared" si="211"/>
        <v>0</v>
      </c>
      <c r="Y550" s="1891">
        <f t="shared" si="212"/>
        <v>0</v>
      </c>
      <c r="Z550" s="50"/>
      <c r="AA550" s="50"/>
      <c r="AB550" s="48"/>
      <c r="AC550" s="48"/>
      <c r="AD550" s="48"/>
      <c r="AE550" s="45"/>
      <c r="AF550" s="51"/>
      <c r="AG550" s="42"/>
      <c r="AH550" s="52" t="s">
        <v>5228</v>
      </c>
      <c r="AI550" s="197"/>
      <c r="AJ550" s="2578"/>
      <c r="AK550" s="251"/>
      <c r="AL550" s="2578"/>
      <c r="AM550" s="2562"/>
      <c r="AN550" s="2562"/>
      <c r="AO550" s="2562"/>
      <c r="AP550" s="2562"/>
      <c r="AQ550" s="2562"/>
      <c r="AR550" s="2562"/>
      <c r="AS550" s="2562"/>
      <c r="AT550" s="252">
        <f t="shared" si="213"/>
        <v>1</v>
      </c>
      <c r="AU550" s="252">
        <f t="shared" si="214"/>
        <v>1</v>
      </c>
      <c r="AV550" s="252">
        <f t="shared" si="215"/>
        <v>1</v>
      </c>
      <c r="AW550" s="252">
        <f t="shared" si="216"/>
        <v>1</v>
      </c>
      <c r="AX550" s="252">
        <f t="shared" si="217"/>
        <v>1</v>
      </c>
      <c r="AY550" s="252">
        <f t="shared" si="218"/>
        <v>1</v>
      </c>
      <c r="AZ550" s="252">
        <f t="shared" si="219"/>
        <v>1</v>
      </c>
      <c r="BA550" s="237"/>
      <c r="BB550" s="237"/>
      <c r="BC550" s="252">
        <f t="shared" si="220"/>
        <v>1</v>
      </c>
      <c r="BD550" s="237"/>
      <c r="BE550" s="237"/>
      <c r="BF550" s="237"/>
      <c r="BG550" s="237"/>
      <c r="BH550" s="237"/>
      <c r="BI550" s="237"/>
      <c r="BJ550" s="252">
        <f t="shared" si="221"/>
        <v>1</v>
      </c>
      <c r="BK550" s="252">
        <f t="shared" si="222"/>
        <v>1</v>
      </c>
      <c r="BL550" s="252">
        <f t="shared" si="223"/>
        <v>1</v>
      </c>
      <c r="BM550" s="252">
        <f t="shared" si="224"/>
        <v>1</v>
      </c>
      <c r="BN550" s="252">
        <f t="shared" si="225"/>
        <v>1</v>
      </c>
      <c r="BO550" s="252">
        <f t="shared" si="226"/>
        <v>1</v>
      </c>
      <c r="BP550" s="2578"/>
      <c r="BQ550" s="2562"/>
      <c r="BR550" s="2562"/>
      <c r="BS550" s="2585"/>
      <c r="BT550" s="2585"/>
      <c r="BU550" s="2585"/>
    </row>
    <row r="551" spans="1:73" s="22" customFormat="1" ht="15.75" hidden="1" customHeight="1" outlineLevel="1">
      <c r="A551" s="2585"/>
      <c r="B551" s="44"/>
      <c r="C551" s="45"/>
      <c r="D551" s="46"/>
      <c r="E551" s="46"/>
      <c r="F551" s="45"/>
      <c r="G551" s="46"/>
      <c r="H551" s="45"/>
      <c r="I551" s="45"/>
      <c r="J551" s="47"/>
      <c r="K551" s="48"/>
      <c r="L551" s="47"/>
      <c r="M551" s="1913"/>
      <c r="N551" s="48"/>
      <c r="O551" s="49"/>
      <c r="P551" s="49"/>
      <c r="Q551" s="1884">
        <f t="shared" si="227"/>
        <v>0</v>
      </c>
      <c r="R551" s="1932"/>
      <c r="S551" s="50"/>
      <c r="T551" s="1932"/>
      <c r="U551" s="1932"/>
      <c r="V551" s="1932"/>
      <c r="W551" s="1885">
        <f t="shared" si="210"/>
        <v>0</v>
      </c>
      <c r="X551" s="1891">
        <f t="shared" si="211"/>
        <v>0</v>
      </c>
      <c r="Y551" s="1891">
        <f t="shared" si="212"/>
        <v>0</v>
      </c>
      <c r="Z551" s="50"/>
      <c r="AA551" s="50"/>
      <c r="AB551" s="48"/>
      <c r="AC551" s="48"/>
      <c r="AD551" s="48"/>
      <c r="AE551" s="45"/>
      <c r="AF551" s="51"/>
      <c r="AG551" s="42"/>
      <c r="AH551" s="52" t="s">
        <v>5229</v>
      </c>
      <c r="AI551" s="197"/>
      <c r="AJ551" s="2578"/>
      <c r="AK551" s="251"/>
      <c r="AL551" s="2578"/>
      <c r="AM551" s="2562"/>
      <c r="AN551" s="2562"/>
      <c r="AO551" s="2562"/>
      <c r="AP551" s="2562"/>
      <c r="AQ551" s="2562"/>
      <c r="AR551" s="2562"/>
      <c r="AS551" s="2562"/>
      <c r="AT551" s="252">
        <f t="shared" si="213"/>
        <v>1</v>
      </c>
      <c r="AU551" s="252">
        <f t="shared" si="214"/>
        <v>1</v>
      </c>
      <c r="AV551" s="252">
        <f t="shared" si="215"/>
        <v>1</v>
      </c>
      <c r="AW551" s="252">
        <f t="shared" si="216"/>
        <v>1</v>
      </c>
      <c r="AX551" s="252">
        <f t="shared" si="217"/>
        <v>1</v>
      </c>
      <c r="AY551" s="252">
        <f t="shared" si="218"/>
        <v>1</v>
      </c>
      <c r="AZ551" s="252">
        <f t="shared" si="219"/>
        <v>1</v>
      </c>
      <c r="BA551" s="237"/>
      <c r="BB551" s="237"/>
      <c r="BC551" s="252">
        <f t="shared" si="220"/>
        <v>1</v>
      </c>
      <c r="BD551" s="237"/>
      <c r="BE551" s="237"/>
      <c r="BF551" s="237"/>
      <c r="BG551" s="237"/>
      <c r="BH551" s="237"/>
      <c r="BI551" s="237"/>
      <c r="BJ551" s="252">
        <f t="shared" si="221"/>
        <v>1</v>
      </c>
      <c r="BK551" s="252">
        <f t="shared" si="222"/>
        <v>1</v>
      </c>
      <c r="BL551" s="252">
        <f t="shared" si="223"/>
        <v>1</v>
      </c>
      <c r="BM551" s="252">
        <f t="shared" si="224"/>
        <v>1</v>
      </c>
      <c r="BN551" s="252">
        <f t="shared" si="225"/>
        <v>1</v>
      </c>
      <c r="BO551" s="252">
        <f t="shared" si="226"/>
        <v>1</v>
      </c>
      <c r="BP551" s="2578"/>
      <c r="BQ551" s="2562"/>
      <c r="BR551" s="2562"/>
      <c r="BS551" s="2585"/>
      <c r="BT551" s="2585"/>
      <c r="BU551" s="2585"/>
    </row>
    <row r="552" spans="1:73" s="22" customFormat="1" ht="15.75" hidden="1" customHeight="1" outlineLevel="1">
      <c r="A552" s="2585"/>
      <c r="B552" s="44"/>
      <c r="C552" s="45"/>
      <c r="D552" s="46"/>
      <c r="E552" s="46"/>
      <c r="F552" s="45"/>
      <c r="G552" s="46"/>
      <c r="H552" s="45"/>
      <c r="I552" s="45"/>
      <c r="J552" s="47"/>
      <c r="K552" s="48"/>
      <c r="L552" s="47"/>
      <c r="M552" s="1913"/>
      <c r="N552" s="48"/>
      <c r="O552" s="49"/>
      <c r="P552" s="49"/>
      <c r="Q552" s="1884">
        <f t="shared" si="227"/>
        <v>0</v>
      </c>
      <c r="R552" s="1932"/>
      <c r="S552" s="50"/>
      <c r="T552" s="1932"/>
      <c r="U552" s="1932"/>
      <c r="V552" s="1932"/>
      <c r="W552" s="1885">
        <f t="shared" si="210"/>
        <v>0</v>
      </c>
      <c r="X552" s="1891">
        <f t="shared" si="211"/>
        <v>0</v>
      </c>
      <c r="Y552" s="1891">
        <f t="shared" si="212"/>
        <v>0</v>
      </c>
      <c r="Z552" s="50"/>
      <c r="AA552" s="50"/>
      <c r="AB552" s="48"/>
      <c r="AC552" s="48"/>
      <c r="AD552" s="48"/>
      <c r="AE552" s="45"/>
      <c r="AF552" s="51"/>
      <c r="AG552" s="42"/>
      <c r="AH552" s="52" t="s">
        <v>5230</v>
      </c>
      <c r="AI552" s="197"/>
      <c r="AJ552" s="2578"/>
      <c r="AK552" s="251"/>
      <c r="AL552" s="2578"/>
      <c r="AM552" s="2562"/>
      <c r="AN552" s="2562"/>
      <c r="AO552" s="2562"/>
      <c r="AP552" s="2562"/>
      <c r="AQ552" s="2562"/>
      <c r="AR552" s="2562"/>
      <c r="AS552" s="2562"/>
      <c r="AT552" s="252">
        <f t="shared" si="213"/>
        <v>1</v>
      </c>
      <c r="AU552" s="252">
        <f t="shared" si="214"/>
        <v>1</v>
      </c>
      <c r="AV552" s="252">
        <f t="shared" si="215"/>
        <v>1</v>
      </c>
      <c r="AW552" s="252">
        <f t="shared" si="216"/>
        <v>1</v>
      </c>
      <c r="AX552" s="252">
        <f t="shared" si="217"/>
        <v>1</v>
      </c>
      <c r="AY552" s="252">
        <f t="shared" si="218"/>
        <v>1</v>
      </c>
      <c r="AZ552" s="252">
        <f t="shared" si="219"/>
        <v>1</v>
      </c>
      <c r="BA552" s="237"/>
      <c r="BB552" s="237"/>
      <c r="BC552" s="252">
        <f t="shared" si="220"/>
        <v>1</v>
      </c>
      <c r="BD552" s="237"/>
      <c r="BE552" s="237"/>
      <c r="BF552" s="237"/>
      <c r="BG552" s="237"/>
      <c r="BH552" s="237"/>
      <c r="BI552" s="237"/>
      <c r="BJ552" s="252">
        <f t="shared" si="221"/>
        <v>1</v>
      </c>
      <c r="BK552" s="252">
        <f t="shared" si="222"/>
        <v>1</v>
      </c>
      <c r="BL552" s="252">
        <f t="shared" si="223"/>
        <v>1</v>
      </c>
      <c r="BM552" s="252">
        <f t="shared" si="224"/>
        <v>1</v>
      </c>
      <c r="BN552" s="252">
        <f t="shared" si="225"/>
        <v>1</v>
      </c>
      <c r="BO552" s="252">
        <f t="shared" si="226"/>
        <v>1</v>
      </c>
      <c r="BP552" s="2578"/>
      <c r="BQ552" s="2562"/>
      <c r="BR552" s="2562"/>
      <c r="BS552" s="2585"/>
      <c r="BT552" s="2585"/>
      <c r="BU552" s="2585"/>
    </row>
    <row r="553" spans="1:73" s="22" customFormat="1" ht="15.75" hidden="1" customHeight="1" outlineLevel="1">
      <c r="A553" s="2585"/>
      <c r="B553" s="44"/>
      <c r="C553" s="45"/>
      <c r="D553" s="46"/>
      <c r="E553" s="46"/>
      <c r="F553" s="45"/>
      <c r="G553" s="46"/>
      <c r="H553" s="45"/>
      <c r="I553" s="45"/>
      <c r="J553" s="47"/>
      <c r="K553" s="48"/>
      <c r="L553" s="47"/>
      <c r="M553" s="1913"/>
      <c r="N553" s="48"/>
      <c r="O553" s="49"/>
      <c r="P553" s="49"/>
      <c r="Q553" s="1884">
        <f t="shared" si="227"/>
        <v>0</v>
      </c>
      <c r="R553" s="1932"/>
      <c r="S553" s="50"/>
      <c r="T553" s="1932"/>
      <c r="U553" s="1932"/>
      <c r="V553" s="1932"/>
      <c r="W553" s="1885">
        <f t="shared" si="210"/>
        <v>0</v>
      </c>
      <c r="X553" s="1891">
        <f t="shared" si="211"/>
        <v>0</v>
      </c>
      <c r="Y553" s="1891">
        <f t="shared" si="212"/>
        <v>0</v>
      </c>
      <c r="Z553" s="50"/>
      <c r="AA553" s="50"/>
      <c r="AB553" s="48"/>
      <c r="AC553" s="48"/>
      <c r="AD553" s="48"/>
      <c r="AE553" s="45"/>
      <c r="AF553" s="51"/>
      <c r="AG553" s="42"/>
      <c r="AH553" s="52" t="s">
        <v>5231</v>
      </c>
      <c r="AI553" s="197"/>
      <c r="AJ553" s="2578"/>
      <c r="AK553" s="251"/>
      <c r="AL553" s="2578"/>
      <c r="AM553" s="2562"/>
      <c r="AN553" s="2562"/>
      <c r="AO553" s="2562"/>
      <c r="AP553" s="2562"/>
      <c r="AQ553" s="2562"/>
      <c r="AR553" s="2562"/>
      <c r="AS553" s="2562"/>
      <c r="AT553" s="252">
        <f t="shared" si="213"/>
        <v>1</v>
      </c>
      <c r="AU553" s="252">
        <f t="shared" si="214"/>
        <v>1</v>
      </c>
      <c r="AV553" s="252">
        <f t="shared" si="215"/>
        <v>1</v>
      </c>
      <c r="AW553" s="252">
        <f t="shared" si="216"/>
        <v>1</v>
      </c>
      <c r="AX553" s="252">
        <f t="shared" si="217"/>
        <v>1</v>
      </c>
      <c r="AY553" s="252">
        <f t="shared" si="218"/>
        <v>1</v>
      </c>
      <c r="AZ553" s="252">
        <f t="shared" si="219"/>
        <v>1</v>
      </c>
      <c r="BA553" s="237"/>
      <c r="BB553" s="237"/>
      <c r="BC553" s="252">
        <f t="shared" si="220"/>
        <v>1</v>
      </c>
      <c r="BD553" s="237"/>
      <c r="BE553" s="237"/>
      <c r="BF553" s="237"/>
      <c r="BG553" s="237"/>
      <c r="BH553" s="237"/>
      <c r="BI553" s="237"/>
      <c r="BJ553" s="252">
        <f t="shared" si="221"/>
        <v>1</v>
      </c>
      <c r="BK553" s="252">
        <f t="shared" si="222"/>
        <v>1</v>
      </c>
      <c r="BL553" s="252">
        <f t="shared" si="223"/>
        <v>1</v>
      </c>
      <c r="BM553" s="252">
        <f t="shared" si="224"/>
        <v>1</v>
      </c>
      <c r="BN553" s="252">
        <f t="shared" si="225"/>
        <v>1</v>
      </c>
      <c r="BO553" s="252">
        <f t="shared" si="226"/>
        <v>1</v>
      </c>
      <c r="BP553" s="2578"/>
      <c r="BQ553" s="2562"/>
      <c r="BR553" s="2562"/>
      <c r="BS553" s="2585"/>
      <c r="BT553" s="2585"/>
      <c r="BU553" s="2585"/>
    </row>
    <row r="554" spans="1:73" s="22" customFormat="1" ht="15.75" hidden="1" customHeight="1" outlineLevel="1">
      <c r="A554" s="2585"/>
      <c r="B554" s="44"/>
      <c r="C554" s="45"/>
      <c r="D554" s="46"/>
      <c r="E554" s="46"/>
      <c r="F554" s="45"/>
      <c r="G554" s="46"/>
      <c r="H554" s="45"/>
      <c r="I554" s="45"/>
      <c r="J554" s="47"/>
      <c r="K554" s="48"/>
      <c r="L554" s="47"/>
      <c r="M554" s="1913"/>
      <c r="N554" s="48"/>
      <c r="O554" s="49"/>
      <c r="P554" s="49"/>
      <c r="Q554" s="1884">
        <f t="shared" si="227"/>
        <v>0</v>
      </c>
      <c r="R554" s="1932"/>
      <c r="S554" s="50"/>
      <c r="T554" s="1932"/>
      <c r="U554" s="1932"/>
      <c r="V554" s="1932"/>
      <c r="W554" s="1885">
        <f t="shared" si="210"/>
        <v>0</v>
      </c>
      <c r="X554" s="1891">
        <f t="shared" si="211"/>
        <v>0</v>
      </c>
      <c r="Y554" s="1891">
        <f t="shared" si="212"/>
        <v>0</v>
      </c>
      <c r="Z554" s="50"/>
      <c r="AA554" s="50"/>
      <c r="AB554" s="48"/>
      <c r="AC554" s="48"/>
      <c r="AD554" s="48"/>
      <c r="AE554" s="45"/>
      <c r="AF554" s="51"/>
      <c r="AG554" s="42"/>
      <c r="AH554" s="52" t="s">
        <v>5232</v>
      </c>
      <c r="AI554" s="197"/>
      <c r="AJ554" s="2578"/>
      <c r="AK554" s="251"/>
      <c r="AL554" s="2578"/>
      <c r="AM554" s="2562"/>
      <c r="AN554" s="2562"/>
      <c r="AO554" s="2562"/>
      <c r="AP554" s="2562"/>
      <c r="AQ554" s="2562"/>
      <c r="AR554" s="2562"/>
      <c r="AS554" s="2562"/>
      <c r="AT554" s="252">
        <f t="shared" si="213"/>
        <v>1</v>
      </c>
      <c r="AU554" s="252">
        <f t="shared" si="214"/>
        <v>1</v>
      </c>
      <c r="AV554" s="252">
        <f t="shared" si="215"/>
        <v>1</v>
      </c>
      <c r="AW554" s="252">
        <f t="shared" si="216"/>
        <v>1</v>
      </c>
      <c r="AX554" s="252">
        <f t="shared" si="217"/>
        <v>1</v>
      </c>
      <c r="AY554" s="252">
        <f t="shared" si="218"/>
        <v>1</v>
      </c>
      <c r="AZ554" s="252">
        <f t="shared" si="219"/>
        <v>1</v>
      </c>
      <c r="BA554" s="237"/>
      <c r="BB554" s="237"/>
      <c r="BC554" s="252">
        <f t="shared" si="220"/>
        <v>1</v>
      </c>
      <c r="BD554" s="237"/>
      <c r="BE554" s="237"/>
      <c r="BF554" s="237"/>
      <c r="BG554" s="237"/>
      <c r="BH554" s="237"/>
      <c r="BI554" s="237"/>
      <c r="BJ554" s="252">
        <f t="shared" si="221"/>
        <v>1</v>
      </c>
      <c r="BK554" s="252">
        <f t="shared" si="222"/>
        <v>1</v>
      </c>
      <c r="BL554" s="252">
        <f t="shared" si="223"/>
        <v>1</v>
      </c>
      <c r="BM554" s="252">
        <f t="shared" si="224"/>
        <v>1</v>
      </c>
      <c r="BN554" s="252">
        <f t="shared" si="225"/>
        <v>1</v>
      </c>
      <c r="BO554" s="252">
        <f t="shared" si="226"/>
        <v>1</v>
      </c>
      <c r="BP554" s="2578"/>
      <c r="BQ554" s="2562"/>
      <c r="BR554" s="2562"/>
      <c r="BS554" s="2585"/>
      <c r="BT554" s="2585"/>
      <c r="BU554" s="2585"/>
    </row>
    <row r="555" spans="1:73" s="22" customFormat="1" ht="15.75" hidden="1" customHeight="1" outlineLevel="1">
      <c r="A555" s="2585"/>
      <c r="B555" s="44"/>
      <c r="C555" s="45"/>
      <c r="D555" s="46"/>
      <c r="E555" s="46"/>
      <c r="F555" s="45"/>
      <c r="G555" s="46"/>
      <c r="H555" s="45"/>
      <c r="I555" s="45"/>
      <c r="J555" s="47"/>
      <c r="K555" s="48"/>
      <c r="L555" s="47"/>
      <c r="M555" s="1913"/>
      <c r="N555" s="48"/>
      <c r="O555" s="49"/>
      <c r="P555" s="49"/>
      <c r="Q555" s="1884">
        <f t="shared" si="227"/>
        <v>0</v>
      </c>
      <c r="R555" s="1932"/>
      <c r="S555" s="50"/>
      <c r="T555" s="1932"/>
      <c r="U555" s="1932"/>
      <c r="V555" s="1932"/>
      <c r="W555" s="1885">
        <f t="shared" si="210"/>
        <v>0</v>
      </c>
      <c r="X555" s="1891">
        <f t="shared" si="211"/>
        <v>0</v>
      </c>
      <c r="Y555" s="1891">
        <f t="shared" si="212"/>
        <v>0</v>
      </c>
      <c r="Z555" s="50"/>
      <c r="AA555" s="50"/>
      <c r="AB555" s="48"/>
      <c r="AC555" s="48"/>
      <c r="AD555" s="48"/>
      <c r="AE555" s="45"/>
      <c r="AF555" s="51"/>
      <c r="AG555" s="42"/>
      <c r="AH555" s="52" t="s">
        <v>5233</v>
      </c>
      <c r="AI555" s="197"/>
      <c r="AJ555" s="2578"/>
      <c r="AK555" s="251"/>
      <c r="AL555" s="2578"/>
      <c r="AM555" s="2562"/>
      <c r="AN555" s="2562"/>
      <c r="AO555" s="2562"/>
      <c r="AP555" s="2562"/>
      <c r="AQ555" s="2562"/>
      <c r="AR555" s="2562"/>
      <c r="AS555" s="2562"/>
      <c r="AT555" s="252">
        <f t="shared" si="213"/>
        <v>1</v>
      </c>
      <c r="AU555" s="252">
        <f t="shared" si="214"/>
        <v>1</v>
      </c>
      <c r="AV555" s="252">
        <f t="shared" si="215"/>
        <v>1</v>
      </c>
      <c r="AW555" s="252">
        <f t="shared" si="216"/>
        <v>1</v>
      </c>
      <c r="AX555" s="252">
        <f t="shared" si="217"/>
        <v>1</v>
      </c>
      <c r="AY555" s="252">
        <f t="shared" si="218"/>
        <v>1</v>
      </c>
      <c r="AZ555" s="252">
        <f t="shared" si="219"/>
        <v>1</v>
      </c>
      <c r="BA555" s="237"/>
      <c r="BB555" s="237"/>
      <c r="BC555" s="252">
        <f t="shared" si="220"/>
        <v>1</v>
      </c>
      <c r="BD555" s="237"/>
      <c r="BE555" s="237"/>
      <c r="BF555" s="237"/>
      <c r="BG555" s="237"/>
      <c r="BH555" s="237"/>
      <c r="BI555" s="237"/>
      <c r="BJ555" s="252">
        <f t="shared" si="221"/>
        <v>1</v>
      </c>
      <c r="BK555" s="252">
        <f t="shared" si="222"/>
        <v>1</v>
      </c>
      <c r="BL555" s="252">
        <f t="shared" si="223"/>
        <v>1</v>
      </c>
      <c r="BM555" s="252">
        <f t="shared" si="224"/>
        <v>1</v>
      </c>
      <c r="BN555" s="252">
        <f t="shared" si="225"/>
        <v>1</v>
      </c>
      <c r="BO555" s="252">
        <f t="shared" si="226"/>
        <v>1</v>
      </c>
      <c r="BP555" s="2578"/>
      <c r="BQ555" s="2562"/>
      <c r="BR555" s="2562"/>
      <c r="BS555" s="2585"/>
      <c r="BT555" s="2585"/>
      <c r="BU555" s="2585"/>
    </row>
    <row r="556" spans="1:73" s="22" customFormat="1" ht="15.75" hidden="1" customHeight="1" outlineLevel="1">
      <c r="A556" s="2585"/>
      <c r="B556" s="44"/>
      <c r="C556" s="45"/>
      <c r="D556" s="46"/>
      <c r="E556" s="46"/>
      <c r="F556" s="45"/>
      <c r="G556" s="46"/>
      <c r="H556" s="45"/>
      <c r="I556" s="45"/>
      <c r="J556" s="47"/>
      <c r="K556" s="48"/>
      <c r="L556" s="47"/>
      <c r="M556" s="1913"/>
      <c r="N556" s="48"/>
      <c r="O556" s="49"/>
      <c r="P556" s="49"/>
      <c r="Q556" s="1884">
        <f t="shared" si="227"/>
        <v>0</v>
      </c>
      <c r="R556" s="1932"/>
      <c r="S556" s="50"/>
      <c r="T556" s="1932"/>
      <c r="U556" s="1932"/>
      <c r="V556" s="1932"/>
      <c r="W556" s="1885">
        <f t="shared" si="210"/>
        <v>0</v>
      </c>
      <c r="X556" s="1891">
        <f t="shared" si="211"/>
        <v>0</v>
      </c>
      <c r="Y556" s="1891">
        <f t="shared" si="212"/>
        <v>0</v>
      </c>
      <c r="Z556" s="50"/>
      <c r="AA556" s="50"/>
      <c r="AB556" s="48"/>
      <c r="AC556" s="48"/>
      <c r="AD556" s="48"/>
      <c r="AE556" s="45"/>
      <c r="AF556" s="51"/>
      <c r="AG556" s="42"/>
      <c r="AH556" s="52" t="s">
        <v>5234</v>
      </c>
      <c r="AI556" s="197"/>
      <c r="AJ556" s="2578"/>
      <c r="AK556" s="251"/>
      <c r="AL556" s="2578"/>
      <c r="AM556" s="2562"/>
      <c r="AN556" s="2562"/>
      <c r="AO556" s="2562"/>
      <c r="AP556" s="2562"/>
      <c r="AQ556" s="2562"/>
      <c r="AR556" s="2562"/>
      <c r="AS556" s="2562"/>
      <c r="AT556" s="252">
        <f t="shared" si="213"/>
        <v>1</v>
      </c>
      <c r="AU556" s="252">
        <f t="shared" si="214"/>
        <v>1</v>
      </c>
      <c r="AV556" s="252">
        <f t="shared" si="215"/>
        <v>1</v>
      </c>
      <c r="AW556" s="252">
        <f t="shared" si="216"/>
        <v>1</v>
      </c>
      <c r="AX556" s="252">
        <f t="shared" si="217"/>
        <v>1</v>
      </c>
      <c r="AY556" s="252">
        <f t="shared" si="218"/>
        <v>1</v>
      </c>
      <c r="AZ556" s="252">
        <f t="shared" si="219"/>
        <v>1</v>
      </c>
      <c r="BA556" s="237"/>
      <c r="BB556" s="237"/>
      <c r="BC556" s="252">
        <f t="shared" si="220"/>
        <v>1</v>
      </c>
      <c r="BD556" s="237"/>
      <c r="BE556" s="237"/>
      <c r="BF556" s="237"/>
      <c r="BG556" s="237"/>
      <c r="BH556" s="237"/>
      <c r="BI556" s="237"/>
      <c r="BJ556" s="252">
        <f t="shared" si="221"/>
        <v>1</v>
      </c>
      <c r="BK556" s="252">
        <f t="shared" si="222"/>
        <v>1</v>
      </c>
      <c r="BL556" s="252">
        <f t="shared" si="223"/>
        <v>1</v>
      </c>
      <c r="BM556" s="252">
        <f t="shared" si="224"/>
        <v>1</v>
      </c>
      <c r="BN556" s="252">
        <f t="shared" si="225"/>
        <v>1</v>
      </c>
      <c r="BO556" s="252">
        <f t="shared" si="226"/>
        <v>1</v>
      </c>
      <c r="BP556" s="2578"/>
      <c r="BQ556" s="2562"/>
      <c r="BR556" s="2562"/>
      <c r="BS556" s="2585"/>
      <c r="BT556" s="2585"/>
      <c r="BU556" s="2585"/>
    </row>
    <row r="557" spans="1:73" s="22" customFormat="1" ht="15.75" hidden="1" customHeight="1" outlineLevel="1">
      <c r="A557" s="2585"/>
      <c r="B557" s="44"/>
      <c r="C557" s="45"/>
      <c r="D557" s="46"/>
      <c r="E557" s="46"/>
      <c r="F557" s="45"/>
      <c r="G557" s="46"/>
      <c r="H557" s="45"/>
      <c r="I557" s="45"/>
      <c r="J557" s="47"/>
      <c r="K557" s="48"/>
      <c r="L557" s="47"/>
      <c r="M557" s="1913"/>
      <c r="N557" s="48"/>
      <c r="O557" s="49"/>
      <c r="P557" s="49"/>
      <c r="Q557" s="1884">
        <f t="shared" si="227"/>
        <v>0</v>
      </c>
      <c r="R557" s="1932"/>
      <c r="S557" s="50"/>
      <c r="T557" s="1932"/>
      <c r="U557" s="1932"/>
      <c r="V557" s="1932"/>
      <c r="W557" s="1885">
        <f t="shared" si="210"/>
        <v>0</v>
      </c>
      <c r="X557" s="1891">
        <f t="shared" si="211"/>
        <v>0</v>
      </c>
      <c r="Y557" s="1891">
        <f t="shared" si="212"/>
        <v>0</v>
      </c>
      <c r="Z557" s="50"/>
      <c r="AA557" s="50"/>
      <c r="AB557" s="48"/>
      <c r="AC557" s="48"/>
      <c r="AD557" s="48"/>
      <c r="AE557" s="45"/>
      <c r="AF557" s="51"/>
      <c r="AG557" s="42"/>
      <c r="AH557" s="52" t="s">
        <v>5235</v>
      </c>
      <c r="AI557" s="197"/>
      <c r="AJ557" s="2578"/>
      <c r="AK557" s="251"/>
      <c r="AL557" s="2578"/>
      <c r="AM557" s="2562"/>
      <c r="AN557" s="2562"/>
      <c r="AO557" s="2562"/>
      <c r="AP557" s="2562"/>
      <c r="AQ557" s="2562"/>
      <c r="AR557" s="2562"/>
      <c r="AS557" s="2562"/>
      <c r="AT557" s="252">
        <f t="shared" si="213"/>
        <v>1</v>
      </c>
      <c r="AU557" s="252">
        <f t="shared" si="214"/>
        <v>1</v>
      </c>
      <c r="AV557" s="252">
        <f t="shared" si="215"/>
        <v>1</v>
      </c>
      <c r="AW557" s="252">
        <f t="shared" si="216"/>
        <v>1</v>
      </c>
      <c r="AX557" s="252">
        <f t="shared" si="217"/>
        <v>1</v>
      </c>
      <c r="AY557" s="252">
        <f t="shared" si="218"/>
        <v>1</v>
      </c>
      <c r="AZ557" s="252">
        <f t="shared" si="219"/>
        <v>1</v>
      </c>
      <c r="BA557" s="237"/>
      <c r="BB557" s="237"/>
      <c r="BC557" s="252">
        <f t="shared" si="220"/>
        <v>1</v>
      </c>
      <c r="BD557" s="237"/>
      <c r="BE557" s="237"/>
      <c r="BF557" s="237"/>
      <c r="BG557" s="237"/>
      <c r="BH557" s="237"/>
      <c r="BI557" s="237"/>
      <c r="BJ557" s="252">
        <f t="shared" si="221"/>
        <v>1</v>
      </c>
      <c r="BK557" s="252">
        <f t="shared" si="222"/>
        <v>1</v>
      </c>
      <c r="BL557" s="252">
        <f t="shared" si="223"/>
        <v>1</v>
      </c>
      <c r="BM557" s="252">
        <f t="shared" si="224"/>
        <v>1</v>
      </c>
      <c r="BN557" s="252">
        <f t="shared" si="225"/>
        <v>1</v>
      </c>
      <c r="BO557" s="252">
        <f t="shared" si="226"/>
        <v>1</v>
      </c>
      <c r="BP557" s="2578"/>
      <c r="BQ557" s="2562"/>
      <c r="BR557" s="2562"/>
      <c r="BS557" s="2585"/>
      <c r="BT557" s="2585"/>
      <c r="BU557" s="2585"/>
    </row>
    <row r="558" spans="1:73" s="22" customFormat="1" ht="15.75" hidden="1" customHeight="1" outlineLevel="1">
      <c r="A558" s="2585"/>
      <c r="B558" s="44"/>
      <c r="C558" s="45"/>
      <c r="D558" s="46"/>
      <c r="E558" s="46"/>
      <c r="F558" s="45"/>
      <c r="G558" s="46"/>
      <c r="H558" s="45"/>
      <c r="I558" s="45"/>
      <c r="J558" s="47"/>
      <c r="K558" s="48"/>
      <c r="L558" s="47"/>
      <c r="M558" s="1913"/>
      <c r="N558" s="48"/>
      <c r="O558" s="49"/>
      <c r="P558" s="49"/>
      <c r="Q558" s="1884">
        <f t="shared" si="227"/>
        <v>0</v>
      </c>
      <c r="R558" s="1932"/>
      <c r="S558" s="50"/>
      <c r="T558" s="1932"/>
      <c r="U558" s="1932"/>
      <c r="V558" s="1932"/>
      <c r="W558" s="1885">
        <f t="shared" si="210"/>
        <v>0</v>
      </c>
      <c r="X558" s="1891">
        <f t="shared" si="211"/>
        <v>0</v>
      </c>
      <c r="Y558" s="1891">
        <f t="shared" si="212"/>
        <v>0</v>
      </c>
      <c r="Z558" s="50"/>
      <c r="AA558" s="50"/>
      <c r="AB558" s="48"/>
      <c r="AC558" s="48"/>
      <c r="AD558" s="48"/>
      <c r="AE558" s="45"/>
      <c r="AF558" s="51"/>
      <c r="AG558" s="42"/>
      <c r="AH558" s="52" t="s">
        <v>5236</v>
      </c>
      <c r="AI558" s="197"/>
      <c r="AJ558" s="2578"/>
      <c r="AK558" s="251"/>
      <c r="AL558" s="2578"/>
      <c r="AM558" s="2562"/>
      <c r="AN558" s="2562"/>
      <c r="AO558" s="2562"/>
      <c r="AP558" s="2562"/>
      <c r="AQ558" s="2562"/>
      <c r="AR558" s="2562"/>
      <c r="AS558" s="2562"/>
      <c r="AT558" s="252">
        <f t="shared" si="213"/>
        <v>1</v>
      </c>
      <c r="AU558" s="252">
        <f t="shared" si="214"/>
        <v>1</v>
      </c>
      <c r="AV558" s="252">
        <f t="shared" si="215"/>
        <v>1</v>
      </c>
      <c r="AW558" s="252">
        <f t="shared" si="216"/>
        <v>1</v>
      </c>
      <c r="AX558" s="252">
        <f t="shared" si="217"/>
        <v>1</v>
      </c>
      <c r="AY558" s="252">
        <f t="shared" si="218"/>
        <v>1</v>
      </c>
      <c r="AZ558" s="252">
        <f t="shared" si="219"/>
        <v>1</v>
      </c>
      <c r="BA558" s="237"/>
      <c r="BB558" s="237"/>
      <c r="BC558" s="252">
        <f t="shared" si="220"/>
        <v>1</v>
      </c>
      <c r="BD558" s="237"/>
      <c r="BE558" s="237"/>
      <c r="BF558" s="237"/>
      <c r="BG558" s="237"/>
      <c r="BH558" s="237"/>
      <c r="BI558" s="237"/>
      <c r="BJ558" s="252">
        <f t="shared" si="221"/>
        <v>1</v>
      </c>
      <c r="BK558" s="252">
        <f t="shared" si="222"/>
        <v>1</v>
      </c>
      <c r="BL558" s="252">
        <f t="shared" si="223"/>
        <v>1</v>
      </c>
      <c r="BM558" s="252">
        <f t="shared" si="224"/>
        <v>1</v>
      </c>
      <c r="BN558" s="252">
        <f t="shared" si="225"/>
        <v>1</v>
      </c>
      <c r="BO558" s="252">
        <f t="shared" si="226"/>
        <v>1</v>
      </c>
      <c r="BP558" s="2578"/>
      <c r="BQ558" s="2562"/>
      <c r="BR558" s="2562"/>
      <c r="BS558" s="2585"/>
      <c r="BT558" s="2585"/>
      <c r="BU558" s="2585"/>
    </row>
    <row r="559" spans="1:73" s="22" customFormat="1" ht="15.75" hidden="1" customHeight="1" outlineLevel="1">
      <c r="A559" s="2585"/>
      <c r="B559" s="44"/>
      <c r="C559" s="45"/>
      <c r="D559" s="46"/>
      <c r="E559" s="46"/>
      <c r="F559" s="45"/>
      <c r="G559" s="46"/>
      <c r="H559" s="45"/>
      <c r="I559" s="45"/>
      <c r="J559" s="47"/>
      <c r="K559" s="48"/>
      <c r="L559" s="47"/>
      <c r="M559" s="1913"/>
      <c r="N559" s="48"/>
      <c r="O559" s="49"/>
      <c r="P559" s="49"/>
      <c r="Q559" s="1884">
        <f t="shared" si="227"/>
        <v>0</v>
      </c>
      <c r="R559" s="1932"/>
      <c r="S559" s="50"/>
      <c r="T559" s="1932"/>
      <c r="U559" s="1932"/>
      <c r="V559" s="1932"/>
      <c r="W559" s="1885">
        <f t="shared" si="210"/>
        <v>0</v>
      </c>
      <c r="X559" s="1891">
        <f t="shared" si="211"/>
        <v>0</v>
      </c>
      <c r="Y559" s="1891">
        <f t="shared" si="212"/>
        <v>0</v>
      </c>
      <c r="Z559" s="50"/>
      <c r="AA559" s="50"/>
      <c r="AB559" s="48"/>
      <c r="AC559" s="48"/>
      <c r="AD559" s="48"/>
      <c r="AE559" s="45"/>
      <c r="AF559" s="51"/>
      <c r="AG559" s="42"/>
      <c r="AH559" s="52" t="s">
        <v>5237</v>
      </c>
      <c r="AI559" s="197"/>
      <c r="AJ559" s="2578"/>
      <c r="AK559" s="251"/>
      <c r="AL559" s="2578"/>
      <c r="AM559" s="2562"/>
      <c r="AN559" s="2562"/>
      <c r="AO559" s="2562"/>
      <c r="AP559" s="2562"/>
      <c r="AQ559" s="2562"/>
      <c r="AR559" s="2562"/>
      <c r="AS559" s="2562"/>
      <c r="AT559" s="252">
        <f t="shared" si="213"/>
        <v>1</v>
      </c>
      <c r="AU559" s="252">
        <f t="shared" si="214"/>
        <v>1</v>
      </c>
      <c r="AV559" s="252">
        <f t="shared" si="215"/>
        <v>1</v>
      </c>
      <c r="AW559" s="252">
        <f t="shared" si="216"/>
        <v>1</v>
      </c>
      <c r="AX559" s="252">
        <f t="shared" si="217"/>
        <v>1</v>
      </c>
      <c r="AY559" s="252">
        <f t="shared" si="218"/>
        <v>1</v>
      </c>
      <c r="AZ559" s="252">
        <f t="shared" si="219"/>
        <v>1</v>
      </c>
      <c r="BA559" s="237"/>
      <c r="BB559" s="237"/>
      <c r="BC559" s="252">
        <f t="shared" si="220"/>
        <v>1</v>
      </c>
      <c r="BD559" s="237"/>
      <c r="BE559" s="237"/>
      <c r="BF559" s="237"/>
      <c r="BG559" s="237"/>
      <c r="BH559" s="237"/>
      <c r="BI559" s="237"/>
      <c r="BJ559" s="252">
        <f t="shared" si="221"/>
        <v>1</v>
      </c>
      <c r="BK559" s="252">
        <f t="shared" si="222"/>
        <v>1</v>
      </c>
      <c r="BL559" s="252">
        <f t="shared" si="223"/>
        <v>1</v>
      </c>
      <c r="BM559" s="252">
        <f t="shared" si="224"/>
        <v>1</v>
      </c>
      <c r="BN559" s="252">
        <f t="shared" si="225"/>
        <v>1</v>
      </c>
      <c r="BO559" s="252">
        <f t="shared" si="226"/>
        <v>1</v>
      </c>
      <c r="BP559" s="2578"/>
      <c r="BQ559" s="2562"/>
      <c r="BR559" s="2562"/>
      <c r="BS559" s="2585"/>
      <c r="BT559" s="2585"/>
      <c r="BU559" s="2585"/>
    </row>
    <row r="560" spans="1:73" s="22" customFormat="1" ht="15.75" hidden="1" customHeight="1" outlineLevel="1">
      <c r="A560" s="2585"/>
      <c r="B560" s="44"/>
      <c r="C560" s="45"/>
      <c r="D560" s="46"/>
      <c r="E560" s="46"/>
      <c r="F560" s="45"/>
      <c r="G560" s="46"/>
      <c r="H560" s="45"/>
      <c r="I560" s="45"/>
      <c r="J560" s="47"/>
      <c r="K560" s="48"/>
      <c r="L560" s="47"/>
      <c r="M560" s="1913"/>
      <c r="N560" s="48"/>
      <c r="O560" s="49"/>
      <c r="P560" s="49"/>
      <c r="Q560" s="1884">
        <f t="shared" si="227"/>
        <v>0</v>
      </c>
      <c r="R560" s="1932"/>
      <c r="S560" s="50"/>
      <c r="T560" s="1932"/>
      <c r="U560" s="1932"/>
      <c r="V560" s="1932"/>
      <c r="W560" s="1885">
        <f t="shared" si="210"/>
        <v>0</v>
      </c>
      <c r="X560" s="1891">
        <f t="shared" si="211"/>
        <v>0</v>
      </c>
      <c r="Y560" s="1891">
        <f t="shared" si="212"/>
        <v>0</v>
      </c>
      <c r="Z560" s="50"/>
      <c r="AA560" s="50"/>
      <c r="AB560" s="48"/>
      <c r="AC560" s="48"/>
      <c r="AD560" s="48"/>
      <c r="AE560" s="45"/>
      <c r="AF560" s="51"/>
      <c r="AG560" s="42"/>
      <c r="AH560" s="52" t="s">
        <v>5238</v>
      </c>
      <c r="AI560" s="197"/>
      <c r="AJ560" s="2578"/>
      <c r="AK560" s="251"/>
      <c r="AL560" s="2578"/>
      <c r="AM560" s="2562"/>
      <c r="AN560" s="2562"/>
      <c r="AO560" s="2562"/>
      <c r="AP560" s="2562"/>
      <c r="AQ560" s="2562"/>
      <c r="AR560" s="2562"/>
      <c r="AS560" s="2562"/>
      <c r="AT560" s="252">
        <f t="shared" si="213"/>
        <v>1</v>
      </c>
      <c r="AU560" s="252">
        <f t="shared" si="214"/>
        <v>1</v>
      </c>
      <c r="AV560" s="252">
        <f t="shared" si="215"/>
        <v>1</v>
      </c>
      <c r="AW560" s="252">
        <f t="shared" si="216"/>
        <v>1</v>
      </c>
      <c r="AX560" s="252">
        <f t="shared" si="217"/>
        <v>1</v>
      </c>
      <c r="AY560" s="252">
        <f t="shared" si="218"/>
        <v>1</v>
      </c>
      <c r="AZ560" s="252">
        <f t="shared" si="219"/>
        <v>1</v>
      </c>
      <c r="BA560" s="237"/>
      <c r="BB560" s="237"/>
      <c r="BC560" s="252">
        <f t="shared" si="220"/>
        <v>1</v>
      </c>
      <c r="BD560" s="237"/>
      <c r="BE560" s="237"/>
      <c r="BF560" s="237"/>
      <c r="BG560" s="237"/>
      <c r="BH560" s="237"/>
      <c r="BI560" s="237"/>
      <c r="BJ560" s="252">
        <f t="shared" si="221"/>
        <v>1</v>
      </c>
      <c r="BK560" s="252">
        <f t="shared" si="222"/>
        <v>1</v>
      </c>
      <c r="BL560" s="252">
        <f t="shared" si="223"/>
        <v>1</v>
      </c>
      <c r="BM560" s="252">
        <f t="shared" si="224"/>
        <v>1</v>
      </c>
      <c r="BN560" s="252">
        <f t="shared" si="225"/>
        <v>1</v>
      </c>
      <c r="BO560" s="252">
        <f t="shared" si="226"/>
        <v>1</v>
      </c>
      <c r="BP560" s="2578"/>
      <c r="BQ560" s="2562"/>
      <c r="BR560" s="2562"/>
      <c r="BS560" s="2585"/>
      <c r="BT560" s="2585"/>
      <c r="BU560" s="2585"/>
    </row>
    <row r="561" spans="1:73" s="22" customFormat="1" ht="15.75" hidden="1" customHeight="1" outlineLevel="1">
      <c r="A561" s="2585"/>
      <c r="B561" s="44"/>
      <c r="C561" s="45"/>
      <c r="D561" s="46"/>
      <c r="E561" s="46"/>
      <c r="F561" s="45"/>
      <c r="G561" s="46"/>
      <c r="H561" s="45"/>
      <c r="I561" s="45"/>
      <c r="J561" s="47"/>
      <c r="K561" s="48"/>
      <c r="L561" s="47"/>
      <c r="M561" s="1913"/>
      <c r="N561" s="48"/>
      <c r="O561" s="49"/>
      <c r="P561" s="49"/>
      <c r="Q561" s="1884">
        <f t="shared" si="227"/>
        <v>0</v>
      </c>
      <c r="R561" s="1932"/>
      <c r="S561" s="50"/>
      <c r="T561" s="1932"/>
      <c r="U561" s="1932"/>
      <c r="V561" s="1932"/>
      <c r="W561" s="1885">
        <f t="shared" si="210"/>
        <v>0</v>
      </c>
      <c r="X561" s="1891">
        <f t="shared" si="211"/>
        <v>0</v>
      </c>
      <c r="Y561" s="1891">
        <f t="shared" si="212"/>
        <v>0</v>
      </c>
      <c r="Z561" s="50"/>
      <c r="AA561" s="50"/>
      <c r="AB561" s="48"/>
      <c r="AC561" s="48"/>
      <c r="AD561" s="48"/>
      <c r="AE561" s="45"/>
      <c r="AF561" s="51"/>
      <c r="AG561" s="42"/>
      <c r="AH561" s="52" t="s">
        <v>5239</v>
      </c>
      <c r="AI561" s="197"/>
      <c r="AJ561" s="2578"/>
      <c r="AK561" s="251"/>
      <c r="AL561" s="2578"/>
      <c r="AM561" s="2562"/>
      <c r="AN561" s="2562"/>
      <c r="AO561" s="2562"/>
      <c r="AP561" s="2562"/>
      <c r="AQ561" s="2562"/>
      <c r="AR561" s="2562"/>
      <c r="AS561" s="2562"/>
      <c r="AT561" s="252">
        <f t="shared" si="213"/>
        <v>1</v>
      </c>
      <c r="AU561" s="252">
        <f t="shared" si="214"/>
        <v>1</v>
      </c>
      <c r="AV561" s="252">
        <f t="shared" si="215"/>
        <v>1</v>
      </c>
      <c r="AW561" s="252">
        <f t="shared" si="216"/>
        <v>1</v>
      </c>
      <c r="AX561" s="252">
        <f t="shared" si="217"/>
        <v>1</v>
      </c>
      <c r="AY561" s="252">
        <f t="shared" si="218"/>
        <v>1</v>
      </c>
      <c r="AZ561" s="252">
        <f t="shared" si="219"/>
        <v>1</v>
      </c>
      <c r="BA561" s="237"/>
      <c r="BB561" s="237"/>
      <c r="BC561" s="252">
        <f t="shared" si="220"/>
        <v>1</v>
      </c>
      <c r="BD561" s="237"/>
      <c r="BE561" s="237"/>
      <c r="BF561" s="237"/>
      <c r="BG561" s="237"/>
      <c r="BH561" s="237"/>
      <c r="BI561" s="237"/>
      <c r="BJ561" s="252">
        <f t="shared" si="221"/>
        <v>1</v>
      </c>
      <c r="BK561" s="252">
        <f t="shared" si="222"/>
        <v>1</v>
      </c>
      <c r="BL561" s="252">
        <f t="shared" si="223"/>
        <v>1</v>
      </c>
      <c r="BM561" s="252">
        <f t="shared" si="224"/>
        <v>1</v>
      </c>
      <c r="BN561" s="252">
        <f t="shared" si="225"/>
        <v>1</v>
      </c>
      <c r="BO561" s="252">
        <f t="shared" si="226"/>
        <v>1</v>
      </c>
      <c r="BP561" s="2578"/>
      <c r="BQ561" s="2562"/>
      <c r="BR561" s="2562"/>
      <c r="BS561" s="2585"/>
      <c r="BT561" s="2585"/>
      <c r="BU561" s="2585"/>
    </row>
    <row r="562" spans="1:73" s="22" customFormat="1" ht="15.75" hidden="1" customHeight="1" outlineLevel="1">
      <c r="A562" s="2585"/>
      <c r="B562" s="44"/>
      <c r="C562" s="45"/>
      <c r="D562" s="46"/>
      <c r="E562" s="46"/>
      <c r="F562" s="45"/>
      <c r="G562" s="46"/>
      <c r="H562" s="45"/>
      <c r="I562" s="45"/>
      <c r="J562" s="47"/>
      <c r="K562" s="48"/>
      <c r="L562" s="47"/>
      <c r="M562" s="1913"/>
      <c r="N562" s="48"/>
      <c r="O562" s="49"/>
      <c r="P562" s="49"/>
      <c r="Q562" s="1884">
        <f t="shared" si="227"/>
        <v>0</v>
      </c>
      <c r="R562" s="1932"/>
      <c r="S562" s="50"/>
      <c r="T562" s="1932"/>
      <c r="U562" s="1932"/>
      <c r="V562" s="1932"/>
      <c r="W562" s="1885">
        <f t="shared" si="210"/>
        <v>0</v>
      </c>
      <c r="X562" s="1891">
        <f t="shared" si="211"/>
        <v>0</v>
      </c>
      <c r="Y562" s="1891">
        <f t="shared" si="212"/>
        <v>0</v>
      </c>
      <c r="Z562" s="50"/>
      <c r="AA562" s="50"/>
      <c r="AB562" s="48"/>
      <c r="AC562" s="48"/>
      <c r="AD562" s="48"/>
      <c r="AE562" s="45"/>
      <c r="AF562" s="51"/>
      <c r="AG562" s="42"/>
      <c r="AH562" s="52" t="s">
        <v>5240</v>
      </c>
      <c r="AI562" s="197"/>
      <c r="AJ562" s="2578"/>
      <c r="AK562" s="251"/>
      <c r="AL562" s="2578"/>
      <c r="AM562" s="2562"/>
      <c r="AN562" s="2562"/>
      <c r="AO562" s="2562"/>
      <c r="AP562" s="2562"/>
      <c r="AQ562" s="2562"/>
      <c r="AR562" s="2562"/>
      <c r="AS562" s="2562"/>
      <c r="AT562" s="252">
        <f t="shared" si="213"/>
        <v>1</v>
      </c>
      <c r="AU562" s="252">
        <f t="shared" si="214"/>
        <v>1</v>
      </c>
      <c r="AV562" s="252">
        <f t="shared" si="215"/>
        <v>1</v>
      </c>
      <c r="AW562" s="252">
        <f t="shared" si="216"/>
        <v>1</v>
      </c>
      <c r="AX562" s="252">
        <f t="shared" si="217"/>
        <v>1</v>
      </c>
      <c r="AY562" s="252">
        <f t="shared" si="218"/>
        <v>1</v>
      </c>
      <c r="AZ562" s="252">
        <f t="shared" si="219"/>
        <v>1</v>
      </c>
      <c r="BA562" s="237"/>
      <c r="BB562" s="237"/>
      <c r="BC562" s="252">
        <f t="shared" si="220"/>
        <v>1</v>
      </c>
      <c r="BD562" s="237"/>
      <c r="BE562" s="237"/>
      <c r="BF562" s="237"/>
      <c r="BG562" s="237"/>
      <c r="BH562" s="237"/>
      <c r="BI562" s="237"/>
      <c r="BJ562" s="252">
        <f t="shared" si="221"/>
        <v>1</v>
      </c>
      <c r="BK562" s="252">
        <f t="shared" si="222"/>
        <v>1</v>
      </c>
      <c r="BL562" s="252">
        <f t="shared" si="223"/>
        <v>1</v>
      </c>
      <c r="BM562" s="252">
        <f t="shared" si="224"/>
        <v>1</v>
      </c>
      <c r="BN562" s="252">
        <f t="shared" si="225"/>
        <v>1</v>
      </c>
      <c r="BO562" s="252">
        <f t="shared" si="226"/>
        <v>1</v>
      </c>
      <c r="BP562" s="2578"/>
      <c r="BQ562" s="2562"/>
      <c r="BR562" s="2562"/>
      <c r="BS562" s="2585"/>
      <c r="BT562" s="2585"/>
      <c r="BU562" s="2585"/>
    </row>
    <row r="563" spans="1:73" s="22" customFormat="1" ht="15.75" hidden="1" customHeight="1" outlineLevel="1">
      <c r="A563" s="2585"/>
      <c r="B563" s="44"/>
      <c r="C563" s="45"/>
      <c r="D563" s="46"/>
      <c r="E563" s="46"/>
      <c r="F563" s="45"/>
      <c r="G563" s="46"/>
      <c r="H563" s="45"/>
      <c r="I563" s="45"/>
      <c r="J563" s="47"/>
      <c r="K563" s="48"/>
      <c r="L563" s="47"/>
      <c r="M563" s="1913"/>
      <c r="N563" s="48"/>
      <c r="O563" s="49"/>
      <c r="P563" s="49"/>
      <c r="Q563" s="1884">
        <f t="shared" si="227"/>
        <v>0</v>
      </c>
      <c r="R563" s="1932"/>
      <c r="S563" s="50"/>
      <c r="T563" s="1932"/>
      <c r="U563" s="1932"/>
      <c r="V563" s="1932"/>
      <c r="W563" s="1885">
        <f t="shared" si="210"/>
        <v>0</v>
      </c>
      <c r="X563" s="1891">
        <f t="shared" si="211"/>
        <v>0</v>
      </c>
      <c r="Y563" s="1891">
        <f t="shared" si="212"/>
        <v>0</v>
      </c>
      <c r="Z563" s="50"/>
      <c r="AA563" s="50"/>
      <c r="AB563" s="48"/>
      <c r="AC563" s="48"/>
      <c r="AD563" s="48"/>
      <c r="AE563" s="45"/>
      <c r="AF563" s="51"/>
      <c r="AG563" s="42"/>
      <c r="AH563" s="52" t="s">
        <v>5241</v>
      </c>
      <c r="AI563" s="197"/>
      <c r="AJ563" s="2578"/>
      <c r="AK563" s="251"/>
      <c r="AL563" s="2578"/>
      <c r="AM563" s="2562"/>
      <c r="AN563" s="2562"/>
      <c r="AO563" s="2562"/>
      <c r="AP563" s="2562"/>
      <c r="AQ563" s="2562"/>
      <c r="AR563" s="2562"/>
      <c r="AS563" s="2562"/>
      <c r="AT563" s="252">
        <f t="shared" si="213"/>
        <v>1</v>
      </c>
      <c r="AU563" s="252">
        <f t="shared" si="214"/>
        <v>1</v>
      </c>
      <c r="AV563" s="252">
        <f t="shared" si="215"/>
        <v>1</v>
      </c>
      <c r="AW563" s="252">
        <f t="shared" si="216"/>
        <v>1</v>
      </c>
      <c r="AX563" s="252">
        <f t="shared" si="217"/>
        <v>1</v>
      </c>
      <c r="AY563" s="252">
        <f t="shared" si="218"/>
        <v>1</v>
      </c>
      <c r="AZ563" s="252">
        <f t="shared" si="219"/>
        <v>1</v>
      </c>
      <c r="BA563" s="237"/>
      <c r="BB563" s="237"/>
      <c r="BC563" s="252">
        <f t="shared" si="220"/>
        <v>1</v>
      </c>
      <c r="BD563" s="237"/>
      <c r="BE563" s="237"/>
      <c r="BF563" s="237"/>
      <c r="BG563" s="237"/>
      <c r="BH563" s="237"/>
      <c r="BI563" s="237"/>
      <c r="BJ563" s="252">
        <f t="shared" si="221"/>
        <v>1</v>
      </c>
      <c r="BK563" s="252">
        <f t="shared" si="222"/>
        <v>1</v>
      </c>
      <c r="BL563" s="252">
        <f t="shared" si="223"/>
        <v>1</v>
      </c>
      <c r="BM563" s="252">
        <f t="shared" si="224"/>
        <v>1</v>
      </c>
      <c r="BN563" s="252">
        <f t="shared" si="225"/>
        <v>1</v>
      </c>
      <c r="BO563" s="252">
        <f t="shared" si="226"/>
        <v>1</v>
      </c>
      <c r="BP563" s="2578"/>
      <c r="BQ563" s="2562"/>
      <c r="BR563" s="2562"/>
      <c r="BS563" s="2585"/>
      <c r="BT563" s="2585"/>
      <c r="BU563" s="2585"/>
    </row>
    <row r="564" spans="1:73" s="22" customFormat="1" ht="15.75" hidden="1" customHeight="1" outlineLevel="1">
      <c r="A564" s="2585"/>
      <c r="B564" s="44"/>
      <c r="C564" s="45"/>
      <c r="D564" s="46"/>
      <c r="E564" s="46"/>
      <c r="F564" s="45"/>
      <c r="G564" s="46"/>
      <c r="H564" s="45"/>
      <c r="I564" s="45"/>
      <c r="J564" s="47"/>
      <c r="K564" s="48"/>
      <c r="L564" s="47"/>
      <c r="M564" s="1913"/>
      <c r="N564" s="48"/>
      <c r="O564" s="49"/>
      <c r="P564" s="49"/>
      <c r="Q564" s="1884">
        <f t="shared" si="227"/>
        <v>0</v>
      </c>
      <c r="R564" s="1932"/>
      <c r="S564" s="50"/>
      <c r="T564" s="1932"/>
      <c r="U564" s="1932"/>
      <c r="V564" s="1932"/>
      <c r="W564" s="1885">
        <f t="shared" si="210"/>
        <v>0</v>
      </c>
      <c r="X564" s="1891">
        <f t="shared" si="211"/>
        <v>0</v>
      </c>
      <c r="Y564" s="1891">
        <f t="shared" si="212"/>
        <v>0</v>
      </c>
      <c r="Z564" s="50"/>
      <c r="AA564" s="50"/>
      <c r="AB564" s="48"/>
      <c r="AC564" s="48"/>
      <c r="AD564" s="48"/>
      <c r="AE564" s="45"/>
      <c r="AF564" s="51"/>
      <c r="AG564" s="42"/>
      <c r="AH564" s="52" t="s">
        <v>5242</v>
      </c>
      <c r="AI564" s="197"/>
      <c r="AJ564" s="2578"/>
      <c r="AK564" s="251"/>
      <c r="AL564" s="2578"/>
      <c r="AM564" s="2562"/>
      <c r="AN564" s="2562"/>
      <c r="AO564" s="2562"/>
      <c r="AP564" s="2562"/>
      <c r="AQ564" s="2562"/>
      <c r="AR564" s="2562"/>
      <c r="AS564" s="2562"/>
      <c r="AT564" s="252">
        <f t="shared" si="213"/>
        <v>1</v>
      </c>
      <c r="AU564" s="252">
        <f t="shared" si="214"/>
        <v>1</v>
      </c>
      <c r="AV564" s="252">
        <f t="shared" si="215"/>
        <v>1</v>
      </c>
      <c r="AW564" s="252">
        <f t="shared" si="216"/>
        <v>1</v>
      </c>
      <c r="AX564" s="252">
        <f t="shared" si="217"/>
        <v>1</v>
      </c>
      <c r="AY564" s="252">
        <f t="shared" si="218"/>
        <v>1</v>
      </c>
      <c r="AZ564" s="252">
        <f t="shared" si="219"/>
        <v>1</v>
      </c>
      <c r="BA564" s="237"/>
      <c r="BB564" s="237"/>
      <c r="BC564" s="252">
        <f t="shared" si="220"/>
        <v>1</v>
      </c>
      <c r="BD564" s="237"/>
      <c r="BE564" s="237"/>
      <c r="BF564" s="237"/>
      <c r="BG564" s="237"/>
      <c r="BH564" s="237"/>
      <c r="BI564" s="237"/>
      <c r="BJ564" s="252">
        <f t="shared" si="221"/>
        <v>1</v>
      </c>
      <c r="BK564" s="252">
        <f t="shared" si="222"/>
        <v>1</v>
      </c>
      <c r="BL564" s="252">
        <f t="shared" si="223"/>
        <v>1</v>
      </c>
      <c r="BM564" s="252">
        <f t="shared" si="224"/>
        <v>1</v>
      </c>
      <c r="BN564" s="252">
        <f t="shared" si="225"/>
        <v>1</v>
      </c>
      <c r="BO564" s="252">
        <f t="shared" si="226"/>
        <v>1</v>
      </c>
      <c r="BP564" s="2578"/>
      <c r="BQ564" s="2562"/>
      <c r="BR564" s="2562"/>
      <c r="BS564" s="2585"/>
      <c r="BT564" s="2585"/>
      <c r="BU564" s="2585"/>
    </row>
    <row r="565" spans="1:73" s="22" customFormat="1" ht="15.75" hidden="1" customHeight="1" outlineLevel="1">
      <c r="A565" s="2585"/>
      <c r="B565" s="44"/>
      <c r="C565" s="45"/>
      <c r="D565" s="46"/>
      <c r="E565" s="46"/>
      <c r="F565" s="45"/>
      <c r="G565" s="46"/>
      <c r="H565" s="45"/>
      <c r="I565" s="45"/>
      <c r="J565" s="47"/>
      <c r="K565" s="48"/>
      <c r="L565" s="47"/>
      <c r="M565" s="1913"/>
      <c r="N565" s="48"/>
      <c r="O565" s="49"/>
      <c r="P565" s="49"/>
      <c r="Q565" s="1884">
        <f t="shared" si="227"/>
        <v>0</v>
      </c>
      <c r="R565" s="1932"/>
      <c r="S565" s="50"/>
      <c r="T565" s="1932"/>
      <c r="U565" s="1932"/>
      <c r="V565" s="1932"/>
      <c r="W565" s="1885">
        <f t="shared" si="210"/>
        <v>0</v>
      </c>
      <c r="X565" s="1891">
        <f t="shared" si="211"/>
        <v>0</v>
      </c>
      <c r="Y565" s="1891">
        <f t="shared" si="212"/>
        <v>0</v>
      </c>
      <c r="Z565" s="50"/>
      <c r="AA565" s="50"/>
      <c r="AB565" s="48"/>
      <c r="AC565" s="48"/>
      <c r="AD565" s="48"/>
      <c r="AE565" s="45"/>
      <c r="AF565" s="51"/>
      <c r="AG565" s="42"/>
      <c r="AH565" s="52" t="s">
        <v>5243</v>
      </c>
      <c r="AI565" s="197"/>
      <c r="AJ565" s="2578"/>
      <c r="AK565" s="251"/>
      <c r="AL565" s="2578"/>
      <c r="AM565" s="2562"/>
      <c r="AN565" s="2562"/>
      <c r="AO565" s="2562"/>
      <c r="AP565" s="2562"/>
      <c r="AQ565" s="2562"/>
      <c r="AR565" s="2562"/>
      <c r="AS565" s="2562"/>
      <c r="AT565" s="252">
        <f t="shared" si="213"/>
        <v>1</v>
      </c>
      <c r="AU565" s="252">
        <f t="shared" si="214"/>
        <v>1</v>
      </c>
      <c r="AV565" s="252">
        <f t="shared" si="215"/>
        <v>1</v>
      </c>
      <c r="AW565" s="252">
        <f t="shared" si="216"/>
        <v>1</v>
      </c>
      <c r="AX565" s="252">
        <f t="shared" si="217"/>
        <v>1</v>
      </c>
      <c r="AY565" s="252">
        <f t="shared" si="218"/>
        <v>1</v>
      </c>
      <c r="AZ565" s="252">
        <f t="shared" si="219"/>
        <v>1</v>
      </c>
      <c r="BA565" s="237"/>
      <c r="BB565" s="237"/>
      <c r="BC565" s="252">
        <f t="shared" si="220"/>
        <v>1</v>
      </c>
      <c r="BD565" s="237"/>
      <c r="BE565" s="237"/>
      <c r="BF565" s="237"/>
      <c r="BG565" s="237"/>
      <c r="BH565" s="237"/>
      <c r="BI565" s="237"/>
      <c r="BJ565" s="252">
        <f t="shared" si="221"/>
        <v>1</v>
      </c>
      <c r="BK565" s="252">
        <f t="shared" si="222"/>
        <v>1</v>
      </c>
      <c r="BL565" s="252">
        <f t="shared" si="223"/>
        <v>1</v>
      </c>
      <c r="BM565" s="252">
        <f t="shared" si="224"/>
        <v>1</v>
      </c>
      <c r="BN565" s="252">
        <f t="shared" si="225"/>
        <v>1</v>
      </c>
      <c r="BO565" s="252">
        <f t="shared" si="226"/>
        <v>1</v>
      </c>
      <c r="BP565" s="2578"/>
      <c r="BQ565" s="2562"/>
      <c r="BR565" s="2562"/>
      <c r="BS565" s="2585"/>
      <c r="BT565" s="2585"/>
      <c r="BU565" s="2585"/>
    </row>
    <row r="566" spans="1:73" s="22" customFormat="1" ht="15.75" hidden="1" customHeight="1" outlineLevel="1">
      <c r="A566" s="2585"/>
      <c r="B566" s="44"/>
      <c r="C566" s="45"/>
      <c r="D566" s="46"/>
      <c r="E566" s="46"/>
      <c r="F566" s="45"/>
      <c r="G566" s="46"/>
      <c r="H566" s="45"/>
      <c r="I566" s="45"/>
      <c r="J566" s="47"/>
      <c r="K566" s="48"/>
      <c r="L566" s="47"/>
      <c r="M566" s="1913"/>
      <c r="N566" s="48"/>
      <c r="O566" s="49"/>
      <c r="P566" s="49"/>
      <c r="Q566" s="1884">
        <f t="shared" si="227"/>
        <v>0</v>
      </c>
      <c r="R566" s="1932"/>
      <c r="S566" s="50"/>
      <c r="T566" s="1932"/>
      <c r="U566" s="1932"/>
      <c r="V566" s="1932"/>
      <c r="W566" s="1885">
        <f t="shared" si="210"/>
        <v>0</v>
      </c>
      <c r="X566" s="1891">
        <f t="shared" si="211"/>
        <v>0</v>
      </c>
      <c r="Y566" s="1891">
        <f t="shared" si="212"/>
        <v>0</v>
      </c>
      <c r="Z566" s="50"/>
      <c r="AA566" s="50"/>
      <c r="AB566" s="48"/>
      <c r="AC566" s="48"/>
      <c r="AD566" s="48"/>
      <c r="AE566" s="45"/>
      <c r="AF566" s="51"/>
      <c r="AG566" s="42"/>
      <c r="AH566" s="52" t="s">
        <v>5244</v>
      </c>
      <c r="AI566" s="197"/>
      <c r="AJ566" s="2578"/>
      <c r="AK566" s="251"/>
      <c r="AL566" s="2578"/>
      <c r="AM566" s="2562"/>
      <c r="AN566" s="2562"/>
      <c r="AO566" s="2562"/>
      <c r="AP566" s="2562"/>
      <c r="AQ566" s="2562"/>
      <c r="AR566" s="2562"/>
      <c r="AS566" s="2562"/>
      <c r="AT566" s="252">
        <f t="shared" si="213"/>
        <v>1</v>
      </c>
      <c r="AU566" s="252">
        <f t="shared" si="214"/>
        <v>1</v>
      </c>
      <c r="AV566" s="252">
        <f t="shared" si="215"/>
        <v>1</v>
      </c>
      <c r="AW566" s="252">
        <f t="shared" si="216"/>
        <v>1</v>
      </c>
      <c r="AX566" s="252">
        <f t="shared" si="217"/>
        <v>1</v>
      </c>
      <c r="AY566" s="252">
        <f t="shared" si="218"/>
        <v>1</v>
      </c>
      <c r="AZ566" s="252">
        <f t="shared" si="219"/>
        <v>1</v>
      </c>
      <c r="BA566" s="237"/>
      <c r="BB566" s="237"/>
      <c r="BC566" s="252">
        <f t="shared" si="220"/>
        <v>1</v>
      </c>
      <c r="BD566" s="237"/>
      <c r="BE566" s="237"/>
      <c r="BF566" s="237"/>
      <c r="BG566" s="237"/>
      <c r="BH566" s="237"/>
      <c r="BI566" s="237"/>
      <c r="BJ566" s="252">
        <f t="shared" si="221"/>
        <v>1</v>
      </c>
      <c r="BK566" s="252">
        <f t="shared" si="222"/>
        <v>1</v>
      </c>
      <c r="BL566" s="252">
        <f t="shared" si="223"/>
        <v>1</v>
      </c>
      <c r="BM566" s="252">
        <f t="shared" si="224"/>
        <v>1</v>
      </c>
      <c r="BN566" s="252">
        <f t="shared" si="225"/>
        <v>1</v>
      </c>
      <c r="BO566" s="252">
        <f t="shared" si="226"/>
        <v>1</v>
      </c>
      <c r="BP566" s="2578"/>
      <c r="BQ566" s="2562"/>
      <c r="BR566" s="2562"/>
      <c r="BS566" s="2585"/>
      <c r="BT566" s="2585"/>
      <c r="BU566" s="2585"/>
    </row>
    <row r="567" spans="1:73" s="22" customFormat="1" ht="15.75" hidden="1" customHeight="1" outlineLevel="1">
      <c r="A567" s="2585"/>
      <c r="B567" s="44"/>
      <c r="C567" s="45"/>
      <c r="D567" s="46"/>
      <c r="E567" s="46"/>
      <c r="F567" s="45"/>
      <c r="G567" s="46"/>
      <c r="H567" s="45"/>
      <c r="I567" s="45"/>
      <c r="J567" s="47"/>
      <c r="K567" s="48"/>
      <c r="L567" s="47"/>
      <c r="M567" s="1913"/>
      <c r="N567" s="48"/>
      <c r="O567" s="49"/>
      <c r="P567" s="49"/>
      <c r="Q567" s="1884">
        <f t="shared" si="227"/>
        <v>0</v>
      </c>
      <c r="R567" s="1932"/>
      <c r="S567" s="50"/>
      <c r="T567" s="1932"/>
      <c r="U567" s="1932"/>
      <c r="V567" s="1932"/>
      <c r="W567" s="1885">
        <f t="shared" si="210"/>
        <v>0</v>
      </c>
      <c r="X567" s="1891">
        <f t="shared" si="211"/>
        <v>0</v>
      </c>
      <c r="Y567" s="1891">
        <f t="shared" si="212"/>
        <v>0</v>
      </c>
      <c r="Z567" s="50"/>
      <c r="AA567" s="50"/>
      <c r="AB567" s="48"/>
      <c r="AC567" s="48"/>
      <c r="AD567" s="48"/>
      <c r="AE567" s="45"/>
      <c r="AF567" s="51"/>
      <c r="AG567" s="42"/>
      <c r="AH567" s="52" t="s">
        <v>5245</v>
      </c>
      <c r="AI567" s="197"/>
      <c r="AJ567" s="2578"/>
      <c r="AK567" s="251"/>
      <c r="AL567" s="2578"/>
      <c r="AM567" s="2562"/>
      <c r="AN567" s="2562"/>
      <c r="AO567" s="2562"/>
      <c r="AP567" s="2562"/>
      <c r="AQ567" s="2562"/>
      <c r="AR567" s="2562"/>
      <c r="AS567" s="2562"/>
      <c r="AT567" s="252">
        <f t="shared" si="213"/>
        <v>1</v>
      </c>
      <c r="AU567" s="252">
        <f t="shared" si="214"/>
        <v>1</v>
      </c>
      <c r="AV567" s="252">
        <f t="shared" si="215"/>
        <v>1</v>
      </c>
      <c r="AW567" s="252">
        <f t="shared" si="216"/>
        <v>1</v>
      </c>
      <c r="AX567" s="252">
        <f t="shared" si="217"/>
        <v>1</v>
      </c>
      <c r="AY567" s="252">
        <f t="shared" si="218"/>
        <v>1</v>
      </c>
      <c r="AZ567" s="252">
        <f t="shared" si="219"/>
        <v>1</v>
      </c>
      <c r="BA567" s="237"/>
      <c r="BB567" s="237"/>
      <c r="BC567" s="252">
        <f t="shared" si="220"/>
        <v>1</v>
      </c>
      <c r="BD567" s="237"/>
      <c r="BE567" s="237"/>
      <c r="BF567" s="237"/>
      <c r="BG567" s="237"/>
      <c r="BH567" s="237"/>
      <c r="BI567" s="237"/>
      <c r="BJ567" s="252">
        <f t="shared" si="221"/>
        <v>1</v>
      </c>
      <c r="BK567" s="252">
        <f t="shared" si="222"/>
        <v>1</v>
      </c>
      <c r="BL567" s="252">
        <f t="shared" si="223"/>
        <v>1</v>
      </c>
      <c r="BM567" s="252">
        <f t="shared" si="224"/>
        <v>1</v>
      </c>
      <c r="BN567" s="252">
        <f t="shared" si="225"/>
        <v>1</v>
      </c>
      <c r="BO567" s="252">
        <f t="shared" si="226"/>
        <v>1</v>
      </c>
      <c r="BP567" s="2578"/>
      <c r="BQ567" s="2562"/>
      <c r="BR567" s="2562"/>
      <c r="BS567" s="2585"/>
      <c r="BT567" s="2585"/>
      <c r="BU567" s="2585"/>
    </row>
    <row r="568" spans="1:73" s="22" customFormat="1" ht="15.75" customHeight="1" collapsed="1">
      <c r="A568" s="2585"/>
      <c r="B568" s="44"/>
      <c r="C568" s="45"/>
      <c r="D568" s="46"/>
      <c r="E568" s="46"/>
      <c r="F568" s="45"/>
      <c r="G568" s="46"/>
      <c r="H568" s="45"/>
      <c r="I568" s="45"/>
      <c r="J568" s="47"/>
      <c r="K568" s="48"/>
      <c r="L568" s="47"/>
      <c r="M568" s="1913"/>
      <c r="N568" s="48"/>
      <c r="O568" s="49"/>
      <c r="P568" s="49"/>
      <c r="Q568" s="1884">
        <f t="shared" si="227"/>
        <v>0</v>
      </c>
      <c r="R568" s="1932"/>
      <c r="S568" s="50"/>
      <c r="T568" s="1932"/>
      <c r="U568" s="1932"/>
      <c r="V568" s="1932"/>
      <c r="W568" s="1885">
        <f t="shared" si="210"/>
        <v>0</v>
      </c>
      <c r="X568" s="1891">
        <f t="shared" si="211"/>
        <v>0</v>
      </c>
      <c r="Y568" s="1891">
        <f t="shared" si="212"/>
        <v>0</v>
      </c>
      <c r="Z568" s="50"/>
      <c r="AA568" s="50"/>
      <c r="AB568" s="48"/>
      <c r="AC568" s="48"/>
      <c r="AD568" s="48"/>
      <c r="AE568" s="45"/>
      <c r="AF568" s="51"/>
      <c r="AG568" s="42"/>
      <c r="AH568" s="52" t="s">
        <v>5246</v>
      </c>
      <c r="AI568" s="197"/>
      <c r="AJ568" s="2578"/>
      <c r="AK568" s="251"/>
      <c r="AL568" s="2578"/>
      <c r="AM568" s="2562"/>
      <c r="AN568" s="2562"/>
      <c r="AO568" s="2562"/>
      <c r="AP568" s="2562"/>
      <c r="AQ568" s="2562"/>
      <c r="AR568" s="2562"/>
      <c r="AS568" s="2562"/>
      <c r="AT568" s="252">
        <f t="shared" si="213"/>
        <v>1</v>
      </c>
      <c r="AU568" s="252">
        <f t="shared" si="214"/>
        <v>1</v>
      </c>
      <c r="AV568" s="252">
        <f t="shared" si="215"/>
        <v>1</v>
      </c>
      <c r="AW568" s="252">
        <f t="shared" si="216"/>
        <v>1</v>
      </c>
      <c r="AX568" s="252">
        <f t="shared" si="217"/>
        <v>1</v>
      </c>
      <c r="AY568" s="252">
        <f t="shared" si="218"/>
        <v>1</v>
      </c>
      <c r="AZ568" s="252">
        <f t="shared" si="219"/>
        <v>1</v>
      </c>
      <c r="BA568" s="237"/>
      <c r="BB568" s="237"/>
      <c r="BC568" s="252">
        <f t="shared" si="220"/>
        <v>1</v>
      </c>
      <c r="BD568" s="237"/>
      <c r="BE568" s="237"/>
      <c r="BF568" s="237"/>
      <c r="BG568" s="237"/>
      <c r="BH568" s="237"/>
      <c r="BI568" s="237"/>
      <c r="BJ568" s="252">
        <f t="shared" si="221"/>
        <v>1</v>
      </c>
      <c r="BK568" s="252">
        <f t="shared" si="222"/>
        <v>1</v>
      </c>
      <c r="BL568" s="252">
        <f t="shared" si="223"/>
        <v>1</v>
      </c>
      <c r="BM568" s="252">
        <f t="shared" si="224"/>
        <v>1</v>
      </c>
      <c r="BN568" s="252">
        <f t="shared" si="225"/>
        <v>1</v>
      </c>
      <c r="BO568" s="252">
        <f t="shared" si="226"/>
        <v>1</v>
      </c>
      <c r="BP568" s="2578"/>
      <c r="BQ568" s="2562"/>
      <c r="BR568" s="2562"/>
      <c r="BS568" s="2585"/>
      <c r="BT568" s="2585"/>
      <c r="BU568" s="2585"/>
    </row>
    <row r="569" spans="1:73" s="22" customFormat="1" ht="15.75" hidden="1" customHeight="1" outlineLevel="1">
      <c r="A569" s="2585"/>
      <c r="B569" s="44"/>
      <c r="C569" s="45"/>
      <c r="D569" s="46"/>
      <c r="E569" s="46"/>
      <c r="F569" s="45"/>
      <c r="G569" s="46"/>
      <c r="H569" s="45"/>
      <c r="I569" s="45"/>
      <c r="J569" s="47"/>
      <c r="K569" s="48"/>
      <c r="L569" s="47"/>
      <c r="M569" s="1913"/>
      <c r="N569" s="48"/>
      <c r="O569" s="49"/>
      <c r="P569" s="49"/>
      <c r="Q569" s="1884">
        <f t="shared" si="227"/>
        <v>0</v>
      </c>
      <c r="R569" s="1933"/>
      <c r="S569" s="50"/>
      <c r="T569" s="210"/>
      <c r="U569" s="1933"/>
      <c r="V569" s="1933"/>
      <c r="W569" s="1885">
        <f t="shared" si="210"/>
        <v>0</v>
      </c>
      <c r="X569" s="1891">
        <f t="shared" si="211"/>
        <v>0</v>
      </c>
      <c r="Y569" s="1891">
        <f t="shared" si="212"/>
        <v>0</v>
      </c>
      <c r="Z569" s="50"/>
      <c r="AA569" s="50"/>
      <c r="AB569" s="48"/>
      <c r="AC569" s="48"/>
      <c r="AD569" s="48"/>
      <c r="AE569" s="45"/>
      <c r="AF569" s="51"/>
      <c r="AG569" s="42"/>
      <c r="AH569" s="52" t="s">
        <v>5247</v>
      </c>
      <c r="AI569" s="197"/>
      <c r="AJ569" s="2578"/>
      <c r="AK569" s="251"/>
      <c r="AL569" s="2578"/>
      <c r="AM569" s="252">
        <f t="shared" ref="AM569:AM617" si="228" xml:space="preserve"> IF( ISNUMBER( C519 ), 0, 1 )</f>
        <v>1</v>
      </c>
      <c r="AN569" s="252">
        <f t="shared" ref="AN569:AN617" si="229" xml:space="preserve"> IF( ISNUMBER( D519 ), 0, 1 )</f>
        <v>1</v>
      </c>
      <c r="AO569" s="252">
        <f t="shared" ref="AO569:AO617" si="230" xml:space="preserve"> IF( ISNUMBER( E519 ), 0, 1 )</f>
        <v>1</v>
      </c>
      <c r="AP569" s="252">
        <f t="shared" ref="AP569:AP617" si="231" xml:space="preserve"> IF( ISNUMBER( F519 ), 0, 1 )</f>
        <v>1</v>
      </c>
      <c r="AQ569" s="252">
        <f t="shared" ref="AQ569:AQ617" si="232" xml:space="preserve"> IF( ISNUMBER( G519 ), 0, 1 )</f>
        <v>1</v>
      </c>
      <c r="AR569" s="252">
        <f t="shared" ref="AR569:AR617" si="233" xml:space="preserve"> IF( ISNUMBER( H519 ), 0, 1 )</f>
        <v>1</v>
      </c>
      <c r="AS569" s="252">
        <f t="shared" ref="AS569:AS617" si="234" xml:space="preserve"> IF( ISNUMBER( I519 ), 0, 1 )</f>
        <v>1</v>
      </c>
      <c r="AT569" s="252">
        <f t="shared" ref="AT569:AT617" si="235" xml:space="preserve"> IF( ISNUMBER( J519 ), 0, 1 )</f>
        <v>1</v>
      </c>
      <c r="AU569" s="252">
        <f t="shared" ref="AU569:AU617" si="236" xml:space="preserve"> IF( ISNUMBER( K519 ), 0, 1 )</f>
        <v>1</v>
      </c>
      <c r="AV569" s="252">
        <f t="shared" ref="AV569:AV617" si="237" xml:space="preserve"> IF( ISNUMBER( L519 ), 0, 1 )</f>
        <v>1</v>
      </c>
      <c r="AW569" s="252">
        <f t="shared" ref="AW569:AW617" si="238" xml:space="preserve"> IF( ISNUMBER( M519 ), 0, 1 )</f>
        <v>1</v>
      </c>
      <c r="AX569" s="252">
        <f t="shared" ref="AX569:AX617" si="239" xml:space="preserve"> IF( ISNUMBER( N519 ), 0, 1 )</f>
        <v>1</v>
      </c>
      <c r="AY569" s="252">
        <f t="shared" ref="AY569:AY617" si="240" xml:space="preserve"> IF( ISNUMBER( O519 ), 0, 1 )</f>
        <v>1</v>
      </c>
      <c r="AZ569" s="252">
        <f t="shared" ref="AZ569:AZ617" si="241" xml:space="preserve"> IF( ISNUMBER( P519 ), 0, 1 )</f>
        <v>1</v>
      </c>
      <c r="BA569" s="237"/>
      <c r="BB569" s="237"/>
      <c r="BC569" s="2562"/>
      <c r="BD569" s="2562"/>
      <c r="BE569" s="2562"/>
      <c r="BF569" s="2562"/>
      <c r="BG569" s="252">
        <f t="shared" ref="BG569:BG617" si="242" xml:space="preserve"> IF( ISNUMBER( W519 ), 0, 1 )</f>
        <v>0</v>
      </c>
      <c r="BH569" s="2562"/>
      <c r="BI569" s="237"/>
      <c r="BJ569" s="252">
        <f t="shared" ref="BJ569:BJ617" si="243" xml:space="preserve"> IF( ISNUMBER( Z519 ), 0, 1 )</f>
        <v>1</v>
      </c>
      <c r="BK569" s="252">
        <f t="shared" ref="BK569:BK617" si="244" xml:space="preserve"> IF( ISNUMBER( AA519 ), 0, 1 )</f>
        <v>1</v>
      </c>
      <c r="BL569" s="252">
        <f t="shared" ref="BL569:BL617" si="245" xml:space="preserve"> IF( ISNUMBER( AB519 ), 0, 1 )</f>
        <v>1</v>
      </c>
      <c r="BM569" s="252">
        <f t="shared" ref="BM569:BM617" si="246" xml:space="preserve"> IF( ISNUMBER( AC519 ), 0, 1 )</f>
        <v>1</v>
      </c>
      <c r="BN569" s="252">
        <f t="shared" ref="BN569:BN617" si="247" xml:space="preserve"> IF( ISNUMBER( AD519 ), 0, 1 )</f>
        <v>1</v>
      </c>
      <c r="BO569" s="252">
        <f t="shared" ref="BO569:BO617" si="248" xml:space="preserve"> IF( ISNUMBER( AF519 ), 0, 1 )</f>
        <v>1</v>
      </c>
      <c r="BP569" s="2578"/>
      <c r="BQ569" s="2562"/>
      <c r="BR569" s="2562"/>
      <c r="BS569" s="2585"/>
      <c r="BT569" s="2585"/>
      <c r="BU569" s="2585"/>
    </row>
    <row r="570" spans="1:73" s="22" customFormat="1" ht="15.75" hidden="1" customHeight="1" outlineLevel="1">
      <c r="A570" s="2585"/>
      <c r="B570" s="44"/>
      <c r="C570" s="45"/>
      <c r="D570" s="46"/>
      <c r="E570" s="46"/>
      <c r="F570" s="45"/>
      <c r="G570" s="46"/>
      <c r="H570" s="45"/>
      <c r="I570" s="45"/>
      <c r="J570" s="47"/>
      <c r="K570" s="48"/>
      <c r="L570" s="47"/>
      <c r="M570" s="1913"/>
      <c r="N570" s="48"/>
      <c r="O570" s="49"/>
      <c r="P570" s="49"/>
      <c r="Q570" s="1884">
        <f t="shared" si="227"/>
        <v>0</v>
      </c>
      <c r="R570" s="1933"/>
      <c r="S570" s="50"/>
      <c r="T570" s="210"/>
      <c r="U570" s="1933"/>
      <c r="V570" s="1933"/>
      <c r="W570" s="1885">
        <f t="shared" si="210"/>
        <v>0</v>
      </c>
      <c r="X570" s="1891">
        <f t="shared" si="211"/>
        <v>0</v>
      </c>
      <c r="Y570" s="1891">
        <f t="shared" si="212"/>
        <v>0</v>
      </c>
      <c r="Z570" s="50"/>
      <c r="AA570" s="50"/>
      <c r="AB570" s="48"/>
      <c r="AC570" s="48"/>
      <c r="AD570" s="48"/>
      <c r="AE570" s="45"/>
      <c r="AF570" s="51"/>
      <c r="AG570" s="42"/>
      <c r="AH570" s="52" t="s">
        <v>5248</v>
      </c>
      <c r="AI570" s="197"/>
      <c r="AJ570" s="2578"/>
      <c r="AK570" s="251"/>
      <c r="AL570" s="2578"/>
      <c r="AM570" s="252">
        <f t="shared" si="228"/>
        <v>1</v>
      </c>
      <c r="AN570" s="252">
        <f t="shared" si="229"/>
        <v>1</v>
      </c>
      <c r="AO570" s="252">
        <f t="shared" si="230"/>
        <v>1</v>
      </c>
      <c r="AP570" s="252">
        <f t="shared" si="231"/>
        <v>1</v>
      </c>
      <c r="AQ570" s="252">
        <f t="shared" si="232"/>
        <v>1</v>
      </c>
      <c r="AR570" s="252">
        <f t="shared" si="233"/>
        <v>1</v>
      </c>
      <c r="AS570" s="252">
        <f t="shared" si="234"/>
        <v>1</v>
      </c>
      <c r="AT570" s="252">
        <f t="shared" si="235"/>
        <v>1</v>
      </c>
      <c r="AU570" s="252">
        <f t="shared" si="236"/>
        <v>1</v>
      </c>
      <c r="AV570" s="252">
        <f t="shared" si="237"/>
        <v>1</v>
      </c>
      <c r="AW570" s="252">
        <f t="shared" si="238"/>
        <v>1</v>
      </c>
      <c r="AX570" s="252">
        <f t="shared" si="239"/>
        <v>1</v>
      </c>
      <c r="AY570" s="252">
        <f t="shared" si="240"/>
        <v>1</v>
      </c>
      <c r="AZ570" s="252">
        <f t="shared" si="241"/>
        <v>1</v>
      </c>
      <c r="BA570" s="237"/>
      <c r="BB570" s="237"/>
      <c r="BC570" s="2562"/>
      <c r="BD570" s="2562"/>
      <c r="BE570" s="2562"/>
      <c r="BF570" s="2562"/>
      <c r="BG570" s="252">
        <f t="shared" si="242"/>
        <v>0</v>
      </c>
      <c r="BH570" s="2562"/>
      <c r="BI570" s="237"/>
      <c r="BJ570" s="252">
        <f t="shared" si="243"/>
        <v>1</v>
      </c>
      <c r="BK570" s="252">
        <f t="shared" si="244"/>
        <v>1</v>
      </c>
      <c r="BL570" s="252">
        <f t="shared" si="245"/>
        <v>1</v>
      </c>
      <c r="BM570" s="252">
        <f t="shared" si="246"/>
        <v>1</v>
      </c>
      <c r="BN570" s="252">
        <f t="shared" si="247"/>
        <v>1</v>
      </c>
      <c r="BO570" s="252">
        <f t="shared" si="248"/>
        <v>1</v>
      </c>
      <c r="BP570" s="2578"/>
      <c r="BQ570" s="2562"/>
      <c r="BR570" s="2562"/>
      <c r="BS570" s="2585"/>
      <c r="BT570" s="2585"/>
      <c r="BU570" s="2585"/>
    </row>
    <row r="571" spans="1:73" s="22" customFormat="1" ht="15.75" hidden="1" customHeight="1" outlineLevel="1">
      <c r="A571" s="2585"/>
      <c r="B571" s="44"/>
      <c r="C571" s="45"/>
      <c r="D571" s="46"/>
      <c r="E571" s="46"/>
      <c r="F571" s="45"/>
      <c r="G571" s="46"/>
      <c r="H571" s="45"/>
      <c r="I571" s="45"/>
      <c r="J571" s="47"/>
      <c r="K571" s="48"/>
      <c r="L571" s="47"/>
      <c r="M571" s="1913"/>
      <c r="N571" s="48"/>
      <c r="O571" s="49"/>
      <c r="P571" s="49"/>
      <c r="Q571" s="1884">
        <f t="shared" si="227"/>
        <v>0</v>
      </c>
      <c r="R571" s="1933"/>
      <c r="S571" s="50"/>
      <c r="T571" s="210"/>
      <c r="U571" s="1933"/>
      <c r="V571" s="1933"/>
      <c r="W571" s="1885">
        <f t="shared" si="210"/>
        <v>0</v>
      </c>
      <c r="X571" s="1891">
        <f t="shared" si="211"/>
        <v>0</v>
      </c>
      <c r="Y571" s="1891">
        <f t="shared" si="212"/>
        <v>0</v>
      </c>
      <c r="Z571" s="50"/>
      <c r="AA571" s="50"/>
      <c r="AB571" s="48"/>
      <c r="AC571" s="48"/>
      <c r="AD571" s="48"/>
      <c r="AE571" s="45"/>
      <c r="AF571" s="51"/>
      <c r="AG571" s="42"/>
      <c r="AH571" s="52" t="s">
        <v>5249</v>
      </c>
      <c r="AI571" s="197"/>
      <c r="AJ571" s="2578"/>
      <c r="AK571" s="251"/>
      <c r="AL571" s="2578"/>
      <c r="AM571" s="252">
        <f t="shared" si="228"/>
        <v>1</v>
      </c>
      <c r="AN571" s="252">
        <f t="shared" si="229"/>
        <v>1</v>
      </c>
      <c r="AO571" s="252">
        <f t="shared" si="230"/>
        <v>1</v>
      </c>
      <c r="AP571" s="252">
        <f t="shared" si="231"/>
        <v>1</v>
      </c>
      <c r="AQ571" s="252">
        <f t="shared" si="232"/>
        <v>1</v>
      </c>
      <c r="AR571" s="252">
        <f t="shared" si="233"/>
        <v>1</v>
      </c>
      <c r="AS571" s="252">
        <f t="shared" si="234"/>
        <v>1</v>
      </c>
      <c r="AT571" s="252">
        <f t="shared" si="235"/>
        <v>1</v>
      </c>
      <c r="AU571" s="252">
        <f t="shared" si="236"/>
        <v>1</v>
      </c>
      <c r="AV571" s="252">
        <f t="shared" si="237"/>
        <v>1</v>
      </c>
      <c r="AW571" s="252">
        <f t="shared" si="238"/>
        <v>1</v>
      </c>
      <c r="AX571" s="252">
        <f t="shared" si="239"/>
        <v>1</v>
      </c>
      <c r="AY571" s="252">
        <f t="shared" si="240"/>
        <v>1</v>
      </c>
      <c r="AZ571" s="252">
        <f t="shared" si="241"/>
        <v>1</v>
      </c>
      <c r="BA571" s="237"/>
      <c r="BB571" s="237"/>
      <c r="BC571" s="2562"/>
      <c r="BD571" s="2562"/>
      <c r="BE571" s="2562"/>
      <c r="BF571" s="2562"/>
      <c r="BG571" s="252">
        <f t="shared" si="242"/>
        <v>0</v>
      </c>
      <c r="BH571" s="2562"/>
      <c r="BI571" s="237"/>
      <c r="BJ571" s="252">
        <f t="shared" si="243"/>
        <v>1</v>
      </c>
      <c r="BK571" s="252">
        <f t="shared" si="244"/>
        <v>1</v>
      </c>
      <c r="BL571" s="252">
        <f t="shared" si="245"/>
        <v>1</v>
      </c>
      <c r="BM571" s="252">
        <f t="shared" si="246"/>
        <v>1</v>
      </c>
      <c r="BN571" s="252">
        <f t="shared" si="247"/>
        <v>1</v>
      </c>
      <c r="BO571" s="252">
        <f t="shared" si="248"/>
        <v>1</v>
      </c>
      <c r="BP571" s="2578"/>
      <c r="BQ571" s="2562"/>
      <c r="BR571" s="2562"/>
      <c r="BS571" s="2585"/>
      <c r="BT571" s="2585"/>
      <c r="BU571" s="2585"/>
    </row>
    <row r="572" spans="1:73" s="22" customFormat="1" ht="15.75" hidden="1" customHeight="1" outlineLevel="1">
      <c r="A572" s="2585"/>
      <c r="B572" s="44"/>
      <c r="C572" s="45"/>
      <c r="D572" s="46"/>
      <c r="E572" s="46"/>
      <c r="F572" s="45"/>
      <c r="G572" s="46"/>
      <c r="H572" s="45"/>
      <c r="I572" s="45"/>
      <c r="J572" s="47"/>
      <c r="K572" s="48"/>
      <c r="L572" s="47"/>
      <c r="M572" s="1913"/>
      <c r="N572" s="48"/>
      <c r="O572" s="49"/>
      <c r="P572" s="49"/>
      <c r="Q572" s="1884">
        <f t="shared" si="227"/>
        <v>0</v>
      </c>
      <c r="R572" s="1933"/>
      <c r="S572" s="50"/>
      <c r="T572" s="210"/>
      <c r="U572" s="1933"/>
      <c r="V572" s="1933"/>
      <c r="W572" s="1885">
        <f t="shared" si="210"/>
        <v>0</v>
      </c>
      <c r="X572" s="1891">
        <f t="shared" si="211"/>
        <v>0</v>
      </c>
      <c r="Y572" s="1891">
        <f t="shared" si="212"/>
        <v>0</v>
      </c>
      <c r="Z572" s="50"/>
      <c r="AA572" s="50"/>
      <c r="AB572" s="48"/>
      <c r="AC572" s="48"/>
      <c r="AD572" s="48"/>
      <c r="AE572" s="45"/>
      <c r="AF572" s="51"/>
      <c r="AG572" s="42"/>
      <c r="AH572" s="52" t="s">
        <v>5250</v>
      </c>
      <c r="AI572" s="197"/>
      <c r="AJ572" s="2578"/>
      <c r="AK572" s="251"/>
      <c r="AL572" s="2578"/>
      <c r="AM572" s="252">
        <f t="shared" si="228"/>
        <v>1</v>
      </c>
      <c r="AN572" s="252">
        <f t="shared" si="229"/>
        <v>1</v>
      </c>
      <c r="AO572" s="252">
        <f t="shared" si="230"/>
        <v>1</v>
      </c>
      <c r="AP572" s="252">
        <f t="shared" si="231"/>
        <v>1</v>
      </c>
      <c r="AQ572" s="252">
        <f t="shared" si="232"/>
        <v>1</v>
      </c>
      <c r="AR572" s="252">
        <f t="shared" si="233"/>
        <v>1</v>
      </c>
      <c r="AS572" s="252">
        <f t="shared" si="234"/>
        <v>1</v>
      </c>
      <c r="AT572" s="252">
        <f t="shared" si="235"/>
        <v>1</v>
      </c>
      <c r="AU572" s="252">
        <f t="shared" si="236"/>
        <v>1</v>
      </c>
      <c r="AV572" s="252">
        <f t="shared" si="237"/>
        <v>1</v>
      </c>
      <c r="AW572" s="252">
        <f t="shared" si="238"/>
        <v>1</v>
      </c>
      <c r="AX572" s="252">
        <f t="shared" si="239"/>
        <v>1</v>
      </c>
      <c r="AY572" s="252">
        <f t="shared" si="240"/>
        <v>1</v>
      </c>
      <c r="AZ572" s="252">
        <f t="shared" si="241"/>
        <v>1</v>
      </c>
      <c r="BA572" s="237"/>
      <c r="BB572" s="237"/>
      <c r="BC572" s="2562"/>
      <c r="BD572" s="2562"/>
      <c r="BE572" s="2562"/>
      <c r="BF572" s="2562"/>
      <c r="BG572" s="252">
        <f t="shared" si="242"/>
        <v>0</v>
      </c>
      <c r="BH572" s="2562"/>
      <c r="BI572" s="237"/>
      <c r="BJ572" s="252">
        <f t="shared" si="243"/>
        <v>1</v>
      </c>
      <c r="BK572" s="252">
        <f t="shared" si="244"/>
        <v>1</v>
      </c>
      <c r="BL572" s="252">
        <f t="shared" si="245"/>
        <v>1</v>
      </c>
      <c r="BM572" s="252">
        <f t="shared" si="246"/>
        <v>1</v>
      </c>
      <c r="BN572" s="252">
        <f t="shared" si="247"/>
        <v>1</v>
      </c>
      <c r="BO572" s="252">
        <f t="shared" si="248"/>
        <v>1</v>
      </c>
      <c r="BP572" s="2578"/>
      <c r="BQ572" s="2562"/>
      <c r="BR572" s="2562"/>
      <c r="BS572" s="2585"/>
      <c r="BT572" s="2585"/>
      <c r="BU572" s="2585"/>
    </row>
    <row r="573" spans="1:73" s="22" customFormat="1" ht="15.75" hidden="1" customHeight="1" outlineLevel="1">
      <c r="A573" s="2585"/>
      <c r="B573" s="44"/>
      <c r="C573" s="45"/>
      <c r="D573" s="46"/>
      <c r="E573" s="46"/>
      <c r="F573" s="45"/>
      <c r="G573" s="46"/>
      <c r="H573" s="45"/>
      <c r="I573" s="45"/>
      <c r="J573" s="47"/>
      <c r="K573" s="48"/>
      <c r="L573" s="47"/>
      <c r="M573" s="1913"/>
      <c r="N573" s="48"/>
      <c r="O573" s="49"/>
      <c r="P573" s="49"/>
      <c r="Q573" s="1884">
        <f t="shared" si="227"/>
        <v>0</v>
      </c>
      <c r="R573" s="1933"/>
      <c r="S573" s="50"/>
      <c r="T573" s="210"/>
      <c r="U573" s="1933"/>
      <c r="V573" s="1933"/>
      <c r="W573" s="1885">
        <f t="shared" si="210"/>
        <v>0</v>
      </c>
      <c r="X573" s="1891">
        <f t="shared" si="211"/>
        <v>0</v>
      </c>
      <c r="Y573" s="1891">
        <f t="shared" si="212"/>
        <v>0</v>
      </c>
      <c r="Z573" s="50"/>
      <c r="AA573" s="50"/>
      <c r="AB573" s="48"/>
      <c r="AC573" s="48"/>
      <c r="AD573" s="48"/>
      <c r="AE573" s="45"/>
      <c r="AF573" s="51"/>
      <c r="AG573" s="42"/>
      <c r="AH573" s="52" t="s">
        <v>5251</v>
      </c>
      <c r="AI573" s="197"/>
      <c r="AJ573" s="2578"/>
      <c r="AK573" s="251"/>
      <c r="AL573" s="2578"/>
      <c r="AM573" s="252">
        <f t="shared" si="228"/>
        <v>1</v>
      </c>
      <c r="AN573" s="252">
        <f t="shared" si="229"/>
        <v>1</v>
      </c>
      <c r="AO573" s="252">
        <f t="shared" si="230"/>
        <v>1</v>
      </c>
      <c r="AP573" s="252">
        <f t="shared" si="231"/>
        <v>1</v>
      </c>
      <c r="AQ573" s="252">
        <f t="shared" si="232"/>
        <v>1</v>
      </c>
      <c r="AR573" s="252">
        <f t="shared" si="233"/>
        <v>1</v>
      </c>
      <c r="AS573" s="252">
        <f t="shared" si="234"/>
        <v>1</v>
      </c>
      <c r="AT573" s="252">
        <f t="shared" si="235"/>
        <v>1</v>
      </c>
      <c r="AU573" s="252">
        <f t="shared" si="236"/>
        <v>1</v>
      </c>
      <c r="AV573" s="252">
        <f t="shared" si="237"/>
        <v>1</v>
      </c>
      <c r="AW573" s="252">
        <f t="shared" si="238"/>
        <v>1</v>
      </c>
      <c r="AX573" s="252">
        <f t="shared" si="239"/>
        <v>1</v>
      </c>
      <c r="AY573" s="252">
        <f t="shared" si="240"/>
        <v>1</v>
      </c>
      <c r="AZ573" s="252">
        <f t="shared" si="241"/>
        <v>1</v>
      </c>
      <c r="BA573" s="237"/>
      <c r="BB573" s="237"/>
      <c r="BC573" s="2562"/>
      <c r="BD573" s="2562"/>
      <c r="BE573" s="2562"/>
      <c r="BF573" s="2562"/>
      <c r="BG573" s="252">
        <f t="shared" si="242"/>
        <v>0</v>
      </c>
      <c r="BH573" s="2562"/>
      <c r="BI573" s="237"/>
      <c r="BJ573" s="252">
        <f t="shared" si="243"/>
        <v>1</v>
      </c>
      <c r="BK573" s="252">
        <f t="shared" si="244"/>
        <v>1</v>
      </c>
      <c r="BL573" s="252">
        <f t="shared" si="245"/>
        <v>1</v>
      </c>
      <c r="BM573" s="252">
        <f t="shared" si="246"/>
        <v>1</v>
      </c>
      <c r="BN573" s="252">
        <f t="shared" si="247"/>
        <v>1</v>
      </c>
      <c r="BO573" s="252">
        <f t="shared" si="248"/>
        <v>1</v>
      </c>
      <c r="BP573" s="2578"/>
      <c r="BQ573" s="2562"/>
      <c r="BR573" s="2562"/>
      <c r="BS573" s="2585"/>
      <c r="BT573" s="2585"/>
      <c r="BU573" s="2585"/>
    </row>
    <row r="574" spans="1:73" s="22" customFormat="1" ht="15.75" hidden="1" customHeight="1" outlineLevel="1">
      <c r="A574" s="2585"/>
      <c r="B574" s="44"/>
      <c r="C574" s="45"/>
      <c r="D574" s="46"/>
      <c r="E574" s="46"/>
      <c r="F574" s="45"/>
      <c r="G574" s="46"/>
      <c r="H574" s="45"/>
      <c r="I574" s="45"/>
      <c r="J574" s="47"/>
      <c r="K574" s="48"/>
      <c r="L574" s="47"/>
      <c r="M574" s="1913"/>
      <c r="N574" s="48"/>
      <c r="O574" s="49"/>
      <c r="P574" s="49"/>
      <c r="Q574" s="1884">
        <f t="shared" si="227"/>
        <v>0</v>
      </c>
      <c r="R574" s="1933"/>
      <c r="S574" s="50"/>
      <c r="T574" s="210"/>
      <c r="U574" s="1933"/>
      <c r="V574" s="1933"/>
      <c r="W574" s="1885">
        <f t="shared" si="210"/>
        <v>0</v>
      </c>
      <c r="X574" s="1891">
        <f t="shared" si="211"/>
        <v>0</v>
      </c>
      <c r="Y574" s="1891">
        <f t="shared" si="212"/>
        <v>0</v>
      </c>
      <c r="Z574" s="50"/>
      <c r="AA574" s="50"/>
      <c r="AB574" s="48"/>
      <c r="AC574" s="48"/>
      <c r="AD574" s="48"/>
      <c r="AE574" s="45"/>
      <c r="AF574" s="51"/>
      <c r="AG574" s="42"/>
      <c r="AH574" s="52" t="s">
        <v>5252</v>
      </c>
      <c r="AI574" s="197"/>
      <c r="AJ574" s="2578"/>
      <c r="AK574" s="251"/>
      <c r="AL574" s="2578"/>
      <c r="AM574" s="252">
        <f t="shared" si="228"/>
        <v>1</v>
      </c>
      <c r="AN574" s="252">
        <f t="shared" si="229"/>
        <v>1</v>
      </c>
      <c r="AO574" s="252">
        <f t="shared" si="230"/>
        <v>1</v>
      </c>
      <c r="AP574" s="252">
        <f t="shared" si="231"/>
        <v>1</v>
      </c>
      <c r="AQ574" s="252">
        <f t="shared" si="232"/>
        <v>1</v>
      </c>
      <c r="AR574" s="252">
        <f t="shared" si="233"/>
        <v>1</v>
      </c>
      <c r="AS574" s="252">
        <f t="shared" si="234"/>
        <v>1</v>
      </c>
      <c r="AT574" s="252">
        <f t="shared" si="235"/>
        <v>1</v>
      </c>
      <c r="AU574" s="252">
        <f t="shared" si="236"/>
        <v>1</v>
      </c>
      <c r="AV574" s="252">
        <f t="shared" si="237"/>
        <v>1</v>
      </c>
      <c r="AW574" s="252">
        <f t="shared" si="238"/>
        <v>1</v>
      </c>
      <c r="AX574" s="252">
        <f t="shared" si="239"/>
        <v>1</v>
      </c>
      <c r="AY574" s="252">
        <f t="shared" si="240"/>
        <v>1</v>
      </c>
      <c r="AZ574" s="252">
        <f t="shared" si="241"/>
        <v>1</v>
      </c>
      <c r="BA574" s="237"/>
      <c r="BB574" s="237"/>
      <c r="BC574" s="2562"/>
      <c r="BD574" s="2562"/>
      <c r="BE574" s="2562"/>
      <c r="BF574" s="2562"/>
      <c r="BG574" s="252">
        <f t="shared" si="242"/>
        <v>0</v>
      </c>
      <c r="BH574" s="2562"/>
      <c r="BI574" s="237"/>
      <c r="BJ574" s="252">
        <f t="shared" si="243"/>
        <v>1</v>
      </c>
      <c r="BK574" s="252">
        <f t="shared" si="244"/>
        <v>1</v>
      </c>
      <c r="BL574" s="252">
        <f t="shared" si="245"/>
        <v>1</v>
      </c>
      <c r="BM574" s="252">
        <f t="shared" si="246"/>
        <v>1</v>
      </c>
      <c r="BN574" s="252">
        <f t="shared" si="247"/>
        <v>1</v>
      </c>
      <c r="BO574" s="252">
        <f t="shared" si="248"/>
        <v>1</v>
      </c>
      <c r="BP574" s="2578"/>
      <c r="BQ574" s="2562"/>
      <c r="BR574" s="2562"/>
      <c r="BS574" s="2585"/>
      <c r="BT574" s="2585"/>
      <c r="BU574" s="2585"/>
    </row>
    <row r="575" spans="1:73" s="22" customFormat="1" ht="15.75" hidden="1" customHeight="1" outlineLevel="1">
      <c r="A575" s="2585"/>
      <c r="B575" s="44"/>
      <c r="C575" s="45"/>
      <c r="D575" s="46"/>
      <c r="E575" s="46"/>
      <c r="F575" s="45"/>
      <c r="G575" s="46"/>
      <c r="H575" s="45"/>
      <c r="I575" s="45"/>
      <c r="J575" s="47"/>
      <c r="K575" s="48"/>
      <c r="L575" s="47"/>
      <c r="M575" s="1913"/>
      <c r="N575" s="48"/>
      <c r="O575" s="49"/>
      <c r="P575" s="49"/>
      <c r="Q575" s="1884">
        <f t="shared" si="227"/>
        <v>0</v>
      </c>
      <c r="R575" s="1933"/>
      <c r="S575" s="50"/>
      <c r="T575" s="210"/>
      <c r="U575" s="1933"/>
      <c r="V575" s="1933"/>
      <c r="W575" s="1885">
        <f t="shared" si="210"/>
        <v>0</v>
      </c>
      <c r="X575" s="1891">
        <f t="shared" si="211"/>
        <v>0</v>
      </c>
      <c r="Y575" s="1891">
        <f t="shared" si="212"/>
        <v>0</v>
      </c>
      <c r="Z575" s="50"/>
      <c r="AA575" s="50"/>
      <c r="AB575" s="48"/>
      <c r="AC575" s="48"/>
      <c r="AD575" s="48"/>
      <c r="AE575" s="45"/>
      <c r="AF575" s="51"/>
      <c r="AG575" s="42"/>
      <c r="AH575" s="52" t="s">
        <v>5253</v>
      </c>
      <c r="AI575" s="197"/>
      <c r="AJ575" s="2578"/>
      <c r="AK575" s="251"/>
      <c r="AL575" s="2578"/>
      <c r="AM575" s="252">
        <f t="shared" si="228"/>
        <v>1</v>
      </c>
      <c r="AN575" s="252">
        <f t="shared" si="229"/>
        <v>1</v>
      </c>
      <c r="AO575" s="252">
        <f t="shared" si="230"/>
        <v>1</v>
      </c>
      <c r="AP575" s="252">
        <f t="shared" si="231"/>
        <v>1</v>
      </c>
      <c r="AQ575" s="252">
        <f t="shared" si="232"/>
        <v>1</v>
      </c>
      <c r="AR575" s="252">
        <f t="shared" si="233"/>
        <v>1</v>
      </c>
      <c r="AS575" s="252">
        <f t="shared" si="234"/>
        <v>1</v>
      </c>
      <c r="AT575" s="252">
        <f t="shared" si="235"/>
        <v>1</v>
      </c>
      <c r="AU575" s="252">
        <f t="shared" si="236"/>
        <v>1</v>
      </c>
      <c r="AV575" s="252">
        <f t="shared" si="237"/>
        <v>1</v>
      </c>
      <c r="AW575" s="252">
        <f t="shared" si="238"/>
        <v>1</v>
      </c>
      <c r="AX575" s="252">
        <f t="shared" si="239"/>
        <v>1</v>
      </c>
      <c r="AY575" s="252">
        <f t="shared" si="240"/>
        <v>1</v>
      </c>
      <c r="AZ575" s="252">
        <f t="shared" si="241"/>
        <v>1</v>
      </c>
      <c r="BA575" s="237"/>
      <c r="BB575" s="237"/>
      <c r="BC575" s="2562"/>
      <c r="BD575" s="2562"/>
      <c r="BE575" s="2562"/>
      <c r="BF575" s="2562"/>
      <c r="BG575" s="252">
        <f t="shared" si="242"/>
        <v>0</v>
      </c>
      <c r="BH575" s="2562"/>
      <c r="BI575" s="237"/>
      <c r="BJ575" s="252">
        <f t="shared" si="243"/>
        <v>1</v>
      </c>
      <c r="BK575" s="252">
        <f t="shared" si="244"/>
        <v>1</v>
      </c>
      <c r="BL575" s="252">
        <f t="shared" si="245"/>
        <v>1</v>
      </c>
      <c r="BM575" s="252">
        <f t="shared" si="246"/>
        <v>1</v>
      </c>
      <c r="BN575" s="252">
        <f t="shared" si="247"/>
        <v>1</v>
      </c>
      <c r="BO575" s="252">
        <f t="shared" si="248"/>
        <v>1</v>
      </c>
      <c r="BP575" s="2578"/>
      <c r="BQ575" s="2562"/>
      <c r="BR575" s="2562"/>
      <c r="BS575" s="2585"/>
      <c r="BT575" s="2585"/>
      <c r="BU575" s="2585"/>
    </row>
    <row r="576" spans="1:73" s="22" customFormat="1" ht="15.75" hidden="1" customHeight="1" outlineLevel="1">
      <c r="A576" s="2585"/>
      <c r="B576" s="44"/>
      <c r="C576" s="45"/>
      <c r="D576" s="46"/>
      <c r="E576" s="46"/>
      <c r="F576" s="45"/>
      <c r="G576" s="46"/>
      <c r="H576" s="45"/>
      <c r="I576" s="45"/>
      <c r="J576" s="47"/>
      <c r="K576" s="48"/>
      <c r="L576" s="47"/>
      <c r="M576" s="1913"/>
      <c r="N576" s="48"/>
      <c r="O576" s="49"/>
      <c r="P576" s="49"/>
      <c r="Q576" s="1884">
        <f t="shared" si="227"/>
        <v>0</v>
      </c>
      <c r="R576" s="1933"/>
      <c r="S576" s="50"/>
      <c r="T576" s="210"/>
      <c r="U576" s="1933"/>
      <c r="V576" s="1933"/>
      <c r="W576" s="1885">
        <f t="shared" si="210"/>
        <v>0</v>
      </c>
      <c r="X576" s="1891">
        <f t="shared" si="211"/>
        <v>0</v>
      </c>
      <c r="Y576" s="1891">
        <f t="shared" si="212"/>
        <v>0</v>
      </c>
      <c r="Z576" s="50"/>
      <c r="AA576" s="50"/>
      <c r="AB576" s="48"/>
      <c r="AC576" s="48"/>
      <c r="AD576" s="48"/>
      <c r="AE576" s="45"/>
      <c r="AF576" s="51"/>
      <c r="AG576" s="42"/>
      <c r="AH576" s="52" t="s">
        <v>5254</v>
      </c>
      <c r="AI576" s="197"/>
      <c r="AJ576" s="2578"/>
      <c r="AK576" s="251"/>
      <c r="AL576" s="2578"/>
      <c r="AM576" s="252">
        <f t="shared" si="228"/>
        <v>1</v>
      </c>
      <c r="AN576" s="252">
        <f t="shared" si="229"/>
        <v>1</v>
      </c>
      <c r="AO576" s="252">
        <f t="shared" si="230"/>
        <v>1</v>
      </c>
      <c r="AP576" s="252">
        <f t="shared" si="231"/>
        <v>1</v>
      </c>
      <c r="AQ576" s="252">
        <f t="shared" si="232"/>
        <v>1</v>
      </c>
      <c r="AR576" s="252">
        <f t="shared" si="233"/>
        <v>1</v>
      </c>
      <c r="AS576" s="252">
        <f t="shared" si="234"/>
        <v>1</v>
      </c>
      <c r="AT576" s="252">
        <f t="shared" si="235"/>
        <v>1</v>
      </c>
      <c r="AU576" s="252">
        <f t="shared" si="236"/>
        <v>1</v>
      </c>
      <c r="AV576" s="252">
        <f t="shared" si="237"/>
        <v>1</v>
      </c>
      <c r="AW576" s="252">
        <f t="shared" si="238"/>
        <v>1</v>
      </c>
      <c r="AX576" s="252">
        <f t="shared" si="239"/>
        <v>1</v>
      </c>
      <c r="AY576" s="252">
        <f t="shared" si="240"/>
        <v>1</v>
      </c>
      <c r="AZ576" s="252">
        <f t="shared" si="241"/>
        <v>1</v>
      </c>
      <c r="BA576" s="237"/>
      <c r="BB576" s="237"/>
      <c r="BC576" s="2562"/>
      <c r="BD576" s="2562"/>
      <c r="BE576" s="2562"/>
      <c r="BF576" s="2562"/>
      <c r="BG576" s="252">
        <f t="shared" si="242"/>
        <v>0</v>
      </c>
      <c r="BH576" s="2562"/>
      <c r="BI576" s="237"/>
      <c r="BJ576" s="252">
        <f t="shared" si="243"/>
        <v>1</v>
      </c>
      <c r="BK576" s="252">
        <f t="shared" si="244"/>
        <v>1</v>
      </c>
      <c r="BL576" s="252">
        <f t="shared" si="245"/>
        <v>1</v>
      </c>
      <c r="BM576" s="252">
        <f t="shared" si="246"/>
        <v>1</v>
      </c>
      <c r="BN576" s="252">
        <f t="shared" si="247"/>
        <v>1</v>
      </c>
      <c r="BO576" s="252">
        <f t="shared" si="248"/>
        <v>1</v>
      </c>
      <c r="BP576" s="2578"/>
      <c r="BQ576" s="2562"/>
      <c r="BR576" s="2562"/>
      <c r="BS576" s="2585"/>
      <c r="BT576" s="2585"/>
      <c r="BU576" s="2585"/>
    </row>
    <row r="577" spans="1:73" s="22" customFormat="1" ht="15.75" hidden="1" customHeight="1" outlineLevel="1">
      <c r="A577" s="2585"/>
      <c r="B577" s="44"/>
      <c r="C577" s="45"/>
      <c r="D577" s="46"/>
      <c r="E577" s="46"/>
      <c r="F577" s="45"/>
      <c r="G577" s="46"/>
      <c r="H577" s="45"/>
      <c r="I577" s="45"/>
      <c r="J577" s="47"/>
      <c r="K577" s="48"/>
      <c r="L577" s="47"/>
      <c r="M577" s="1913"/>
      <c r="N577" s="48"/>
      <c r="O577" s="49"/>
      <c r="P577" s="49"/>
      <c r="Q577" s="1884">
        <f t="shared" si="227"/>
        <v>0</v>
      </c>
      <c r="R577" s="1933"/>
      <c r="S577" s="50"/>
      <c r="T577" s="210"/>
      <c r="U577" s="1933"/>
      <c r="V577" s="1933"/>
      <c r="W577" s="1885">
        <f t="shared" si="210"/>
        <v>0</v>
      </c>
      <c r="X577" s="1891">
        <f t="shared" si="211"/>
        <v>0</v>
      </c>
      <c r="Y577" s="1891">
        <f t="shared" si="212"/>
        <v>0</v>
      </c>
      <c r="Z577" s="50"/>
      <c r="AA577" s="50"/>
      <c r="AB577" s="48"/>
      <c r="AC577" s="48"/>
      <c r="AD577" s="48"/>
      <c r="AE577" s="45"/>
      <c r="AF577" s="51"/>
      <c r="AG577" s="42"/>
      <c r="AH577" s="52" t="s">
        <v>5255</v>
      </c>
      <c r="AI577" s="197"/>
      <c r="AJ577" s="2578"/>
      <c r="AK577" s="251"/>
      <c r="AL577" s="2578"/>
      <c r="AM577" s="252">
        <f t="shared" si="228"/>
        <v>1</v>
      </c>
      <c r="AN577" s="252">
        <f t="shared" si="229"/>
        <v>1</v>
      </c>
      <c r="AO577" s="252">
        <f t="shared" si="230"/>
        <v>1</v>
      </c>
      <c r="AP577" s="252">
        <f t="shared" si="231"/>
        <v>1</v>
      </c>
      <c r="AQ577" s="252">
        <f t="shared" si="232"/>
        <v>1</v>
      </c>
      <c r="AR577" s="252">
        <f t="shared" si="233"/>
        <v>1</v>
      </c>
      <c r="AS577" s="252">
        <f t="shared" si="234"/>
        <v>1</v>
      </c>
      <c r="AT577" s="252">
        <f t="shared" si="235"/>
        <v>1</v>
      </c>
      <c r="AU577" s="252">
        <f t="shared" si="236"/>
        <v>1</v>
      </c>
      <c r="AV577" s="252">
        <f t="shared" si="237"/>
        <v>1</v>
      </c>
      <c r="AW577" s="252">
        <f t="shared" si="238"/>
        <v>1</v>
      </c>
      <c r="AX577" s="252">
        <f t="shared" si="239"/>
        <v>1</v>
      </c>
      <c r="AY577" s="252">
        <f t="shared" si="240"/>
        <v>1</v>
      </c>
      <c r="AZ577" s="252">
        <f t="shared" si="241"/>
        <v>1</v>
      </c>
      <c r="BA577" s="237"/>
      <c r="BB577" s="237"/>
      <c r="BC577" s="2562"/>
      <c r="BD577" s="2562"/>
      <c r="BE577" s="2562"/>
      <c r="BF577" s="2562"/>
      <c r="BG577" s="252">
        <f t="shared" si="242"/>
        <v>0</v>
      </c>
      <c r="BH577" s="2562"/>
      <c r="BI577" s="237"/>
      <c r="BJ577" s="252">
        <f t="shared" si="243"/>
        <v>1</v>
      </c>
      <c r="BK577" s="252">
        <f t="shared" si="244"/>
        <v>1</v>
      </c>
      <c r="BL577" s="252">
        <f t="shared" si="245"/>
        <v>1</v>
      </c>
      <c r="BM577" s="252">
        <f t="shared" si="246"/>
        <v>1</v>
      </c>
      <c r="BN577" s="252">
        <f t="shared" si="247"/>
        <v>1</v>
      </c>
      <c r="BO577" s="252">
        <f t="shared" si="248"/>
        <v>1</v>
      </c>
      <c r="BP577" s="2578"/>
      <c r="BQ577" s="2562"/>
      <c r="BR577" s="2562"/>
      <c r="BS577" s="2585"/>
      <c r="BT577" s="2585"/>
      <c r="BU577" s="2585"/>
    </row>
    <row r="578" spans="1:73" s="22" customFormat="1" ht="15.75" hidden="1" customHeight="1" outlineLevel="1">
      <c r="A578" s="2585"/>
      <c r="B578" s="44"/>
      <c r="C578" s="45"/>
      <c r="D578" s="46"/>
      <c r="E578" s="46"/>
      <c r="F578" s="45"/>
      <c r="G578" s="46"/>
      <c r="H578" s="45"/>
      <c r="I578" s="45"/>
      <c r="J578" s="47"/>
      <c r="K578" s="48"/>
      <c r="L578" s="47"/>
      <c r="M578" s="1913"/>
      <c r="N578" s="48"/>
      <c r="O578" s="49"/>
      <c r="P578" s="49"/>
      <c r="Q578" s="1884">
        <f t="shared" si="227"/>
        <v>0</v>
      </c>
      <c r="R578" s="1933"/>
      <c r="S578" s="50"/>
      <c r="T578" s="210"/>
      <c r="U578" s="1933"/>
      <c r="V578" s="1933"/>
      <c r="W578" s="1885">
        <f t="shared" si="210"/>
        <v>0</v>
      </c>
      <c r="X578" s="1891">
        <f t="shared" si="211"/>
        <v>0</v>
      </c>
      <c r="Y578" s="1891">
        <f t="shared" si="212"/>
        <v>0</v>
      </c>
      <c r="Z578" s="50"/>
      <c r="AA578" s="50"/>
      <c r="AB578" s="48"/>
      <c r="AC578" s="48"/>
      <c r="AD578" s="48"/>
      <c r="AE578" s="45"/>
      <c r="AF578" s="51"/>
      <c r="AG578" s="42"/>
      <c r="AH578" s="52" t="s">
        <v>5256</v>
      </c>
      <c r="AI578" s="197"/>
      <c r="AJ578" s="2578"/>
      <c r="AK578" s="251"/>
      <c r="AL578" s="2578"/>
      <c r="AM578" s="252">
        <f t="shared" si="228"/>
        <v>1</v>
      </c>
      <c r="AN578" s="252">
        <f t="shared" si="229"/>
        <v>1</v>
      </c>
      <c r="AO578" s="252">
        <f t="shared" si="230"/>
        <v>1</v>
      </c>
      <c r="AP578" s="252">
        <f t="shared" si="231"/>
        <v>1</v>
      </c>
      <c r="AQ578" s="252">
        <f t="shared" si="232"/>
        <v>1</v>
      </c>
      <c r="AR578" s="252">
        <f t="shared" si="233"/>
        <v>1</v>
      </c>
      <c r="AS578" s="252">
        <f t="shared" si="234"/>
        <v>1</v>
      </c>
      <c r="AT578" s="252">
        <f t="shared" si="235"/>
        <v>1</v>
      </c>
      <c r="AU578" s="252">
        <f t="shared" si="236"/>
        <v>1</v>
      </c>
      <c r="AV578" s="252">
        <f t="shared" si="237"/>
        <v>1</v>
      </c>
      <c r="AW578" s="252">
        <f t="shared" si="238"/>
        <v>1</v>
      </c>
      <c r="AX578" s="252">
        <f t="shared" si="239"/>
        <v>1</v>
      </c>
      <c r="AY578" s="252">
        <f t="shared" si="240"/>
        <v>1</v>
      </c>
      <c r="AZ578" s="252">
        <f t="shared" si="241"/>
        <v>1</v>
      </c>
      <c r="BA578" s="237"/>
      <c r="BB578" s="237"/>
      <c r="BC578" s="2562"/>
      <c r="BD578" s="2562"/>
      <c r="BE578" s="2562"/>
      <c r="BF578" s="2562"/>
      <c r="BG578" s="252">
        <f t="shared" si="242"/>
        <v>0</v>
      </c>
      <c r="BH578" s="2562"/>
      <c r="BI578" s="237"/>
      <c r="BJ578" s="252">
        <f t="shared" si="243"/>
        <v>1</v>
      </c>
      <c r="BK578" s="252">
        <f t="shared" si="244"/>
        <v>1</v>
      </c>
      <c r="BL578" s="252">
        <f t="shared" si="245"/>
        <v>1</v>
      </c>
      <c r="BM578" s="252">
        <f t="shared" si="246"/>
        <v>1</v>
      </c>
      <c r="BN578" s="252">
        <f t="shared" si="247"/>
        <v>1</v>
      </c>
      <c r="BO578" s="252">
        <f t="shared" si="248"/>
        <v>1</v>
      </c>
      <c r="BP578" s="2578"/>
      <c r="BQ578" s="2562"/>
      <c r="BR578" s="2562"/>
      <c r="BS578" s="2585"/>
      <c r="BT578" s="2585"/>
      <c r="BU578" s="2585"/>
    </row>
    <row r="579" spans="1:73" s="22" customFormat="1" ht="15.75" hidden="1" customHeight="1" outlineLevel="1">
      <c r="A579" s="2585"/>
      <c r="B579" s="44"/>
      <c r="C579" s="45"/>
      <c r="D579" s="46"/>
      <c r="E579" s="46"/>
      <c r="F579" s="45"/>
      <c r="G579" s="46"/>
      <c r="H579" s="45"/>
      <c r="I579" s="45"/>
      <c r="J579" s="47"/>
      <c r="K579" s="48"/>
      <c r="L579" s="47"/>
      <c r="M579" s="1913"/>
      <c r="N579" s="48"/>
      <c r="O579" s="49"/>
      <c r="P579" s="49"/>
      <c r="Q579" s="1884">
        <f t="shared" si="227"/>
        <v>0</v>
      </c>
      <c r="R579" s="1933"/>
      <c r="S579" s="50"/>
      <c r="T579" s="210"/>
      <c r="U579" s="1933"/>
      <c r="V579" s="1933"/>
      <c r="W579" s="1885">
        <f t="shared" si="210"/>
        <v>0</v>
      </c>
      <c r="X579" s="1891">
        <f t="shared" si="211"/>
        <v>0</v>
      </c>
      <c r="Y579" s="1891">
        <f t="shared" si="212"/>
        <v>0</v>
      </c>
      <c r="Z579" s="50"/>
      <c r="AA579" s="50"/>
      <c r="AB579" s="48"/>
      <c r="AC579" s="48"/>
      <c r="AD579" s="48"/>
      <c r="AE579" s="45"/>
      <c r="AF579" s="51"/>
      <c r="AG579" s="42"/>
      <c r="AH579" s="52" t="s">
        <v>5257</v>
      </c>
      <c r="AI579" s="197"/>
      <c r="AJ579" s="2578"/>
      <c r="AK579" s="251"/>
      <c r="AL579" s="2578"/>
      <c r="AM579" s="252">
        <f t="shared" si="228"/>
        <v>1</v>
      </c>
      <c r="AN579" s="252">
        <f t="shared" si="229"/>
        <v>1</v>
      </c>
      <c r="AO579" s="252">
        <f t="shared" si="230"/>
        <v>1</v>
      </c>
      <c r="AP579" s="252">
        <f t="shared" si="231"/>
        <v>1</v>
      </c>
      <c r="AQ579" s="252">
        <f t="shared" si="232"/>
        <v>1</v>
      </c>
      <c r="AR579" s="252">
        <f t="shared" si="233"/>
        <v>1</v>
      </c>
      <c r="AS579" s="252">
        <f t="shared" si="234"/>
        <v>1</v>
      </c>
      <c r="AT579" s="252">
        <f t="shared" si="235"/>
        <v>1</v>
      </c>
      <c r="AU579" s="252">
        <f t="shared" si="236"/>
        <v>1</v>
      </c>
      <c r="AV579" s="252">
        <f t="shared" si="237"/>
        <v>1</v>
      </c>
      <c r="AW579" s="252">
        <f t="shared" si="238"/>
        <v>1</v>
      </c>
      <c r="AX579" s="252">
        <f t="shared" si="239"/>
        <v>1</v>
      </c>
      <c r="AY579" s="252">
        <f t="shared" si="240"/>
        <v>1</v>
      </c>
      <c r="AZ579" s="252">
        <f t="shared" si="241"/>
        <v>1</v>
      </c>
      <c r="BA579" s="237"/>
      <c r="BB579" s="237"/>
      <c r="BC579" s="2562"/>
      <c r="BD579" s="2562"/>
      <c r="BE579" s="2562"/>
      <c r="BF579" s="2562"/>
      <c r="BG579" s="252">
        <f t="shared" si="242"/>
        <v>0</v>
      </c>
      <c r="BH579" s="2562"/>
      <c r="BI579" s="237"/>
      <c r="BJ579" s="252">
        <f t="shared" si="243"/>
        <v>1</v>
      </c>
      <c r="BK579" s="252">
        <f t="shared" si="244"/>
        <v>1</v>
      </c>
      <c r="BL579" s="252">
        <f t="shared" si="245"/>
        <v>1</v>
      </c>
      <c r="BM579" s="252">
        <f t="shared" si="246"/>
        <v>1</v>
      </c>
      <c r="BN579" s="252">
        <f t="shared" si="247"/>
        <v>1</v>
      </c>
      <c r="BO579" s="252">
        <f t="shared" si="248"/>
        <v>1</v>
      </c>
      <c r="BP579" s="2578"/>
      <c r="BQ579" s="2562"/>
      <c r="BR579" s="2562"/>
      <c r="BS579" s="2585"/>
      <c r="BT579" s="2585"/>
      <c r="BU579" s="2585"/>
    </row>
    <row r="580" spans="1:73" s="22" customFormat="1" ht="15.75" hidden="1" customHeight="1" outlineLevel="1">
      <c r="A580" s="2585"/>
      <c r="B580" s="44"/>
      <c r="C580" s="45"/>
      <c r="D580" s="46"/>
      <c r="E580" s="46"/>
      <c r="F580" s="45"/>
      <c r="G580" s="46"/>
      <c r="H580" s="45"/>
      <c r="I580" s="45"/>
      <c r="J580" s="47"/>
      <c r="K580" s="48"/>
      <c r="L580" s="47"/>
      <c r="M580" s="1913"/>
      <c r="N580" s="48"/>
      <c r="O580" s="49"/>
      <c r="P580" s="49"/>
      <c r="Q580" s="1884">
        <f t="shared" si="227"/>
        <v>0</v>
      </c>
      <c r="R580" s="1933"/>
      <c r="S580" s="50"/>
      <c r="T580" s="210"/>
      <c r="U580" s="1933"/>
      <c r="V580" s="1933"/>
      <c r="W580" s="1885">
        <f t="shared" si="210"/>
        <v>0</v>
      </c>
      <c r="X580" s="1891">
        <f t="shared" si="211"/>
        <v>0</v>
      </c>
      <c r="Y580" s="1891">
        <f t="shared" si="212"/>
        <v>0</v>
      </c>
      <c r="Z580" s="50"/>
      <c r="AA580" s="50"/>
      <c r="AB580" s="48"/>
      <c r="AC580" s="48"/>
      <c r="AD580" s="48"/>
      <c r="AE580" s="45"/>
      <c r="AF580" s="51"/>
      <c r="AG580" s="42"/>
      <c r="AH580" s="52" t="s">
        <v>5258</v>
      </c>
      <c r="AI580" s="197"/>
      <c r="AJ580" s="2578"/>
      <c r="AK580" s="251"/>
      <c r="AL580" s="2578"/>
      <c r="AM580" s="252">
        <f t="shared" si="228"/>
        <v>1</v>
      </c>
      <c r="AN580" s="252">
        <f t="shared" si="229"/>
        <v>1</v>
      </c>
      <c r="AO580" s="252">
        <f t="shared" si="230"/>
        <v>1</v>
      </c>
      <c r="AP580" s="252">
        <f t="shared" si="231"/>
        <v>1</v>
      </c>
      <c r="AQ580" s="252">
        <f t="shared" si="232"/>
        <v>1</v>
      </c>
      <c r="AR580" s="252">
        <f t="shared" si="233"/>
        <v>1</v>
      </c>
      <c r="AS580" s="252">
        <f t="shared" si="234"/>
        <v>1</v>
      </c>
      <c r="AT580" s="252">
        <f t="shared" si="235"/>
        <v>1</v>
      </c>
      <c r="AU580" s="252">
        <f t="shared" si="236"/>
        <v>1</v>
      </c>
      <c r="AV580" s="252">
        <f t="shared" si="237"/>
        <v>1</v>
      </c>
      <c r="AW580" s="252">
        <f t="shared" si="238"/>
        <v>1</v>
      </c>
      <c r="AX580" s="252">
        <f t="shared" si="239"/>
        <v>1</v>
      </c>
      <c r="AY580" s="252">
        <f t="shared" si="240"/>
        <v>1</v>
      </c>
      <c r="AZ580" s="252">
        <f t="shared" si="241"/>
        <v>1</v>
      </c>
      <c r="BA580" s="237"/>
      <c r="BB580" s="237"/>
      <c r="BC580" s="2562"/>
      <c r="BD580" s="2562"/>
      <c r="BE580" s="2562"/>
      <c r="BF580" s="2562"/>
      <c r="BG580" s="252">
        <f t="shared" si="242"/>
        <v>0</v>
      </c>
      <c r="BH580" s="2562"/>
      <c r="BI580" s="237"/>
      <c r="BJ580" s="252">
        <f t="shared" si="243"/>
        <v>1</v>
      </c>
      <c r="BK580" s="252">
        <f t="shared" si="244"/>
        <v>1</v>
      </c>
      <c r="BL580" s="252">
        <f t="shared" si="245"/>
        <v>1</v>
      </c>
      <c r="BM580" s="252">
        <f t="shared" si="246"/>
        <v>1</v>
      </c>
      <c r="BN580" s="252">
        <f t="shared" si="247"/>
        <v>1</v>
      </c>
      <c r="BO580" s="252">
        <f t="shared" si="248"/>
        <v>1</v>
      </c>
      <c r="BP580" s="2578"/>
      <c r="BQ580" s="2562"/>
      <c r="BR580" s="2562"/>
      <c r="BS580" s="2585"/>
      <c r="BT580" s="2585"/>
      <c r="BU580" s="2585"/>
    </row>
    <row r="581" spans="1:73" s="22" customFormat="1" ht="15.75" hidden="1" customHeight="1" outlineLevel="1">
      <c r="A581" s="2585"/>
      <c r="B581" s="44"/>
      <c r="C581" s="45"/>
      <c r="D581" s="46"/>
      <c r="E581" s="46"/>
      <c r="F581" s="45"/>
      <c r="G581" s="46"/>
      <c r="H581" s="45"/>
      <c r="I581" s="45"/>
      <c r="J581" s="47"/>
      <c r="K581" s="48"/>
      <c r="L581" s="47"/>
      <c r="M581" s="1913"/>
      <c r="N581" s="48"/>
      <c r="O581" s="49"/>
      <c r="P581" s="49"/>
      <c r="Q581" s="1884">
        <f t="shared" si="227"/>
        <v>0</v>
      </c>
      <c r="R581" s="1933"/>
      <c r="S581" s="50"/>
      <c r="T581" s="210"/>
      <c r="U581" s="1933"/>
      <c r="V581" s="1933"/>
      <c r="W581" s="1885">
        <f t="shared" si="210"/>
        <v>0</v>
      </c>
      <c r="X581" s="1891">
        <f t="shared" si="211"/>
        <v>0</v>
      </c>
      <c r="Y581" s="1891">
        <f t="shared" si="212"/>
        <v>0</v>
      </c>
      <c r="Z581" s="50"/>
      <c r="AA581" s="50"/>
      <c r="AB581" s="48"/>
      <c r="AC581" s="48"/>
      <c r="AD581" s="48"/>
      <c r="AE581" s="45"/>
      <c r="AF581" s="51"/>
      <c r="AG581" s="42"/>
      <c r="AH581" s="52" t="s">
        <v>5259</v>
      </c>
      <c r="AI581" s="197"/>
      <c r="AJ581" s="2578"/>
      <c r="AK581" s="251"/>
      <c r="AL581" s="2578"/>
      <c r="AM581" s="252">
        <f t="shared" si="228"/>
        <v>1</v>
      </c>
      <c r="AN581" s="252">
        <f t="shared" si="229"/>
        <v>1</v>
      </c>
      <c r="AO581" s="252">
        <f t="shared" si="230"/>
        <v>1</v>
      </c>
      <c r="AP581" s="252">
        <f t="shared" si="231"/>
        <v>1</v>
      </c>
      <c r="AQ581" s="252">
        <f t="shared" si="232"/>
        <v>1</v>
      </c>
      <c r="AR581" s="252">
        <f t="shared" si="233"/>
        <v>1</v>
      </c>
      <c r="AS581" s="252">
        <f t="shared" si="234"/>
        <v>1</v>
      </c>
      <c r="AT581" s="252">
        <f t="shared" si="235"/>
        <v>1</v>
      </c>
      <c r="AU581" s="252">
        <f t="shared" si="236"/>
        <v>1</v>
      </c>
      <c r="AV581" s="252">
        <f t="shared" si="237"/>
        <v>1</v>
      </c>
      <c r="AW581" s="252">
        <f t="shared" si="238"/>
        <v>1</v>
      </c>
      <c r="AX581" s="252">
        <f t="shared" si="239"/>
        <v>1</v>
      </c>
      <c r="AY581" s="252">
        <f t="shared" si="240"/>
        <v>1</v>
      </c>
      <c r="AZ581" s="252">
        <f t="shared" si="241"/>
        <v>1</v>
      </c>
      <c r="BA581" s="237"/>
      <c r="BB581" s="237"/>
      <c r="BC581" s="2562"/>
      <c r="BD581" s="2562"/>
      <c r="BE581" s="2562"/>
      <c r="BF581" s="2562"/>
      <c r="BG581" s="252">
        <f t="shared" si="242"/>
        <v>0</v>
      </c>
      <c r="BH581" s="2562"/>
      <c r="BI581" s="237"/>
      <c r="BJ581" s="252">
        <f t="shared" si="243"/>
        <v>1</v>
      </c>
      <c r="BK581" s="252">
        <f t="shared" si="244"/>
        <v>1</v>
      </c>
      <c r="BL581" s="252">
        <f t="shared" si="245"/>
        <v>1</v>
      </c>
      <c r="BM581" s="252">
        <f t="shared" si="246"/>
        <v>1</v>
      </c>
      <c r="BN581" s="252">
        <f t="shared" si="247"/>
        <v>1</v>
      </c>
      <c r="BO581" s="252">
        <f t="shared" si="248"/>
        <v>1</v>
      </c>
      <c r="BP581" s="2578"/>
      <c r="BQ581" s="2562"/>
      <c r="BR581" s="2562"/>
      <c r="BS581" s="2585"/>
      <c r="BT581" s="2585"/>
      <c r="BU581" s="2585"/>
    </row>
    <row r="582" spans="1:73" s="22" customFormat="1" ht="15.75" hidden="1" customHeight="1" outlineLevel="1">
      <c r="A582" s="2585"/>
      <c r="B582" s="44"/>
      <c r="C582" s="45"/>
      <c r="D582" s="46"/>
      <c r="E582" s="46"/>
      <c r="F582" s="45"/>
      <c r="G582" s="46"/>
      <c r="H582" s="45"/>
      <c r="I582" s="45"/>
      <c r="J582" s="47"/>
      <c r="K582" s="48"/>
      <c r="L582" s="47"/>
      <c r="M582" s="1913"/>
      <c r="N582" s="48"/>
      <c r="O582" s="49"/>
      <c r="P582" s="49"/>
      <c r="Q582" s="1884">
        <f t="shared" si="227"/>
        <v>0</v>
      </c>
      <c r="R582" s="1933"/>
      <c r="S582" s="50"/>
      <c r="T582" s="210"/>
      <c r="U582" s="1933"/>
      <c r="V582" s="1933"/>
      <c r="W582" s="1885">
        <f t="shared" si="210"/>
        <v>0</v>
      </c>
      <c r="X582" s="1891">
        <f t="shared" si="211"/>
        <v>0</v>
      </c>
      <c r="Y582" s="1891">
        <f t="shared" si="212"/>
        <v>0</v>
      </c>
      <c r="Z582" s="50"/>
      <c r="AA582" s="50"/>
      <c r="AB582" s="48"/>
      <c r="AC582" s="48"/>
      <c r="AD582" s="48"/>
      <c r="AE582" s="45"/>
      <c r="AF582" s="51"/>
      <c r="AG582" s="42"/>
      <c r="AH582" s="52" t="s">
        <v>5260</v>
      </c>
      <c r="AI582" s="197"/>
      <c r="AJ582" s="2578"/>
      <c r="AK582" s="251"/>
      <c r="AL582" s="2578"/>
      <c r="AM582" s="252">
        <f t="shared" si="228"/>
        <v>1</v>
      </c>
      <c r="AN582" s="252">
        <f t="shared" si="229"/>
        <v>1</v>
      </c>
      <c r="AO582" s="252">
        <f t="shared" si="230"/>
        <v>1</v>
      </c>
      <c r="AP582" s="252">
        <f t="shared" si="231"/>
        <v>1</v>
      </c>
      <c r="AQ582" s="252">
        <f t="shared" si="232"/>
        <v>1</v>
      </c>
      <c r="AR582" s="252">
        <f t="shared" si="233"/>
        <v>1</v>
      </c>
      <c r="AS582" s="252">
        <f t="shared" si="234"/>
        <v>1</v>
      </c>
      <c r="AT582" s="252">
        <f t="shared" si="235"/>
        <v>1</v>
      </c>
      <c r="AU582" s="252">
        <f t="shared" si="236"/>
        <v>1</v>
      </c>
      <c r="AV582" s="252">
        <f t="shared" si="237"/>
        <v>1</v>
      </c>
      <c r="AW582" s="252">
        <f t="shared" si="238"/>
        <v>1</v>
      </c>
      <c r="AX582" s="252">
        <f t="shared" si="239"/>
        <v>1</v>
      </c>
      <c r="AY582" s="252">
        <f t="shared" si="240"/>
        <v>1</v>
      </c>
      <c r="AZ582" s="252">
        <f t="shared" si="241"/>
        <v>1</v>
      </c>
      <c r="BA582" s="237"/>
      <c r="BB582" s="237"/>
      <c r="BC582" s="2562"/>
      <c r="BD582" s="2562"/>
      <c r="BE582" s="2562"/>
      <c r="BF582" s="2562"/>
      <c r="BG582" s="252">
        <f t="shared" si="242"/>
        <v>0</v>
      </c>
      <c r="BH582" s="2562"/>
      <c r="BI582" s="237"/>
      <c r="BJ582" s="252">
        <f t="shared" si="243"/>
        <v>1</v>
      </c>
      <c r="BK582" s="252">
        <f t="shared" si="244"/>
        <v>1</v>
      </c>
      <c r="BL582" s="252">
        <f t="shared" si="245"/>
        <v>1</v>
      </c>
      <c r="BM582" s="252">
        <f t="shared" si="246"/>
        <v>1</v>
      </c>
      <c r="BN582" s="252">
        <f t="shared" si="247"/>
        <v>1</v>
      </c>
      <c r="BO582" s="252">
        <f t="shared" si="248"/>
        <v>1</v>
      </c>
      <c r="BP582" s="2578"/>
      <c r="BQ582" s="2562"/>
      <c r="BR582" s="2562"/>
      <c r="BS582" s="2585"/>
      <c r="BT582" s="2585"/>
      <c r="BU582" s="2585"/>
    </row>
    <row r="583" spans="1:73" s="22" customFormat="1" ht="15.75" hidden="1" customHeight="1" outlineLevel="1">
      <c r="A583" s="2585"/>
      <c r="B583" s="44"/>
      <c r="C583" s="45"/>
      <c r="D583" s="46"/>
      <c r="E583" s="46"/>
      <c r="F583" s="45"/>
      <c r="G583" s="46"/>
      <c r="H583" s="45"/>
      <c r="I583" s="45"/>
      <c r="J583" s="47"/>
      <c r="K583" s="48"/>
      <c r="L583" s="47"/>
      <c r="M583" s="1913"/>
      <c r="N583" s="48"/>
      <c r="O583" s="49"/>
      <c r="P583" s="49"/>
      <c r="Q583" s="1884">
        <f t="shared" si="227"/>
        <v>0</v>
      </c>
      <c r="R583" s="1933"/>
      <c r="S583" s="50"/>
      <c r="T583" s="210"/>
      <c r="U583" s="1933"/>
      <c r="V583" s="1933"/>
      <c r="W583" s="1885">
        <f t="shared" si="210"/>
        <v>0</v>
      </c>
      <c r="X583" s="1891">
        <f t="shared" si="211"/>
        <v>0</v>
      </c>
      <c r="Y583" s="1891">
        <f t="shared" si="212"/>
        <v>0</v>
      </c>
      <c r="Z583" s="50"/>
      <c r="AA583" s="50"/>
      <c r="AB583" s="48"/>
      <c r="AC583" s="48"/>
      <c r="AD583" s="48"/>
      <c r="AE583" s="45"/>
      <c r="AF583" s="51"/>
      <c r="AG583" s="42"/>
      <c r="AH583" s="52" t="s">
        <v>5261</v>
      </c>
      <c r="AI583" s="197"/>
      <c r="AJ583" s="2578"/>
      <c r="AK583" s="251"/>
      <c r="AL583" s="2578"/>
      <c r="AM583" s="252">
        <f t="shared" si="228"/>
        <v>1</v>
      </c>
      <c r="AN583" s="252">
        <f t="shared" si="229"/>
        <v>1</v>
      </c>
      <c r="AO583" s="252">
        <f t="shared" si="230"/>
        <v>1</v>
      </c>
      <c r="AP583" s="252">
        <f t="shared" si="231"/>
        <v>1</v>
      </c>
      <c r="AQ583" s="252">
        <f t="shared" si="232"/>
        <v>1</v>
      </c>
      <c r="AR583" s="252">
        <f t="shared" si="233"/>
        <v>1</v>
      </c>
      <c r="AS583" s="252">
        <f t="shared" si="234"/>
        <v>1</v>
      </c>
      <c r="AT583" s="252">
        <f t="shared" si="235"/>
        <v>1</v>
      </c>
      <c r="AU583" s="252">
        <f t="shared" si="236"/>
        <v>1</v>
      </c>
      <c r="AV583" s="252">
        <f t="shared" si="237"/>
        <v>1</v>
      </c>
      <c r="AW583" s="252">
        <f t="shared" si="238"/>
        <v>1</v>
      </c>
      <c r="AX583" s="252">
        <f t="shared" si="239"/>
        <v>1</v>
      </c>
      <c r="AY583" s="252">
        <f t="shared" si="240"/>
        <v>1</v>
      </c>
      <c r="AZ583" s="252">
        <f t="shared" si="241"/>
        <v>1</v>
      </c>
      <c r="BA583" s="237"/>
      <c r="BB583" s="237"/>
      <c r="BC583" s="2562"/>
      <c r="BD583" s="2562"/>
      <c r="BE583" s="2562"/>
      <c r="BF583" s="2562"/>
      <c r="BG583" s="252">
        <f t="shared" si="242"/>
        <v>0</v>
      </c>
      <c r="BH583" s="2562"/>
      <c r="BI583" s="237"/>
      <c r="BJ583" s="252">
        <f t="shared" si="243"/>
        <v>1</v>
      </c>
      <c r="BK583" s="252">
        <f t="shared" si="244"/>
        <v>1</v>
      </c>
      <c r="BL583" s="252">
        <f t="shared" si="245"/>
        <v>1</v>
      </c>
      <c r="BM583" s="252">
        <f t="shared" si="246"/>
        <v>1</v>
      </c>
      <c r="BN583" s="252">
        <f t="shared" si="247"/>
        <v>1</v>
      </c>
      <c r="BO583" s="252">
        <f t="shared" si="248"/>
        <v>1</v>
      </c>
      <c r="BP583" s="2578"/>
      <c r="BQ583" s="2562"/>
      <c r="BR583" s="2562"/>
      <c r="BS583" s="2585"/>
      <c r="BT583" s="2585"/>
      <c r="BU583" s="2585"/>
    </row>
    <row r="584" spans="1:73" s="22" customFormat="1" ht="15.75" hidden="1" customHeight="1" outlineLevel="1">
      <c r="A584" s="2585"/>
      <c r="B584" s="44"/>
      <c r="C584" s="45"/>
      <c r="D584" s="46"/>
      <c r="E584" s="46"/>
      <c r="F584" s="45"/>
      <c r="G584" s="46"/>
      <c r="H584" s="45"/>
      <c r="I584" s="45"/>
      <c r="J584" s="47"/>
      <c r="K584" s="48"/>
      <c r="L584" s="47"/>
      <c r="M584" s="1913"/>
      <c r="N584" s="48"/>
      <c r="O584" s="49"/>
      <c r="P584" s="49"/>
      <c r="Q584" s="1884">
        <f t="shared" si="227"/>
        <v>0</v>
      </c>
      <c r="R584" s="1933"/>
      <c r="S584" s="50"/>
      <c r="T584" s="210"/>
      <c r="U584" s="1933"/>
      <c r="V584" s="1933"/>
      <c r="W584" s="1885">
        <f t="shared" si="210"/>
        <v>0</v>
      </c>
      <c r="X584" s="1891">
        <f t="shared" si="211"/>
        <v>0</v>
      </c>
      <c r="Y584" s="1891">
        <f t="shared" si="212"/>
        <v>0</v>
      </c>
      <c r="Z584" s="50"/>
      <c r="AA584" s="50"/>
      <c r="AB584" s="48"/>
      <c r="AC584" s="48"/>
      <c r="AD584" s="48"/>
      <c r="AE584" s="45"/>
      <c r="AF584" s="51"/>
      <c r="AG584" s="42"/>
      <c r="AH584" s="52" t="s">
        <v>5262</v>
      </c>
      <c r="AI584" s="197"/>
      <c r="AJ584" s="2578"/>
      <c r="AK584" s="251"/>
      <c r="AL584" s="2578"/>
      <c r="AM584" s="252">
        <f t="shared" si="228"/>
        <v>1</v>
      </c>
      <c r="AN584" s="252">
        <f t="shared" si="229"/>
        <v>1</v>
      </c>
      <c r="AO584" s="252">
        <f t="shared" si="230"/>
        <v>1</v>
      </c>
      <c r="AP584" s="252">
        <f t="shared" si="231"/>
        <v>1</v>
      </c>
      <c r="AQ584" s="252">
        <f t="shared" si="232"/>
        <v>1</v>
      </c>
      <c r="AR584" s="252">
        <f t="shared" si="233"/>
        <v>1</v>
      </c>
      <c r="AS584" s="252">
        <f t="shared" si="234"/>
        <v>1</v>
      </c>
      <c r="AT584" s="252">
        <f t="shared" si="235"/>
        <v>1</v>
      </c>
      <c r="AU584" s="252">
        <f t="shared" si="236"/>
        <v>1</v>
      </c>
      <c r="AV584" s="252">
        <f t="shared" si="237"/>
        <v>1</v>
      </c>
      <c r="AW584" s="252">
        <f t="shared" si="238"/>
        <v>1</v>
      </c>
      <c r="AX584" s="252">
        <f t="shared" si="239"/>
        <v>1</v>
      </c>
      <c r="AY584" s="252">
        <f t="shared" si="240"/>
        <v>1</v>
      </c>
      <c r="AZ584" s="252">
        <f t="shared" si="241"/>
        <v>1</v>
      </c>
      <c r="BA584" s="237"/>
      <c r="BB584" s="237"/>
      <c r="BC584" s="2562"/>
      <c r="BD584" s="2562"/>
      <c r="BE584" s="2562"/>
      <c r="BF584" s="2562"/>
      <c r="BG584" s="252">
        <f t="shared" si="242"/>
        <v>0</v>
      </c>
      <c r="BH584" s="2562"/>
      <c r="BI584" s="237"/>
      <c r="BJ584" s="252">
        <f t="shared" si="243"/>
        <v>1</v>
      </c>
      <c r="BK584" s="252">
        <f t="shared" si="244"/>
        <v>1</v>
      </c>
      <c r="BL584" s="252">
        <f t="shared" si="245"/>
        <v>1</v>
      </c>
      <c r="BM584" s="252">
        <f t="shared" si="246"/>
        <v>1</v>
      </c>
      <c r="BN584" s="252">
        <f t="shared" si="247"/>
        <v>1</v>
      </c>
      <c r="BO584" s="252">
        <f t="shared" si="248"/>
        <v>1</v>
      </c>
      <c r="BP584" s="2578"/>
      <c r="BQ584" s="2562"/>
      <c r="BR584" s="2562"/>
      <c r="BS584" s="2585"/>
      <c r="BT584" s="2585"/>
      <c r="BU584" s="2585"/>
    </row>
    <row r="585" spans="1:73" s="22" customFormat="1" ht="15.75" hidden="1" customHeight="1" outlineLevel="1">
      <c r="A585" s="2585"/>
      <c r="B585" s="44"/>
      <c r="C585" s="45"/>
      <c r="D585" s="46"/>
      <c r="E585" s="46"/>
      <c r="F585" s="45"/>
      <c r="G585" s="46"/>
      <c r="H585" s="45"/>
      <c r="I585" s="45"/>
      <c r="J585" s="47"/>
      <c r="K585" s="48"/>
      <c r="L585" s="47"/>
      <c r="M585" s="1913"/>
      <c r="N585" s="48"/>
      <c r="O585" s="49"/>
      <c r="P585" s="49"/>
      <c r="Q585" s="1884">
        <f t="shared" si="227"/>
        <v>0</v>
      </c>
      <c r="R585" s="1933"/>
      <c r="S585" s="50"/>
      <c r="T585" s="210"/>
      <c r="U585" s="1933"/>
      <c r="V585" s="1933"/>
      <c r="W585" s="1885">
        <f t="shared" si="210"/>
        <v>0</v>
      </c>
      <c r="X585" s="1891">
        <f t="shared" si="211"/>
        <v>0</v>
      </c>
      <c r="Y585" s="1891">
        <f t="shared" si="212"/>
        <v>0</v>
      </c>
      <c r="Z585" s="50"/>
      <c r="AA585" s="50"/>
      <c r="AB585" s="48"/>
      <c r="AC585" s="48"/>
      <c r="AD585" s="48"/>
      <c r="AE585" s="45"/>
      <c r="AF585" s="51"/>
      <c r="AG585" s="42"/>
      <c r="AH585" s="52" t="s">
        <v>5263</v>
      </c>
      <c r="AI585" s="197"/>
      <c r="AJ585" s="2578"/>
      <c r="AK585" s="251"/>
      <c r="AL585" s="2578"/>
      <c r="AM585" s="252">
        <f t="shared" si="228"/>
        <v>1</v>
      </c>
      <c r="AN585" s="252">
        <f t="shared" si="229"/>
        <v>1</v>
      </c>
      <c r="AO585" s="252">
        <f t="shared" si="230"/>
        <v>1</v>
      </c>
      <c r="AP585" s="252">
        <f t="shared" si="231"/>
        <v>1</v>
      </c>
      <c r="AQ585" s="252">
        <f t="shared" si="232"/>
        <v>1</v>
      </c>
      <c r="AR585" s="252">
        <f t="shared" si="233"/>
        <v>1</v>
      </c>
      <c r="AS585" s="252">
        <f t="shared" si="234"/>
        <v>1</v>
      </c>
      <c r="AT585" s="252">
        <f t="shared" si="235"/>
        <v>1</v>
      </c>
      <c r="AU585" s="252">
        <f t="shared" si="236"/>
        <v>1</v>
      </c>
      <c r="AV585" s="252">
        <f t="shared" si="237"/>
        <v>1</v>
      </c>
      <c r="AW585" s="252">
        <f t="shared" si="238"/>
        <v>1</v>
      </c>
      <c r="AX585" s="252">
        <f t="shared" si="239"/>
        <v>1</v>
      </c>
      <c r="AY585" s="252">
        <f t="shared" si="240"/>
        <v>1</v>
      </c>
      <c r="AZ585" s="252">
        <f t="shared" si="241"/>
        <v>1</v>
      </c>
      <c r="BA585" s="237"/>
      <c r="BB585" s="237"/>
      <c r="BC585" s="2562"/>
      <c r="BD585" s="2562"/>
      <c r="BE585" s="2562"/>
      <c r="BF585" s="2562"/>
      <c r="BG585" s="252">
        <f t="shared" si="242"/>
        <v>0</v>
      </c>
      <c r="BH585" s="2562"/>
      <c r="BI585" s="237"/>
      <c r="BJ585" s="252">
        <f t="shared" si="243"/>
        <v>1</v>
      </c>
      <c r="BK585" s="252">
        <f t="shared" si="244"/>
        <v>1</v>
      </c>
      <c r="BL585" s="252">
        <f t="shared" si="245"/>
        <v>1</v>
      </c>
      <c r="BM585" s="252">
        <f t="shared" si="246"/>
        <v>1</v>
      </c>
      <c r="BN585" s="252">
        <f t="shared" si="247"/>
        <v>1</v>
      </c>
      <c r="BO585" s="252">
        <f t="shared" si="248"/>
        <v>1</v>
      </c>
      <c r="BP585" s="2578"/>
      <c r="BQ585" s="2562"/>
      <c r="BR585" s="2562"/>
      <c r="BS585" s="2585"/>
      <c r="BT585" s="2585"/>
      <c r="BU585" s="2585"/>
    </row>
    <row r="586" spans="1:73" s="22" customFormat="1" ht="15.75" hidden="1" customHeight="1" outlineLevel="1">
      <c r="A586" s="2585"/>
      <c r="B586" s="44"/>
      <c r="C586" s="45"/>
      <c r="D586" s="46"/>
      <c r="E586" s="46"/>
      <c r="F586" s="45"/>
      <c r="G586" s="46"/>
      <c r="H586" s="45"/>
      <c r="I586" s="45"/>
      <c r="J586" s="47"/>
      <c r="K586" s="48"/>
      <c r="L586" s="47"/>
      <c r="M586" s="1913"/>
      <c r="N586" s="48"/>
      <c r="O586" s="49"/>
      <c r="P586" s="49"/>
      <c r="Q586" s="1884">
        <f t="shared" si="227"/>
        <v>0</v>
      </c>
      <c r="R586" s="1933"/>
      <c r="S586" s="50"/>
      <c r="T586" s="210"/>
      <c r="U586" s="1933"/>
      <c r="V586" s="1933"/>
      <c r="W586" s="1885">
        <f t="shared" si="210"/>
        <v>0</v>
      </c>
      <c r="X586" s="1891">
        <f t="shared" si="211"/>
        <v>0</v>
      </c>
      <c r="Y586" s="1891">
        <f t="shared" si="212"/>
        <v>0</v>
      </c>
      <c r="Z586" s="50"/>
      <c r="AA586" s="50"/>
      <c r="AB586" s="48"/>
      <c r="AC586" s="48"/>
      <c r="AD586" s="48"/>
      <c r="AE586" s="45"/>
      <c r="AF586" s="51"/>
      <c r="AG586" s="42"/>
      <c r="AH586" s="52" t="s">
        <v>5264</v>
      </c>
      <c r="AI586" s="197"/>
      <c r="AJ586" s="2578"/>
      <c r="AK586" s="251"/>
      <c r="AL586" s="2578"/>
      <c r="AM586" s="252">
        <f t="shared" si="228"/>
        <v>1</v>
      </c>
      <c r="AN586" s="252">
        <f t="shared" si="229"/>
        <v>1</v>
      </c>
      <c r="AO586" s="252">
        <f t="shared" si="230"/>
        <v>1</v>
      </c>
      <c r="AP586" s="252">
        <f t="shared" si="231"/>
        <v>1</v>
      </c>
      <c r="AQ586" s="252">
        <f t="shared" si="232"/>
        <v>1</v>
      </c>
      <c r="AR586" s="252">
        <f t="shared" si="233"/>
        <v>1</v>
      </c>
      <c r="AS586" s="252">
        <f t="shared" si="234"/>
        <v>1</v>
      </c>
      <c r="AT586" s="252">
        <f t="shared" si="235"/>
        <v>1</v>
      </c>
      <c r="AU586" s="252">
        <f t="shared" si="236"/>
        <v>1</v>
      </c>
      <c r="AV586" s="252">
        <f t="shared" si="237"/>
        <v>1</v>
      </c>
      <c r="AW586" s="252">
        <f t="shared" si="238"/>
        <v>1</v>
      </c>
      <c r="AX586" s="252">
        <f t="shared" si="239"/>
        <v>1</v>
      </c>
      <c r="AY586" s="252">
        <f t="shared" si="240"/>
        <v>1</v>
      </c>
      <c r="AZ586" s="252">
        <f t="shared" si="241"/>
        <v>1</v>
      </c>
      <c r="BA586" s="237"/>
      <c r="BB586" s="237"/>
      <c r="BC586" s="2562"/>
      <c r="BD586" s="2562"/>
      <c r="BE586" s="2562"/>
      <c r="BF586" s="2562"/>
      <c r="BG586" s="252">
        <f t="shared" si="242"/>
        <v>0</v>
      </c>
      <c r="BH586" s="2562"/>
      <c r="BI586" s="237"/>
      <c r="BJ586" s="252">
        <f t="shared" si="243"/>
        <v>1</v>
      </c>
      <c r="BK586" s="252">
        <f t="shared" si="244"/>
        <v>1</v>
      </c>
      <c r="BL586" s="252">
        <f t="shared" si="245"/>
        <v>1</v>
      </c>
      <c r="BM586" s="252">
        <f t="shared" si="246"/>
        <v>1</v>
      </c>
      <c r="BN586" s="252">
        <f t="shared" si="247"/>
        <v>1</v>
      </c>
      <c r="BO586" s="252">
        <f t="shared" si="248"/>
        <v>1</v>
      </c>
      <c r="BP586" s="2578"/>
      <c r="BQ586" s="2562"/>
      <c r="BR586" s="2562"/>
      <c r="BS586" s="2585"/>
      <c r="BT586" s="2585"/>
      <c r="BU586" s="2585"/>
    </row>
    <row r="587" spans="1:73" s="22" customFormat="1" ht="15.75" hidden="1" customHeight="1" outlineLevel="1">
      <c r="A587" s="2585"/>
      <c r="B587" s="44"/>
      <c r="C587" s="45"/>
      <c r="D587" s="46"/>
      <c r="E587" s="46"/>
      <c r="F587" s="45"/>
      <c r="G587" s="46"/>
      <c r="H587" s="45"/>
      <c r="I587" s="45"/>
      <c r="J587" s="47"/>
      <c r="K587" s="48"/>
      <c r="L587" s="47"/>
      <c r="M587" s="1913"/>
      <c r="N587" s="48"/>
      <c r="O587" s="49"/>
      <c r="P587" s="49"/>
      <c r="Q587" s="1884">
        <f t="shared" si="227"/>
        <v>0</v>
      </c>
      <c r="R587" s="1933"/>
      <c r="S587" s="50"/>
      <c r="T587" s="210"/>
      <c r="U587" s="1933"/>
      <c r="V587" s="1933"/>
      <c r="W587" s="1885">
        <f t="shared" si="210"/>
        <v>0</v>
      </c>
      <c r="X587" s="1891">
        <f t="shared" si="211"/>
        <v>0</v>
      </c>
      <c r="Y587" s="1891">
        <f t="shared" si="212"/>
        <v>0</v>
      </c>
      <c r="Z587" s="50"/>
      <c r="AA587" s="50"/>
      <c r="AB587" s="48"/>
      <c r="AC587" s="48"/>
      <c r="AD587" s="48"/>
      <c r="AE587" s="45"/>
      <c r="AF587" s="51"/>
      <c r="AG587" s="42"/>
      <c r="AH587" s="52" t="s">
        <v>5265</v>
      </c>
      <c r="AI587" s="197"/>
      <c r="AJ587" s="2578"/>
      <c r="AK587" s="251"/>
      <c r="AL587" s="2578"/>
      <c r="AM587" s="252">
        <f t="shared" si="228"/>
        <v>1</v>
      </c>
      <c r="AN587" s="252">
        <f t="shared" si="229"/>
        <v>1</v>
      </c>
      <c r="AO587" s="252">
        <f t="shared" si="230"/>
        <v>1</v>
      </c>
      <c r="AP587" s="252">
        <f t="shared" si="231"/>
        <v>1</v>
      </c>
      <c r="AQ587" s="252">
        <f t="shared" si="232"/>
        <v>1</v>
      </c>
      <c r="AR587" s="252">
        <f t="shared" si="233"/>
        <v>1</v>
      </c>
      <c r="AS587" s="252">
        <f t="shared" si="234"/>
        <v>1</v>
      </c>
      <c r="AT587" s="252">
        <f t="shared" si="235"/>
        <v>1</v>
      </c>
      <c r="AU587" s="252">
        <f t="shared" si="236"/>
        <v>1</v>
      </c>
      <c r="AV587" s="252">
        <f t="shared" si="237"/>
        <v>1</v>
      </c>
      <c r="AW587" s="252">
        <f t="shared" si="238"/>
        <v>1</v>
      </c>
      <c r="AX587" s="252">
        <f t="shared" si="239"/>
        <v>1</v>
      </c>
      <c r="AY587" s="252">
        <f t="shared" si="240"/>
        <v>1</v>
      </c>
      <c r="AZ587" s="252">
        <f t="shared" si="241"/>
        <v>1</v>
      </c>
      <c r="BA587" s="237"/>
      <c r="BB587" s="237"/>
      <c r="BC587" s="2562"/>
      <c r="BD587" s="2562"/>
      <c r="BE587" s="2562"/>
      <c r="BF587" s="2562"/>
      <c r="BG587" s="252">
        <f t="shared" si="242"/>
        <v>0</v>
      </c>
      <c r="BH587" s="2562"/>
      <c r="BI587" s="237"/>
      <c r="BJ587" s="252">
        <f t="shared" si="243"/>
        <v>1</v>
      </c>
      <c r="BK587" s="252">
        <f t="shared" si="244"/>
        <v>1</v>
      </c>
      <c r="BL587" s="252">
        <f t="shared" si="245"/>
        <v>1</v>
      </c>
      <c r="BM587" s="252">
        <f t="shared" si="246"/>
        <v>1</v>
      </c>
      <c r="BN587" s="252">
        <f t="shared" si="247"/>
        <v>1</v>
      </c>
      <c r="BO587" s="252">
        <f t="shared" si="248"/>
        <v>1</v>
      </c>
      <c r="BP587" s="2578"/>
      <c r="BQ587" s="2562"/>
      <c r="BR587" s="2562"/>
      <c r="BS587" s="2585"/>
      <c r="BT587" s="2585"/>
      <c r="BU587" s="2585"/>
    </row>
    <row r="588" spans="1:73" s="22" customFormat="1" ht="15.75" hidden="1" customHeight="1" outlineLevel="1">
      <c r="A588" s="2585"/>
      <c r="B588" s="44"/>
      <c r="C588" s="45"/>
      <c r="D588" s="46"/>
      <c r="E588" s="46"/>
      <c r="F588" s="45"/>
      <c r="G588" s="46"/>
      <c r="H588" s="45"/>
      <c r="I588" s="45"/>
      <c r="J588" s="47"/>
      <c r="K588" s="48"/>
      <c r="L588" s="47"/>
      <c r="M588" s="1913"/>
      <c r="N588" s="48"/>
      <c r="O588" s="49"/>
      <c r="P588" s="49"/>
      <c r="Q588" s="1884">
        <f t="shared" si="227"/>
        <v>0</v>
      </c>
      <c r="R588" s="1933"/>
      <c r="S588" s="50"/>
      <c r="T588" s="210"/>
      <c r="U588" s="1933"/>
      <c r="V588" s="1933"/>
      <c r="W588" s="1885">
        <f t="shared" si="210"/>
        <v>0</v>
      </c>
      <c r="X588" s="1891">
        <f t="shared" si="211"/>
        <v>0</v>
      </c>
      <c r="Y588" s="1891">
        <f t="shared" si="212"/>
        <v>0</v>
      </c>
      <c r="Z588" s="50"/>
      <c r="AA588" s="50"/>
      <c r="AB588" s="48"/>
      <c r="AC588" s="48"/>
      <c r="AD588" s="48"/>
      <c r="AE588" s="45"/>
      <c r="AF588" s="51"/>
      <c r="AG588" s="42"/>
      <c r="AH588" s="52" t="s">
        <v>5266</v>
      </c>
      <c r="AI588" s="197"/>
      <c r="AJ588" s="2578"/>
      <c r="AK588" s="251"/>
      <c r="AL588" s="2578"/>
      <c r="AM588" s="252">
        <f t="shared" si="228"/>
        <v>1</v>
      </c>
      <c r="AN588" s="252">
        <f t="shared" si="229"/>
        <v>1</v>
      </c>
      <c r="AO588" s="252">
        <f t="shared" si="230"/>
        <v>1</v>
      </c>
      <c r="AP588" s="252">
        <f t="shared" si="231"/>
        <v>1</v>
      </c>
      <c r="AQ588" s="252">
        <f t="shared" si="232"/>
        <v>1</v>
      </c>
      <c r="AR588" s="252">
        <f t="shared" si="233"/>
        <v>1</v>
      </c>
      <c r="AS588" s="252">
        <f t="shared" si="234"/>
        <v>1</v>
      </c>
      <c r="AT588" s="252">
        <f t="shared" si="235"/>
        <v>1</v>
      </c>
      <c r="AU588" s="252">
        <f t="shared" si="236"/>
        <v>1</v>
      </c>
      <c r="AV588" s="252">
        <f t="shared" si="237"/>
        <v>1</v>
      </c>
      <c r="AW588" s="252">
        <f t="shared" si="238"/>
        <v>1</v>
      </c>
      <c r="AX588" s="252">
        <f t="shared" si="239"/>
        <v>1</v>
      </c>
      <c r="AY588" s="252">
        <f t="shared" si="240"/>
        <v>1</v>
      </c>
      <c r="AZ588" s="252">
        <f t="shared" si="241"/>
        <v>1</v>
      </c>
      <c r="BA588" s="237"/>
      <c r="BB588" s="237"/>
      <c r="BC588" s="2562"/>
      <c r="BD588" s="2562"/>
      <c r="BE588" s="2562"/>
      <c r="BF588" s="2562"/>
      <c r="BG588" s="252">
        <f t="shared" si="242"/>
        <v>0</v>
      </c>
      <c r="BH588" s="2562"/>
      <c r="BI588" s="237"/>
      <c r="BJ588" s="252">
        <f t="shared" si="243"/>
        <v>1</v>
      </c>
      <c r="BK588" s="252">
        <f t="shared" si="244"/>
        <v>1</v>
      </c>
      <c r="BL588" s="252">
        <f t="shared" si="245"/>
        <v>1</v>
      </c>
      <c r="BM588" s="252">
        <f t="shared" si="246"/>
        <v>1</v>
      </c>
      <c r="BN588" s="252">
        <f t="shared" si="247"/>
        <v>1</v>
      </c>
      <c r="BO588" s="252">
        <f t="shared" si="248"/>
        <v>1</v>
      </c>
      <c r="BP588" s="2578"/>
      <c r="BQ588" s="2562"/>
      <c r="BR588" s="2562"/>
      <c r="BS588" s="2585"/>
      <c r="BT588" s="2585"/>
      <c r="BU588" s="2585"/>
    </row>
    <row r="589" spans="1:73" s="22" customFormat="1" ht="15.75" hidden="1" customHeight="1" outlineLevel="1">
      <c r="A589" s="2585"/>
      <c r="B589" s="44"/>
      <c r="C589" s="45"/>
      <c r="D589" s="46"/>
      <c r="E589" s="46"/>
      <c r="F589" s="45"/>
      <c r="G589" s="46"/>
      <c r="H589" s="45"/>
      <c r="I589" s="45"/>
      <c r="J589" s="47"/>
      <c r="K589" s="48"/>
      <c r="L589" s="47"/>
      <c r="M589" s="1913"/>
      <c r="N589" s="48"/>
      <c r="O589" s="49"/>
      <c r="P589" s="49"/>
      <c r="Q589" s="1884">
        <f t="shared" si="227"/>
        <v>0</v>
      </c>
      <c r="R589" s="1933"/>
      <c r="S589" s="50"/>
      <c r="T589" s="210"/>
      <c r="U589" s="1933"/>
      <c r="V589" s="1933"/>
      <c r="W589" s="1885">
        <f t="shared" si="210"/>
        <v>0</v>
      </c>
      <c r="X589" s="1891">
        <f t="shared" si="211"/>
        <v>0</v>
      </c>
      <c r="Y589" s="1891">
        <f t="shared" si="212"/>
        <v>0</v>
      </c>
      <c r="Z589" s="50"/>
      <c r="AA589" s="50"/>
      <c r="AB589" s="48"/>
      <c r="AC589" s="48"/>
      <c r="AD589" s="48"/>
      <c r="AE589" s="45"/>
      <c r="AF589" s="51"/>
      <c r="AG589" s="42"/>
      <c r="AH589" s="52" t="s">
        <v>5267</v>
      </c>
      <c r="AI589" s="197"/>
      <c r="AJ589" s="2578"/>
      <c r="AK589" s="251"/>
      <c r="AL589" s="2578"/>
      <c r="AM589" s="252">
        <f t="shared" si="228"/>
        <v>1</v>
      </c>
      <c r="AN589" s="252">
        <f t="shared" si="229"/>
        <v>1</v>
      </c>
      <c r="AO589" s="252">
        <f t="shared" si="230"/>
        <v>1</v>
      </c>
      <c r="AP589" s="252">
        <f t="shared" si="231"/>
        <v>1</v>
      </c>
      <c r="AQ589" s="252">
        <f t="shared" si="232"/>
        <v>1</v>
      </c>
      <c r="AR589" s="252">
        <f t="shared" si="233"/>
        <v>1</v>
      </c>
      <c r="AS589" s="252">
        <f t="shared" si="234"/>
        <v>1</v>
      </c>
      <c r="AT589" s="252">
        <f t="shared" si="235"/>
        <v>1</v>
      </c>
      <c r="AU589" s="252">
        <f t="shared" si="236"/>
        <v>1</v>
      </c>
      <c r="AV589" s="252">
        <f t="shared" si="237"/>
        <v>1</v>
      </c>
      <c r="AW589" s="252">
        <f t="shared" si="238"/>
        <v>1</v>
      </c>
      <c r="AX589" s="252">
        <f t="shared" si="239"/>
        <v>1</v>
      </c>
      <c r="AY589" s="252">
        <f t="shared" si="240"/>
        <v>1</v>
      </c>
      <c r="AZ589" s="252">
        <f t="shared" si="241"/>
        <v>1</v>
      </c>
      <c r="BA589" s="237"/>
      <c r="BB589" s="237"/>
      <c r="BC589" s="2562"/>
      <c r="BD589" s="2562"/>
      <c r="BE589" s="2562"/>
      <c r="BF589" s="2562"/>
      <c r="BG589" s="252">
        <f t="shared" si="242"/>
        <v>0</v>
      </c>
      <c r="BH589" s="2562"/>
      <c r="BI589" s="237"/>
      <c r="BJ589" s="252">
        <f t="shared" si="243"/>
        <v>1</v>
      </c>
      <c r="BK589" s="252">
        <f t="shared" si="244"/>
        <v>1</v>
      </c>
      <c r="BL589" s="252">
        <f t="shared" si="245"/>
        <v>1</v>
      </c>
      <c r="BM589" s="252">
        <f t="shared" si="246"/>
        <v>1</v>
      </c>
      <c r="BN589" s="252">
        <f t="shared" si="247"/>
        <v>1</v>
      </c>
      <c r="BO589" s="252">
        <f t="shared" si="248"/>
        <v>1</v>
      </c>
      <c r="BP589" s="2578"/>
      <c r="BQ589" s="2562"/>
      <c r="BR589" s="2562"/>
      <c r="BS589" s="2585"/>
      <c r="BT589" s="2585"/>
      <c r="BU589" s="2585"/>
    </row>
    <row r="590" spans="1:73" s="22" customFormat="1" ht="15.75" hidden="1" customHeight="1" outlineLevel="1">
      <c r="A590" s="2585"/>
      <c r="B590" s="44"/>
      <c r="C590" s="45"/>
      <c r="D590" s="46"/>
      <c r="E590" s="46"/>
      <c r="F590" s="45"/>
      <c r="G590" s="46"/>
      <c r="H590" s="45"/>
      <c r="I590" s="45"/>
      <c r="J590" s="47"/>
      <c r="K590" s="48"/>
      <c r="L590" s="47"/>
      <c r="M590" s="1913"/>
      <c r="N590" s="48"/>
      <c r="O590" s="49"/>
      <c r="P590" s="49"/>
      <c r="Q590" s="1884">
        <f t="shared" si="227"/>
        <v>0</v>
      </c>
      <c r="R590" s="1933"/>
      <c r="S590" s="50"/>
      <c r="T590" s="210"/>
      <c r="U590" s="1933"/>
      <c r="V590" s="1933"/>
      <c r="W590" s="1885">
        <f t="shared" si="210"/>
        <v>0</v>
      </c>
      <c r="X590" s="1891">
        <f t="shared" si="211"/>
        <v>0</v>
      </c>
      <c r="Y590" s="1891">
        <f t="shared" si="212"/>
        <v>0</v>
      </c>
      <c r="Z590" s="50"/>
      <c r="AA590" s="50"/>
      <c r="AB590" s="48"/>
      <c r="AC590" s="48"/>
      <c r="AD590" s="48"/>
      <c r="AE590" s="45"/>
      <c r="AF590" s="51"/>
      <c r="AG590" s="42"/>
      <c r="AH590" s="52" t="s">
        <v>5268</v>
      </c>
      <c r="AI590" s="197"/>
      <c r="AJ590" s="2578"/>
      <c r="AK590" s="251"/>
      <c r="AL590" s="2578"/>
      <c r="AM590" s="252">
        <f t="shared" si="228"/>
        <v>1</v>
      </c>
      <c r="AN590" s="252">
        <f t="shared" si="229"/>
        <v>1</v>
      </c>
      <c r="AO590" s="252">
        <f t="shared" si="230"/>
        <v>1</v>
      </c>
      <c r="AP590" s="252">
        <f t="shared" si="231"/>
        <v>1</v>
      </c>
      <c r="AQ590" s="252">
        <f t="shared" si="232"/>
        <v>1</v>
      </c>
      <c r="AR590" s="252">
        <f t="shared" si="233"/>
        <v>1</v>
      </c>
      <c r="AS590" s="252">
        <f t="shared" si="234"/>
        <v>1</v>
      </c>
      <c r="AT590" s="252">
        <f t="shared" si="235"/>
        <v>1</v>
      </c>
      <c r="AU590" s="252">
        <f t="shared" si="236"/>
        <v>1</v>
      </c>
      <c r="AV590" s="252">
        <f t="shared" si="237"/>
        <v>1</v>
      </c>
      <c r="AW590" s="252">
        <f t="shared" si="238"/>
        <v>1</v>
      </c>
      <c r="AX590" s="252">
        <f t="shared" si="239"/>
        <v>1</v>
      </c>
      <c r="AY590" s="252">
        <f t="shared" si="240"/>
        <v>1</v>
      </c>
      <c r="AZ590" s="252">
        <f t="shared" si="241"/>
        <v>1</v>
      </c>
      <c r="BA590" s="237"/>
      <c r="BB590" s="237"/>
      <c r="BC590" s="2562"/>
      <c r="BD590" s="2562"/>
      <c r="BE590" s="2562"/>
      <c r="BF590" s="2562"/>
      <c r="BG590" s="252">
        <f t="shared" si="242"/>
        <v>0</v>
      </c>
      <c r="BH590" s="2562"/>
      <c r="BI590" s="237"/>
      <c r="BJ590" s="252">
        <f t="shared" si="243"/>
        <v>1</v>
      </c>
      <c r="BK590" s="252">
        <f t="shared" si="244"/>
        <v>1</v>
      </c>
      <c r="BL590" s="252">
        <f t="shared" si="245"/>
        <v>1</v>
      </c>
      <c r="BM590" s="252">
        <f t="shared" si="246"/>
        <v>1</v>
      </c>
      <c r="BN590" s="252">
        <f t="shared" si="247"/>
        <v>1</v>
      </c>
      <c r="BO590" s="252">
        <f t="shared" si="248"/>
        <v>1</v>
      </c>
      <c r="BP590" s="2578"/>
      <c r="BQ590" s="2562"/>
      <c r="BR590" s="2562"/>
      <c r="BS590" s="2585"/>
      <c r="BT590" s="2585"/>
      <c r="BU590" s="2585"/>
    </row>
    <row r="591" spans="1:73" s="22" customFormat="1" ht="15.75" hidden="1" customHeight="1" outlineLevel="1">
      <c r="A591" s="2585"/>
      <c r="B591" s="44"/>
      <c r="C591" s="45"/>
      <c r="D591" s="46"/>
      <c r="E591" s="46"/>
      <c r="F591" s="45"/>
      <c r="G591" s="46"/>
      <c r="H591" s="45"/>
      <c r="I591" s="45"/>
      <c r="J591" s="47"/>
      <c r="K591" s="48"/>
      <c r="L591" s="47"/>
      <c r="M591" s="1913"/>
      <c r="N591" s="48"/>
      <c r="O591" s="49"/>
      <c r="P591" s="49"/>
      <c r="Q591" s="1884">
        <f t="shared" si="227"/>
        <v>0</v>
      </c>
      <c r="R591" s="1933"/>
      <c r="S591" s="50"/>
      <c r="T591" s="210"/>
      <c r="U591" s="1933"/>
      <c r="V591" s="1933"/>
      <c r="W591" s="1885">
        <f t="shared" si="210"/>
        <v>0</v>
      </c>
      <c r="X591" s="1891">
        <f t="shared" si="211"/>
        <v>0</v>
      </c>
      <c r="Y591" s="1891">
        <f t="shared" si="212"/>
        <v>0</v>
      </c>
      <c r="Z591" s="50"/>
      <c r="AA591" s="50"/>
      <c r="AB591" s="48"/>
      <c r="AC591" s="48"/>
      <c r="AD591" s="48"/>
      <c r="AE591" s="45"/>
      <c r="AF591" s="51"/>
      <c r="AG591" s="42"/>
      <c r="AH591" s="52" t="s">
        <v>5269</v>
      </c>
      <c r="AI591" s="197"/>
      <c r="AJ591" s="2578"/>
      <c r="AK591" s="251"/>
      <c r="AL591" s="2578"/>
      <c r="AM591" s="252">
        <f t="shared" si="228"/>
        <v>1</v>
      </c>
      <c r="AN591" s="252">
        <f t="shared" si="229"/>
        <v>1</v>
      </c>
      <c r="AO591" s="252">
        <f t="shared" si="230"/>
        <v>1</v>
      </c>
      <c r="AP591" s="252">
        <f t="shared" si="231"/>
        <v>1</v>
      </c>
      <c r="AQ591" s="252">
        <f t="shared" si="232"/>
        <v>1</v>
      </c>
      <c r="AR591" s="252">
        <f t="shared" si="233"/>
        <v>1</v>
      </c>
      <c r="AS591" s="252">
        <f t="shared" si="234"/>
        <v>1</v>
      </c>
      <c r="AT591" s="252">
        <f t="shared" si="235"/>
        <v>1</v>
      </c>
      <c r="AU591" s="252">
        <f t="shared" si="236"/>
        <v>1</v>
      </c>
      <c r="AV591" s="252">
        <f t="shared" si="237"/>
        <v>1</v>
      </c>
      <c r="AW591" s="252">
        <f t="shared" si="238"/>
        <v>1</v>
      </c>
      <c r="AX591" s="252">
        <f t="shared" si="239"/>
        <v>1</v>
      </c>
      <c r="AY591" s="252">
        <f t="shared" si="240"/>
        <v>1</v>
      </c>
      <c r="AZ591" s="252">
        <f t="shared" si="241"/>
        <v>1</v>
      </c>
      <c r="BA591" s="237"/>
      <c r="BB591" s="237"/>
      <c r="BC591" s="2562"/>
      <c r="BD591" s="2562"/>
      <c r="BE591" s="2562"/>
      <c r="BF591" s="2562"/>
      <c r="BG591" s="252">
        <f t="shared" si="242"/>
        <v>0</v>
      </c>
      <c r="BH591" s="2562"/>
      <c r="BI591" s="237"/>
      <c r="BJ591" s="252">
        <f t="shared" si="243"/>
        <v>1</v>
      </c>
      <c r="BK591" s="252">
        <f t="shared" si="244"/>
        <v>1</v>
      </c>
      <c r="BL591" s="252">
        <f t="shared" si="245"/>
        <v>1</v>
      </c>
      <c r="BM591" s="252">
        <f t="shared" si="246"/>
        <v>1</v>
      </c>
      <c r="BN591" s="252">
        <f t="shared" si="247"/>
        <v>1</v>
      </c>
      <c r="BO591" s="252">
        <f t="shared" si="248"/>
        <v>1</v>
      </c>
      <c r="BP591" s="2578"/>
      <c r="BQ591" s="2562"/>
      <c r="BR591" s="2562"/>
      <c r="BS591" s="2585"/>
      <c r="BT591" s="2585"/>
      <c r="BU591" s="2585"/>
    </row>
    <row r="592" spans="1:73" s="22" customFormat="1" ht="15.75" hidden="1" customHeight="1" outlineLevel="1">
      <c r="A592" s="2585"/>
      <c r="B592" s="44"/>
      <c r="C592" s="45"/>
      <c r="D592" s="46"/>
      <c r="E592" s="46"/>
      <c r="F592" s="45"/>
      <c r="G592" s="46"/>
      <c r="H592" s="45"/>
      <c r="I592" s="45"/>
      <c r="J592" s="47"/>
      <c r="K592" s="48"/>
      <c r="L592" s="47"/>
      <c r="M592" s="1913"/>
      <c r="N592" s="48"/>
      <c r="O592" s="49"/>
      <c r="P592" s="49"/>
      <c r="Q592" s="1884">
        <f t="shared" si="227"/>
        <v>0</v>
      </c>
      <c r="R592" s="1933"/>
      <c r="S592" s="50"/>
      <c r="T592" s="210"/>
      <c r="U592" s="1933"/>
      <c r="V592" s="1933"/>
      <c r="W592" s="1885">
        <f t="shared" si="210"/>
        <v>0</v>
      </c>
      <c r="X592" s="1891">
        <f t="shared" si="211"/>
        <v>0</v>
      </c>
      <c r="Y592" s="1891">
        <f t="shared" si="212"/>
        <v>0</v>
      </c>
      <c r="Z592" s="50"/>
      <c r="AA592" s="50"/>
      <c r="AB592" s="48"/>
      <c r="AC592" s="48"/>
      <c r="AD592" s="48"/>
      <c r="AE592" s="45"/>
      <c r="AF592" s="51"/>
      <c r="AG592" s="42"/>
      <c r="AH592" s="52" t="s">
        <v>5270</v>
      </c>
      <c r="AI592" s="197"/>
      <c r="AJ592" s="2578"/>
      <c r="AK592" s="251"/>
      <c r="AL592" s="2578"/>
      <c r="AM592" s="252">
        <f t="shared" si="228"/>
        <v>1</v>
      </c>
      <c r="AN592" s="252">
        <f t="shared" si="229"/>
        <v>1</v>
      </c>
      <c r="AO592" s="252">
        <f t="shared" si="230"/>
        <v>1</v>
      </c>
      <c r="AP592" s="252">
        <f t="shared" si="231"/>
        <v>1</v>
      </c>
      <c r="AQ592" s="252">
        <f t="shared" si="232"/>
        <v>1</v>
      </c>
      <c r="AR592" s="252">
        <f t="shared" si="233"/>
        <v>1</v>
      </c>
      <c r="AS592" s="252">
        <f t="shared" si="234"/>
        <v>1</v>
      </c>
      <c r="AT592" s="252">
        <f t="shared" si="235"/>
        <v>1</v>
      </c>
      <c r="AU592" s="252">
        <f t="shared" si="236"/>
        <v>1</v>
      </c>
      <c r="AV592" s="252">
        <f t="shared" si="237"/>
        <v>1</v>
      </c>
      <c r="AW592" s="252">
        <f t="shared" si="238"/>
        <v>1</v>
      </c>
      <c r="AX592" s="252">
        <f t="shared" si="239"/>
        <v>1</v>
      </c>
      <c r="AY592" s="252">
        <f t="shared" si="240"/>
        <v>1</v>
      </c>
      <c r="AZ592" s="252">
        <f t="shared" si="241"/>
        <v>1</v>
      </c>
      <c r="BA592" s="237"/>
      <c r="BB592" s="237"/>
      <c r="BC592" s="2562"/>
      <c r="BD592" s="2562"/>
      <c r="BE592" s="2562"/>
      <c r="BF592" s="2562"/>
      <c r="BG592" s="252">
        <f t="shared" si="242"/>
        <v>0</v>
      </c>
      <c r="BH592" s="2562"/>
      <c r="BI592" s="237"/>
      <c r="BJ592" s="252">
        <f t="shared" si="243"/>
        <v>1</v>
      </c>
      <c r="BK592" s="252">
        <f t="shared" si="244"/>
        <v>1</v>
      </c>
      <c r="BL592" s="252">
        <f t="shared" si="245"/>
        <v>1</v>
      </c>
      <c r="BM592" s="252">
        <f t="shared" si="246"/>
        <v>1</v>
      </c>
      <c r="BN592" s="252">
        <f t="shared" si="247"/>
        <v>1</v>
      </c>
      <c r="BO592" s="252">
        <f t="shared" si="248"/>
        <v>1</v>
      </c>
      <c r="BP592" s="2578"/>
      <c r="BQ592" s="2562"/>
      <c r="BR592" s="2562"/>
      <c r="BS592" s="2585"/>
      <c r="BT592" s="2585"/>
      <c r="BU592" s="2585"/>
    </row>
    <row r="593" spans="1:73" s="22" customFormat="1" ht="15.75" hidden="1" customHeight="1" outlineLevel="1">
      <c r="A593" s="2585"/>
      <c r="B593" s="44"/>
      <c r="C593" s="45"/>
      <c r="D593" s="46"/>
      <c r="E593" s="46"/>
      <c r="F593" s="45"/>
      <c r="G593" s="46"/>
      <c r="H593" s="45"/>
      <c r="I593" s="45"/>
      <c r="J593" s="47"/>
      <c r="K593" s="48"/>
      <c r="L593" s="47"/>
      <c r="M593" s="1913"/>
      <c r="N593" s="48"/>
      <c r="O593" s="49"/>
      <c r="P593" s="49"/>
      <c r="Q593" s="1884">
        <f t="shared" si="227"/>
        <v>0</v>
      </c>
      <c r="R593" s="1933"/>
      <c r="S593" s="50"/>
      <c r="T593" s="210"/>
      <c r="U593" s="1933"/>
      <c r="V593" s="1933"/>
      <c r="W593" s="1885">
        <f t="shared" si="210"/>
        <v>0</v>
      </c>
      <c r="X593" s="1891">
        <f t="shared" si="211"/>
        <v>0</v>
      </c>
      <c r="Y593" s="1891">
        <f t="shared" si="212"/>
        <v>0</v>
      </c>
      <c r="Z593" s="50"/>
      <c r="AA593" s="50"/>
      <c r="AB593" s="48"/>
      <c r="AC593" s="48"/>
      <c r="AD593" s="48"/>
      <c r="AE593" s="45"/>
      <c r="AF593" s="51"/>
      <c r="AG593" s="42"/>
      <c r="AH593" s="52" t="s">
        <v>5271</v>
      </c>
      <c r="AI593" s="197"/>
      <c r="AJ593" s="2578"/>
      <c r="AK593" s="251"/>
      <c r="AL593" s="2578"/>
      <c r="AM593" s="252">
        <f t="shared" si="228"/>
        <v>1</v>
      </c>
      <c r="AN593" s="252">
        <f t="shared" si="229"/>
        <v>1</v>
      </c>
      <c r="AO593" s="252">
        <f t="shared" si="230"/>
        <v>1</v>
      </c>
      <c r="AP593" s="252">
        <f t="shared" si="231"/>
        <v>1</v>
      </c>
      <c r="AQ593" s="252">
        <f t="shared" si="232"/>
        <v>1</v>
      </c>
      <c r="AR593" s="252">
        <f t="shared" si="233"/>
        <v>1</v>
      </c>
      <c r="AS593" s="252">
        <f t="shared" si="234"/>
        <v>1</v>
      </c>
      <c r="AT593" s="252">
        <f t="shared" si="235"/>
        <v>1</v>
      </c>
      <c r="AU593" s="252">
        <f t="shared" si="236"/>
        <v>1</v>
      </c>
      <c r="AV593" s="252">
        <f t="shared" si="237"/>
        <v>1</v>
      </c>
      <c r="AW593" s="252">
        <f t="shared" si="238"/>
        <v>1</v>
      </c>
      <c r="AX593" s="252">
        <f t="shared" si="239"/>
        <v>1</v>
      </c>
      <c r="AY593" s="252">
        <f t="shared" si="240"/>
        <v>1</v>
      </c>
      <c r="AZ593" s="252">
        <f t="shared" si="241"/>
        <v>1</v>
      </c>
      <c r="BA593" s="237"/>
      <c r="BB593" s="237"/>
      <c r="BC593" s="2562"/>
      <c r="BD593" s="2562"/>
      <c r="BE593" s="2562"/>
      <c r="BF593" s="2562"/>
      <c r="BG593" s="252">
        <f t="shared" si="242"/>
        <v>0</v>
      </c>
      <c r="BH593" s="2562"/>
      <c r="BI593" s="237"/>
      <c r="BJ593" s="252">
        <f t="shared" si="243"/>
        <v>1</v>
      </c>
      <c r="BK593" s="252">
        <f t="shared" si="244"/>
        <v>1</v>
      </c>
      <c r="BL593" s="252">
        <f t="shared" si="245"/>
        <v>1</v>
      </c>
      <c r="BM593" s="252">
        <f t="shared" si="246"/>
        <v>1</v>
      </c>
      <c r="BN593" s="252">
        <f t="shared" si="247"/>
        <v>1</v>
      </c>
      <c r="BO593" s="252">
        <f t="shared" si="248"/>
        <v>1</v>
      </c>
      <c r="BP593" s="2578"/>
      <c r="BQ593" s="2562"/>
      <c r="BR593" s="2562"/>
      <c r="BS593" s="2585"/>
      <c r="BT593" s="2585"/>
      <c r="BU593" s="2585"/>
    </row>
    <row r="594" spans="1:73" s="22" customFormat="1" ht="15.75" hidden="1" customHeight="1" outlineLevel="1">
      <c r="A594" s="2585"/>
      <c r="B594" s="44"/>
      <c r="C594" s="45"/>
      <c r="D594" s="46"/>
      <c r="E594" s="46"/>
      <c r="F594" s="45"/>
      <c r="G594" s="46"/>
      <c r="H594" s="45"/>
      <c r="I594" s="45"/>
      <c r="J594" s="47"/>
      <c r="K594" s="48"/>
      <c r="L594" s="47"/>
      <c r="M594" s="1913"/>
      <c r="N594" s="48"/>
      <c r="O594" s="49"/>
      <c r="P594" s="49"/>
      <c r="Q594" s="1884">
        <f t="shared" si="227"/>
        <v>0</v>
      </c>
      <c r="R594" s="1933"/>
      <c r="S594" s="50"/>
      <c r="T594" s="210"/>
      <c r="U594" s="1933"/>
      <c r="V594" s="1933"/>
      <c r="W594" s="1885">
        <f t="shared" si="210"/>
        <v>0</v>
      </c>
      <c r="X594" s="1891">
        <f t="shared" si="211"/>
        <v>0</v>
      </c>
      <c r="Y594" s="1891">
        <f t="shared" si="212"/>
        <v>0</v>
      </c>
      <c r="Z594" s="50"/>
      <c r="AA594" s="50"/>
      <c r="AB594" s="48"/>
      <c r="AC594" s="48"/>
      <c r="AD594" s="48"/>
      <c r="AE594" s="45"/>
      <c r="AF594" s="51"/>
      <c r="AG594" s="42"/>
      <c r="AH594" s="52" t="s">
        <v>5272</v>
      </c>
      <c r="AI594" s="197"/>
      <c r="AJ594" s="2578"/>
      <c r="AK594" s="251"/>
      <c r="AL594" s="2578"/>
      <c r="AM594" s="252">
        <f t="shared" si="228"/>
        <v>1</v>
      </c>
      <c r="AN594" s="252">
        <f t="shared" si="229"/>
        <v>1</v>
      </c>
      <c r="AO594" s="252">
        <f t="shared" si="230"/>
        <v>1</v>
      </c>
      <c r="AP594" s="252">
        <f t="shared" si="231"/>
        <v>1</v>
      </c>
      <c r="AQ594" s="252">
        <f t="shared" si="232"/>
        <v>1</v>
      </c>
      <c r="AR594" s="252">
        <f t="shared" si="233"/>
        <v>1</v>
      </c>
      <c r="AS594" s="252">
        <f t="shared" si="234"/>
        <v>1</v>
      </c>
      <c r="AT594" s="252">
        <f t="shared" si="235"/>
        <v>1</v>
      </c>
      <c r="AU594" s="252">
        <f t="shared" si="236"/>
        <v>1</v>
      </c>
      <c r="AV594" s="252">
        <f t="shared" si="237"/>
        <v>1</v>
      </c>
      <c r="AW594" s="252">
        <f t="shared" si="238"/>
        <v>1</v>
      </c>
      <c r="AX594" s="252">
        <f t="shared" si="239"/>
        <v>1</v>
      </c>
      <c r="AY594" s="252">
        <f t="shared" si="240"/>
        <v>1</v>
      </c>
      <c r="AZ594" s="252">
        <f t="shared" si="241"/>
        <v>1</v>
      </c>
      <c r="BA594" s="237"/>
      <c r="BB594" s="237"/>
      <c r="BC594" s="2562"/>
      <c r="BD594" s="2562"/>
      <c r="BE594" s="2562"/>
      <c r="BF594" s="2562"/>
      <c r="BG594" s="252">
        <f t="shared" si="242"/>
        <v>0</v>
      </c>
      <c r="BH594" s="2562"/>
      <c r="BI594" s="237"/>
      <c r="BJ594" s="252">
        <f t="shared" si="243"/>
        <v>1</v>
      </c>
      <c r="BK594" s="252">
        <f t="shared" si="244"/>
        <v>1</v>
      </c>
      <c r="BL594" s="252">
        <f t="shared" si="245"/>
        <v>1</v>
      </c>
      <c r="BM594" s="252">
        <f t="shared" si="246"/>
        <v>1</v>
      </c>
      <c r="BN594" s="252">
        <f t="shared" si="247"/>
        <v>1</v>
      </c>
      <c r="BO594" s="252">
        <f t="shared" si="248"/>
        <v>1</v>
      </c>
      <c r="BP594" s="2578"/>
      <c r="BQ594" s="2562"/>
      <c r="BR594" s="2562"/>
      <c r="BS594" s="2585"/>
      <c r="BT594" s="2585"/>
      <c r="BU594" s="2585"/>
    </row>
    <row r="595" spans="1:73" s="22" customFormat="1" ht="15.75" hidden="1" customHeight="1" outlineLevel="1">
      <c r="A595" s="2585"/>
      <c r="B595" s="44"/>
      <c r="C595" s="45"/>
      <c r="D595" s="46"/>
      <c r="E595" s="46"/>
      <c r="F595" s="45"/>
      <c r="G595" s="46"/>
      <c r="H595" s="45"/>
      <c r="I595" s="45"/>
      <c r="J595" s="47"/>
      <c r="K595" s="48"/>
      <c r="L595" s="47"/>
      <c r="M595" s="1913"/>
      <c r="N595" s="48"/>
      <c r="O595" s="49"/>
      <c r="P595" s="49"/>
      <c r="Q595" s="1884">
        <f t="shared" si="227"/>
        <v>0</v>
      </c>
      <c r="R595" s="1933"/>
      <c r="S595" s="50"/>
      <c r="T595" s="210"/>
      <c r="U595" s="1933"/>
      <c r="V595" s="1933"/>
      <c r="W595" s="1885">
        <f t="shared" si="210"/>
        <v>0</v>
      </c>
      <c r="X595" s="1891">
        <f t="shared" si="211"/>
        <v>0</v>
      </c>
      <c r="Y595" s="1891">
        <f t="shared" si="212"/>
        <v>0</v>
      </c>
      <c r="Z595" s="50"/>
      <c r="AA595" s="50"/>
      <c r="AB595" s="48"/>
      <c r="AC595" s="48"/>
      <c r="AD595" s="48"/>
      <c r="AE595" s="45"/>
      <c r="AF595" s="51"/>
      <c r="AG595" s="42"/>
      <c r="AH595" s="52" t="s">
        <v>5273</v>
      </c>
      <c r="AI595" s="197"/>
      <c r="AJ595" s="2578"/>
      <c r="AK595" s="251"/>
      <c r="AL595" s="2578"/>
      <c r="AM595" s="252">
        <f t="shared" si="228"/>
        <v>1</v>
      </c>
      <c r="AN595" s="252">
        <f t="shared" si="229"/>
        <v>1</v>
      </c>
      <c r="AO595" s="252">
        <f t="shared" si="230"/>
        <v>1</v>
      </c>
      <c r="AP595" s="252">
        <f t="shared" si="231"/>
        <v>1</v>
      </c>
      <c r="AQ595" s="252">
        <f t="shared" si="232"/>
        <v>1</v>
      </c>
      <c r="AR595" s="252">
        <f t="shared" si="233"/>
        <v>1</v>
      </c>
      <c r="AS595" s="252">
        <f t="shared" si="234"/>
        <v>1</v>
      </c>
      <c r="AT595" s="252">
        <f t="shared" si="235"/>
        <v>1</v>
      </c>
      <c r="AU595" s="252">
        <f t="shared" si="236"/>
        <v>1</v>
      </c>
      <c r="AV595" s="252">
        <f t="shared" si="237"/>
        <v>1</v>
      </c>
      <c r="AW595" s="252">
        <f t="shared" si="238"/>
        <v>1</v>
      </c>
      <c r="AX595" s="252">
        <f t="shared" si="239"/>
        <v>1</v>
      </c>
      <c r="AY595" s="252">
        <f t="shared" si="240"/>
        <v>1</v>
      </c>
      <c r="AZ595" s="252">
        <f t="shared" si="241"/>
        <v>1</v>
      </c>
      <c r="BA595" s="237"/>
      <c r="BB595" s="237"/>
      <c r="BC595" s="2562"/>
      <c r="BD595" s="2562"/>
      <c r="BE595" s="2562"/>
      <c r="BF595" s="2562"/>
      <c r="BG595" s="252">
        <f t="shared" si="242"/>
        <v>0</v>
      </c>
      <c r="BH595" s="2562"/>
      <c r="BI595" s="237"/>
      <c r="BJ595" s="252">
        <f t="shared" si="243"/>
        <v>1</v>
      </c>
      <c r="BK595" s="252">
        <f t="shared" si="244"/>
        <v>1</v>
      </c>
      <c r="BL595" s="252">
        <f t="shared" si="245"/>
        <v>1</v>
      </c>
      <c r="BM595" s="252">
        <f t="shared" si="246"/>
        <v>1</v>
      </c>
      <c r="BN595" s="252">
        <f t="shared" si="247"/>
        <v>1</v>
      </c>
      <c r="BO595" s="252">
        <f t="shared" si="248"/>
        <v>1</v>
      </c>
      <c r="BP595" s="2578"/>
      <c r="BQ595" s="2562"/>
      <c r="BR595" s="2562"/>
      <c r="BS595" s="2585"/>
      <c r="BT595" s="2585"/>
      <c r="BU595" s="2585"/>
    </row>
    <row r="596" spans="1:73" s="22" customFormat="1" ht="15.75" hidden="1" customHeight="1" outlineLevel="1">
      <c r="A596" s="2585"/>
      <c r="B596" s="44"/>
      <c r="C596" s="45"/>
      <c r="D596" s="46"/>
      <c r="E596" s="46"/>
      <c r="F596" s="45"/>
      <c r="G596" s="46"/>
      <c r="H596" s="45"/>
      <c r="I596" s="45"/>
      <c r="J596" s="47"/>
      <c r="K596" s="48"/>
      <c r="L596" s="47"/>
      <c r="M596" s="1913"/>
      <c r="N596" s="48"/>
      <c r="O596" s="49"/>
      <c r="P596" s="49"/>
      <c r="Q596" s="1884">
        <f t="shared" si="227"/>
        <v>0</v>
      </c>
      <c r="R596" s="1933"/>
      <c r="S596" s="50"/>
      <c r="T596" s="210"/>
      <c r="U596" s="1933"/>
      <c r="V596" s="1933"/>
      <c r="W596" s="1885">
        <f t="shared" ref="W596:W617" si="249">IF(S596=0,0,((1+S596)*(1+C$627))-1)</f>
        <v>0</v>
      </c>
      <c r="X596" s="1891">
        <f t="shared" ref="X596:X617" si="250">W596*P596</f>
        <v>0</v>
      </c>
      <c r="Y596" s="1891">
        <f t="shared" ref="Y596:Y617" si="251" xml:space="preserve"> S596*P596</f>
        <v>0</v>
      </c>
      <c r="Z596" s="50"/>
      <c r="AA596" s="50"/>
      <c r="AB596" s="48"/>
      <c r="AC596" s="48"/>
      <c r="AD596" s="48"/>
      <c r="AE596" s="45"/>
      <c r="AF596" s="51"/>
      <c r="AG596" s="42"/>
      <c r="AH596" s="52" t="s">
        <v>5274</v>
      </c>
      <c r="AI596" s="197"/>
      <c r="AJ596" s="2578"/>
      <c r="AK596" s="251"/>
      <c r="AL596" s="2578"/>
      <c r="AM596" s="252">
        <f t="shared" si="228"/>
        <v>1</v>
      </c>
      <c r="AN596" s="252">
        <f t="shared" si="229"/>
        <v>1</v>
      </c>
      <c r="AO596" s="252">
        <f t="shared" si="230"/>
        <v>1</v>
      </c>
      <c r="AP596" s="252">
        <f t="shared" si="231"/>
        <v>1</v>
      </c>
      <c r="AQ596" s="252">
        <f t="shared" si="232"/>
        <v>1</v>
      </c>
      <c r="AR596" s="252">
        <f t="shared" si="233"/>
        <v>1</v>
      </c>
      <c r="AS596" s="252">
        <f t="shared" si="234"/>
        <v>1</v>
      </c>
      <c r="AT596" s="252">
        <f t="shared" si="235"/>
        <v>1</v>
      </c>
      <c r="AU596" s="252">
        <f t="shared" si="236"/>
        <v>1</v>
      </c>
      <c r="AV596" s="252">
        <f t="shared" si="237"/>
        <v>1</v>
      </c>
      <c r="AW596" s="252">
        <f t="shared" si="238"/>
        <v>1</v>
      </c>
      <c r="AX596" s="252">
        <f t="shared" si="239"/>
        <v>1</v>
      </c>
      <c r="AY596" s="252">
        <f t="shared" si="240"/>
        <v>1</v>
      </c>
      <c r="AZ596" s="252">
        <f t="shared" si="241"/>
        <v>1</v>
      </c>
      <c r="BA596" s="237"/>
      <c r="BB596" s="237"/>
      <c r="BC596" s="2562"/>
      <c r="BD596" s="2562"/>
      <c r="BE596" s="2562"/>
      <c r="BF596" s="2562"/>
      <c r="BG596" s="252">
        <f t="shared" si="242"/>
        <v>0</v>
      </c>
      <c r="BH596" s="2562"/>
      <c r="BI596" s="237"/>
      <c r="BJ596" s="252">
        <f t="shared" si="243"/>
        <v>1</v>
      </c>
      <c r="BK596" s="252">
        <f t="shared" si="244"/>
        <v>1</v>
      </c>
      <c r="BL596" s="252">
        <f t="shared" si="245"/>
        <v>1</v>
      </c>
      <c r="BM596" s="252">
        <f t="shared" si="246"/>
        <v>1</v>
      </c>
      <c r="BN596" s="252">
        <f t="shared" si="247"/>
        <v>1</v>
      </c>
      <c r="BO596" s="252">
        <f t="shared" si="248"/>
        <v>1</v>
      </c>
      <c r="BP596" s="2578"/>
      <c r="BQ596" s="2562"/>
      <c r="BR596" s="2562"/>
      <c r="BS596" s="2585"/>
      <c r="BT596" s="2585"/>
      <c r="BU596" s="2585"/>
    </row>
    <row r="597" spans="1:73" s="22" customFormat="1" ht="15.75" hidden="1" customHeight="1" outlineLevel="1">
      <c r="A597" s="2585"/>
      <c r="B597" s="44"/>
      <c r="C597" s="45"/>
      <c r="D597" s="46"/>
      <c r="E597" s="46"/>
      <c r="F597" s="45"/>
      <c r="G597" s="46"/>
      <c r="H597" s="45"/>
      <c r="I597" s="45"/>
      <c r="J597" s="47"/>
      <c r="K597" s="48"/>
      <c r="L597" s="47"/>
      <c r="M597" s="1913"/>
      <c r="N597" s="48"/>
      <c r="O597" s="49"/>
      <c r="P597" s="49"/>
      <c r="Q597" s="1884">
        <f t="shared" si="227"/>
        <v>0</v>
      </c>
      <c r="R597" s="1933"/>
      <c r="S597" s="50"/>
      <c r="T597" s="210"/>
      <c r="U597" s="1933"/>
      <c r="V597" s="1933"/>
      <c r="W597" s="1885">
        <f t="shared" si="249"/>
        <v>0</v>
      </c>
      <c r="X597" s="1891">
        <f t="shared" si="250"/>
        <v>0</v>
      </c>
      <c r="Y597" s="1891">
        <f t="shared" si="251"/>
        <v>0</v>
      </c>
      <c r="Z597" s="50"/>
      <c r="AA597" s="50"/>
      <c r="AB597" s="48"/>
      <c r="AC597" s="48"/>
      <c r="AD597" s="48"/>
      <c r="AE597" s="45"/>
      <c r="AF597" s="51"/>
      <c r="AG597" s="42"/>
      <c r="AH597" s="52" t="s">
        <v>5275</v>
      </c>
      <c r="AI597" s="197"/>
      <c r="AJ597" s="2578"/>
      <c r="AK597" s="251"/>
      <c r="AL597" s="2578"/>
      <c r="AM597" s="252">
        <f t="shared" si="228"/>
        <v>1</v>
      </c>
      <c r="AN597" s="252">
        <f t="shared" si="229"/>
        <v>1</v>
      </c>
      <c r="AO597" s="252">
        <f t="shared" si="230"/>
        <v>1</v>
      </c>
      <c r="AP597" s="252">
        <f t="shared" si="231"/>
        <v>1</v>
      </c>
      <c r="AQ597" s="252">
        <f t="shared" si="232"/>
        <v>1</v>
      </c>
      <c r="AR597" s="252">
        <f t="shared" si="233"/>
        <v>1</v>
      </c>
      <c r="AS597" s="252">
        <f t="shared" si="234"/>
        <v>1</v>
      </c>
      <c r="AT597" s="252">
        <f t="shared" si="235"/>
        <v>1</v>
      </c>
      <c r="AU597" s="252">
        <f t="shared" si="236"/>
        <v>1</v>
      </c>
      <c r="AV597" s="252">
        <f t="shared" si="237"/>
        <v>1</v>
      </c>
      <c r="AW597" s="252">
        <f t="shared" si="238"/>
        <v>1</v>
      </c>
      <c r="AX597" s="252">
        <f t="shared" si="239"/>
        <v>1</v>
      </c>
      <c r="AY597" s="252">
        <f t="shared" si="240"/>
        <v>1</v>
      </c>
      <c r="AZ597" s="252">
        <f t="shared" si="241"/>
        <v>1</v>
      </c>
      <c r="BA597" s="237"/>
      <c r="BB597" s="237"/>
      <c r="BC597" s="2562"/>
      <c r="BD597" s="2562"/>
      <c r="BE597" s="2562"/>
      <c r="BF597" s="2562"/>
      <c r="BG597" s="252">
        <f t="shared" si="242"/>
        <v>0</v>
      </c>
      <c r="BH597" s="2562"/>
      <c r="BI597" s="237"/>
      <c r="BJ597" s="252">
        <f t="shared" si="243"/>
        <v>1</v>
      </c>
      <c r="BK597" s="252">
        <f t="shared" si="244"/>
        <v>1</v>
      </c>
      <c r="BL597" s="252">
        <f t="shared" si="245"/>
        <v>1</v>
      </c>
      <c r="BM597" s="252">
        <f t="shared" si="246"/>
        <v>1</v>
      </c>
      <c r="BN597" s="252">
        <f t="shared" si="247"/>
        <v>1</v>
      </c>
      <c r="BO597" s="252">
        <f t="shared" si="248"/>
        <v>1</v>
      </c>
      <c r="BP597" s="2578"/>
      <c r="BQ597" s="2562"/>
      <c r="BR597" s="2562"/>
      <c r="BS597" s="2585"/>
      <c r="BT597" s="2585"/>
      <c r="BU597" s="2585"/>
    </row>
    <row r="598" spans="1:73" s="22" customFormat="1" ht="15.75" hidden="1" customHeight="1" outlineLevel="1">
      <c r="A598" s="2585"/>
      <c r="B598" s="44"/>
      <c r="C598" s="45"/>
      <c r="D598" s="46"/>
      <c r="E598" s="46"/>
      <c r="F598" s="45"/>
      <c r="G598" s="46"/>
      <c r="H598" s="45"/>
      <c r="I598" s="45"/>
      <c r="J598" s="47"/>
      <c r="K598" s="48"/>
      <c r="L598" s="47"/>
      <c r="M598" s="1913"/>
      <c r="N598" s="48"/>
      <c r="O598" s="49"/>
      <c r="P598" s="49"/>
      <c r="Q598" s="1884">
        <f t="shared" ref="Q598:Q617" si="252">IFERROR(M598*O598,"")</f>
        <v>0</v>
      </c>
      <c r="R598" s="1933"/>
      <c r="S598" s="50"/>
      <c r="T598" s="210"/>
      <c r="U598" s="1933"/>
      <c r="V598" s="1933"/>
      <c r="W598" s="1885">
        <f t="shared" si="249"/>
        <v>0</v>
      </c>
      <c r="X598" s="1891">
        <f t="shared" si="250"/>
        <v>0</v>
      </c>
      <c r="Y598" s="1891">
        <f t="shared" si="251"/>
        <v>0</v>
      </c>
      <c r="Z598" s="50"/>
      <c r="AA598" s="50"/>
      <c r="AB598" s="48"/>
      <c r="AC598" s="48"/>
      <c r="AD598" s="48"/>
      <c r="AE598" s="45"/>
      <c r="AF598" s="51"/>
      <c r="AG598" s="42"/>
      <c r="AH598" s="52" t="s">
        <v>5276</v>
      </c>
      <c r="AI598" s="197"/>
      <c r="AJ598" s="2578"/>
      <c r="AK598" s="251"/>
      <c r="AL598" s="2578"/>
      <c r="AM598" s="252">
        <f t="shared" si="228"/>
        <v>1</v>
      </c>
      <c r="AN598" s="252">
        <f t="shared" si="229"/>
        <v>1</v>
      </c>
      <c r="AO598" s="252">
        <f t="shared" si="230"/>
        <v>1</v>
      </c>
      <c r="AP598" s="252">
        <f t="shared" si="231"/>
        <v>1</v>
      </c>
      <c r="AQ598" s="252">
        <f t="shared" si="232"/>
        <v>1</v>
      </c>
      <c r="AR598" s="252">
        <f t="shared" si="233"/>
        <v>1</v>
      </c>
      <c r="AS598" s="252">
        <f t="shared" si="234"/>
        <v>1</v>
      </c>
      <c r="AT598" s="252">
        <f t="shared" si="235"/>
        <v>1</v>
      </c>
      <c r="AU598" s="252">
        <f t="shared" si="236"/>
        <v>1</v>
      </c>
      <c r="AV598" s="252">
        <f t="shared" si="237"/>
        <v>1</v>
      </c>
      <c r="AW598" s="252">
        <f t="shared" si="238"/>
        <v>1</v>
      </c>
      <c r="AX598" s="252">
        <f t="shared" si="239"/>
        <v>1</v>
      </c>
      <c r="AY598" s="252">
        <f t="shared" si="240"/>
        <v>1</v>
      </c>
      <c r="AZ598" s="252">
        <f t="shared" si="241"/>
        <v>1</v>
      </c>
      <c r="BA598" s="237"/>
      <c r="BB598" s="237"/>
      <c r="BC598" s="2562"/>
      <c r="BD598" s="2562"/>
      <c r="BE598" s="2562"/>
      <c r="BF598" s="2562"/>
      <c r="BG598" s="252">
        <f t="shared" si="242"/>
        <v>0</v>
      </c>
      <c r="BH598" s="2562"/>
      <c r="BI598" s="237"/>
      <c r="BJ598" s="252">
        <f t="shared" si="243"/>
        <v>1</v>
      </c>
      <c r="BK598" s="252">
        <f t="shared" si="244"/>
        <v>1</v>
      </c>
      <c r="BL598" s="252">
        <f t="shared" si="245"/>
        <v>1</v>
      </c>
      <c r="BM598" s="252">
        <f t="shared" si="246"/>
        <v>1</v>
      </c>
      <c r="BN598" s="252">
        <f t="shared" si="247"/>
        <v>1</v>
      </c>
      <c r="BO598" s="252">
        <f t="shared" si="248"/>
        <v>1</v>
      </c>
      <c r="BP598" s="2578"/>
      <c r="BQ598" s="2562"/>
      <c r="BR598" s="2562"/>
      <c r="BS598" s="2585"/>
      <c r="BT598" s="2585"/>
      <c r="BU598" s="2585"/>
    </row>
    <row r="599" spans="1:73" s="22" customFormat="1" ht="15.75" hidden="1" customHeight="1" outlineLevel="1">
      <c r="A599" s="2585"/>
      <c r="B599" s="44"/>
      <c r="C599" s="45"/>
      <c r="D599" s="46"/>
      <c r="E599" s="46"/>
      <c r="F599" s="45"/>
      <c r="G599" s="46"/>
      <c r="H599" s="45"/>
      <c r="I599" s="45"/>
      <c r="J599" s="47"/>
      <c r="K599" s="48"/>
      <c r="L599" s="47"/>
      <c r="M599" s="1913"/>
      <c r="N599" s="48"/>
      <c r="O599" s="49"/>
      <c r="P599" s="49"/>
      <c r="Q599" s="1884">
        <f t="shared" si="252"/>
        <v>0</v>
      </c>
      <c r="R599" s="1933"/>
      <c r="S599" s="50"/>
      <c r="T599" s="210"/>
      <c r="U599" s="1933"/>
      <c r="V599" s="1933"/>
      <c r="W599" s="1885">
        <f t="shared" si="249"/>
        <v>0</v>
      </c>
      <c r="X599" s="1891">
        <f t="shared" si="250"/>
        <v>0</v>
      </c>
      <c r="Y599" s="1891">
        <f t="shared" si="251"/>
        <v>0</v>
      </c>
      <c r="Z599" s="50"/>
      <c r="AA599" s="50"/>
      <c r="AB599" s="48"/>
      <c r="AC599" s="48"/>
      <c r="AD599" s="48"/>
      <c r="AE599" s="45"/>
      <c r="AF599" s="51"/>
      <c r="AG599" s="42"/>
      <c r="AH599" s="52" t="s">
        <v>5277</v>
      </c>
      <c r="AI599" s="197"/>
      <c r="AJ599" s="2578"/>
      <c r="AK599" s="251"/>
      <c r="AL599" s="2578"/>
      <c r="AM599" s="252">
        <f t="shared" si="228"/>
        <v>1</v>
      </c>
      <c r="AN599" s="252">
        <f t="shared" si="229"/>
        <v>1</v>
      </c>
      <c r="AO599" s="252">
        <f t="shared" si="230"/>
        <v>1</v>
      </c>
      <c r="AP599" s="252">
        <f t="shared" si="231"/>
        <v>1</v>
      </c>
      <c r="AQ599" s="252">
        <f t="shared" si="232"/>
        <v>1</v>
      </c>
      <c r="AR599" s="252">
        <f t="shared" si="233"/>
        <v>1</v>
      </c>
      <c r="AS599" s="252">
        <f t="shared" si="234"/>
        <v>1</v>
      </c>
      <c r="AT599" s="252">
        <f t="shared" si="235"/>
        <v>1</v>
      </c>
      <c r="AU599" s="252">
        <f t="shared" si="236"/>
        <v>1</v>
      </c>
      <c r="AV599" s="252">
        <f t="shared" si="237"/>
        <v>1</v>
      </c>
      <c r="AW599" s="252">
        <f t="shared" si="238"/>
        <v>1</v>
      </c>
      <c r="AX599" s="252">
        <f t="shared" si="239"/>
        <v>1</v>
      </c>
      <c r="AY599" s="252">
        <f t="shared" si="240"/>
        <v>1</v>
      </c>
      <c r="AZ599" s="252">
        <f t="shared" si="241"/>
        <v>1</v>
      </c>
      <c r="BA599" s="237"/>
      <c r="BB599" s="237"/>
      <c r="BC599" s="2562"/>
      <c r="BD599" s="2562"/>
      <c r="BE599" s="2562"/>
      <c r="BF599" s="2562"/>
      <c r="BG599" s="252">
        <f t="shared" si="242"/>
        <v>0</v>
      </c>
      <c r="BH599" s="2562"/>
      <c r="BI599" s="237"/>
      <c r="BJ599" s="252">
        <f t="shared" si="243"/>
        <v>1</v>
      </c>
      <c r="BK599" s="252">
        <f t="shared" si="244"/>
        <v>1</v>
      </c>
      <c r="BL599" s="252">
        <f t="shared" si="245"/>
        <v>1</v>
      </c>
      <c r="BM599" s="252">
        <f t="shared" si="246"/>
        <v>1</v>
      </c>
      <c r="BN599" s="252">
        <f t="shared" si="247"/>
        <v>1</v>
      </c>
      <c r="BO599" s="252">
        <f t="shared" si="248"/>
        <v>1</v>
      </c>
      <c r="BP599" s="2578"/>
      <c r="BQ599" s="2562"/>
      <c r="BR599" s="2562"/>
      <c r="BS599" s="2585"/>
      <c r="BT599" s="2585"/>
      <c r="BU599" s="2585"/>
    </row>
    <row r="600" spans="1:73" s="22" customFormat="1" ht="15.75" hidden="1" customHeight="1" outlineLevel="1">
      <c r="A600" s="2585"/>
      <c r="B600" s="44"/>
      <c r="C600" s="45"/>
      <c r="D600" s="46"/>
      <c r="E600" s="46"/>
      <c r="F600" s="45"/>
      <c r="G600" s="46"/>
      <c r="H600" s="45"/>
      <c r="I600" s="45"/>
      <c r="J600" s="47"/>
      <c r="K600" s="48"/>
      <c r="L600" s="47"/>
      <c r="M600" s="1913"/>
      <c r="N600" s="48"/>
      <c r="O600" s="49"/>
      <c r="P600" s="49"/>
      <c r="Q600" s="1884">
        <f t="shared" si="252"/>
        <v>0</v>
      </c>
      <c r="R600" s="1933"/>
      <c r="S600" s="50"/>
      <c r="T600" s="210"/>
      <c r="U600" s="1933"/>
      <c r="V600" s="1933"/>
      <c r="W600" s="1885">
        <f t="shared" si="249"/>
        <v>0</v>
      </c>
      <c r="X600" s="1891">
        <f t="shared" si="250"/>
        <v>0</v>
      </c>
      <c r="Y600" s="1891">
        <f t="shared" si="251"/>
        <v>0</v>
      </c>
      <c r="Z600" s="50"/>
      <c r="AA600" s="50"/>
      <c r="AB600" s="48"/>
      <c r="AC600" s="48"/>
      <c r="AD600" s="48"/>
      <c r="AE600" s="45"/>
      <c r="AF600" s="51"/>
      <c r="AG600" s="42"/>
      <c r="AH600" s="52" t="s">
        <v>5278</v>
      </c>
      <c r="AI600" s="197"/>
      <c r="AJ600" s="2578"/>
      <c r="AK600" s="251"/>
      <c r="AL600" s="2578"/>
      <c r="AM600" s="252">
        <f t="shared" si="228"/>
        <v>1</v>
      </c>
      <c r="AN600" s="252">
        <f t="shared" si="229"/>
        <v>1</v>
      </c>
      <c r="AO600" s="252">
        <f t="shared" si="230"/>
        <v>1</v>
      </c>
      <c r="AP600" s="252">
        <f t="shared" si="231"/>
        <v>1</v>
      </c>
      <c r="AQ600" s="252">
        <f t="shared" si="232"/>
        <v>1</v>
      </c>
      <c r="AR600" s="252">
        <f t="shared" si="233"/>
        <v>1</v>
      </c>
      <c r="AS600" s="252">
        <f t="shared" si="234"/>
        <v>1</v>
      </c>
      <c r="AT600" s="252">
        <f t="shared" si="235"/>
        <v>1</v>
      </c>
      <c r="AU600" s="252">
        <f t="shared" si="236"/>
        <v>1</v>
      </c>
      <c r="AV600" s="252">
        <f t="shared" si="237"/>
        <v>1</v>
      </c>
      <c r="AW600" s="252">
        <f t="shared" si="238"/>
        <v>1</v>
      </c>
      <c r="AX600" s="252">
        <f t="shared" si="239"/>
        <v>1</v>
      </c>
      <c r="AY600" s="252">
        <f t="shared" si="240"/>
        <v>1</v>
      </c>
      <c r="AZ600" s="252">
        <f t="shared" si="241"/>
        <v>1</v>
      </c>
      <c r="BA600" s="237"/>
      <c r="BB600" s="237"/>
      <c r="BC600" s="2562"/>
      <c r="BD600" s="2562"/>
      <c r="BE600" s="2562"/>
      <c r="BF600" s="2562"/>
      <c r="BG600" s="252">
        <f t="shared" si="242"/>
        <v>0</v>
      </c>
      <c r="BH600" s="2562"/>
      <c r="BI600" s="237"/>
      <c r="BJ600" s="252">
        <f t="shared" si="243"/>
        <v>1</v>
      </c>
      <c r="BK600" s="252">
        <f t="shared" si="244"/>
        <v>1</v>
      </c>
      <c r="BL600" s="252">
        <f t="shared" si="245"/>
        <v>1</v>
      </c>
      <c r="BM600" s="252">
        <f t="shared" si="246"/>
        <v>1</v>
      </c>
      <c r="BN600" s="252">
        <f t="shared" si="247"/>
        <v>1</v>
      </c>
      <c r="BO600" s="252">
        <f t="shared" si="248"/>
        <v>1</v>
      </c>
      <c r="BP600" s="2578"/>
      <c r="BQ600" s="2562"/>
      <c r="BR600" s="2562"/>
      <c r="BS600" s="2585"/>
      <c r="BT600" s="2585"/>
      <c r="BU600" s="2585"/>
    </row>
    <row r="601" spans="1:73" s="22" customFormat="1" ht="15.75" hidden="1" customHeight="1" outlineLevel="1">
      <c r="A601" s="2585"/>
      <c r="B601" s="44"/>
      <c r="C601" s="45"/>
      <c r="D601" s="46"/>
      <c r="E601" s="46"/>
      <c r="F601" s="45"/>
      <c r="G601" s="46"/>
      <c r="H601" s="45"/>
      <c r="I601" s="45"/>
      <c r="J601" s="47"/>
      <c r="K601" s="48"/>
      <c r="L601" s="47"/>
      <c r="M601" s="1913"/>
      <c r="N601" s="48"/>
      <c r="O601" s="49"/>
      <c r="P601" s="49"/>
      <c r="Q601" s="1884">
        <f t="shared" si="252"/>
        <v>0</v>
      </c>
      <c r="R601" s="1933"/>
      <c r="S601" s="50"/>
      <c r="T601" s="210"/>
      <c r="U601" s="1933"/>
      <c r="V601" s="1933"/>
      <c r="W601" s="1885">
        <f t="shared" si="249"/>
        <v>0</v>
      </c>
      <c r="X601" s="1891">
        <f t="shared" si="250"/>
        <v>0</v>
      </c>
      <c r="Y601" s="1891">
        <f t="shared" si="251"/>
        <v>0</v>
      </c>
      <c r="Z601" s="50"/>
      <c r="AA601" s="50"/>
      <c r="AB601" s="48"/>
      <c r="AC601" s="48"/>
      <c r="AD601" s="48"/>
      <c r="AE601" s="45"/>
      <c r="AF601" s="51"/>
      <c r="AG601" s="42"/>
      <c r="AH601" s="52" t="s">
        <v>5279</v>
      </c>
      <c r="AI601" s="197"/>
      <c r="AJ601" s="2578"/>
      <c r="AK601" s="251"/>
      <c r="AL601" s="2578"/>
      <c r="AM601" s="252">
        <f t="shared" si="228"/>
        <v>1</v>
      </c>
      <c r="AN601" s="252">
        <f t="shared" si="229"/>
        <v>1</v>
      </c>
      <c r="AO601" s="252">
        <f t="shared" si="230"/>
        <v>1</v>
      </c>
      <c r="AP601" s="252">
        <f t="shared" si="231"/>
        <v>1</v>
      </c>
      <c r="AQ601" s="252">
        <f t="shared" si="232"/>
        <v>1</v>
      </c>
      <c r="AR601" s="252">
        <f t="shared" si="233"/>
        <v>1</v>
      </c>
      <c r="AS601" s="252">
        <f t="shared" si="234"/>
        <v>1</v>
      </c>
      <c r="AT601" s="252">
        <f t="shared" si="235"/>
        <v>1</v>
      </c>
      <c r="AU601" s="252">
        <f t="shared" si="236"/>
        <v>1</v>
      </c>
      <c r="AV601" s="252">
        <f t="shared" si="237"/>
        <v>1</v>
      </c>
      <c r="AW601" s="252">
        <f t="shared" si="238"/>
        <v>1</v>
      </c>
      <c r="AX601" s="252">
        <f t="shared" si="239"/>
        <v>1</v>
      </c>
      <c r="AY601" s="252">
        <f t="shared" si="240"/>
        <v>1</v>
      </c>
      <c r="AZ601" s="252">
        <f t="shared" si="241"/>
        <v>1</v>
      </c>
      <c r="BA601" s="237"/>
      <c r="BB601" s="237"/>
      <c r="BC601" s="2562"/>
      <c r="BD601" s="2562"/>
      <c r="BE601" s="2562"/>
      <c r="BF601" s="2562"/>
      <c r="BG601" s="252">
        <f t="shared" si="242"/>
        <v>0</v>
      </c>
      <c r="BH601" s="2562"/>
      <c r="BI601" s="237"/>
      <c r="BJ601" s="252">
        <f t="shared" si="243"/>
        <v>1</v>
      </c>
      <c r="BK601" s="252">
        <f t="shared" si="244"/>
        <v>1</v>
      </c>
      <c r="BL601" s="252">
        <f t="shared" si="245"/>
        <v>1</v>
      </c>
      <c r="BM601" s="252">
        <f t="shared" si="246"/>
        <v>1</v>
      </c>
      <c r="BN601" s="252">
        <f t="shared" si="247"/>
        <v>1</v>
      </c>
      <c r="BO601" s="252">
        <f t="shared" si="248"/>
        <v>1</v>
      </c>
      <c r="BP601" s="2578"/>
      <c r="BQ601" s="2562"/>
      <c r="BR601" s="2562"/>
      <c r="BS601" s="2585"/>
      <c r="BT601" s="2585"/>
      <c r="BU601" s="2585"/>
    </row>
    <row r="602" spans="1:73" s="22" customFormat="1" ht="15.75" hidden="1" customHeight="1" outlineLevel="1">
      <c r="A602" s="2585"/>
      <c r="B602" s="44"/>
      <c r="C602" s="45"/>
      <c r="D602" s="46"/>
      <c r="E602" s="46"/>
      <c r="F602" s="45"/>
      <c r="G602" s="46"/>
      <c r="H602" s="45"/>
      <c r="I602" s="45"/>
      <c r="J602" s="47"/>
      <c r="K602" s="48"/>
      <c r="L602" s="47"/>
      <c r="M602" s="1913"/>
      <c r="N602" s="48"/>
      <c r="O602" s="49"/>
      <c r="P602" s="49"/>
      <c r="Q602" s="1884">
        <f t="shared" si="252"/>
        <v>0</v>
      </c>
      <c r="R602" s="1933"/>
      <c r="S602" s="50"/>
      <c r="T602" s="210"/>
      <c r="U602" s="1933"/>
      <c r="V602" s="1933"/>
      <c r="W602" s="1885">
        <f t="shared" si="249"/>
        <v>0</v>
      </c>
      <c r="X602" s="1891">
        <f t="shared" si="250"/>
        <v>0</v>
      </c>
      <c r="Y602" s="1891">
        <f t="shared" si="251"/>
        <v>0</v>
      </c>
      <c r="Z602" s="50"/>
      <c r="AA602" s="50"/>
      <c r="AB602" s="48"/>
      <c r="AC602" s="48"/>
      <c r="AD602" s="48"/>
      <c r="AE602" s="45"/>
      <c r="AF602" s="51"/>
      <c r="AG602" s="42"/>
      <c r="AH602" s="52" t="s">
        <v>5280</v>
      </c>
      <c r="AI602" s="197"/>
      <c r="AJ602" s="2578"/>
      <c r="AK602" s="251"/>
      <c r="AL602" s="2578"/>
      <c r="AM602" s="252">
        <f t="shared" si="228"/>
        <v>1</v>
      </c>
      <c r="AN602" s="252">
        <f t="shared" si="229"/>
        <v>1</v>
      </c>
      <c r="AO602" s="252">
        <f t="shared" si="230"/>
        <v>1</v>
      </c>
      <c r="AP602" s="252">
        <f t="shared" si="231"/>
        <v>1</v>
      </c>
      <c r="AQ602" s="252">
        <f t="shared" si="232"/>
        <v>1</v>
      </c>
      <c r="AR602" s="252">
        <f t="shared" si="233"/>
        <v>1</v>
      </c>
      <c r="AS602" s="252">
        <f t="shared" si="234"/>
        <v>1</v>
      </c>
      <c r="AT602" s="252">
        <f t="shared" si="235"/>
        <v>1</v>
      </c>
      <c r="AU602" s="252">
        <f t="shared" si="236"/>
        <v>1</v>
      </c>
      <c r="AV602" s="252">
        <f t="shared" si="237"/>
        <v>1</v>
      </c>
      <c r="AW602" s="252">
        <f t="shared" si="238"/>
        <v>1</v>
      </c>
      <c r="AX602" s="252">
        <f t="shared" si="239"/>
        <v>1</v>
      </c>
      <c r="AY602" s="252">
        <f t="shared" si="240"/>
        <v>1</v>
      </c>
      <c r="AZ602" s="252">
        <f t="shared" si="241"/>
        <v>1</v>
      </c>
      <c r="BA602" s="237"/>
      <c r="BB602" s="237"/>
      <c r="BC602" s="2562"/>
      <c r="BD602" s="2562"/>
      <c r="BE602" s="2562"/>
      <c r="BF602" s="2562"/>
      <c r="BG602" s="252">
        <f t="shared" si="242"/>
        <v>0</v>
      </c>
      <c r="BH602" s="2562"/>
      <c r="BI602" s="237"/>
      <c r="BJ602" s="252">
        <f t="shared" si="243"/>
        <v>1</v>
      </c>
      <c r="BK602" s="252">
        <f t="shared" si="244"/>
        <v>1</v>
      </c>
      <c r="BL602" s="252">
        <f t="shared" si="245"/>
        <v>1</v>
      </c>
      <c r="BM602" s="252">
        <f t="shared" si="246"/>
        <v>1</v>
      </c>
      <c r="BN602" s="252">
        <f t="shared" si="247"/>
        <v>1</v>
      </c>
      <c r="BO602" s="252">
        <f t="shared" si="248"/>
        <v>1</v>
      </c>
      <c r="BP602" s="2578"/>
      <c r="BQ602" s="2562"/>
      <c r="BR602" s="2562"/>
      <c r="BS602" s="2585"/>
      <c r="BT602" s="2585"/>
      <c r="BU602" s="2585"/>
    </row>
    <row r="603" spans="1:73" s="22" customFormat="1" ht="15.75" hidden="1" customHeight="1" outlineLevel="1">
      <c r="A603" s="2585"/>
      <c r="B603" s="44"/>
      <c r="C603" s="45"/>
      <c r="D603" s="46"/>
      <c r="E603" s="46"/>
      <c r="F603" s="45"/>
      <c r="G603" s="46"/>
      <c r="H603" s="45"/>
      <c r="I603" s="45"/>
      <c r="J603" s="47"/>
      <c r="K603" s="48"/>
      <c r="L603" s="47"/>
      <c r="M603" s="1913"/>
      <c r="N603" s="48"/>
      <c r="O603" s="49"/>
      <c r="P603" s="49"/>
      <c r="Q603" s="1884">
        <f t="shared" si="252"/>
        <v>0</v>
      </c>
      <c r="R603" s="1933"/>
      <c r="S603" s="50"/>
      <c r="T603" s="210"/>
      <c r="U603" s="1933"/>
      <c r="V603" s="1933"/>
      <c r="W603" s="1885">
        <f t="shared" si="249"/>
        <v>0</v>
      </c>
      <c r="X603" s="1891">
        <f t="shared" si="250"/>
        <v>0</v>
      </c>
      <c r="Y603" s="1891">
        <f t="shared" si="251"/>
        <v>0</v>
      </c>
      <c r="Z603" s="50"/>
      <c r="AA603" s="50"/>
      <c r="AB603" s="48"/>
      <c r="AC603" s="48"/>
      <c r="AD603" s="48"/>
      <c r="AE603" s="45"/>
      <c r="AF603" s="51"/>
      <c r="AG603" s="42"/>
      <c r="AH603" s="52" t="s">
        <v>5281</v>
      </c>
      <c r="AI603" s="197"/>
      <c r="AJ603" s="2578"/>
      <c r="AK603" s="251"/>
      <c r="AL603" s="2578"/>
      <c r="AM603" s="252">
        <f t="shared" si="228"/>
        <v>1</v>
      </c>
      <c r="AN603" s="252">
        <f t="shared" si="229"/>
        <v>1</v>
      </c>
      <c r="AO603" s="252">
        <f t="shared" si="230"/>
        <v>1</v>
      </c>
      <c r="AP603" s="252">
        <f t="shared" si="231"/>
        <v>1</v>
      </c>
      <c r="AQ603" s="252">
        <f t="shared" si="232"/>
        <v>1</v>
      </c>
      <c r="AR603" s="252">
        <f t="shared" si="233"/>
        <v>1</v>
      </c>
      <c r="AS603" s="252">
        <f t="shared" si="234"/>
        <v>1</v>
      </c>
      <c r="AT603" s="252">
        <f t="shared" si="235"/>
        <v>1</v>
      </c>
      <c r="AU603" s="252">
        <f t="shared" si="236"/>
        <v>1</v>
      </c>
      <c r="AV603" s="252">
        <f t="shared" si="237"/>
        <v>1</v>
      </c>
      <c r="AW603" s="252">
        <f t="shared" si="238"/>
        <v>1</v>
      </c>
      <c r="AX603" s="252">
        <f t="shared" si="239"/>
        <v>1</v>
      </c>
      <c r="AY603" s="252">
        <f t="shared" si="240"/>
        <v>1</v>
      </c>
      <c r="AZ603" s="252">
        <f t="shared" si="241"/>
        <v>1</v>
      </c>
      <c r="BA603" s="237"/>
      <c r="BB603" s="237"/>
      <c r="BC603" s="2562"/>
      <c r="BD603" s="2562"/>
      <c r="BE603" s="2562"/>
      <c r="BF603" s="2562"/>
      <c r="BG603" s="252">
        <f t="shared" si="242"/>
        <v>0</v>
      </c>
      <c r="BH603" s="2562"/>
      <c r="BI603" s="237"/>
      <c r="BJ603" s="252">
        <f t="shared" si="243"/>
        <v>1</v>
      </c>
      <c r="BK603" s="252">
        <f t="shared" si="244"/>
        <v>1</v>
      </c>
      <c r="BL603" s="252">
        <f t="shared" si="245"/>
        <v>1</v>
      </c>
      <c r="BM603" s="252">
        <f t="shared" si="246"/>
        <v>1</v>
      </c>
      <c r="BN603" s="252">
        <f t="shared" si="247"/>
        <v>1</v>
      </c>
      <c r="BO603" s="252">
        <f t="shared" si="248"/>
        <v>1</v>
      </c>
      <c r="BP603" s="2578"/>
      <c r="BQ603" s="2562"/>
      <c r="BR603" s="2562"/>
      <c r="BS603" s="2585"/>
      <c r="BT603" s="2585"/>
      <c r="BU603" s="2585"/>
    </row>
    <row r="604" spans="1:73" s="22" customFormat="1" ht="15.75" hidden="1" customHeight="1" outlineLevel="1">
      <c r="A604" s="2585"/>
      <c r="B604" s="44"/>
      <c r="C604" s="45"/>
      <c r="D604" s="46"/>
      <c r="E604" s="46"/>
      <c r="F604" s="45"/>
      <c r="G604" s="46"/>
      <c r="H604" s="45"/>
      <c r="I604" s="45"/>
      <c r="J604" s="47"/>
      <c r="K604" s="48"/>
      <c r="L604" s="47"/>
      <c r="M604" s="1913"/>
      <c r="N604" s="48"/>
      <c r="O604" s="49"/>
      <c r="P604" s="49"/>
      <c r="Q604" s="1884">
        <f t="shared" si="252"/>
        <v>0</v>
      </c>
      <c r="R604" s="1933"/>
      <c r="S604" s="50"/>
      <c r="T604" s="210"/>
      <c r="U604" s="1933"/>
      <c r="V604" s="1933"/>
      <c r="W604" s="1885">
        <f t="shared" si="249"/>
        <v>0</v>
      </c>
      <c r="X604" s="1891">
        <f t="shared" si="250"/>
        <v>0</v>
      </c>
      <c r="Y604" s="1891">
        <f t="shared" si="251"/>
        <v>0</v>
      </c>
      <c r="Z604" s="50"/>
      <c r="AA604" s="50"/>
      <c r="AB604" s="48"/>
      <c r="AC604" s="48"/>
      <c r="AD604" s="48"/>
      <c r="AE604" s="45"/>
      <c r="AF604" s="51"/>
      <c r="AG604" s="42"/>
      <c r="AH604" s="52" t="s">
        <v>5282</v>
      </c>
      <c r="AI604" s="197"/>
      <c r="AJ604" s="2578"/>
      <c r="AK604" s="251"/>
      <c r="AL604" s="2578"/>
      <c r="AM604" s="252">
        <f t="shared" si="228"/>
        <v>1</v>
      </c>
      <c r="AN604" s="252">
        <f t="shared" si="229"/>
        <v>1</v>
      </c>
      <c r="AO604" s="252">
        <f t="shared" si="230"/>
        <v>1</v>
      </c>
      <c r="AP604" s="252">
        <f t="shared" si="231"/>
        <v>1</v>
      </c>
      <c r="AQ604" s="252">
        <f t="shared" si="232"/>
        <v>1</v>
      </c>
      <c r="AR604" s="252">
        <f t="shared" si="233"/>
        <v>1</v>
      </c>
      <c r="AS604" s="252">
        <f t="shared" si="234"/>
        <v>1</v>
      </c>
      <c r="AT604" s="252">
        <f t="shared" si="235"/>
        <v>1</v>
      </c>
      <c r="AU604" s="252">
        <f t="shared" si="236"/>
        <v>1</v>
      </c>
      <c r="AV604" s="252">
        <f t="shared" si="237"/>
        <v>1</v>
      </c>
      <c r="AW604" s="252">
        <f t="shared" si="238"/>
        <v>1</v>
      </c>
      <c r="AX604" s="252">
        <f t="shared" si="239"/>
        <v>1</v>
      </c>
      <c r="AY604" s="252">
        <f t="shared" si="240"/>
        <v>1</v>
      </c>
      <c r="AZ604" s="252">
        <f t="shared" si="241"/>
        <v>1</v>
      </c>
      <c r="BA604" s="237"/>
      <c r="BB604" s="237"/>
      <c r="BC604" s="2562"/>
      <c r="BD604" s="2562"/>
      <c r="BE604" s="2562"/>
      <c r="BF604" s="2562"/>
      <c r="BG604" s="252">
        <f t="shared" si="242"/>
        <v>0</v>
      </c>
      <c r="BH604" s="2562"/>
      <c r="BI604" s="237"/>
      <c r="BJ604" s="252">
        <f t="shared" si="243"/>
        <v>1</v>
      </c>
      <c r="BK604" s="252">
        <f t="shared" si="244"/>
        <v>1</v>
      </c>
      <c r="BL604" s="252">
        <f t="shared" si="245"/>
        <v>1</v>
      </c>
      <c r="BM604" s="252">
        <f t="shared" si="246"/>
        <v>1</v>
      </c>
      <c r="BN604" s="252">
        <f t="shared" si="247"/>
        <v>1</v>
      </c>
      <c r="BO604" s="252">
        <f t="shared" si="248"/>
        <v>1</v>
      </c>
      <c r="BP604" s="2578"/>
      <c r="BQ604" s="2562"/>
      <c r="BR604" s="2562"/>
      <c r="BS604" s="2585"/>
      <c r="BT604" s="2585"/>
      <c r="BU604" s="2585"/>
    </row>
    <row r="605" spans="1:73" s="22" customFormat="1" ht="15.75" hidden="1" customHeight="1" outlineLevel="1">
      <c r="A605" s="2585"/>
      <c r="B605" s="44"/>
      <c r="C605" s="45"/>
      <c r="D605" s="46"/>
      <c r="E605" s="46"/>
      <c r="F605" s="45"/>
      <c r="G605" s="46"/>
      <c r="H605" s="45"/>
      <c r="I605" s="45"/>
      <c r="J605" s="47"/>
      <c r="K605" s="48"/>
      <c r="L605" s="47"/>
      <c r="M605" s="1913"/>
      <c r="N605" s="48"/>
      <c r="O605" s="49"/>
      <c r="P605" s="49"/>
      <c r="Q605" s="1884">
        <f t="shared" si="252"/>
        <v>0</v>
      </c>
      <c r="R605" s="1933"/>
      <c r="S605" s="50"/>
      <c r="T605" s="210"/>
      <c r="U605" s="1933"/>
      <c r="V605" s="1933"/>
      <c r="W605" s="1885">
        <f t="shared" si="249"/>
        <v>0</v>
      </c>
      <c r="X605" s="1891">
        <f t="shared" si="250"/>
        <v>0</v>
      </c>
      <c r="Y605" s="1891">
        <f t="shared" si="251"/>
        <v>0</v>
      </c>
      <c r="Z605" s="50"/>
      <c r="AA605" s="50"/>
      <c r="AB605" s="48"/>
      <c r="AC605" s="48"/>
      <c r="AD605" s="48"/>
      <c r="AE605" s="45"/>
      <c r="AF605" s="51"/>
      <c r="AG605" s="42"/>
      <c r="AH605" s="52" t="s">
        <v>5283</v>
      </c>
      <c r="AI605" s="197"/>
      <c r="AJ605" s="2578"/>
      <c r="AK605" s="251"/>
      <c r="AL605" s="2578"/>
      <c r="AM605" s="252">
        <f t="shared" si="228"/>
        <v>1</v>
      </c>
      <c r="AN605" s="252">
        <f t="shared" si="229"/>
        <v>1</v>
      </c>
      <c r="AO605" s="252">
        <f t="shared" si="230"/>
        <v>1</v>
      </c>
      <c r="AP605" s="252">
        <f t="shared" si="231"/>
        <v>1</v>
      </c>
      <c r="AQ605" s="252">
        <f t="shared" si="232"/>
        <v>1</v>
      </c>
      <c r="AR605" s="252">
        <f t="shared" si="233"/>
        <v>1</v>
      </c>
      <c r="AS605" s="252">
        <f t="shared" si="234"/>
        <v>1</v>
      </c>
      <c r="AT605" s="252">
        <f t="shared" si="235"/>
        <v>1</v>
      </c>
      <c r="AU605" s="252">
        <f t="shared" si="236"/>
        <v>1</v>
      </c>
      <c r="AV605" s="252">
        <f t="shared" si="237"/>
        <v>1</v>
      </c>
      <c r="AW605" s="252">
        <f t="shared" si="238"/>
        <v>1</v>
      </c>
      <c r="AX605" s="252">
        <f t="shared" si="239"/>
        <v>1</v>
      </c>
      <c r="AY605" s="252">
        <f t="shared" si="240"/>
        <v>1</v>
      </c>
      <c r="AZ605" s="252">
        <f t="shared" si="241"/>
        <v>1</v>
      </c>
      <c r="BA605" s="237"/>
      <c r="BB605" s="237"/>
      <c r="BC605" s="2562"/>
      <c r="BD605" s="2562"/>
      <c r="BE605" s="2562"/>
      <c r="BF605" s="2562"/>
      <c r="BG605" s="252">
        <f t="shared" si="242"/>
        <v>0</v>
      </c>
      <c r="BH605" s="2562"/>
      <c r="BI605" s="237"/>
      <c r="BJ605" s="252">
        <f t="shared" si="243"/>
        <v>1</v>
      </c>
      <c r="BK605" s="252">
        <f t="shared" si="244"/>
        <v>1</v>
      </c>
      <c r="BL605" s="252">
        <f t="shared" si="245"/>
        <v>1</v>
      </c>
      <c r="BM605" s="252">
        <f t="shared" si="246"/>
        <v>1</v>
      </c>
      <c r="BN605" s="252">
        <f t="shared" si="247"/>
        <v>1</v>
      </c>
      <c r="BO605" s="252">
        <f t="shared" si="248"/>
        <v>1</v>
      </c>
      <c r="BP605" s="2578"/>
      <c r="BQ605" s="2562"/>
      <c r="BR605" s="2562"/>
      <c r="BS605" s="2585"/>
      <c r="BT605" s="2585"/>
      <c r="BU605" s="2585"/>
    </row>
    <row r="606" spans="1:73" s="22" customFormat="1" ht="15.75" hidden="1" customHeight="1" outlineLevel="1">
      <c r="A606" s="2585"/>
      <c r="B606" s="44"/>
      <c r="C606" s="45"/>
      <c r="D606" s="46"/>
      <c r="E606" s="46"/>
      <c r="F606" s="45"/>
      <c r="G606" s="46"/>
      <c r="H606" s="45"/>
      <c r="I606" s="45"/>
      <c r="J606" s="47"/>
      <c r="K606" s="48"/>
      <c r="L606" s="47"/>
      <c r="M606" s="1913"/>
      <c r="N606" s="48"/>
      <c r="O606" s="49"/>
      <c r="P606" s="49"/>
      <c r="Q606" s="1884">
        <f t="shared" si="252"/>
        <v>0</v>
      </c>
      <c r="R606" s="1933"/>
      <c r="S606" s="50"/>
      <c r="T606" s="210"/>
      <c r="U606" s="1933"/>
      <c r="V606" s="1933"/>
      <c r="W606" s="1885">
        <f t="shared" si="249"/>
        <v>0</v>
      </c>
      <c r="X606" s="1891">
        <f t="shared" si="250"/>
        <v>0</v>
      </c>
      <c r="Y606" s="1891">
        <f t="shared" si="251"/>
        <v>0</v>
      </c>
      <c r="Z606" s="50"/>
      <c r="AA606" s="50"/>
      <c r="AB606" s="48"/>
      <c r="AC606" s="48"/>
      <c r="AD606" s="48"/>
      <c r="AE606" s="45"/>
      <c r="AF606" s="51"/>
      <c r="AG606" s="42"/>
      <c r="AH606" s="52" t="s">
        <v>5284</v>
      </c>
      <c r="AI606" s="197"/>
      <c r="AJ606" s="2578"/>
      <c r="AK606" s="251"/>
      <c r="AL606" s="2578"/>
      <c r="AM606" s="252">
        <f t="shared" si="228"/>
        <v>1</v>
      </c>
      <c r="AN606" s="252">
        <f t="shared" si="229"/>
        <v>1</v>
      </c>
      <c r="AO606" s="252">
        <f t="shared" si="230"/>
        <v>1</v>
      </c>
      <c r="AP606" s="252">
        <f t="shared" si="231"/>
        <v>1</v>
      </c>
      <c r="AQ606" s="252">
        <f t="shared" si="232"/>
        <v>1</v>
      </c>
      <c r="AR606" s="252">
        <f t="shared" si="233"/>
        <v>1</v>
      </c>
      <c r="AS606" s="252">
        <f t="shared" si="234"/>
        <v>1</v>
      </c>
      <c r="AT606" s="252">
        <f t="shared" si="235"/>
        <v>1</v>
      </c>
      <c r="AU606" s="252">
        <f t="shared" si="236"/>
        <v>1</v>
      </c>
      <c r="AV606" s="252">
        <f t="shared" si="237"/>
        <v>1</v>
      </c>
      <c r="AW606" s="252">
        <f t="shared" si="238"/>
        <v>1</v>
      </c>
      <c r="AX606" s="252">
        <f t="shared" si="239"/>
        <v>1</v>
      </c>
      <c r="AY606" s="252">
        <f t="shared" si="240"/>
        <v>1</v>
      </c>
      <c r="AZ606" s="252">
        <f t="shared" si="241"/>
        <v>1</v>
      </c>
      <c r="BA606" s="237"/>
      <c r="BB606" s="237"/>
      <c r="BC606" s="2562"/>
      <c r="BD606" s="2562"/>
      <c r="BE606" s="2562"/>
      <c r="BF606" s="2562"/>
      <c r="BG606" s="252">
        <f t="shared" si="242"/>
        <v>0</v>
      </c>
      <c r="BH606" s="2562"/>
      <c r="BI606" s="237"/>
      <c r="BJ606" s="252">
        <f t="shared" si="243"/>
        <v>1</v>
      </c>
      <c r="BK606" s="252">
        <f t="shared" si="244"/>
        <v>1</v>
      </c>
      <c r="BL606" s="252">
        <f t="shared" si="245"/>
        <v>1</v>
      </c>
      <c r="BM606" s="252">
        <f t="shared" si="246"/>
        <v>1</v>
      </c>
      <c r="BN606" s="252">
        <f t="shared" si="247"/>
        <v>1</v>
      </c>
      <c r="BO606" s="252">
        <f t="shared" si="248"/>
        <v>1</v>
      </c>
      <c r="BP606" s="2578"/>
      <c r="BQ606" s="2562"/>
      <c r="BR606" s="2562"/>
      <c r="BS606" s="2585"/>
      <c r="BT606" s="2585"/>
      <c r="BU606" s="2585"/>
    </row>
    <row r="607" spans="1:73" s="22" customFormat="1" ht="15.75" hidden="1" customHeight="1" outlineLevel="1">
      <c r="A607" s="2585"/>
      <c r="B607" s="44"/>
      <c r="C607" s="45"/>
      <c r="D607" s="46"/>
      <c r="E607" s="46"/>
      <c r="F607" s="45"/>
      <c r="G607" s="46"/>
      <c r="H607" s="45"/>
      <c r="I607" s="45"/>
      <c r="J607" s="47"/>
      <c r="K607" s="48"/>
      <c r="L607" s="47"/>
      <c r="M607" s="1913"/>
      <c r="N607" s="48"/>
      <c r="O607" s="49"/>
      <c r="P607" s="49"/>
      <c r="Q607" s="1884">
        <f t="shared" si="252"/>
        <v>0</v>
      </c>
      <c r="R607" s="1933"/>
      <c r="S607" s="50"/>
      <c r="T607" s="210"/>
      <c r="U607" s="1933"/>
      <c r="V607" s="1933"/>
      <c r="W607" s="1885">
        <f t="shared" si="249"/>
        <v>0</v>
      </c>
      <c r="X607" s="1891">
        <f t="shared" si="250"/>
        <v>0</v>
      </c>
      <c r="Y607" s="1891">
        <f t="shared" si="251"/>
        <v>0</v>
      </c>
      <c r="Z607" s="50"/>
      <c r="AA607" s="50"/>
      <c r="AB607" s="48"/>
      <c r="AC607" s="48"/>
      <c r="AD607" s="48"/>
      <c r="AE607" s="45"/>
      <c r="AF607" s="51"/>
      <c r="AG607" s="42"/>
      <c r="AH607" s="52" t="s">
        <v>5285</v>
      </c>
      <c r="AI607" s="197"/>
      <c r="AJ607" s="2578"/>
      <c r="AK607" s="251"/>
      <c r="AL607" s="2578"/>
      <c r="AM607" s="252">
        <f t="shared" si="228"/>
        <v>1</v>
      </c>
      <c r="AN607" s="252">
        <f t="shared" si="229"/>
        <v>1</v>
      </c>
      <c r="AO607" s="252">
        <f t="shared" si="230"/>
        <v>1</v>
      </c>
      <c r="AP607" s="252">
        <f t="shared" si="231"/>
        <v>1</v>
      </c>
      <c r="AQ607" s="252">
        <f t="shared" si="232"/>
        <v>1</v>
      </c>
      <c r="AR607" s="252">
        <f t="shared" si="233"/>
        <v>1</v>
      </c>
      <c r="AS607" s="252">
        <f t="shared" si="234"/>
        <v>1</v>
      </c>
      <c r="AT607" s="252">
        <f t="shared" si="235"/>
        <v>1</v>
      </c>
      <c r="AU607" s="252">
        <f t="shared" si="236"/>
        <v>1</v>
      </c>
      <c r="AV607" s="252">
        <f t="shared" si="237"/>
        <v>1</v>
      </c>
      <c r="AW607" s="252">
        <f t="shared" si="238"/>
        <v>1</v>
      </c>
      <c r="AX607" s="252">
        <f t="shared" si="239"/>
        <v>1</v>
      </c>
      <c r="AY607" s="252">
        <f t="shared" si="240"/>
        <v>1</v>
      </c>
      <c r="AZ607" s="252">
        <f t="shared" si="241"/>
        <v>1</v>
      </c>
      <c r="BA607" s="237"/>
      <c r="BB607" s="237"/>
      <c r="BC607" s="2562"/>
      <c r="BD607" s="2562"/>
      <c r="BE607" s="2562"/>
      <c r="BF607" s="2562"/>
      <c r="BG607" s="252">
        <f t="shared" si="242"/>
        <v>0</v>
      </c>
      <c r="BH607" s="2562"/>
      <c r="BI607" s="237"/>
      <c r="BJ607" s="252">
        <f t="shared" si="243"/>
        <v>1</v>
      </c>
      <c r="BK607" s="252">
        <f t="shared" si="244"/>
        <v>1</v>
      </c>
      <c r="BL607" s="252">
        <f t="shared" si="245"/>
        <v>1</v>
      </c>
      <c r="BM607" s="252">
        <f t="shared" si="246"/>
        <v>1</v>
      </c>
      <c r="BN607" s="252">
        <f t="shared" si="247"/>
        <v>1</v>
      </c>
      <c r="BO607" s="252">
        <f t="shared" si="248"/>
        <v>1</v>
      </c>
      <c r="BP607" s="2578"/>
      <c r="BQ607" s="2562"/>
      <c r="BR607" s="2562"/>
      <c r="BS607" s="2585"/>
      <c r="BT607" s="2585"/>
      <c r="BU607" s="2585"/>
    </row>
    <row r="608" spans="1:73" s="22" customFormat="1" ht="15.75" hidden="1" customHeight="1" outlineLevel="1">
      <c r="A608" s="2585"/>
      <c r="B608" s="44"/>
      <c r="C608" s="45"/>
      <c r="D608" s="46"/>
      <c r="E608" s="46"/>
      <c r="F608" s="45"/>
      <c r="G608" s="46"/>
      <c r="H608" s="45"/>
      <c r="I608" s="45"/>
      <c r="J608" s="47"/>
      <c r="K608" s="48"/>
      <c r="L608" s="47"/>
      <c r="M608" s="1913"/>
      <c r="N608" s="48"/>
      <c r="O608" s="49"/>
      <c r="P608" s="49"/>
      <c r="Q608" s="1884">
        <f t="shared" si="252"/>
        <v>0</v>
      </c>
      <c r="R608" s="1933"/>
      <c r="S608" s="50"/>
      <c r="T608" s="210"/>
      <c r="U608" s="1933"/>
      <c r="V608" s="1933"/>
      <c r="W608" s="1885">
        <f t="shared" si="249"/>
        <v>0</v>
      </c>
      <c r="X608" s="1891">
        <f t="shared" si="250"/>
        <v>0</v>
      </c>
      <c r="Y608" s="1891">
        <f t="shared" si="251"/>
        <v>0</v>
      </c>
      <c r="Z608" s="50"/>
      <c r="AA608" s="50"/>
      <c r="AB608" s="48"/>
      <c r="AC608" s="48"/>
      <c r="AD608" s="48"/>
      <c r="AE608" s="45"/>
      <c r="AF608" s="51"/>
      <c r="AG608" s="42"/>
      <c r="AH608" s="52" t="s">
        <v>5286</v>
      </c>
      <c r="AI608" s="197"/>
      <c r="AJ608" s="2578"/>
      <c r="AK608" s="251"/>
      <c r="AL608" s="2578"/>
      <c r="AM608" s="252">
        <f t="shared" si="228"/>
        <v>1</v>
      </c>
      <c r="AN608" s="252">
        <f t="shared" si="229"/>
        <v>1</v>
      </c>
      <c r="AO608" s="252">
        <f t="shared" si="230"/>
        <v>1</v>
      </c>
      <c r="AP608" s="252">
        <f t="shared" si="231"/>
        <v>1</v>
      </c>
      <c r="AQ608" s="252">
        <f t="shared" si="232"/>
        <v>1</v>
      </c>
      <c r="AR608" s="252">
        <f t="shared" si="233"/>
        <v>1</v>
      </c>
      <c r="AS608" s="252">
        <f t="shared" si="234"/>
        <v>1</v>
      </c>
      <c r="AT608" s="252">
        <f t="shared" si="235"/>
        <v>1</v>
      </c>
      <c r="AU608" s="252">
        <f t="shared" si="236"/>
        <v>1</v>
      </c>
      <c r="AV608" s="252">
        <f t="shared" si="237"/>
        <v>1</v>
      </c>
      <c r="AW608" s="252">
        <f t="shared" si="238"/>
        <v>1</v>
      </c>
      <c r="AX608" s="252">
        <f t="shared" si="239"/>
        <v>1</v>
      </c>
      <c r="AY608" s="252">
        <f t="shared" si="240"/>
        <v>1</v>
      </c>
      <c r="AZ608" s="252">
        <f t="shared" si="241"/>
        <v>1</v>
      </c>
      <c r="BA608" s="237"/>
      <c r="BB608" s="237"/>
      <c r="BC608" s="2562"/>
      <c r="BD608" s="2562"/>
      <c r="BE608" s="2562"/>
      <c r="BF608" s="2562"/>
      <c r="BG608" s="252">
        <f t="shared" si="242"/>
        <v>0</v>
      </c>
      <c r="BH608" s="2562"/>
      <c r="BI608" s="237"/>
      <c r="BJ608" s="252">
        <f t="shared" si="243"/>
        <v>1</v>
      </c>
      <c r="BK608" s="252">
        <f t="shared" si="244"/>
        <v>1</v>
      </c>
      <c r="BL608" s="252">
        <f t="shared" si="245"/>
        <v>1</v>
      </c>
      <c r="BM608" s="252">
        <f t="shared" si="246"/>
        <v>1</v>
      </c>
      <c r="BN608" s="252">
        <f t="shared" si="247"/>
        <v>1</v>
      </c>
      <c r="BO608" s="252">
        <f t="shared" si="248"/>
        <v>1</v>
      </c>
      <c r="BP608" s="2578"/>
      <c r="BQ608" s="2562"/>
      <c r="BR608" s="2562"/>
      <c r="BS608" s="2585"/>
      <c r="BT608" s="2585"/>
      <c r="BU608" s="2585"/>
    </row>
    <row r="609" spans="1:73" s="22" customFormat="1" ht="15.75" hidden="1" customHeight="1" outlineLevel="1">
      <c r="A609" s="2585"/>
      <c r="B609" s="44"/>
      <c r="C609" s="45"/>
      <c r="D609" s="46"/>
      <c r="E609" s="46"/>
      <c r="F609" s="45"/>
      <c r="G609" s="46"/>
      <c r="H609" s="45"/>
      <c r="I609" s="45"/>
      <c r="J609" s="47"/>
      <c r="K609" s="48"/>
      <c r="L609" s="47"/>
      <c r="M609" s="1913"/>
      <c r="N609" s="48"/>
      <c r="O609" s="49"/>
      <c r="P609" s="49"/>
      <c r="Q609" s="1884">
        <f t="shared" si="252"/>
        <v>0</v>
      </c>
      <c r="R609" s="1933"/>
      <c r="S609" s="50"/>
      <c r="T609" s="210"/>
      <c r="U609" s="1933"/>
      <c r="V609" s="1933"/>
      <c r="W609" s="1885">
        <f t="shared" si="249"/>
        <v>0</v>
      </c>
      <c r="X609" s="1891">
        <f t="shared" si="250"/>
        <v>0</v>
      </c>
      <c r="Y609" s="1891">
        <f t="shared" si="251"/>
        <v>0</v>
      </c>
      <c r="Z609" s="50"/>
      <c r="AA609" s="50"/>
      <c r="AB609" s="48"/>
      <c r="AC609" s="48"/>
      <c r="AD609" s="48"/>
      <c r="AE609" s="45"/>
      <c r="AF609" s="51"/>
      <c r="AG609" s="42"/>
      <c r="AH609" s="52" t="s">
        <v>5287</v>
      </c>
      <c r="AI609" s="197"/>
      <c r="AJ609" s="2578"/>
      <c r="AK609" s="251"/>
      <c r="AL609" s="2578"/>
      <c r="AM609" s="252">
        <f t="shared" si="228"/>
        <v>1</v>
      </c>
      <c r="AN609" s="252">
        <f t="shared" si="229"/>
        <v>1</v>
      </c>
      <c r="AO609" s="252">
        <f t="shared" si="230"/>
        <v>1</v>
      </c>
      <c r="AP609" s="252">
        <f t="shared" si="231"/>
        <v>1</v>
      </c>
      <c r="AQ609" s="252">
        <f t="shared" si="232"/>
        <v>1</v>
      </c>
      <c r="AR609" s="252">
        <f t="shared" si="233"/>
        <v>1</v>
      </c>
      <c r="AS609" s="252">
        <f t="shared" si="234"/>
        <v>1</v>
      </c>
      <c r="AT609" s="252">
        <f t="shared" si="235"/>
        <v>1</v>
      </c>
      <c r="AU609" s="252">
        <f t="shared" si="236"/>
        <v>1</v>
      </c>
      <c r="AV609" s="252">
        <f t="shared" si="237"/>
        <v>1</v>
      </c>
      <c r="AW609" s="252">
        <f t="shared" si="238"/>
        <v>1</v>
      </c>
      <c r="AX609" s="252">
        <f t="shared" si="239"/>
        <v>1</v>
      </c>
      <c r="AY609" s="252">
        <f t="shared" si="240"/>
        <v>1</v>
      </c>
      <c r="AZ609" s="252">
        <f t="shared" si="241"/>
        <v>1</v>
      </c>
      <c r="BA609" s="237"/>
      <c r="BB609" s="237"/>
      <c r="BC609" s="2562"/>
      <c r="BD609" s="2562"/>
      <c r="BE609" s="2562"/>
      <c r="BF609" s="2562"/>
      <c r="BG609" s="252">
        <f t="shared" si="242"/>
        <v>0</v>
      </c>
      <c r="BH609" s="2562"/>
      <c r="BI609" s="237"/>
      <c r="BJ609" s="252">
        <f t="shared" si="243"/>
        <v>1</v>
      </c>
      <c r="BK609" s="252">
        <f t="shared" si="244"/>
        <v>1</v>
      </c>
      <c r="BL609" s="252">
        <f t="shared" si="245"/>
        <v>1</v>
      </c>
      <c r="BM609" s="252">
        <f t="shared" si="246"/>
        <v>1</v>
      </c>
      <c r="BN609" s="252">
        <f t="shared" si="247"/>
        <v>1</v>
      </c>
      <c r="BO609" s="252">
        <f t="shared" si="248"/>
        <v>1</v>
      </c>
      <c r="BP609" s="2578"/>
      <c r="BQ609" s="2562"/>
      <c r="BR609" s="2562"/>
      <c r="BS609" s="2585"/>
      <c r="BT609" s="2585"/>
      <c r="BU609" s="2585"/>
    </row>
    <row r="610" spans="1:73" s="22" customFormat="1" ht="15.75" hidden="1" customHeight="1" outlineLevel="1">
      <c r="A610" s="2585"/>
      <c r="B610" s="44"/>
      <c r="C610" s="45"/>
      <c r="D610" s="46"/>
      <c r="E610" s="46"/>
      <c r="F610" s="45"/>
      <c r="G610" s="46"/>
      <c r="H610" s="45"/>
      <c r="I610" s="45"/>
      <c r="J610" s="47"/>
      <c r="K610" s="48"/>
      <c r="L610" s="47"/>
      <c r="M610" s="1913"/>
      <c r="N610" s="48"/>
      <c r="O610" s="49"/>
      <c r="P610" s="49"/>
      <c r="Q610" s="1884">
        <f t="shared" si="252"/>
        <v>0</v>
      </c>
      <c r="R610" s="1933"/>
      <c r="S610" s="50"/>
      <c r="T610" s="210"/>
      <c r="U610" s="1933"/>
      <c r="V610" s="1933"/>
      <c r="W610" s="1885">
        <f t="shared" si="249"/>
        <v>0</v>
      </c>
      <c r="X610" s="1891">
        <f t="shared" si="250"/>
        <v>0</v>
      </c>
      <c r="Y610" s="1891">
        <f t="shared" si="251"/>
        <v>0</v>
      </c>
      <c r="Z610" s="50"/>
      <c r="AA610" s="50"/>
      <c r="AB610" s="48"/>
      <c r="AC610" s="48"/>
      <c r="AD610" s="48"/>
      <c r="AE610" s="45"/>
      <c r="AF610" s="51"/>
      <c r="AG610" s="42"/>
      <c r="AH610" s="52" t="s">
        <v>5288</v>
      </c>
      <c r="AI610" s="197"/>
      <c r="AJ610" s="2578"/>
      <c r="AK610" s="251"/>
      <c r="AL610" s="2578"/>
      <c r="AM610" s="252">
        <f t="shared" si="228"/>
        <v>1</v>
      </c>
      <c r="AN610" s="252">
        <f t="shared" si="229"/>
        <v>1</v>
      </c>
      <c r="AO610" s="252">
        <f t="shared" si="230"/>
        <v>1</v>
      </c>
      <c r="AP610" s="252">
        <f t="shared" si="231"/>
        <v>1</v>
      </c>
      <c r="AQ610" s="252">
        <f t="shared" si="232"/>
        <v>1</v>
      </c>
      <c r="AR610" s="252">
        <f t="shared" si="233"/>
        <v>1</v>
      </c>
      <c r="AS610" s="252">
        <f t="shared" si="234"/>
        <v>1</v>
      </c>
      <c r="AT610" s="252">
        <f t="shared" si="235"/>
        <v>1</v>
      </c>
      <c r="AU610" s="252">
        <f t="shared" si="236"/>
        <v>1</v>
      </c>
      <c r="AV610" s="252">
        <f t="shared" si="237"/>
        <v>1</v>
      </c>
      <c r="AW610" s="252">
        <f t="shared" si="238"/>
        <v>1</v>
      </c>
      <c r="AX610" s="252">
        <f t="shared" si="239"/>
        <v>1</v>
      </c>
      <c r="AY610" s="252">
        <f t="shared" si="240"/>
        <v>1</v>
      </c>
      <c r="AZ610" s="252">
        <f t="shared" si="241"/>
        <v>1</v>
      </c>
      <c r="BA610" s="237"/>
      <c r="BB610" s="237"/>
      <c r="BC610" s="2562"/>
      <c r="BD610" s="2562"/>
      <c r="BE610" s="2562"/>
      <c r="BF610" s="2562"/>
      <c r="BG610" s="252">
        <f t="shared" si="242"/>
        <v>0</v>
      </c>
      <c r="BH610" s="2562"/>
      <c r="BI610" s="237"/>
      <c r="BJ610" s="252">
        <f t="shared" si="243"/>
        <v>1</v>
      </c>
      <c r="BK610" s="252">
        <f t="shared" si="244"/>
        <v>1</v>
      </c>
      <c r="BL610" s="252">
        <f t="shared" si="245"/>
        <v>1</v>
      </c>
      <c r="BM610" s="252">
        <f t="shared" si="246"/>
        <v>1</v>
      </c>
      <c r="BN610" s="252">
        <f t="shared" si="247"/>
        <v>1</v>
      </c>
      <c r="BO610" s="252">
        <f t="shared" si="248"/>
        <v>1</v>
      </c>
      <c r="BP610" s="2578"/>
      <c r="BQ610" s="2562"/>
      <c r="BR610" s="2562"/>
      <c r="BS610" s="2585"/>
      <c r="BT610" s="2585"/>
      <c r="BU610" s="2585"/>
    </row>
    <row r="611" spans="1:73" s="22" customFormat="1" ht="15.75" hidden="1" customHeight="1" outlineLevel="1">
      <c r="A611" s="2585"/>
      <c r="B611" s="44"/>
      <c r="C611" s="45"/>
      <c r="D611" s="46"/>
      <c r="E611" s="46"/>
      <c r="F611" s="45"/>
      <c r="G611" s="46"/>
      <c r="H611" s="45"/>
      <c r="I611" s="45"/>
      <c r="J611" s="47"/>
      <c r="K611" s="48"/>
      <c r="L611" s="47"/>
      <c r="M611" s="1913"/>
      <c r="N611" s="48"/>
      <c r="O611" s="49"/>
      <c r="P611" s="49"/>
      <c r="Q611" s="1884">
        <f t="shared" si="252"/>
        <v>0</v>
      </c>
      <c r="R611" s="1933"/>
      <c r="S611" s="50"/>
      <c r="T611" s="210"/>
      <c r="U611" s="1933"/>
      <c r="V611" s="1933"/>
      <c r="W611" s="1885">
        <f t="shared" si="249"/>
        <v>0</v>
      </c>
      <c r="X611" s="1891">
        <f t="shared" si="250"/>
        <v>0</v>
      </c>
      <c r="Y611" s="1891">
        <f t="shared" si="251"/>
        <v>0</v>
      </c>
      <c r="Z611" s="50"/>
      <c r="AA611" s="50"/>
      <c r="AB611" s="48"/>
      <c r="AC611" s="48"/>
      <c r="AD611" s="48"/>
      <c r="AE611" s="45"/>
      <c r="AF611" s="51"/>
      <c r="AG611" s="42"/>
      <c r="AH611" s="52" t="s">
        <v>5289</v>
      </c>
      <c r="AI611" s="197"/>
      <c r="AJ611" s="2578"/>
      <c r="AK611" s="251"/>
      <c r="AL611" s="2578"/>
      <c r="AM611" s="252">
        <f t="shared" si="228"/>
        <v>1</v>
      </c>
      <c r="AN611" s="252">
        <f t="shared" si="229"/>
        <v>1</v>
      </c>
      <c r="AO611" s="252">
        <f t="shared" si="230"/>
        <v>1</v>
      </c>
      <c r="AP611" s="252">
        <f t="shared" si="231"/>
        <v>1</v>
      </c>
      <c r="AQ611" s="252">
        <f t="shared" si="232"/>
        <v>1</v>
      </c>
      <c r="AR611" s="252">
        <f t="shared" si="233"/>
        <v>1</v>
      </c>
      <c r="AS611" s="252">
        <f t="shared" si="234"/>
        <v>1</v>
      </c>
      <c r="AT611" s="252">
        <f t="shared" si="235"/>
        <v>1</v>
      </c>
      <c r="AU611" s="252">
        <f t="shared" si="236"/>
        <v>1</v>
      </c>
      <c r="AV611" s="252">
        <f t="shared" si="237"/>
        <v>1</v>
      </c>
      <c r="AW611" s="252">
        <f t="shared" si="238"/>
        <v>1</v>
      </c>
      <c r="AX611" s="252">
        <f t="shared" si="239"/>
        <v>1</v>
      </c>
      <c r="AY611" s="252">
        <f t="shared" si="240"/>
        <v>1</v>
      </c>
      <c r="AZ611" s="252">
        <f t="shared" si="241"/>
        <v>1</v>
      </c>
      <c r="BA611" s="237"/>
      <c r="BB611" s="237"/>
      <c r="BC611" s="2562"/>
      <c r="BD611" s="2562"/>
      <c r="BE611" s="2562"/>
      <c r="BF611" s="2562"/>
      <c r="BG611" s="252">
        <f t="shared" si="242"/>
        <v>0</v>
      </c>
      <c r="BH611" s="2562"/>
      <c r="BI611" s="237"/>
      <c r="BJ611" s="252">
        <f t="shared" si="243"/>
        <v>1</v>
      </c>
      <c r="BK611" s="252">
        <f t="shared" si="244"/>
        <v>1</v>
      </c>
      <c r="BL611" s="252">
        <f t="shared" si="245"/>
        <v>1</v>
      </c>
      <c r="BM611" s="252">
        <f t="shared" si="246"/>
        <v>1</v>
      </c>
      <c r="BN611" s="252">
        <f t="shared" si="247"/>
        <v>1</v>
      </c>
      <c r="BO611" s="252">
        <f t="shared" si="248"/>
        <v>1</v>
      </c>
      <c r="BP611" s="2578"/>
      <c r="BQ611" s="2562"/>
      <c r="BR611" s="2562"/>
      <c r="BS611" s="2585"/>
      <c r="BT611" s="2585"/>
      <c r="BU611" s="2585"/>
    </row>
    <row r="612" spans="1:73" s="22" customFormat="1" ht="15.75" hidden="1" customHeight="1" outlineLevel="1">
      <c r="A612" s="2585"/>
      <c r="B612" s="44"/>
      <c r="C612" s="45"/>
      <c r="D612" s="46"/>
      <c r="E612" s="46"/>
      <c r="F612" s="45"/>
      <c r="G612" s="46"/>
      <c r="H612" s="45"/>
      <c r="I612" s="45"/>
      <c r="J612" s="47"/>
      <c r="K612" s="48"/>
      <c r="L612" s="47"/>
      <c r="M612" s="1913"/>
      <c r="N612" s="48"/>
      <c r="O612" s="49"/>
      <c r="P612" s="49"/>
      <c r="Q612" s="1884">
        <f t="shared" si="252"/>
        <v>0</v>
      </c>
      <c r="R612" s="1933"/>
      <c r="S612" s="50"/>
      <c r="T612" s="210"/>
      <c r="U612" s="1933"/>
      <c r="V612" s="1933"/>
      <c r="W612" s="1885">
        <f t="shared" si="249"/>
        <v>0</v>
      </c>
      <c r="X612" s="1891">
        <f t="shared" si="250"/>
        <v>0</v>
      </c>
      <c r="Y612" s="1891">
        <f t="shared" si="251"/>
        <v>0</v>
      </c>
      <c r="Z612" s="50"/>
      <c r="AA612" s="50"/>
      <c r="AB612" s="48"/>
      <c r="AC612" s="48"/>
      <c r="AD612" s="48"/>
      <c r="AE612" s="45"/>
      <c r="AF612" s="51"/>
      <c r="AG612" s="42"/>
      <c r="AH612" s="52" t="s">
        <v>5290</v>
      </c>
      <c r="AI612" s="197"/>
      <c r="AJ612" s="2578"/>
      <c r="AK612" s="251"/>
      <c r="AL612" s="2578"/>
      <c r="AM612" s="252">
        <f t="shared" si="228"/>
        <v>1</v>
      </c>
      <c r="AN612" s="252">
        <f t="shared" si="229"/>
        <v>1</v>
      </c>
      <c r="AO612" s="252">
        <f t="shared" si="230"/>
        <v>1</v>
      </c>
      <c r="AP612" s="252">
        <f t="shared" si="231"/>
        <v>1</v>
      </c>
      <c r="AQ612" s="252">
        <f t="shared" si="232"/>
        <v>1</v>
      </c>
      <c r="AR612" s="252">
        <f t="shared" si="233"/>
        <v>1</v>
      </c>
      <c r="AS612" s="252">
        <f t="shared" si="234"/>
        <v>1</v>
      </c>
      <c r="AT612" s="252">
        <f t="shared" si="235"/>
        <v>1</v>
      </c>
      <c r="AU612" s="252">
        <f t="shared" si="236"/>
        <v>1</v>
      </c>
      <c r="AV612" s="252">
        <f t="shared" si="237"/>
        <v>1</v>
      </c>
      <c r="AW612" s="252">
        <f t="shared" si="238"/>
        <v>1</v>
      </c>
      <c r="AX612" s="252">
        <f t="shared" si="239"/>
        <v>1</v>
      </c>
      <c r="AY612" s="252">
        <f t="shared" si="240"/>
        <v>1</v>
      </c>
      <c r="AZ612" s="252">
        <f t="shared" si="241"/>
        <v>1</v>
      </c>
      <c r="BA612" s="237"/>
      <c r="BB612" s="237"/>
      <c r="BC612" s="2562"/>
      <c r="BD612" s="2562"/>
      <c r="BE612" s="2562"/>
      <c r="BF612" s="2562"/>
      <c r="BG612" s="252">
        <f t="shared" si="242"/>
        <v>0</v>
      </c>
      <c r="BH612" s="2562"/>
      <c r="BI612" s="237"/>
      <c r="BJ612" s="252">
        <f t="shared" si="243"/>
        <v>1</v>
      </c>
      <c r="BK612" s="252">
        <f t="shared" si="244"/>
        <v>1</v>
      </c>
      <c r="BL612" s="252">
        <f t="shared" si="245"/>
        <v>1</v>
      </c>
      <c r="BM612" s="252">
        <f t="shared" si="246"/>
        <v>1</v>
      </c>
      <c r="BN612" s="252">
        <f t="shared" si="247"/>
        <v>1</v>
      </c>
      <c r="BO612" s="252">
        <f t="shared" si="248"/>
        <v>1</v>
      </c>
      <c r="BP612" s="2578"/>
      <c r="BQ612" s="2562"/>
      <c r="BR612" s="2562"/>
      <c r="BS612" s="2585"/>
      <c r="BT612" s="2585"/>
      <c r="BU612" s="2585"/>
    </row>
    <row r="613" spans="1:73" s="22" customFormat="1" ht="15.75" hidden="1" customHeight="1" outlineLevel="1">
      <c r="A613" s="2585"/>
      <c r="B613" s="44"/>
      <c r="C613" s="45"/>
      <c r="D613" s="46"/>
      <c r="E613" s="46"/>
      <c r="F613" s="45"/>
      <c r="G613" s="46"/>
      <c r="H613" s="45"/>
      <c r="I613" s="45"/>
      <c r="J613" s="47"/>
      <c r="K613" s="48"/>
      <c r="L613" s="47"/>
      <c r="M613" s="1913"/>
      <c r="N613" s="48"/>
      <c r="O613" s="49"/>
      <c r="P613" s="49"/>
      <c r="Q613" s="1884">
        <f t="shared" si="252"/>
        <v>0</v>
      </c>
      <c r="R613" s="1933"/>
      <c r="S613" s="50"/>
      <c r="T613" s="210"/>
      <c r="U613" s="1933"/>
      <c r="V613" s="1933"/>
      <c r="W613" s="1885">
        <f t="shared" si="249"/>
        <v>0</v>
      </c>
      <c r="X613" s="1891">
        <f t="shared" si="250"/>
        <v>0</v>
      </c>
      <c r="Y613" s="1891">
        <f t="shared" si="251"/>
        <v>0</v>
      </c>
      <c r="Z613" s="50"/>
      <c r="AA613" s="50"/>
      <c r="AB613" s="48"/>
      <c r="AC613" s="48"/>
      <c r="AD613" s="48"/>
      <c r="AE613" s="45"/>
      <c r="AF613" s="51"/>
      <c r="AG613" s="42"/>
      <c r="AH613" s="52" t="s">
        <v>5291</v>
      </c>
      <c r="AI613" s="197"/>
      <c r="AJ613" s="2578"/>
      <c r="AK613" s="251"/>
      <c r="AL613" s="2578"/>
      <c r="AM613" s="252">
        <f t="shared" si="228"/>
        <v>1</v>
      </c>
      <c r="AN613" s="252">
        <f t="shared" si="229"/>
        <v>1</v>
      </c>
      <c r="AO613" s="252">
        <f t="shared" si="230"/>
        <v>1</v>
      </c>
      <c r="AP613" s="252">
        <f t="shared" si="231"/>
        <v>1</v>
      </c>
      <c r="AQ613" s="252">
        <f t="shared" si="232"/>
        <v>1</v>
      </c>
      <c r="AR613" s="252">
        <f t="shared" si="233"/>
        <v>1</v>
      </c>
      <c r="AS613" s="252">
        <f t="shared" si="234"/>
        <v>1</v>
      </c>
      <c r="AT613" s="252">
        <f t="shared" si="235"/>
        <v>1</v>
      </c>
      <c r="AU613" s="252">
        <f t="shared" si="236"/>
        <v>1</v>
      </c>
      <c r="AV613" s="252">
        <f t="shared" si="237"/>
        <v>1</v>
      </c>
      <c r="AW613" s="252">
        <f t="shared" si="238"/>
        <v>1</v>
      </c>
      <c r="AX613" s="252">
        <f t="shared" si="239"/>
        <v>1</v>
      </c>
      <c r="AY613" s="252">
        <f t="shared" si="240"/>
        <v>1</v>
      </c>
      <c r="AZ613" s="252">
        <f t="shared" si="241"/>
        <v>1</v>
      </c>
      <c r="BA613" s="237"/>
      <c r="BB613" s="237"/>
      <c r="BC613" s="2562"/>
      <c r="BD613" s="2562"/>
      <c r="BE613" s="2562"/>
      <c r="BF613" s="2562"/>
      <c r="BG613" s="252">
        <f t="shared" si="242"/>
        <v>0</v>
      </c>
      <c r="BH613" s="2562"/>
      <c r="BI613" s="237"/>
      <c r="BJ613" s="252">
        <f t="shared" si="243"/>
        <v>1</v>
      </c>
      <c r="BK613" s="252">
        <f t="shared" si="244"/>
        <v>1</v>
      </c>
      <c r="BL613" s="252">
        <f t="shared" si="245"/>
        <v>1</v>
      </c>
      <c r="BM613" s="252">
        <f t="shared" si="246"/>
        <v>1</v>
      </c>
      <c r="BN613" s="252">
        <f t="shared" si="247"/>
        <v>1</v>
      </c>
      <c r="BO613" s="252">
        <f t="shared" si="248"/>
        <v>1</v>
      </c>
      <c r="BP613" s="2578"/>
      <c r="BQ613" s="2562"/>
      <c r="BR613" s="2562"/>
      <c r="BS613" s="2585"/>
      <c r="BT613" s="2585"/>
      <c r="BU613" s="2585"/>
    </row>
    <row r="614" spans="1:73" s="22" customFormat="1" ht="15.75" hidden="1" customHeight="1" outlineLevel="1">
      <c r="A614" s="2585"/>
      <c r="B614" s="44"/>
      <c r="C614" s="45"/>
      <c r="D614" s="46"/>
      <c r="E614" s="46"/>
      <c r="F614" s="45"/>
      <c r="G614" s="46"/>
      <c r="H614" s="45"/>
      <c r="I614" s="45"/>
      <c r="J614" s="47"/>
      <c r="K614" s="48"/>
      <c r="L614" s="47"/>
      <c r="M614" s="1913"/>
      <c r="N614" s="48"/>
      <c r="O614" s="49"/>
      <c r="P614" s="49"/>
      <c r="Q614" s="1884">
        <f t="shared" si="252"/>
        <v>0</v>
      </c>
      <c r="R614" s="1933"/>
      <c r="S614" s="50"/>
      <c r="T614" s="210"/>
      <c r="U614" s="1933"/>
      <c r="V614" s="1933"/>
      <c r="W614" s="1885">
        <f t="shared" si="249"/>
        <v>0</v>
      </c>
      <c r="X614" s="1891">
        <f t="shared" si="250"/>
        <v>0</v>
      </c>
      <c r="Y614" s="1891">
        <f t="shared" si="251"/>
        <v>0</v>
      </c>
      <c r="Z614" s="50"/>
      <c r="AA614" s="50"/>
      <c r="AB614" s="48"/>
      <c r="AC614" s="48"/>
      <c r="AD614" s="48"/>
      <c r="AE614" s="45"/>
      <c r="AF614" s="51"/>
      <c r="AG614" s="42"/>
      <c r="AH614" s="52" t="s">
        <v>5292</v>
      </c>
      <c r="AI614" s="197"/>
      <c r="AJ614" s="2578"/>
      <c r="AK614" s="251"/>
      <c r="AL614" s="2578"/>
      <c r="AM614" s="252">
        <f t="shared" si="228"/>
        <v>1</v>
      </c>
      <c r="AN614" s="252">
        <f t="shared" si="229"/>
        <v>1</v>
      </c>
      <c r="AO614" s="252">
        <f t="shared" si="230"/>
        <v>1</v>
      </c>
      <c r="AP614" s="252">
        <f t="shared" si="231"/>
        <v>1</v>
      </c>
      <c r="AQ614" s="252">
        <f t="shared" si="232"/>
        <v>1</v>
      </c>
      <c r="AR614" s="252">
        <f t="shared" si="233"/>
        <v>1</v>
      </c>
      <c r="AS614" s="252">
        <f t="shared" si="234"/>
        <v>1</v>
      </c>
      <c r="AT614" s="252">
        <f t="shared" si="235"/>
        <v>1</v>
      </c>
      <c r="AU614" s="252">
        <f t="shared" si="236"/>
        <v>1</v>
      </c>
      <c r="AV614" s="252">
        <f t="shared" si="237"/>
        <v>1</v>
      </c>
      <c r="AW614" s="252">
        <f t="shared" si="238"/>
        <v>1</v>
      </c>
      <c r="AX614" s="252">
        <f t="shared" si="239"/>
        <v>1</v>
      </c>
      <c r="AY614" s="252">
        <f t="shared" si="240"/>
        <v>1</v>
      </c>
      <c r="AZ614" s="252">
        <f t="shared" si="241"/>
        <v>1</v>
      </c>
      <c r="BA614" s="237"/>
      <c r="BB614" s="237"/>
      <c r="BC614" s="2562"/>
      <c r="BD614" s="2562"/>
      <c r="BE614" s="2562"/>
      <c r="BF614" s="2562"/>
      <c r="BG614" s="252">
        <f t="shared" si="242"/>
        <v>0</v>
      </c>
      <c r="BH614" s="2562"/>
      <c r="BI614" s="237"/>
      <c r="BJ614" s="252">
        <f t="shared" si="243"/>
        <v>1</v>
      </c>
      <c r="BK614" s="252">
        <f t="shared" si="244"/>
        <v>1</v>
      </c>
      <c r="BL614" s="252">
        <f t="shared" si="245"/>
        <v>1</v>
      </c>
      <c r="BM614" s="252">
        <f t="shared" si="246"/>
        <v>1</v>
      </c>
      <c r="BN614" s="252">
        <f t="shared" si="247"/>
        <v>1</v>
      </c>
      <c r="BO614" s="252">
        <f t="shared" si="248"/>
        <v>1</v>
      </c>
      <c r="BP614" s="2578"/>
      <c r="BQ614" s="2562"/>
      <c r="BR614" s="2562"/>
      <c r="BS614" s="2585"/>
      <c r="BT614" s="2585"/>
      <c r="BU614" s="2585"/>
    </row>
    <row r="615" spans="1:73" s="22" customFormat="1" ht="15.75" hidden="1" customHeight="1" outlineLevel="1">
      <c r="A615" s="2585"/>
      <c r="B615" s="44"/>
      <c r="C615" s="45"/>
      <c r="D615" s="46"/>
      <c r="E615" s="46"/>
      <c r="F615" s="45"/>
      <c r="G615" s="46"/>
      <c r="H615" s="45"/>
      <c r="I615" s="45"/>
      <c r="J615" s="47"/>
      <c r="K615" s="48"/>
      <c r="L615" s="47"/>
      <c r="M615" s="1913"/>
      <c r="N615" s="48"/>
      <c r="O615" s="49"/>
      <c r="P615" s="49"/>
      <c r="Q615" s="1884">
        <f t="shared" si="252"/>
        <v>0</v>
      </c>
      <c r="R615" s="1933"/>
      <c r="S615" s="50"/>
      <c r="T615" s="210"/>
      <c r="U615" s="1933"/>
      <c r="V615" s="1933"/>
      <c r="W615" s="1885">
        <f t="shared" si="249"/>
        <v>0</v>
      </c>
      <c r="X615" s="1891">
        <f t="shared" si="250"/>
        <v>0</v>
      </c>
      <c r="Y615" s="1891">
        <f t="shared" si="251"/>
        <v>0</v>
      </c>
      <c r="Z615" s="50"/>
      <c r="AA615" s="50"/>
      <c r="AB615" s="48"/>
      <c r="AC615" s="48"/>
      <c r="AD615" s="48"/>
      <c r="AE615" s="45"/>
      <c r="AF615" s="51"/>
      <c r="AG615" s="42"/>
      <c r="AH615" s="52" t="s">
        <v>5293</v>
      </c>
      <c r="AI615" s="197"/>
      <c r="AJ615" s="2578"/>
      <c r="AK615" s="251"/>
      <c r="AL615" s="2578"/>
      <c r="AM615" s="252">
        <f t="shared" si="228"/>
        <v>1</v>
      </c>
      <c r="AN615" s="252">
        <f t="shared" si="229"/>
        <v>1</v>
      </c>
      <c r="AO615" s="252">
        <f t="shared" si="230"/>
        <v>1</v>
      </c>
      <c r="AP615" s="252">
        <f t="shared" si="231"/>
        <v>1</v>
      </c>
      <c r="AQ615" s="252">
        <f t="shared" si="232"/>
        <v>1</v>
      </c>
      <c r="AR615" s="252">
        <f t="shared" si="233"/>
        <v>1</v>
      </c>
      <c r="AS615" s="252">
        <f t="shared" si="234"/>
        <v>1</v>
      </c>
      <c r="AT615" s="252">
        <f t="shared" si="235"/>
        <v>1</v>
      </c>
      <c r="AU615" s="252">
        <f t="shared" si="236"/>
        <v>1</v>
      </c>
      <c r="AV615" s="252">
        <f t="shared" si="237"/>
        <v>1</v>
      </c>
      <c r="AW615" s="252">
        <f t="shared" si="238"/>
        <v>1</v>
      </c>
      <c r="AX615" s="252">
        <f t="shared" si="239"/>
        <v>1</v>
      </c>
      <c r="AY615" s="252">
        <f t="shared" si="240"/>
        <v>1</v>
      </c>
      <c r="AZ615" s="252">
        <f t="shared" si="241"/>
        <v>1</v>
      </c>
      <c r="BA615" s="237"/>
      <c r="BB615" s="237"/>
      <c r="BC615" s="2562"/>
      <c r="BD615" s="2562"/>
      <c r="BE615" s="2562"/>
      <c r="BF615" s="2562"/>
      <c r="BG615" s="252">
        <f t="shared" si="242"/>
        <v>0</v>
      </c>
      <c r="BH615" s="2562"/>
      <c r="BI615" s="237"/>
      <c r="BJ615" s="252">
        <f t="shared" si="243"/>
        <v>1</v>
      </c>
      <c r="BK615" s="252">
        <f t="shared" si="244"/>
        <v>1</v>
      </c>
      <c r="BL615" s="252">
        <f t="shared" si="245"/>
        <v>1</v>
      </c>
      <c r="BM615" s="252">
        <f t="shared" si="246"/>
        <v>1</v>
      </c>
      <c r="BN615" s="252">
        <f t="shared" si="247"/>
        <v>1</v>
      </c>
      <c r="BO615" s="252">
        <f t="shared" si="248"/>
        <v>1</v>
      </c>
      <c r="BP615" s="2578"/>
      <c r="BQ615" s="2562"/>
      <c r="BR615" s="2562"/>
      <c r="BS615" s="2585"/>
      <c r="BT615" s="2585"/>
      <c r="BU615" s="2585"/>
    </row>
    <row r="616" spans="1:73" s="22" customFormat="1" ht="15.75" hidden="1" customHeight="1" outlineLevel="1">
      <c r="A616" s="2585"/>
      <c r="B616" s="44"/>
      <c r="C616" s="45"/>
      <c r="D616" s="46"/>
      <c r="E616" s="46"/>
      <c r="F616" s="45"/>
      <c r="G616" s="46"/>
      <c r="H616" s="45"/>
      <c r="I616" s="45"/>
      <c r="J616" s="47"/>
      <c r="K616" s="48"/>
      <c r="L616" s="47"/>
      <c r="M616" s="1913"/>
      <c r="N616" s="48"/>
      <c r="O616" s="49"/>
      <c r="P616" s="49"/>
      <c r="Q616" s="1884">
        <f t="shared" si="252"/>
        <v>0</v>
      </c>
      <c r="R616" s="1933"/>
      <c r="S616" s="50"/>
      <c r="T616" s="210"/>
      <c r="U616" s="1933"/>
      <c r="V616" s="1933"/>
      <c r="W616" s="1885">
        <f t="shared" si="249"/>
        <v>0</v>
      </c>
      <c r="X616" s="1891">
        <f t="shared" si="250"/>
        <v>0</v>
      </c>
      <c r="Y616" s="1891">
        <f t="shared" si="251"/>
        <v>0</v>
      </c>
      <c r="Z616" s="50"/>
      <c r="AA616" s="50"/>
      <c r="AB616" s="48"/>
      <c r="AC616" s="48"/>
      <c r="AD616" s="48"/>
      <c r="AE616" s="45"/>
      <c r="AF616" s="51"/>
      <c r="AG616" s="42"/>
      <c r="AH616" s="52" t="s">
        <v>5294</v>
      </c>
      <c r="AI616" s="197"/>
      <c r="AJ616" s="2578"/>
      <c r="AK616" s="251"/>
      <c r="AL616" s="2578"/>
      <c r="AM616" s="252">
        <f t="shared" si="228"/>
        <v>1</v>
      </c>
      <c r="AN616" s="252">
        <f t="shared" si="229"/>
        <v>1</v>
      </c>
      <c r="AO616" s="252">
        <f t="shared" si="230"/>
        <v>1</v>
      </c>
      <c r="AP616" s="252">
        <f t="shared" si="231"/>
        <v>1</v>
      </c>
      <c r="AQ616" s="252">
        <f t="shared" si="232"/>
        <v>1</v>
      </c>
      <c r="AR616" s="252">
        <f t="shared" si="233"/>
        <v>1</v>
      </c>
      <c r="AS616" s="252">
        <f t="shared" si="234"/>
        <v>1</v>
      </c>
      <c r="AT616" s="252">
        <f t="shared" si="235"/>
        <v>1</v>
      </c>
      <c r="AU616" s="252">
        <f t="shared" si="236"/>
        <v>1</v>
      </c>
      <c r="AV616" s="252">
        <f t="shared" si="237"/>
        <v>1</v>
      </c>
      <c r="AW616" s="252">
        <f t="shared" si="238"/>
        <v>1</v>
      </c>
      <c r="AX616" s="252">
        <f t="shared" si="239"/>
        <v>1</v>
      </c>
      <c r="AY616" s="252">
        <f t="shared" si="240"/>
        <v>1</v>
      </c>
      <c r="AZ616" s="252">
        <f t="shared" si="241"/>
        <v>1</v>
      </c>
      <c r="BA616" s="237"/>
      <c r="BB616" s="237"/>
      <c r="BC616" s="2562"/>
      <c r="BD616" s="2562"/>
      <c r="BE616" s="2562"/>
      <c r="BF616" s="2562"/>
      <c r="BG616" s="252">
        <f t="shared" si="242"/>
        <v>0</v>
      </c>
      <c r="BH616" s="2562"/>
      <c r="BI616" s="237"/>
      <c r="BJ616" s="252">
        <f t="shared" si="243"/>
        <v>1</v>
      </c>
      <c r="BK616" s="252">
        <f t="shared" si="244"/>
        <v>1</v>
      </c>
      <c r="BL616" s="252">
        <f t="shared" si="245"/>
        <v>1</v>
      </c>
      <c r="BM616" s="252">
        <f t="shared" si="246"/>
        <v>1</v>
      </c>
      <c r="BN616" s="252">
        <f t="shared" si="247"/>
        <v>1</v>
      </c>
      <c r="BO616" s="252">
        <f t="shared" si="248"/>
        <v>1</v>
      </c>
      <c r="BP616" s="2578"/>
      <c r="BQ616" s="2562"/>
      <c r="BR616" s="2562"/>
      <c r="BS616" s="2585"/>
      <c r="BT616" s="2585"/>
      <c r="BU616" s="2585"/>
    </row>
    <row r="617" spans="1:73" s="22" customFormat="1" ht="15.75" hidden="1" customHeight="1" outlineLevel="1">
      <c r="A617" s="2585"/>
      <c r="B617" s="44"/>
      <c r="C617" s="45"/>
      <c r="D617" s="46"/>
      <c r="E617" s="46"/>
      <c r="F617" s="45"/>
      <c r="G617" s="46"/>
      <c r="H617" s="45"/>
      <c r="I617" s="45"/>
      <c r="J617" s="47"/>
      <c r="K617" s="48"/>
      <c r="L617" s="47"/>
      <c r="M617" s="1913"/>
      <c r="N617" s="48"/>
      <c r="O617" s="49"/>
      <c r="P617" s="49"/>
      <c r="Q617" s="1884">
        <f t="shared" si="252"/>
        <v>0</v>
      </c>
      <c r="R617" s="1933"/>
      <c r="S617" s="50"/>
      <c r="T617" s="210"/>
      <c r="U617" s="1933"/>
      <c r="V617" s="1933"/>
      <c r="W617" s="1885">
        <f t="shared" si="249"/>
        <v>0</v>
      </c>
      <c r="X617" s="1891">
        <f t="shared" si="250"/>
        <v>0</v>
      </c>
      <c r="Y617" s="1891">
        <f t="shared" si="251"/>
        <v>0</v>
      </c>
      <c r="Z617" s="50"/>
      <c r="AA617" s="50"/>
      <c r="AB617" s="48"/>
      <c r="AC617" s="48"/>
      <c r="AD617" s="48"/>
      <c r="AE617" s="45"/>
      <c r="AF617" s="51"/>
      <c r="AG617" s="42"/>
      <c r="AH617" s="52" t="s">
        <v>5295</v>
      </c>
      <c r="AI617" s="197"/>
      <c r="AJ617" s="2578"/>
      <c r="AK617" s="251"/>
      <c r="AL617" s="2578"/>
      <c r="AM617" s="252">
        <f t="shared" si="228"/>
        <v>1</v>
      </c>
      <c r="AN617" s="252">
        <f t="shared" si="229"/>
        <v>1</v>
      </c>
      <c r="AO617" s="252">
        <f t="shared" si="230"/>
        <v>1</v>
      </c>
      <c r="AP617" s="252">
        <f t="shared" si="231"/>
        <v>1</v>
      </c>
      <c r="AQ617" s="252">
        <f t="shared" si="232"/>
        <v>1</v>
      </c>
      <c r="AR617" s="252">
        <f t="shared" si="233"/>
        <v>1</v>
      </c>
      <c r="AS617" s="252">
        <f t="shared" si="234"/>
        <v>1</v>
      </c>
      <c r="AT617" s="252">
        <f t="shared" si="235"/>
        <v>1</v>
      </c>
      <c r="AU617" s="252">
        <f t="shared" si="236"/>
        <v>1</v>
      </c>
      <c r="AV617" s="252">
        <f t="shared" si="237"/>
        <v>1</v>
      </c>
      <c r="AW617" s="252">
        <f t="shared" si="238"/>
        <v>1</v>
      </c>
      <c r="AX617" s="252">
        <f t="shared" si="239"/>
        <v>1</v>
      </c>
      <c r="AY617" s="252">
        <f t="shared" si="240"/>
        <v>1</v>
      </c>
      <c r="AZ617" s="252">
        <f t="shared" si="241"/>
        <v>1</v>
      </c>
      <c r="BA617" s="237"/>
      <c r="BB617" s="237"/>
      <c r="BC617" s="2562"/>
      <c r="BD617" s="2562"/>
      <c r="BE617" s="2562"/>
      <c r="BF617" s="2562"/>
      <c r="BG617" s="252">
        <f t="shared" si="242"/>
        <v>0</v>
      </c>
      <c r="BH617" s="2562"/>
      <c r="BI617" s="237"/>
      <c r="BJ617" s="252">
        <f t="shared" si="243"/>
        <v>1</v>
      </c>
      <c r="BK617" s="252">
        <f t="shared" si="244"/>
        <v>1</v>
      </c>
      <c r="BL617" s="252">
        <f t="shared" si="245"/>
        <v>1</v>
      </c>
      <c r="BM617" s="252">
        <f t="shared" si="246"/>
        <v>1</v>
      </c>
      <c r="BN617" s="252">
        <f t="shared" si="247"/>
        <v>1</v>
      </c>
      <c r="BO617" s="252">
        <f t="shared" si="248"/>
        <v>1</v>
      </c>
      <c r="BP617" s="2578"/>
      <c r="BQ617" s="2562"/>
      <c r="BR617" s="2562"/>
      <c r="BS617" s="2585"/>
      <c r="BT617" s="2585"/>
      <c r="BU617" s="2585"/>
    </row>
    <row r="618" spans="1:73" s="22" customFormat="1" ht="15.75" customHeight="1" collapsed="1" thickBot="1">
      <c r="A618" s="2585"/>
      <c r="B618" s="53" t="s">
        <v>5296</v>
      </c>
      <c r="C618" s="1915"/>
      <c r="D618" s="1915"/>
      <c r="E618" s="1915"/>
      <c r="F618" s="1916"/>
      <c r="G618" s="1916"/>
      <c r="H618" s="1917"/>
      <c r="I618" s="1917"/>
      <c r="J618" s="1918"/>
      <c r="K618" s="1919"/>
      <c r="L618" s="1918"/>
      <c r="M618" s="1920"/>
      <c r="N618" s="1887">
        <f>SUM(N468:N617)</f>
        <v>225</v>
      </c>
      <c r="O618" s="1887">
        <f>SUM(O468:O617)</f>
        <v>256.964</v>
      </c>
      <c r="P618" s="1887">
        <f>SUM(P468:P617)</f>
        <v>256.964</v>
      </c>
      <c r="Q618" s="1886">
        <f>SUM(Q468:Q617)</f>
        <v>1972.9807444444446</v>
      </c>
      <c r="R618" s="1920"/>
      <c r="S618" s="1920"/>
      <c r="T618" s="1920"/>
      <c r="U618" s="1920"/>
      <c r="V618" s="1920"/>
      <c r="W618" s="1920"/>
      <c r="X618" s="1887">
        <f>SUM(X468:X617)</f>
        <v>27.60973024502988</v>
      </c>
      <c r="Y618" s="1887">
        <f>SUM(Y468:Y617)</f>
        <v>1.5587603699999999</v>
      </c>
      <c r="Z618" s="1920"/>
      <c r="AA618" s="1920"/>
      <c r="AB618" s="1887">
        <f>SUM(AB468:AB617)</f>
        <v>-0.15924441</v>
      </c>
      <c r="AC618" s="1887">
        <f>SUM(AC468:AC617)</f>
        <v>256.76440189389496</v>
      </c>
      <c r="AD618" s="1887">
        <f>SUM(AD468:AD617)</f>
        <v>226.31476294127501</v>
      </c>
      <c r="AE618" s="1917"/>
      <c r="AF618" s="1922"/>
      <c r="AG618" s="42"/>
      <c r="AH618" s="54" t="s">
        <v>5297</v>
      </c>
      <c r="AI618" s="197"/>
      <c r="AJ618" s="2578"/>
      <c r="AK618" s="251"/>
      <c r="AL618" s="2578"/>
      <c r="AM618" s="2562"/>
      <c r="AN618" s="2562"/>
      <c r="AO618" s="2562"/>
      <c r="AP618" s="2562"/>
      <c r="AQ618" s="2562"/>
      <c r="AR618" s="2562"/>
      <c r="AS618" s="2562"/>
      <c r="AT618" s="2562"/>
      <c r="AU618" s="2562"/>
      <c r="AV618" s="2562"/>
      <c r="AW618" s="2562"/>
      <c r="AX618" s="2562"/>
      <c r="AY618" s="2562"/>
      <c r="AZ618" s="2562"/>
      <c r="BA618" s="2562"/>
      <c r="BB618" s="2562"/>
      <c r="BC618" s="2562"/>
      <c r="BD618" s="2562"/>
      <c r="BE618" s="2562"/>
      <c r="BF618" s="2562"/>
      <c r="BG618" s="2562"/>
      <c r="BH618" s="2562"/>
      <c r="BI618" s="2562"/>
      <c r="BJ618" s="2562"/>
      <c r="BK618" s="2562"/>
      <c r="BL618" s="2562"/>
      <c r="BM618" s="2562"/>
      <c r="BN618" s="2562"/>
      <c r="BO618" s="252">
        <f t="shared" ref="BO618:BO620" si="253" xml:space="preserve"> IF( ISNUMBER(AF618 ), 0, 1 )</f>
        <v>1</v>
      </c>
      <c r="BP618" s="2578"/>
      <c r="BQ618" s="2562"/>
      <c r="BR618" s="2562"/>
      <c r="BS618" s="2585"/>
      <c r="BT618" s="2585"/>
      <c r="BU618" s="2585"/>
    </row>
    <row r="619" spans="1:73" s="22" customFormat="1" ht="15.75" customHeight="1" thickTop="1" thickBot="1">
      <c r="A619" s="2585"/>
      <c r="B619" s="57"/>
      <c r="C619" s="1934"/>
      <c r="D619" s="1934"/>
      <c r="E619" s="1934"/>
      <c r="F619" s="1934"/>
      <c r="G619" s="1934"/>
      <c r="H619" s="1934"/>
      <c r="I619" s="1934"/>
      <c r="J619" s="1934"/>
      <c r="K619" s="1934"/>
      <c r="L619" s="1934"/>
      <c r="M619" s="1926"/>
      <c r="N619" s="1926"/>
      <c r="O619" s="1935"/>
      <c r="P619" s="1935"/>
      <c r="Q619" s="1927"/>
      <c r="R619" s="1926"/>
      <c r="S619" s="1926"/>
      <c r="T619" s="1926"/>
      <c r="U619" s="1926"/>
      <c r="V619" s="1926"/>
      <c r="W619" s="1926"/>
      <c r="X619" s="1935"/>
      <c r="Y619" s="1935"/>
      <c r="Z619" s="1935"/>
      <c r="AA619" s="1935"/>
      <c r="AB619" s="1935"/>
      <c r="AC619" s="1935"/>
      <c r="AD619" s="1935"/>
      <c r="AE619" s="1934"/>
      <c r="AF619" s="1935"/>
      <c r="AG619" s="42"/>
      <c r="AH619" s="28"/>
      <c r="AI619" s="197"/>
      <c r="AJ619" s="2578"/>
      <c r="AK619" s="2562"/>
      <c r="AL619" s="2578"/>
      <c r="AM619" s="2562"/>
      <c r="AN619" s="2562"/>
      <c r="AO619" s="2562"/>
      <c r="AP619" s="2562"/>
      <c r="AQ619" s="2562"/>
      <c r="AR619" s="2562"/>
      <c r="AS619" s="2562"/>
      <c r="AT619" s="2562"/>
      <c r="AU619" s="2562"/>
      <c r="AV619" s="2562"/>
      <c r="AW619" s="2562"/>
      <c r="AX619" s="2562"/>
      <c r="AY619" s="2562"/>
      <c r="AZ619" s="2562"/>
      <c r="BA619" s="2562"/>
      <c r="BB619" s="2562"/>
      <c r="BC619" s="2562"/>
      <c r="BD619" s="2562"/>
      <c r="BE619" s="2562"/>
      <c r="BF619" s="2562"/>
      <c r="BG619" s="2562"/>
      <c r="BH619" s="2562"/>
      <c r="BI619" s="2562"/>
      <c r="BJ619" s="2562"/>
      <c r="BK619" s="2562"/>
      <c r="BL619" s="2562"/>
      <c r="BM619" s="2562"/>
      <c r="BN619" s="2562"/>
      <c r="BO619" s="2562"/>
      <c r="BP619" s="2578"/>
      <c r="BQ619" s="2562"/>
      <c r="BR619" s="2562"/>
      <c r="BS619" s="2585"/>
      <c r="BT619" s="2585"/>
      <c r="BU619" s="2585"/>
    </row>
    <row r="620" spans="1:73" s="22" customFormat="1" ht="15.75" customHeight="1" thickTop="1" thickBot="1">
      <c r="A620" s="2585"/>
      <c r="B620" s="58" t="s">
        <v>5298</v>
      </c>
      <c r="C620" s="1936"/>
      <c r="D620" s="1936"/>
      <c r="E620" s="1936"/>
      <c r="F620" s="1937"/>
      <c r="G620" s="1937"/>
      <c r="H620" s="1938"/>
      <c r="I620" s="1938"/>
      <c r="J620" s="1939"/>
      <c r="K620" s="1940"/>
      <c r="L620" s="1939"/>
      <c r="M620" s="1941"/>
      <c r="N620" s="1888">
        <f>SUM(N159,N312,N465,N618)</f>
        <v>5754.38959006</v>
      </c>
      <c r="O620" s="1888">
        <f>SUM(O159,O312,O465,O618)</f>
        <v>6411.5529999999999</v>
      </c>
      <c r="P620" s="1888">
        <f>SUM(P159,P312,P465,P618)</f>
        <v>5980.5749999999998</v>
      </c>
      <c r="Q620" s="1889">
        <f>SUM(Q159,Q312,Q465,Q618)</f>
        <v>87492.367805501504</v>
      </c>
      <c r="R620" s="1941"/>
      <c r="S620" s="1941"/>
      <c r="T620" s="1941"/>
      <c r="U620" s="1941"/>
      <c r="V620" s="1941"/>
      <c r="W620" s="1941"/>
      <c r="X620" s="1888">
        <f>SUM(X159,X312,X465,X618)</f>
        <v>768.22745019056674</v>
      </c>
      <c r="Y620" s="1888">
        <f>SUM(Y159,Y312,Y465,Y618)</f>
        <v>177.84962462689998</v>
      </c>
      <c r="Z620" s="1941"/>
      <c r="AA620" s="1941"/>
      <c r="AB620" s="1888">
        <f>SUM(AB159,AB312,AB465,AB618)</f>
        <v>-27.485378161714728</v>
      </c>
      <c r="AC620" s="1888">
        <f>SUM(AC159,AC312,AC465,AC618)</f>
        <v>7791.6703063115201</v>
      </c>
      <c r="AD620" s="1888">
        <f>SUM(AD159,AD312,AD465,AD618)</f>
        <v>6871.1922344567847</v>
      </c>
      <c r="AE620" s="1938"/>
      <c r="AF620" s="1942"/>
      <c r="AG620" s="42"/>
      <c r="AH620" s="59" t="s">
        <v>5299</v>
      </c>
      <c r="AI620" s="197"/>
      <c r="AJ620" s="2578"/>
      <c r="AK620" s="251"/>
      <c r="AL620" s="2578"/>
      <c r="AM620" s="2562"/>
      <c r="AN620" s="2562"/>
      <c r="AO620" s="2562"/>
      <c r="AP620" s="2562"/>
      <c r="AQ620" s="2562"/>
      <c r="AR620" s="2562"/>
      <c r="AS620" s="2562"/>
      <c r="AT620" s="2562"/>
      <c r="AU620" s="2562"/>
      <c r="AV620" s="2562"/>
      <c r="AW620" s="2562"/>
      <c r="AX620" s="2562"/>
      <c r="AY620" s="2562"/>
      <c r="AZ620" s="2562"/>
      <c r="BA620" s="2562"/>
      <c r="BB620" s="2562"/>
      <c r="BC620" s="2562"/>
      <c r="BD620" s="2562"/>
      <c r="BE620" s="2562"/>
      <c r="BF620" s="2562"/>
      <c r="BG620" s="2562"/>
      <c r="BH620" s="2562"/>
      <c r="BI620" s="2562"/>
      <c r="BJ620" s="2562"/>
      <c r="BK620" s="2562"/>
      <c r="BL620" s="2562"/>
      <c r="BM620" s="2562"/>
      <c r="BN620" s="2562"/>
      <c r="BO620" s="252">
        <f t="shared" si="253"/>
        <v>1</v>
      </c>
      <c r="BP620" s="2578"/>
      <c r="BQ620" s="2562"/>
      <c r="BR620" s="2562"/>
      <c r="BS620" s="2585"/>
      <c r="BT620" s="2585"/>
      <c r="BU620" s="2585"/>
    </row>
    <row r="621" spans="1:73" s="22" customFormat="1" ht="15.75" customHeight="1" thickTop="1" thickBot="1">
      <c r="A621" s="2585"/>
      <c r="B621" s="60"/>
      <c r="C621" s="1943"/>
      <c r="D621" s="1943"/>
      <c r="E621" s="1943"/>
      <c r="F621" s="1944"/>
      <c r="G621" s="1944"/>
      <c r="H621" s="1944"/>
      <c r="I621" s="1944"/>
      <c r="J621" s="1944"/>
      <c r="K621" s="1944"/>
      <c r="L621" s="1944"/>
      <c r="M621" s="1945"/>
      <c r="N621" s="1945"/>
      <c r="O621" s="1945"/>
      <c r="P621" s="1945"/>
      <c r="Q621" s="1946"/>
      <c r="R621" s="1946"/>
      <c r="S621" s="1946"/>
      <c r="T621" s="1946"/>
      <c r="U621" s="1946"/>
      <c r="V621" s="1946"/>
      <c r="W621" s="1946"/>
      <c r="X621" s="1946"/>
      <c r="Y621" s="1946"/>
      <c r="Z621" s="1946"/>
      <c r="AA621" s="1946"/>
      <c r="AB621" s="1946"/>
      <c r="AC621" s="1946"/>
      <c r="AD621" s="1946"/>
      <c r="AE621" s="1944"/>
      <c r="AF621" s="1946"/>
      <c r="AG621" s="28"/>
      <c r="AH621" s="28"/>
      <c r="AI621" s="197"/>
      <c r="AJ621" s="2578"/>
      <c r="AK621" s="2562"/>
      <c r="AL621" s="2578"/>
      <c r="AM621" s="2562"/>
      <c r="AN621" s="2562"/>
      <c r="AO621" s="2562"/>
      <c r="AP621" s="2562"/>
      <c r="AQ621" s="2562"/>
      <c r="AR621" s="2562"/>
      <c r="AS621" s="2562"/>
      <c r="AT621" s="2562"/>
      <c r="AU621" s="2562"/>
      <c r="AV621" s="2562"/>
      <c r="AW621" s="2562"/>
      <c r="AX621" s="2562"/>
      <c r="AY621" s="2562"/>
      <c r="AZ621" s="2562"/>
      <c r="BA621" s="2562"/>
      <c r="BB621" s="2562"/>
      <c r="BC621" s="2562"/>
      <c r="BD621" s="2562"/>
      <c r="BE621" s="2562"/>
      <c r="BF621" s="2562"/>
      <c r="BG621" s="2562"/>
      <c r="BH621" s="2562"/>
      <c r="BI621" s="2562"/>
      <c r="BJ621" s="2562"/>
      <c r="BK621" s="2562"/>
      <c r="BL621" s="2562"/>
      <c r="BM621" s="2562"/>
      <c r="BN621" s="2562"/>
      <c r="BO621" s="2562"/>
      <c r="BP621" s="2578"/>
      <c r="BQ621" s="2562"/>
      <c r="BR621" s="2562"/>
      <c r="BS621" s="2585"/>
      <c r="BT621" s="2585"/>
      <c r="BU621" s="2585"/>
    </row>
    <row r="622" spans="1:73" s="22" customFormat="1" ht="15.75" customHeight="1" thickTop="1" thickBot="1">
      <c r="A622" s="2585"/>
      <c r="B622" s="33" t="s">
        <v>5300</v>
      </c>
      <c r="C622" s="1943"/>
      <c r="D622" s="1943"/>
      <c r="E622" s="1943"/>
      <c r="F622" s="1944"/>
      <c r="G622" s="1944"/>
      <c r="H622" s="1944"/>
      <c r="I622" s="1944"/>
      <c r="J622" s="1944"/>
      <c r="K622" s="1944"/>
      <c r="L622" s="1944"/>
      <c r="M622" s="1945"/>
      <c r="N622" s="1945"/>
      <c r="O622" s="1945"/>
      <c r="P622" s="1945"/>
      <c r="Q622" s="1946"/>
      <c r="R622" s="1946"/>
      <c r="S622" s="1946"/>
      <c r="T622" s="1946"/>
      <c r="U622" s="1946"/>
      <c r="V622" s="1946"/>
      <c r="W622" s="1946"/>
      <c r="X622" s="1946"/>
      <c r="Y622" s="1946"/>
      <c r="Z622" s="1946"/>
      <c r="AA622" s="1946"/>
      <c r="AB622" s="1946"/>
      <c r="AC622" s="1946"/>
      <c r="AD622" s="1946"/>
      <c r="AE622" s="1944"/>
      <c r="AF622" s="1946"/>
      <c r="AG622" s="28"/>
      <c r="AH622" s="28"/>
      <c r="AI622" s="197"/>
      <c r="AJ622" s="2578"/>
      <c r="AK622" s="2562"/>
      <c r="AL622" s="2578"/>
      <c r="AM622" s="2562"/>
      <c r="AN622" s="2562"/>
      <c r="AO622" s="2562"/>
      <c r="AP622" s="2562"/>
      <c r="AQ622" s="2562"/>
      <c r="AR622" s="2562"/>
      <c r="AS622" s="2562"/>
      <c r="AT622" s="2562"/>
      <c r="AU622" s="2562"/>
      <c r="AV622" s="2562"/>
      <c r="AW622" s="2562"/>
      <c r="AX622" s="2562"/>
      <c r="AY622" s="2562"/>
      <c r="AZ622" s="2562"/>
      <c r="BA622" s="2562"/>
      <c r="BB622" s="2562"/>
      <c r="BC622" s="2562"/>
      <c r="BD622" s="2562"/>
      <c r="BE622" s="2562"/>
      <c r="BF622" s="2562"/>
      <c r="BG622" s="2562"/>
      <c r="BH622" s="2562"/>
      <c r="BI622" s="2562"/>
      <c r="BJ622" s="2562"/>
      <c r="BK622" s="2562"/>
      <c r="BL622" s="2562"/>
      <c r="BM622" s="2562"/>
      <c r="BN622" s="2562"/>
      <c r="BO622" s="2562"/>
      <c r="BP622" s="2578"/>
      <c r="BQ622" s="2562"/>
      <c r="BR622" s="2562"/>
      <c r="BS622" s="2585"/>
      <c r="BT622" s="2585"/>
      <c r="BU622" s="2585"/>
    </row>
    <row r="623" spans="1:73" s="22" customFormat="1" ht="15.75" customHeight="1" thickTop="1" thickBot="1">
      <c r="A623" s="2585"/>
      <c r="B623" s="62" t="s">
        <v>5301</v>
      </c>
      <c r="C623" s="63">
        <v>45016</v>
      </c>
      <c r="D623" s="1943"/>
      <c r="E623" s="1943"/>
      <c r="F623" s="1944"/>
      <c r="G623" s="1944"/>
      <c r="H623" s="1944"/>
      <c r="I623" s="1944"/>
      <c r="J623" s="1944"/>
      <c r="K623" s="1944"/>
      <c r="L623" s="1944"/>
      <c r="M623" s="1945"/>
      <c r="N623" s="1945"/>
      <c r="O623" s="1945"/>
      <c r="P623" s="1945"/>
      <c r="Q623" s="1946"/>
      <c r="R623" s="1946"/>
      <c r="S623" s="1946"/>
      <c r="T623" s="1946"/>
      <c r="U623" s="1946"/>
      <c r="V623" s="1946"/>
      <c r="W623" s="1946"/>
      <c r="X623" s="1946"/>
      <c r="Y623" s="1946"/>
      <c r="Z623" s="1946"/>
      <c r="AA623" s="1946"/>
      <c r="AB623" s="1946"/>
      <c r="AC623" s="1946"/>
      <c r="AD623" s="1946"/>
      <c r="AE623" s="1944"/>
      <c r="AF623" s="1946"/>
      <c r="AG623" s="28"/>
      <c r="AH623" s="28"/>
      <c r="AI623" s="197"/>
      <c r="AJ623" s="2578"/>
      <c r="AK623" s="2562"/>
      <c r="AL623" s="2578"/>
      <c r="AM623" s="2562"/>
      <c r="AN623" s="2562"/>
      <c r="AO623" s="2562"/>
      <c r="AP623" s="2562"/>
      <c r="AQ623" s="2562"/>
      <c r="AR623" s="2562"/>
      <c r="AS623" s="2562"/>
      <c r="AT623" s="2562"/>
      <c r="AU623" s="2562"/>
      <c r="AV623" s="2562"/>
      <c r="AW623" s="2562"/>
      <c r="AX623" s="2562"/>
      <c r="AY623" s="2562"/>
      <c r="AZ623" s="2562"/>
      <c r="BA623" s="2562"/>
      <c r="BB623" s="2562"/>
      <c r="BC623" s="2562"/>
      <c r="BD623" s="2562"/>
      <c r="BE623" s="2562"/>
      <c r="BF623" s="2562"/>
      <c r="BG623" s="2562"/>
      <c r="BH623" s="2562"/>
      <c r="BI623" s="2562"/>
      <c r="BJ623" s="2562"/>
      <c r="BK623" s="2562"/>
      <c r="BL623" s="2562"/>
      <c r="BM623" s="2562"/>
      <c r="BN623" s="2562"/>
      <c r="BO623" s="2562"/>
      <c r="BP623" s="2578"/>
      <c r="BQ623" s="2562"/>
      <c r="BR623" s="2562"/>
      <c r="BS623" s="2585"/>
      <c r="BT623" s="2585"/>
      <c r="BU623" s="2585"/>
    </row>
    <row r="624" spans="1:73" s="22" customFormat="1" ht="15.75" customHeight="1" thickTop="1" thickBot="1">
      <c r="A624" s="2585"/>
      <c r="B624" s="60"/>
      <c r="C624" s="1943"/>
      <c r="D624" s="1943"/>
      <c r="E624" s="1943"/>
      <c r="F624" s="1944"/>
      <c r="G624" s="1944"/>
      <c r="H624" s="1944"/>
      <c r="I624" s="1944"/>
      <c r="J624" s="1944"/>
      <c r="K624" s="1944"/>
      <c r="L624" s="1944"/>
      <c r="M624" s="1945"/>
      <c r="N624" s="1945"/>
      <c r="O624" s="1945"/>
      <c r="P624" s="1945"/>
      <c r="Q624" s="1946"/>
      <c r="R624" s="1946"/>
      <c r="S624" s="1946"/>
      <c r="T624" s="1946"/>
      <c r="U624" s="1946"/>
      <c r="V624" s="1946"/>
      <c r="W624" s="1946"/>
      <c r="X624" s="1946"/>
      <c r="Y624" s="1946"/>
      <c r="Z624" s="1946"/>
      <c r="AA624" s="1946"/>
      <c r="AB624" s="1946"/>
      <c r="AC624" s="1946"/>
      <c r="AD624" s="1946"/>
      <c r="AE624" s="1944"/>
      <c r="AF624" s="1946"/>
      <c r="AG624" s="28"/>
      <c r="AH624" s="28"/>
      <c r="AI624" s="197"/>
      <c r="AJ624" s="2578"/>
      <c r="AK624" s="2562"/>
      <c r="AL624" s="2578"/>
      <c r="AM624" s="2562"/>
      <c r="AN624" s="2562"/>
      <c r="AO624" s="2562"/>
      <c r="AP624" s="2562"/>
      <c r="AQ624" s="2562"/>
      <c r="AR624" s="2562"/>
      <c r="AS624" s="2562"/>
      <c r="AT624" s="2562"/>
      <c r="AU624" s="2562"/>
      <c r="AV624" s="2562"/>
      <c r="AW624" s="2562"/>
      <c r="AX624" s="2562"/>
      <c r="AY624" s="2562"/>
      <c r="AZ624" s="2562"/>
      <c r="BA624" s="2562"/>
      <c r="BB624" s="2562"/>
      <c r="BC624" s="2562"/>
      <c r="BD624" s="2562"/>
      <c r="BE624" s="2562"/>
      <c r="BF624" s="2562"/>
      <c r="BG624" s="2562"/>
      <c r="BH624" s="2562"/>
      <c r="BI624" s="2562"/>
      <c r="BJ624" s="2562"/>
      <c r="BK624" s="2562"/>
      <c r="BL624" s="2562"/>
      <c r="BM624" s="2562"/>
      <c r="BN624" s="2562"/>
      <c r="BO624" s="2562"/>
      <c r="BP624" s="2578"/>
      <c r="BQ624" s="2562"/>
      <c r="BR624" s="2562"/>
      <c r="BS624" s="2585"/>
      <c r="BT624" s="2585"/>
      <c r="BU624" s="2585"/>
    </row>
    <row r="625" spans="1:73" s="22" customFormat="1" ht="15.75" customHeight="1" thickTop="1" thickBot="1">
      <c r="A625" s="2585"/>
      <c r="B625" s="33" t="s">
        <v>5302</v>
      </c>
      <c r="C625" s="1947"/>
      <c r="D625" s="1947"/>
      <c r="E625" s="1947"/>
      <c r="F625" s="1945"/>
      <c r="G625" s="1945"/>
      <c r="H625" s="1945"/>
      <c r="I625" s="1945"/>
      <c r="J625" s="1945"/>
      <c r="K625" s="1945"/>
      <c r="L625" s="1945"/>
      <c r="M625" s="1945"/>
      <c r="N625" s="1945"/>
      <c r="O625" s="1945"/>
      <c r="P625" s="1945"/>
      <c r="Q625" s="1946"/>
      <c r="R625" s="1946"/>
      <c r="S625" s="1946"/>
      <c r="T625" s="1946"/>
      <c r="U625" s="1946"/>
      <c r="V625" s="1946"/>
      <c r="W625" s="1946"/>
      <c r="X625" s="1946"/>
      <c r="Y625" s="1946"/>
      <c r="Z625" s="1946"/>
      <c r="AA625" s="1946"/>
      <c r="AB625" s="1946"/>
      <c r="AC625" s="1946"/>
      <c r="AD625" s="1946"/>
      <c r="AE625" s="1945"/>
      <c r="AF625" s="1946"/>
      <c r="AG625" s="28"/>
      <c r="AH625" s="28"/>
      <c r="AI625" s="197"/>
      <c r="AJ625" s="2578"/>
      <c r="AK625" s="2562"/>
      <c r="AL625" s="2578"/>
      <c r="AM625" s="2562"/>
      <c r="AN625" s="2562"/>
      <c r="AO625" s="2562"/>
      <c r="AP625" s="2562"/>
      <c r="AQ625" s="2562"/>
      <c r="AR625" s="2562"/>
      <c r="AS625" s="2562"/>
      <c r="AT625" s="2562"/>
      <c r="AU625" s="2562"/>
      <c r="AV625" s="2562"/>
      <c r="AW625" s="2562"/>
      <c r="AX625" s="2562"/>
      <c r="AY625" s="2562"/>
      <c r="AZ625" s="2562"/>
      <c r="BA625" s="2562"/>
      <c r="BB625" s="2562"/>
      <c r="BC625" s="2562"/>
      <c r="BD625" s="2562"/>
      <c r="BE625" s="2562"/>
      <c r="BF625" s="2562"/>
      <c r="BG625" s="2562"/>
      <c r="BH625" s="2562"/>
      <c r="BI625" s="2562"/>
      <c r="BJ625" s="2562"/>
      <c r="BK625" s="2562"/>
      <c r="BL625" s="2562"/>
      <c r="BM625" s="2562"/>
      <c r="BN625" s="2562"/>
      <c r="BO625" s="2562"/>
      <c r="BP625" s="2578"/>
      <c r="BQ625" s="2562"/>
      <c r="BR625" s="2562"/>
      <c r="BS625" s="2585"/>
      <c r="BT625" s="2585"/>
      <c r="BU625" s="2585"/>
    </row>
    <row r="626" spans="1:73" s="22" customFormat="1" ht="15.75" customHeight="1" thickTop="1">
      <c r="A626" s="2585"/>
      <c r="B626" s="64" t="s">
        <v>5303</v>
      </c>
      <c r="C626" s="65">
        <v>0.13508500772797527</v>
      </c>
      <c r="D626" s="1931"/>
      <c r="E626" s="1931"/>
      <c r="F626" s="1931"/>
      <c r="G626" s="1931"/>
      <c r="H626" s="1931"/>
      <c r="I626" s="1931"/>
      <c r="J626" s="1931"/>
      <c r="K626" s="1931"/>
      <c r="L626" s="1931"/>
      <c r="M626" s="1931"/>
      <c r="N626" s="1931"/>
      <c r="O626" s="1931"/>
      <c r="P626" s="1931"/>
      <c r="Q626" s="1931"/>
      <c r="R626" s="1931"/>
      <c r="S626" s="1931"/>
      <c r="T626" s="1931"/>
      <c r="U626" s="1931"/>
      <c r="V626" s="1931"/>
      <c r="W626" s="1931"/>
      <c r="X626" s="1931"/>
      <c r="Y626" s="1931"/>
      <c r="Z626" s="1931"/>
      <c r="AA626" s="1931"/>
      <c r="AB626" s="1931"/>
      <c r="AC626" s="1931"/>
      <c r="AD626" s="1931"/>
      <c r="AE626" s="1931"/>
      <c r="AF626" s="1948"/>
      <c r="AG626" s="28"/>
      <c r="AH626" s="43" t="s">
        <v>5304</v>
      </c>
      <c r="AI626" s="197"/>
      <c r="AJ626" s="2578"/>
      <c r="AK626" s="2562"/>
      <c r="AL626" s="2578"/>
      <c r="AM626" s="2562"/>
      <c r="AN626" s="2562"/>
      <c r="AO626" s="2562"/>
      <c r="AP626" s="2562"/>
      <c r="AQ626" s="2562"/>
      <c r="AR626" s="2562"/>
      <c r="AS626" s="2562"/>
      <c r="AT626" s="2562"/>
      <c r="AU626" s="2562"/>
      <c r="AV626" s="2562"/>
      <c r="AW626" s="2562"/>
      <c r="AX626" s="2562"/>
      <c r="AY626" s="2562"/>
      <c r="AZ626" s="2562"/>
      <c r="BA626" s="2562"/>
      <c r="BB626" s="2562"/>
      <c r="BC626" s="2562"/>
      <c r="BD626" s="2562"/>
      <c r="BE626" s="2562"/>
      <c r="BF626" s="2562"/>
      <c r="BG626" s="2562"/>
      <c r="BH626" s="2562"/>
      <c r="BI626" s="2562"/>
      <c r="BJ626" s="2562"/>
      <c r="BK626" s="2562"/>
      <c r="BL626" s="2562"/>
      <c r="BM626" s="2562"/>
      <c r="BN626" s="2562"/>
      <c r="BO626" s="2562"/>
      <c r="BP626" s="2578"/>
      <c r="BQ626" s="2562"/>
      <c r="BR626" s="2562"/>
      <c r="BS626" s="2585"/>
      <c r="BT626" s="2585"/>
      <c r="BU626" s="2585"/>
    </row>
    <row r="627" spans="1:73" s="22" customFormat="1" ht="15.75" customHeight="1" thickBot="1">
      <c r="A627" s="2585"/>
      <c r="B627" s="66" t="s">
        <v>5305</v>
      </c>
      <c r="C627" s="67">
        <v>0.10076857386848848</v>
      </c>
      <c r="D627" s="1920"/>
      <c r="E627" s="1920"/>
      <c r="F627" s="1920"/>
      <c r="G627" s="1920"/>
      <c r="H627" s="1920"/>
      <c r="I627" s="1920"/>
      <c r="J627" s="1920"/>
      <c r="K627" s="1920"/>
      <c r="L627" s="1920"/>
      <c r="M627" s="1920"/>
      <c r="N627" s="1920"/>
      <c r="O627" s="1920"/>
      <c r="P627" s="1920"/>
      <c r="Q627" s="1920"/>
      <c r="R627" s="1920"/>
      <c r="S627" s="1920"/>
      <c r="T627" s="1920"/>
      <c r="U627" s="1920"/>
      <c r="V627" s="1920"/>
      <c r="W627" s="1920"/>
      <c r="X627" s="1920"/>
      <c r="Y627" s="1920"/>
      <c r="Z627" s="1920"/>
      <c r="AA627" s="1920"/>
      <c r="AB627" s="1920"/>
      <c r="AC627" s="1920"/>
      <c r="AD627" s="1920"/>
      <c r="AE627" s="1920"/>
      <c r="AF627" s="1949"/>
      <c r="AG627" s="28"/>
      <c r="AH627" s="54" t="s">
        <v>5306</v>
      </c>
      <c r="AI627" s="197"/>
      <c r="AJ627" s="2578"/>
      <c r="AK627" s="2562"/>
      <c r="AL627" s="2578"/>
      <c r="AM627" s="2562"/>
      <c r="AN627" s="2562"/>
      <c r="AO627" s="2562"/>
      <c r="AP627" s="2562"/>
      <c r="AQ627" s="2562"/>
      <c r="AR627" s="2562"/>
      <c r="AS627" s="2562"/>
      <c r="AT627" s="2562"/>
      <c r="AU627" s="2562"/>
      <c r="AV627" s="2562"/>
      <c r="AW627" s="2562"/>
      <c r="AX627" s="2562"/>
      <c r="AY627" s="2562"/>
      <c r="AZ627" s="2562"/>
      <c r="BA627" s="2562"/>
      <c r="BB627" s="2562"/>
      <c r="BC627" s="2562"/>
      <c r="BD627" s="2562"/>
      <c r="BE627" s="2562"/>
      <c r="BF627" s="2562"/>
      <c r="BG627" s="2562"/>
      <c r="BH627" s="2562"/>
      <c r="BI627" s="2562"/>
      <c r="BJ627" s="2562"/>
      <c r="BK627" s="2562"/>
      <c r="BL627" s="2562"/>
      <c r="BM627" s="2562"/>
      <c r="BN627" s="2562"/>
      <c r="BO627" s="2562"/>
      <c r="BP627" s="2578"/>
      <c r="BQ627" s="2562"/>
      <c r="BR627" s="2562"/>
      <c r="BS627" s="2585"/>
      <c r="BT627" s="2585"/>
      <c r="BU627" s="2585"/>
    </row>
    <row r="628" spans="1:73" s="22" customFormat="1" ht="15.75" customHeight="1" thickTop="1" thickBot="1">
      <c r="A628" s="2585"/>
      <c r="B628" s="60"/>
      <c r="C628" s="1945"/>
      <c r="D628" s="1950"/>
      <c r="E628" s="1950"/>
      <c r="F628" s="1950"/>
      <c r="G628" s="1945"/>
      <c r="H628" s="1945"/>
      <c r="I628" s="1945"/>
      <c r="J628" s="1945"/>
      <c r="K628" s="1945"/>
      <c r="L628" s="1945"/>
      <c r="M628" s="1945"/>
      <c r="N628" s="1945"/>
      <c r="O628" s="1945"/>
      <c r="P628" s="1945"/>
      <c r="Q628" s="1946"/>
      <c r="R628" s="1946"/>
      <c r="S628" s="1946"/>
      <c r="T628" s="1946"/>
      <c r="U628" s="1946"/>
      <c r="V628" s="1946"/>
      <c r="W628" s="1946"/>
      <c r="X628" s="1946"/>
      <c r="Y628" s="1946"/>
      <c r="Z628" s="1946"/>
      <c r="AA628" s="1946"/>
      <c r="AB628" s="1946"/>
      <c r="AC628" s="1946"/>
      <c r="AD628" s="1946"/>
      <c r="AE628" s="1945"/>
      <c r="AF628" s="1946"/>
      <c r="AG628" s="28"/>
      <c r="AH628" s="28"/>
      <c r="AI628" s="197"/>
      <c r="AJ628" s="2578"/>
      <c r="AK628" s="2562"/>
      <c r="AL628" s="2578"/>
      <c r="AM628" s="2562"/>
      <c r="AN628" s="2562"/>
      <c r="AO628" s="2562"/>
      <c r="AP628" s="2562"/>
      <c r="AQ628" s="2562"/>
      <c r="AR628" s="2562"/>
      <c r="AS628" s="2562"/>
      <c r="AT628" s="2562"/>
      <c r="AU628" s="2562"/>
      <c r="AV628" s="2562"/>
      <c r="AW628" s="2562"/>
      <c r="AX628" s="2562"/>
      <c r="AY628" s="2562"/>
      <c r="AZ628" s="2562"/>
      <c r="BA628" s="2562"/>
      <c r="BB628" s="2562"/>
      <c r="BC628" s="2562"/>
      <c r="BD628" s="2562"/>
      <c r="BE628" s="2562"/>
      <c r="BF628" s="2562"/>
      <c r="BG628" s="2562"/>
      <c r="BH628" s="2562"/>
      <c r="BI628" s="2562"/>
      <c r="BJ628" s="2562"/>
      <c r="BK628" s="2562"/>
      <c r="BL628" s="2562"/>
      <c r="BM628" s="2562"/>
      <c r="BN628" s="2562"/>
      <c r="BO628" s="2562"/>
      <c r="BP628" s="2578"/>
      <c r="BQ628" s="2562"/>
      <c r="BR628" s="2562"/>
      <c r="BS628" s="2585"/>
      <c r="BT628" s="2585"/>
      <c r="BU628" s="2585"/>
    </row>
    <row r="629" spans="1:73" s="22" customFormat="1" ht="15.75" customHeight="1" thickTop="1" thickBot="1">
      <c r="A629" s="2585"/>
      <c r="B629" s="33" t="s">
        <v>2514</v>
      </c>
      <c r="C629" s="1945"/>
      <c r="D629" s="1950"/>
      <c r="E629" s="1950"/>
      <c r="F629" s="1950"/>
      <c r="G629" s="1945"/>
      <c r="H629" s="1945"/>
      <c r="I629" s="1945"/>
      <c r="J629" s="1945"/>
      <c r="K629" s="1945"/>
      <c r="L629" s="1945"/>
      <c r="M629" s="1945"/>
      <c r="N629" s="1945"/>
      <c r="O629" s="1945"/>
      <c r="P629" s="1945"/>
      <c r="Q629" s="1946"/>
      <c r="R629" s="1946"/>
      <c r="S629" s="1946"/>
      <c r="T629" s="1946"/>
      <c r="U629" s="1946"/>
      <c r="V629" s="1946"/>
      <c r="W629" s="1946"/>
      <c r="X629" s="1951"/>
      <c r="Y629" s="1946"/>
      <c r="Z629" s="1946"/>
      <c r="AA629" s="1946"/>
      <c r="AB629" s="1946"/>
      <c r="AC629" s="1946"/>
      <c r="AD629" s="1946"/>
      <c r="AE629" s="1945"/>
      <c r="AF629" s="1946"/>
      <c r="AG629" s="28"/>
      <c r="AH629" s="28"/>
      <c r="AI629" s="197"/>
      <c r="AJ629" s="2578"/>
      <c r="AK629" s="2562"/>
      <c r="AL629" s="2578"/>
      <c r="AM629" s="2562"/>
      <c r="AN629" s="2562"/>
      <c r="AO629" s="2562"/>
      <c r="AP629" s="2562"/>
      <c r="AQ629" s="2562"/>
      <c r="AR629" s="2562"/>
      <c r="AS629" s="2562"/>
      <c r="AT629" s="2562"/>
      <c r="AU629" s="2562"/>
      <c r="AV629" s="2562"/>
      <c r="AW629" s="2562"/>
      <c r="AX629" s="2562"/>
      <c r="AY629" s="2562"/>
      <c r="AZ629" s="2562"/>
      <c r="BA629" s="2562"/>
      <c r="BB629" s="2562"/>
      <c r="BC629" s="2562"/>
      <c r="BD629" s="2562"/>
      <c r="BE629" s="2562"/>
      <c r="BF629" s="2562"/>
      <c r="BG629" s="2562"/>
      <c r="BH629" s="2562"/>
      <c r="BI629" s="2562"/>
      <c r="BJ629" s="2562"/>
      <c r="BK629" s="2562"/>
      <c r="BL629" s="2562"/>
      <c r="BM629" s="2562"/>
      <c r="BN629" s="2562"/>
      <c r="BO629" s="2562"/>
      <c r="BP629" s="2578"/>
      <c r="BQ629" s="2562"/>
      <c r="BR629" s="2562"/>
      <c r="BS629" s="2585"/>
      <c r="BT629" s="2585"/>
      <c r="BU629" s="2585"/>
    </row>
    <row r="630" spans="1:73" s="22" customFormat="1" ht="15.75" customHeight="1" thickTop="1">
      <c r="A630" s="2585"/>
      <c r="B630" s="64" t="s">
        <v>2515</v>
      </c>
      <c r="C630" s="1892">
        <f>IF(X620=0,0,(X620/O620))</f>
        <v>0.11981924663035098</v>
      </c>
      <c r="D630" s="1931"/>
      <c r="E630" s="1931"/>
      <c r="F630" s="1931"/>
      <c r="G630" s="1931"/>
      <c r="H630" s="1931"/>
      <c r="I630" s="1931"/>
      <c r="J630" s="1931"/>
      <c r="K630" s="1931"/>
      <c r="L630" s="1931"/>
      <c r="M630" s="1931"/>
      <c r="N630" s="1931"/>
      <c r="O630" s="1931"/>
      <c r="P630" s="1931"/>
      <c r="Q630" s="1931"/>
      <c r="R630" s="1931"/>
      <c r="S630" s="1931"/>
      <c r="T630" s="1931"/>
      <c r="U630" s="1931"/>
      <c r="V630" s="1931"/>
      <c r="W630" s="1931"/>
      <c r="X630" s="1931"/>
      <c r="Y630" s="1931"/>
      <c r="Z630" s="1931"/>
      <c r="AA630" s="1931"/>
      <c r="AB630" s="1931"/>
      <c r="AC630" s="1931"/>
      <c r="AD630" s="1931"/>
      <c r="AE630" s="1931"/>
      <c r="AF630" s="1948"/>
      <c r="AG630" s="28"/>
      <c r="AH630" s="43" t="s">
        <v>5307</v>
      </c>
      <c r="AI630" s="197"/>
      <c r="AJ630" s="2578"/>
      <c r="AK630" s="2562"/>
      <c r="AL630" s="2578"/>
      <c r="AM630" s="2562"/>
      <c r="AN630" s="2562"/>
      <c r="AO630" s="2562"/>
      <c r="AP630" s="2562"/>
      <c r="AQ630" s="2562"/>
      <c r="AR630" s="2562"/>
      <c r="AS630" s="2562"/>
      <c r="AT630" s="2562"/>
      <c r="AU630" s="2562"/>
      <c r="AV630" s="2562"/>
      <c r="AW630" s="2562"/>
      <c r="AX630" s="2562"/>
      <c r="AY630" s="2562"/>
      <c r="AZ630" s="2562"/>
      <c r="BA630" s="2562"/>
      <c r="BB630" s="2562"/>
      <c r="BC630" s="2562"/>
      <c r="BD630" s="2562"/>
      <c r="BE630" s="2562"/>
      <c r="BF630" s="2562"/>
      <c r="BG630" s="2562"/>
      <c r="BH630" s="2562"/>
      <c r="BI630" s="2562"/>
      <c r="BJ630" s="2562"/>
      <c r="BK630" s="2562"/>
      <c r="BL630" s="2562"/>
      <c r="BM630" s="2562"/>
      <c r="BN630" s="2562"/>
      <c r="BO630" s="2562"/>
      <c r="BP630" s="2578"/>
      <c r="BQ630" s="2562"/>
      <c r="BR630" s="2562"/>
      <c r="BS630" s="2585"/>
      <c r="BT630" s="2585"/>
      <c r="BU630" s="2585"/>
    </row>
    <row r="631" spans="1:73" s="22" customFormat="1" ht="15.75" customHeight="1" thickBot="1">
      <c r="A631" s="2585"/>
      <c r="B631" s="66" t="s">
        <v>2522</v>
      </c>
      <c r="C631" s="1893">
        <f>IF(Y620=0,0,(Y620/O620))</f>
        <v>2.7738930743752721E-2</v>
      </c>
      <c r="D631" s="1920"/>
      <c r="E631" s="1920"/>
      <c r="F631" s="1920"/>
      <c r="G631" s="1920"/>
      <c r="H631" s="1920"/>
      <c r="I631" s="1920"/>
      <c r="J631" s="1920"/>
      <c r="K631" s="1920"/>
      <c r="L631" s="1920"/>
      <c r="M631" s="1920"/>
      <c r="N631" s="1920"/>
      <c r="O631" s="1920"/>
      <c r="P631" s="1920"/>
      <c r="Q631" s="1920"/>
      <c r="R631" s="1920"/>
      <c r="S631" s="1920"/>
      <c r="T631" s="1920"/>
      <c r="U631" s="1920"/>
      <c r="V631" s="1920"/>
      <c r="W631" s="1920"/>
      <c r="X631" s="1920"/>
      <c r="Y631" s="1920"/>
      <c r="Z631" s="1920"/>
      <c r="AA631" s="1920"/>
      <c r="AB631" s="1920"/>
      <c r="AC631" s="1920"/>
      <c r="AD631" s="1920"/>
      <c r="AE631" s="1920"/>
      <c r="AF631" s="1949"/>
      <c r="AG631" s="28"/>
      <c r="AH631" s="54" t="s">
        <v>5308</v>
      </c>
      <c r="AI631" s="197"/>
      <c r="AJ631" s="2578"/>
      <c r="AK631" s="2562"/>
      <c r="AL631" s="2578"/>
      <c r="AM631" s="2562"/>
      <c r="AN631" s="2562"/>
      <c r="AO631" s="2562"/>
      <c r="AP631" s="2562"/>
      <c r="AQ631" s="2562"/>
      <c r="AR631" s="2562"/>
      <c r="AS631" s="2562"/>
      <c r="AT631" s="2562"/>
      <c r="AU631" s="2562"/>
      <c r="AV631" s="2562"/>
      <c r="AW631" s="2562"/>
      <c r="AX631" s="2562"/>
      <c r="AY631" s="2562"/>
      <c r="AZ631" s="2562"/>
      <c r="BA631" s="2562"/>
      <c r="BB631" s="2562"/>
      <c r="BC631" s="2562"/>
      <c r="BD631" s="2562"/>
      <c r="BE631" s="2562"/>
      <c r="BF631" s="2562"/>
      <c r="BG631" s="2562"/>
      <c r="BH631" s="2562"/>
      <c r="BI631" s="2562"/>
      <c r="BJ631" s="2562"/>
      <c r="BK631" s="2562"/>
      <c r="BL631" s="2562"/>
      <c r="BM631" s="2562"/>
      <c r="BN631" s="2562"/>
      <c r="BO631" s="2562"/>
      <c r="BP631" s="2578"/>
      <c r="BQ631" s="2562"/>
      <c r="BR631" s="2562"/>
      <c r="BS631" s="2585"/>
      <c r="BT631" s="2585"/>
      <c r="BU631" s="2585"/>
    </row>
    <row r="632" spans="1:73" s="22" customFormat="1" ht="15.75" customHeight="1" thickTop="1" thickBot="1">
      <c r="A632" s="2585"/>
      <c r="B632" s="32"/>
      <c r="C632" s="1945"/>
      <c r="D632" s="1950"/>
      <c r="E632" s="1950"/>
      <c r="F632" s="1950"/>
      <c r="G632" s="1950"/>
      <c r="H632" s="1945"/>
      <c r="I632" s="1945"/>
      <c r="J632" s="1945"/>
      <c r="K632" s="1945"/>
      <c r="L632" s="1945"/>
      <c r="M632" s="1945"/>
      <c r="N632" s="1945"/>
      <c r="O632" s="1945"/>
      <c r="P632" s="1945"/>
      <c r="Q632" s="1946"/>
      <c r="R632" s="1946"/>
      <c r="S632" s="1946"/>
      <c r="T632" s="1946"/>
      <c r="U632" s="1946"/>
      <c r="V632" s="1946"/>
      <c r="W632" s="1946"/>
      <c r="X632" s="1946"/>
      <c r="Y632" s="1951"/>
      <c r="Z632" s="1951"/>
      <c r="AA632" s="1951"/>
      <c r="AB632" s="1946"/>
      <c r="AC632" s="1946"/>
      <c r="AD632" s="1946"/>
      <c r="AE632" s="1945"/>
      <c r="AF632" s="1946"/>
      <c r="AG632" s="28"/>
      <c r="AH632" s="28"/>
      <c r="AI632" s="197"/>
      <c r="AJ632" s="2578"/>
      <c r="AK632" s="2562"/>
      <c r="AL632" s="2578"/>
      <c r="AM632" s="2562"/>
      <c r="AN632" s="2562"/>
      <c r="AO632" s="2562"/>
      <c r="AP632" s="2562"/>
      <c r="AQ632" s="2562"/>
      <c r="AR632" s="2562"/>
      <c r="AS632" s="2562"/>
      <c r="AT632" s="2562"/>
      <c r="AU632" s="2562"/>
      <c r="AV632" s="2562"/>
      <c r="AW632" s="2562"/>
      <c r="AX632" s="2562"/>
      <c r="AY632" s="2562"/>
      <c r="AZ632" s="2562"/>
      <c r="BA632" s="2562"/>
      <c r="BB632" s="2562"/>
      <c r="BC632" s="2562"/>
      <c r="BD632" s="2562"/>
      <c r="BE632" s="2562"/>
      <c r="BF632" s="2562"/>
      <c r="BG632" s="2562"/>
      <c r="BH632" s="2562"/>
      <c r="BI632" s="2562"/>
      <c r="BJ632" s="2562"/>
      <c r="BK632" s="2562"/>
      <c r="BL632" s="2562"/>
      <c r="BM632" s="2562"/>
      <c r="BN632" s="2562"/>
      <c r="BO632" s="2562"/>
      <c r="BP632" s="2578"/>
      <c r="BQ632" s="2562"/>
      <c r="BR632" s="2562"/>
      <c r="BS632" s="2585"/>
      <c r="BT632" s="2585"/>
      <c r="BU632" s="2585"/>
    </row>
    <row r="633" spans="1:73" s="22" customFormat="1" ht="15.75" customHeight="1" thickTop="1" thickBot="1">
      <c r="A633" s="2585"/>
      <c r="B633" s="33" t="s">
        <v>5309</v>
      </c>
      <c r="C633" s="1945"/>
      <c r="D633" s="1950"/>
      <c r="E633" s="1950"/>
      <c r="F633" s="1950"/>
      <c r="G633" s="1950"/>
      <c r="H633" s="1945"/>
      <c r="I633" s="1945"/>
      <c r="J633" s="1945"/>
      <c r="K633" s="1945"/>
      <c r="L633" s="1945"/>
      <c r="M633" s="1945"/>
      <c r="N633" s="1945"/>
      <c r="O633" s="1945"/>
      <c r="P633" s="1945"/>
      <c r="Q633" s="1946"/>
      <c r="R633" s="1946"/>
      <c r="S633" s="1946"/>
      <c r="T633" s="1946"/>
      <c r="U633" s="1946"/>
      <c r="V633" s="1946"/>
      <c r="W633" s="1946"/>
      <c r="X633" s="1946"/>
      <c r="Y633" s="1946"/>
      <c r="Z633" s="1946"/>
      <c r="AA633" s="1946"/>
      <c r="AB633" s="1946"/>
      <c r="AC633" s="1946"/>
      <c r="AD633" s="1946"/>
      <c r="AE633" s="1945"/>
      <c r="AF633" s="1946"/>
      <c r="AG633" s="28"/>
      <c r="AH633" s="28"/>
      <c r="AI633" s="197"/>
      <c r="AJ633" s="2578"/>
      <c r="AK633" s="2562"/>
      <c r="AL633" s="2578"/>
      <c r="AM633" s="2562"/>
      <c r="AN633" s="2562"/>
      <c r="AO633" s="2562"/>
      <c r="AP633" s="2562"/>
      <c r="AQ633" s="2562"/>
      <c r="AR633" s="2562"/>
      <c r="AS633" s="2562"/>
      <c r="AT633" s="2562"/>
      <c r="AU633" s="2562"/>
      <c r="AV633" s="2562"/>
      <c r="AW633" s="2562"/>
      <c r="AX633" s="2562"/>
      <c r="AY633" s="2562"/>
      <c r="AZ633" s="2562"/>
      <c r="BA633" s="2562"/>
      <c r="BB633" s="2562"/>
      <c r="BC633" s="2562"/>
      <c r="BD633" s="2562"/>
      <c r="BE633" s="2562"/>
      <c r="BF633" s="2562"/>
      <c r="BG633" s="2562"/>
      <c r="BH633" s="2562"/>
      <c r="BI633" s="2562"/>
      <c r="BJ633" s="2562"/>
      <c r="BK633" s="2562"/>
      <c r="BL633" s="2562"/>
      <c r="BM633" s="2562"/>
      <c r="BN633" s="2562"/>
      <c r="BO633" s="2562"/>
      <c r="BP633" s="2578"/>
      <c r="BQ633" s="2562"/>
      <c r="BR633" s="2562"/>
      <c r="BS633" s="2585"/>
      <c r="BT633" s="2585"/>
      <c r="BU633" s="2585"/>
    </row>
    <row r="634" spans="1:73" s="22" customFormat="1" ht="15.75" customHeight="1" thickTop="1">
      <c r="A634" s="2585"/>
      <c r="B634" s="68" t="s">
        <v>5310</v>
      </c>
      <c r="C634" s="1894">
        <f>IF($O$312=0,0,$O$312/$O$620)</f>
        <v>-3.8969653686088221E-2</v>
      </c>
      <c r="D634" s="1931"/>
      <c r="E634" s="1931"/>
      <c r="F634" s="1931"/>
      <c r="G634" s="1931"/>
      <c r="H634" s="1931"/>
      <c r="I634" s="1931"/>
      <c r="J634" s="1931"/>
      <c r="K634" s="1931"/>
      <c r="L634" s="1931"/>
      <c r="M634" s="1931"/>
      <c r="N634" s="1931"/>
      <c r="O634" s="1931"/>
      <c r="P634" s="1931"/>
      <c r="Q634" s="1931"/>
      <c r="R634" s="1931"/>
      <c r="S634" s="1931"/>
      <c r="T634" s="1931"/>
      <c r="U634" s="1931"/>
      <c r="V634" s="1931"/>
      <c r="W634" s="1931"/>
      <c r="X634" s="1931"/>
      <c r="Y634" s="1931"/>
      <c r="Z634" s="1931"/>
      <c r="AA634" s="1931"/>
      <c r="AB634" s="1931"/>
      <c r="AC634" s="1931"/>
      <c r="AD634" s="1931"/>
      <c r="AE634" s="1931"/>
      <c r="AF634" s="1948"/>
      <c r="AG634" s="69"/>
      <c r="AH634" s="43" t="s">
        <v>5311</v>
      </c>
      <c r="AI634" s="197"/>
      <c r="AJ634" s="2578"/>
      <c r="AK634" s="2562"/>
      <c r="AL634" s="2578"/>
      <c r="AM634" s="2562"/>
      <c r="AN634" s="2562"/>
      <c r="AO634" s="2562"/>
      <c r="AP634" s="2562"/>
      <c r="AQ634" s="2562"/>
      <c r="AR634" s="2562"/>
      <c r="AS634" s="2562"/>
      <c r="AT634" s="2562"/>
      <c r="AU634" s="2562"/>
      <c r="AV634" s="2562"/>
      <c r="AW634" s="2562"/>
      <c r="AX634" s="2562"/>
      <c r="AY634" s="2562"/>
      <c r="AZ634" s="2562"/>
      <c r="BA634" s="2562"/>
      <c r="BB634" s="2562"/>
      <c r="BC634" s="2562"/>
      <c r="BD634" s="2562"/>
      <c r="BE634" s="2562"/>
      <c r="BF634" s="2562"/>
      <c r="BG634" s="2562"/>
      <c r="BH634" s="2562"/>
      <c r="BI634" s="2562"/>
      <c r="BJ634" s="2562"/>
      <c r="BK634" s="2562"/>
      <c r="BL634" s="2562"/>
      <c r="BM634" s="2562"/>
      <c r="BN634" s="2562"/>
      <c r="BO634" s="2562"/>
      <c r="BP634" s="2578"/>
      <c r="BQ634" s="2562"/>
      <c r="BR634" s="2562"/>
      <c r="BS634" s="2585"/>
      <c r="BT634" s="2585"/>
      <c r="BU634" s="2585"/>
    </row>
    <row r="635" spans="1:73" s="22" customFormat="1" ht="15.75" customHeight="1">
      <c r="A635" s="2585"/>
      <c r="B635" s="70" t="s">
        <v>5312</v>
      </c>
      <c r="C635" s="1895">
        <f>IF($O$159=0,0,$O$159/$O$620)</f>
        <v>0.46128215738059092</v>
      </c>
      <c r="D635" s="1932"/>
      <c r="E635" s="1932"/>
      <c r="F635" s="1932"/>
      <c r="G635" s="1932"/>
      <c r="H635" s="1932"/>
      <c r="I635" s="1932"/>
      <c r="J635" s="1932"/>
      <c r="K635" s="1932"/>
      <c r="L635" s="1932"/>
      <c r="M635" s="1932"/>
      <c r="N635" s="1932"/>
      <c r="O635" s="1932"/>
      <c r="P635" s="1932"/>
      <c r="Q635" s="1932"/>
      <c r="R635" s="1932"/>
      <c r="S635" s="1932"/>
      <c r="T635" s="1932"/>
      <c r="U635" s="1932"/>
      <c r="V635" s="1932"/>
      <c r="W635" s="1932"/>
      <c r="X635" s="1932"/>
      <c r="Y635" s="1932"/>
      <c r="Z635" s="1932"/>
      <c r="AA635" s="1932"/>
      <c r="AB635" s="1932"/>
      <c r="AC635" s="1932"/>
      <c r="AD635" s="1932"/>
      <c r="AE635" s="1932"/>
      <c r="AF635" s="1952"/>
      <c r="AG635" s="69"/>
      <c r="AH635" s="52" t="s">
        <v>5313</v>
      </c>
      <c r="AI635" s="197"/>
      <c r="AJ635" s="2578"/>
      <c r="AK635" s="2562"/>
      <c r="AL635" s="2578"/>
      <c r="AM635" s="2562"/>
      <c r="AN635" s="2562"/>
      <c r="AO635" s="2562"/>
      <c r="AP635" s="2562"/>
      <c r="AQ635" s="2562"/>
      <c r="AR635" s="2562"/>
      <c r="AS635" s="2562"/>
      <c r="AT635" s="2562"/>
      <c r="AU635" s="2562"/>
      <c r="AV635" s="2562"/>
      <c r="AW635" s="2562"/>
      <c r="AX635" s="2562"/>
      <c r="AY635" s="2562"/>
      <c r="AZ635" s="2562"/>
      <c r="BA635" s="2562"/>
      <c r="BB635" s="2562"/>
      <c r="BC635" s="2562"/>
      <c r="BD635" s="2562"/>
      <c r="BE635" s="2562"/>
      <c r="BF635" s="2562"/>
      <c r="BG635" s="2562"/>
      <c r="BH635" s="2562"/>
      <c r="BI635" s="2562"/>
      <c r="BJ635" s="2562"/>
      <c r="BK635" s="2562"/>
      <c r="BL635" s="2562"/>
      <c r="BM635" s="2562"/>
      <c r="BN635" s="2562"/>
      <c r="BO635" s="2562"/>
      <c r="BP635" s="2578"/>
      <c r="BQ635" s="2562"/>
      <c r="BR635" s="2562"/>
      <c r="BS635" s="2585"/>
      <c r="BT635" s="2585"/>
      <c r="BU635" s="2585"/>
    </row>
    <row r="636" spans="1:73" s="22" customFormat="1" ht="15.75" customHeight="1">
      <c r="A636" s="2585"/>
      <c r="B636" s="70" t="s">
        <v>5314</v>
      </c>
      <c r="C636" s="1895">
        <f>IF($O$465=0,0,$O$465/$O$620)</f>
        <v>0.53760921885851987</v>
      </c>
      <c r="D636" s="1932"/>
      <c r="E636" s="1932"/>
      <c r="F636" s="1932"/>
      <c r="G636" s="1932"/>
      <c r="H636" s="1932"/>
      <c r="I636" s="1932"/>
      <c r="J636" s="1932"/>
      <c r="K636" s="1932"/>
      <c r="L636" s="1932"/>
      <c r="M636" s="1932"/>
      <c r="N636" s="1932"/>
      <c r="O636" s="1932"/>
      <c r="P636" s="1932"/>
      <c r="Q636" s="1932"/>
      <c r="R636" s="1932"/>
      <c r="S636" s="1932"/>
      <c r="T636" s="1932"/>
      <c r="U636" s="1932"/>
      <c r="V636" s="1932"/>
      <c r="W636" s="1932"/>
      <c r="X636" s="1932"/>
      <c r="Y636" s="1932"/>
      <c r="Z636" s="1932"/>
      <c r="AA636" s="1932"/>
      <c r="AB636" s="1932"/>
      <c r="AC636" s="1932"/>
      <c r="AD636" s="1932"/>
      <c r="AE636" s="1932"/>
      <c r="AF636" s="1952"/>
      <c r="AG636" s="69"/>
      <c r="AH636" s="52" t="s">
        <v>5315</v>
      </c>
      <c r="AI636" s="197"/>
      <c r="AJ636" s="2578"/>
      <c r="AK636" s="2562"/>
      <c r="AL636" s="2578"/>
      <c r="AM636" s="2562"/>
      <c r="AN636" s="2562"/>
      <c r="AO636" s="2562"/>
      <c r="AP636" s="2562"/>
      <c r="AQ636" s="2562"/>
      <c r="AR636" s="2562"/>
      <c r="AS636" s="2562"/>
      <c r="AT636" s="2562"/>
      <c r="AU636" s="2562"/>
      <c r="AV636" s="2562"/>
      <c r="AW636" s="2562"/>
      <c r="AX636" s="2562"/>
      <c r="AY636" s="2562"/>
      <c r="AZ636" s="2562"/>
      <c r="BA636" s="2562"/>
      <c r="BB636" s="2562"/>
      <c r="BC636" s="2562"/>
      <c r="BD636" s="2562"/>
      <c r="BE636" s="2562"/>
      <c r="BF636" s="2562"/>
      <c r="BG636" s="2562"/>
      <c r="BH636" s="2562"/>
      <c r="BI636" s="2562"/>
      <c r="BJ636" s="2562"/>
      <c r="BK636" s="2562"/>
      <c r="BL636" s="2562"/>
      <c r="BM636" s="2562"/>
      <c r="BN636" s="2562"/>
      <c r="BO636" s="2562"/>
      <c r="BP636" s="2578"/>
      <c r="BQ636" s="2562"/>
      <c r="BR636" s="2562"/>
      <c r="BS636" s="2585"/>
      <c r="BT636" s="2585"/>
      <c r="BU636" s="2585"/>
    </row>
    <row r="637" spans="1:73" s="22" customFormat="1" ht="15.75" customHeight="1">
      <c r="A637" s="2585"/>
      <c r="B637" s="70" t="s">
        <v>5316</v>
      </c>
      <c r="C637" s="1895">
        <f>IF($O$618=0,0,$O$618/$O$620)</f>
        <v>4.0078277446977353E-2</v>
      </c>
      <c r="D637" s="1932"/>
      <c r="E637" s="1932"/>
      <c r="F637" s="1932"/>
      <c r="G637" s="1932"/>
      <c r="H637" s="1932"/>
      <c r="I637" s="1932"/>
      <c r="J637" s="1932"/>
      <c r="K637" s="1932"/>
      <c r="L637" s="1932"/>
      <c r="M637" s="1932"/>
      <c r="N637" s="1932"/>
      <c r="O637" s="1932"/>
      <c r="P637" s="1932"/>
      <c r="Q637" s="1932"/>
      <c r="R637" s="1932"/>
      <c r="S637" s="1932"/>
      <c r="T637" s="1932"/>
      <c r="U637" s="1932"/>
      <c r="V637" s="1932"/>
      <c r="W637" s="1932"/>
      <c r="X637" s="1932"/>
      <c r="Y637" s="1932"/>
      <c r="Z637" s="1932"/>
      <c r="AA637" s="1932"/>
      <c r="AB637" s="1932"/>
      <c r="AC637" s="1932"/>
      <c r="AD637" s="1932"/>
      <c r="AE637" s="1932"/>
      <c r="AF637" s="1952"/>
      <c r="AG637" s="69"/>
      <c r="AH637" s="52" t="s">
        <v>5317</v>
      </c>
      <c r="AI637" s="197"/>
      <c r="AJ637" s="2578"/>
      <c r="AK637" s="2562"/>
      <c r="AL637" s="2578"/>
      <c r="AM637" s="2562"/>
      <c r="AN637" s="2562"/>
      <c r="AO637" s="2562"/>
      <c r="AP637" s="2562"/>
      <c r="AQ637" s="2562"/>
      <c r="AR637" s="2562"/>
      <c r="AS637" s="2562"/>
      <c r="AT637" s="2562"/>
      <c r="AU637" s="2562"/>
      <c r="AV637" s="2562"/>
      <c r="AW637" s="2562"/>
      <c r="AX637" s="2562"/>
      <c r="AY637" s="2562"/>
      <c r="AZ637" s="2562"/>
      <c r="BA637" s="2562"/>
      <c r="BB637" s="2562"/>
      <c r="BC637" s="2562"/>
      <c r="BD637" s="2562"/>
      <c r="BE637" s="2562"/>
      <c r="BF637" s="2562"/>
      <c r="BG637" s="2562"/>
      <c r="BH637" s="2562"/>
      <c r="BI637" s="2562"/>
      <c r="BJ637" s="2562"/>
      <c r="BK637" s="2562"/>
      <c r="BL637" s="2562"/>
      <c r="BM637" s="2562"/>
      <c r="BN637" s="2562"/>
      <c r="BO637" s="2562"/>
      <c r="BP637" s="2578"/>
      <c r="BQ637" s="2562"/>
      <c r="BR637" s="2562"/>
      <c r="BS637" s="2585"/>
      <c r="BT637" s="2585"/>
      <c r="BU637" s="2585"/>
    </row>
    <row r="638" spans="1:73" s="22" customFormat="1" ht="15.75" customHeight="1">
      <c r="A638" s="2585"/>
      <c r="B638" s="71" t="s">
        <v>5318</v>
      </c>
      <c r="C638" s="1895">
        <f>IF(($O$465+$O$618)=0,0,($O$465+$O$618)/$O$620)</f>
        <v>0.57768749630549721</v>
      </c>
      <c r="D638" s="1932"/>
      <c r="E638" s="1932"/>
      <c r="F638" s="1932"/>
      <c r="G638" s="1932"/>
      <c r="H638" s="1932"/>
      <c r="I638" s="1932"/>
      <c r="J638" s="1932"/>
      <c r="K638" s="1932"/>
      <c r="L638" s="1932"/>
      <c r="M638" s="1932"/>
      <c r="N638" s="1932"/>
      <c r="O638" s="1932"/>
      <c r="P638" s="1932"/>
      <c r="Q638" s="1932"/>
      <c r="R638" s="1932"/>
      <c r="S638" s="1932"/>
      <c r="T638" s="1932"/>
      <c r="U638" s="1932"/>
      <c r="V638" s="1932"/>
      <c r="W638" s="1932"/>
      <c r="X638" s="1932"/>
      <c r="Y638" s="1932"/>
      <c r="Z638" s="1932"/>
      <c r="AA638" s="1932"/>
      <c r="AB638" s="1932"/>
      <c r="AC638" s="1932"/>
      <c r="AD638" s="1932"/>
      <c r="AE638" s="1932"/>
      <c r="AF638" s="1952"/>
      <c r="AG638" s="69"/>
      <c r="AH638" s="52" t="s">
        <v>5319</v>
      </c>
      <c r="AI638" s="197"/>
      <c r="AJ638" s="2578"/>
      <c r="AK638" s="2562"/>
      <c r="AL638" s="2578"/>
      <c r="AM638" s="2562"/>
      <c r="AN638" s="2562"/>
      <c r="AO638" s="2562"/>
      <c r="AP638" s="2562"/>
      <c r="AQ638" s="2562"/>
      <c r="AR638" s="2562"/>
      <c r="AS638" s="2562"/>
      <c r="AT638" s="2562"/>
      <c r="AU638" s="2562"/>
      <c r="AV638" s="2562"/>
      <c r="AW638" s="2562"/>
      <c r="AX638" s="2562"/>
      <c r="AY638" s="2562"/>
      <c r="AZ638" s="2562"/>
      <c r="BA638" s="2562"/>
      <c r="BB638" s="2562"/>
      <c r="BC638" s="2562"/>
      <c r="BD638" s="2562"/>
      <c r="BE638" s="2562"/>
      <c r="BF638" s="2562"/>
      <c r="BG638" s="2562"/>
      <c r="BH638" s="2562"/>
      <c r="BI638" s="2562"/>
      <c r="BJ638" s="2562"/>
      <c r="BK638" s="2562"/>
      <c r="BL638" s="2562"/>
      <c r="BM638" s="2562"/>
      <c r="BN638" s="2562"/>
      <c r="BO638" s="2562"/>
      <c r="BP638" s="2578"/>
      <c r="BQ638" s="2562"/>
      <c r="BR638" s="2562"/>
      <c r="BS638" s="2585"/>
      <c r="BT638" s="2585"/>
      <c r="BU638" s="2585"/>
    </row>
    <row r="639" spans="1:73" s="22" customFormat="1" ht="15.75" customHeight="1">
      <c r="A639" s="2585"/>
      <c r="B639" s="71" t="s">
        <v>5320</v>
      </c>
      <c r="C639" s="1896">
        <f>C638+C635</f>
        <v>1.0389696536860882</v>
      </c>
      <c r="D639" s="1932"/>
      <c r="E639" s="1932"/>
      <c r="F639" s="1932"/>
      <c r="G639" s="1932"/>
      <c r="H639" s="1932"/>
      <c r="I639" s="1932"/>
      <c r="J639" s="1932"/>
      <c r="K639" s="1932"/>
      <c r="L639" s="1932"/>
      <c r="M639" s="1932"/>
      <c r="N639" s="1932"/>
      <c r="O639" s="1932"/>
      <c r="P639" s="1932"/>
      <c r="Q639" s="1932"/>
      <c r="R639" s="1932"/>
      <c r="S639" s="1932"/>
      <c r="T639" s="1932"/>
      <c r="U639" s="1932"/>
      <c r="V639" s="1932"/>
      <c r="W639" s="1932"/>
      <c r="X639" s="1932"/>
      <c r="Y639" s="1932"/>
      <c r="Z639" s="1932"/>
      <c r="AA639" s="1932"/>
      <c r="AB639" s="1932"/>
      <c r="AC639" s="1932"/>
      <c r="AD639" s="1932"/>
      <c r="AE639" s="1932"/>
      <c r="AF639" s="1952"/>
      <c r="AG639" s="69"/>
      <c r="AH639" s="52" t="s">
        <v>5321</v>
      </c>
      <c r="AI639" s="197"/>
      <c r="AJ639" s="2578"/>
      <c r="AK639" s="2562"/>
      <c r="AL639" s="2578"/>
      <c r="AM639" s="2562"/>
      <c r="AN639" s="2562"/>
      <c r="AO639" s="2562"/>
      <c r="AP639" s="2562"/>
      <c r="AQ639" s="2562"/>
      <c r="AR639" s="2562"/>
      <c r="AS639" s="2562"/>
      <c r="AT639" s="2562"/>
      <c r="AU639" s="2562"/>
      <c r="AV639" s="2562"/>
      <c r="AW639" s="2562"/>
      <c r="AX639" s="2562"/>
      <c r="AY639" s="2562"/>
      <c r="AZ639" s="2562"/>
      <c r="BA639" s="2562"/>
      <c r="BB639" s="2562"/>
      <c r="BC639" s="2562"/>
      <c r="BD639" s="2562"/>
      <c r="BE639" s="2562"/>
      <c r="BF639" s="2562"/>
      <c r="BG639" s="2562"/>
      <c r="BH639" s="2562"/>
      <c r="BI639" s="2562"/>
      <c r="BJ639" s="2562"/>
      <c r="BK639" s="2562"/>
      <c r="BL639" s="2562"/>
      <c r="BM639" s="2562"/>
      <c r="BN639" s="2562"/>
      <c r="BO639" s="2562"/>
      <c r="BP639" s="2578"/>
      <c r="BQ639" s="2562"/>
      <c r="BR639" s="2562"/>
      <c r="BS639" s="2585"/>
      <c r="BT639" s="2585"/>
      <c r="BU639" s="2585"/>
    </row>
    <row r="640" spans="1:73" s="22" customFormat="1" ht="15.75" customHeight="1" thickBot="1">
      <c r="A640" s="2585"/>
      <c r="B640" s="72" t="s">
        <v>2530</v>
      </c>
      <c r="C640" s="1897">
        <f>IF($Q$620=0,0,$Q$620/$O$620)</f>
        <v>13.646049218574893</v>
      </c>
      <c r="D640" s="1920"/>
      <c r="E640" s="1920"/>
      <c r="F640" s="1920"/>
      <c r="G640" s="1920"/>
      <c r="H640" s="1920"/>
      <c r="I640" s="1920"/>
      <c r="J640" s="1920"/>
      <c r="K640" s="1920"/>
      <c r="L640" s="1920"/>
      <c r="M640" s="1920"/>
      <c r="N640" s="1920"/>
      <c r="O640" s="1920"/>
      <c r="P640" s="1920"/>
      <c r="Q640" s="1920"/>
      <c r="R640" s="1920"/>
      <c r="S640" s="1920"/>
      <c r="T640" s="1920"/>
      <c r="U640" s="1920"/>
      <c r="V640" s="1920"/>
      <c r="W640" s="1920"/>
      <c r="X640" s="1920"/>
      <c r="Y640" s="1920"/>
      <c r="Z640" s="1920"/>
      <c r="AA640" s="1920"/>
      <c r="AB640" s="1920"/>
      <c r="AC640" s="1920"/>
      <c r="AD640" s="1920"/>
      <c r="AE640" s="1920"/>
      <c r="AF640" s="1949"/>
      <c r="AG640" s="69"/>
      <c r="AH640" s="54" t="s">
        <v>5322</v>
      </c>
      <c r="AI640" s="197"/>
      <c r="AJ640" s="2578"/>
      <c r="AK640" s="2562"/>
      <c r="AL640" s="2578"/>
      <c r="AM640" s="2562"/>
      <c r="AN640" s="2562"/>
      <c r="AO640" s="2562"/>
      <c r="AP640" s="2562"/>
      <c r="AQ640" s="2562"/>
      <c r="AR640" s="2562"/>
      <c r="AS640" s="2562"/>
      <c r="AT640" s="2562"/>
      <c r="AU640" s="2562"/>
      <c r="AV640" s="2562"/>
      <c r="AW640" s="2562"/>
      <c r="AX640" s="2562"/>
      <c r="AY640" s="2562"/>
      <c r="AZ640" s="2562"/>
      <c r="BA640" s="2562"/>
      <c r="BB640" s="2562"/>
      <c r="BC640" s="2562"/>
      <c r="BD640" s="2562"/>
      <c r="BE640" s="2562"/>
      <c r="BF640" s="2562"/>
      <c r="BG640" s="2562"/>
      <c r="BH640" s="2562"/>
      <c r="BI640" s="2562"/>
      <c r="BJ640" s="2562"/>
      <c r="BK640" s="2562"/>
      <c r="BL640" s="2562"/>
      <c r="BM640" s="2562"/>
      <c r="BN640" s="2562"/>
      <c r="BO640" s="2562"/>
      <c r="BP640" s="2578"/>
      <c r="BQ640" s="2562"/>
      <c r="BR640" s="2562"/>
      <c r="BS640" s="2585"/>
      <c r="BT640" s="2585"/>
      <c r="BU640" s="2585"/>
    </row>
    <row r="641" spans="1:73" s="22" customFormat="1" ht="16" thickTop="1">
      <c r="A641" s="2585"/>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562"/>
      <c r="AK641" s="2562"/>
      <c r="AL641" s="2562"/>
      <c r="AM641" s="2562"/>
      <c r="AN641" s="2562"/>
      <c r="AO641" s="2562"/>
      <c r="AP641" s="2562"/>
      <c r="AQ641" s="2562"/>
      <c r="AR641" s="2562"/>
      <c r="AS641" s="2562"/>
      <c r="AT641" s="2562"/>
      <c r="AU641" s="2562"/>
      <c r="AV641" s="2562"/>
      <c r="AW641" s="2562"/>
      <c r="AX641" s="2562"/>
      <c r="AY641" s="2562"/>
      <c r="AZ641" s="2562"/>
      <c r="BA641" s="2562"/>
      <c r="BB641" s="2562"/>
      <c r="BC641" s="2562"/>
      <c r="BD641" s="2562"/>
      <c r="BE641" s="2562"/>
      <c r="BF641" s="2562"/>
      <c r="BG641" s="2562"/>
      <c r="BH641" s="2562"/>
      <c r="BI641" s="2562"/>
      <c r="BJ641" s="2562"/>
      <c r="BK641" s="2562"/>
      <c r="BL641" s="2562"/>
      <c r="BM641" s="2562"/>
      <c r="BN641" s="2562"/>
      <c r="BO641" s="2562"/>
      <c r="BP641" s="2562"/>
      <c r="BQ641" s="2562"/>
      <c r="BR641" s="2562"/>
      <c r="BS641" s="2585"/>
      <c r="BT641" s="2585"/>
      <c r="BU641" s="2585"/>
    </row>
    <row r="642" spans="1:73" s="22" customFormat="1" ht="15.5">
      <c r="A642" s="2585"/>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562"/>
      <c r="AK642" s="2562"/>
      <c r="AL642" s="2562"/>
      <c r="AM642" s="2562"/>
      <c r="AN642" s="2562"/>
      <c r="AO642" s="2562"/>
      <c r="AP642" s="2562"/>
      <c r="AQ642" s="2562"/>
      <c r="AR642" s="2562"/>
      <c r="AS642" s="2562"/>
      <c r="AT642" s="2562"/>
      <c r="AU642" s="2562"/>
      <c r="AV642" s="2562"/>
      <c r="AW642" s="2562"/>
      <c r="AX642" s="2562"/>
      <c r="AY642" s="2562"/>
      <c r="AZ642" s="2562"/>
      <c r="BA642" s="2562"/>
      <c r="BB642" s="2562"/>
      <c r="BC642" s="2562"/>
      <c r="BD642" s="2562"/>
      <c r="BE642" s="2562"/>
      <c r="BF642" s="2562"/>
      <c r="BG642" s="2562"/>
      <c r="BH642" s="2562"/>
      <c r="BI642" s="2562"/>
      <c r="BJ642" s="2562"/>
      <c r="BK642" s="2562"/>
      <c r="BL642" s="2562"/>
      <c r="BM642" s="2562"/>
      <c r="BN642" s="2562"/>
      <c r="BO642" s="2562"/>
      <c r="BP642" s="2562"/>
      <c r="BQ642" s="2562"/>
      <c r="BR642" s="2562"/>
      <c r="BS642" s="2585"/>
      <c r="BT642" s="2585"/>
      <c r="BU642" s="2585"/>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49" priority="8" operator="equal">
      <formula>0</formula>
    </cfRule>
  </conditionalFormatting>
  <conditionalFormatting sqref="AK159">
    <cfRule type="cellIs" dxfId="148" priority="7" operator="equal">
      <formula>0</formula>
    </cfRule>
  </conditionalFormatting>
  <conditionalFormatting sqref="AK162:AK312">
    <cfRule type="cellIs" dxfId="147" priority="6" operator="equal">
      <formula>0</formula>
    </cfRule>
  </conditionalFormatting>
  <conditionalFormatting sqref="AK315:AK465">
    <cfRule type="cellIs" dxfId="146" priority="5" operator="equal">
      <formula>0</formula>
    </cfRule>
  </conditionalFormatting>
  <conditionalFormatting sqref="AK468:AK618">
    <cfRule type="cellIs" dxfId="145" priority="4" operator="equal">
      <formula>0</formula>
    </cfRule>
  </conditionalFormatting>
  <conditionalFormatting sqref="AK620">
    <cfRule type="cellIs" dxfId="144"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customProperties>
    <customPr name="_pios_id" r:id="rId2"/>
  </customPropertie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C18" sqref="C18"/>
    </sheetView>
  </sheetViews>
  <sheetFormatPr defaultColWidth="9" defaultRowHeight="14"/>
  <cols>
    <col min="1" max="1" width="1.58203125" style="219" customWidth="1"/>
    <col min="2" max="2" width="36.58203125" style="226" bestFit="1" customWidth="1"/>
    <col min="3" max="3" width="126" style="226" customWidth="1"/>
    <col min="4" max="4" width="33.58203125" style="226" bestFit="1" customWidth="1"/>
    <col min="5" max="5" width="40.08203125" style="226" customWidth="1"/>
    <col min="6" max="6" width="31.08203125" style="226" customWidth="1"/>
    <col min="7" max="16384" width="9" style="219"/>
  </cols>
  <sheetData>
    <row r="1" spans="1:6" ht="30" customHeight="1">
      <c r="A1" s="2560"/>
      <c r="B1" s="2560"/>
      <c r="C1" s="2560"/>
      <c r="D1" s="2560"/>
      <c r="E1" s="2560"/>
      <c r="F1" s="2568"/>
    </row>
    <row r="2" spans="1:6" ht="45" customHeight="1">
      <c r="A2" s="2560"/>
      <c r="B2" s="2634" t="s">
        <v>5</v>
      </c>
      <c r="C2" s="2634"/>
      <c r="D2" s="2634"/>
      <c r="E2" s="2634"/>
      <c r="F2" s="2634"/>
    </row>
    <row r="3" spans="1:6" ht="14.5" thickBot="1">
      <c r="A3" s="2560"/>
      <c r="B3" s="223"/>
      <c r="C3" s="223"/>
      <c r="D3" s="2560"/>
      <c r="E3" s="2560"/>
      <c r="F3" s="2568"/>
    </row>
    <row r="4" spans="1:6" ht="14.5" thickBot="1">
      <c r="A4" s="2562"/>
      <c r="B4" s="2563" t="s">
        <v>3</v>
      </c>
      <c r="C4" s="2569" t="s">
        <v>1885</v>
      </c>
      <c r="D4" s="2569"/>
      <c r="E4" s="2569"/>
      <c r="F4" s="2570"/>
    </row>
    <row r="5" spans="1:6">
      <c r="A5" s="2560"/>
      <c r="B5" s="2560"/>
      <c r="C5" s="2560"/>
      <c r="D5" s="2560"/>
      <c r="E5" s="2560"/>
      <c r="F5" s="2568"/>
    </row>
  </sheetData>
  <sheetProtection formatColumns="0" formatRows="0"/>
  <mergeCells count="1">
    <mergeCell ref="B2:F2"/>
  </mergeCells>
  <dataValidations count="1">
    <dataValidation type="list" allowBlank="1" showInputMessage="1" showErrorMessage="1" sqref="B4" xr:uid="{00000000-0002-0000-0300-000000000000}">
      <formula1>#REF!</formula1>
    </dataValidation>
  </dataValidations>
  <pageMargins left="0.7" right="0.7" top="0.75" bottom="0.75" header="0.3" footer="0.3"/>
  <pageSetup orientation="portrait" r:id="rId1"/>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55" zoomScaleNormal="55" zoomScaleSheetLayoutView="100" workbookViewId="0">
      <pane ySplit="6" topLeftCell="A7" activePane="bottomLeft" state="frozen"/>
      <selection pane="bottomLeft" activeCell="R18" sqref="R18"/>
    </sheetView>
  </sheetViews>
  <sheetFormatPr defaultColWidth="9" defaultRowHeight="15.5"/>
  <cols>
    <col min="1" max="1" width="1.58203125" style="220" customWidth="1"/>
    <col min="2" max="2" width="61.08203125" style="220" customWidth="1"/>
    <col min="3" max="3" width="7" style="220" customWidth="1"/>
    <col min="4" max="4" width="5.08203125" style="220" customWidth="1"/>
    <col min="5" max="9" width="12.5" style="220" customWidth="1"/>
    <col min="10" max="14" width="12.5" style="228" customWidth="1"/>
    <col min="15" max="15" width="1.58203125" style="228" customWidth="1"/>
    <col min="16" max="16" width="12.5" style="220" customWidth="1"/>
    <col min="17" max="17" width="1.58203125" style="220" customWidth="1"/>
    <col min="18" max="18" width="26.58203125" style="220" customWidth="1"/>
    <col min="19" max="20" width="1.58203125" style="220" customWidth="1"/>
    <col min="21" max="21" width="25.08203125" style="220" customWidth="1"/>
    <col min="22" max="22" width="1.58203125" style="230" customWidth="1"/>
    <col min="23" max="32" width="8.08203125" style="230" hidden="1" customWidth="1"/>
    <col min="33" max="33" width="1.58203125" style="230" hidden="1" customWidth="1"/>
    <col min="34" max="34" width="1.58203125" style="220" customWidth="1"/>
    <col min="35" max="35" width="43.58203125" style="220" customWidth="1"/>
    <col min="36" max="45" width="16.08203125" style="220" customWidth="1"/>
    <col min="46" max="46" width="1.58203125" style="220" customWidth="1"/>
    <col min="47" max="16384" width="9" style="220"/>
  </cols>
  <sheetData>
    <row r="1" spans="1:45" s="351" customFormat="1" ht="29.25" customHeight="1">
      <c r="B1" s="441" t="s">
        <v>5323</v>
      </c>
      <c r="C1" s="441"/>
      <c r="D1" s="441"/>
      <c r="E1" s="441"/>
      <c r="F1" s="2585"/>
      <c r="G1" s="2585"/>
      <c r="H1" s="2585"/>
      <c r="I1" s="2585"/>
      <c r="J1" s="2585"/>
      <c r="K1" s="2585"/>
      <c r="L1" s="2585"/>
      <c r="M1" s="2585"/>
      <c r="N1" s="2585"/>
      <c r="O1" s="228"/>
      <c r="P1" s="490"/>
      <c r="Q1" s="490"/>
      <c r="R1" s="490"/>
      <c r="T1" s="305"/>
      <c r="U1" s="2573"/>
      <c r="V1" s="2577"/>
      <c r="W1" s="2572"/>
      <c r="X1" s="2572"/>
      <c r="Y1" s="2572"/>
      <c r="Z1" s="2572"/>
      <c r="AA1" s="2572"/>
      <c r="AB1" s="2572"/>
      <c r="AC1" s="2572"/>
      <c r="AD1" s="2572"/>
      <c r="AE1" s="2572"/>
      <c r="AF1" s="2572"/>
      <c r="AG1" s="2577"/>
      <c r="AI1" s="441" t="s">
        <v>1887</v>
      </c>
      <c r="AJ1" s="441"/>
      <c r="AK1" s="2585"/>
      <c r="AL1" s="2585"/>
      <c r="AM1" s="2585"/>
      <c r="AN1" s="2585"/>
      <c r="AO1" s="2585"/>
      <c r="AP1" s="2585"/>
      <c r="AQ1" s="2585"/>
      <c r="AR1" s="2585"/>
      <c r="AS1" s="2585"/>
    </row>
    <row r="2" spans="1:45" s="351" customFormat="1" ht="29.25" customHeight="1">
      <c r="B2" s="441" t="str">
        <f>SelectCompany!B4</f>
        <v>Yorkshire Water</v>
      </c>
      <c r="C2" s="2585"/>
      <c r="D2" s="2585"/>
      <c r="E2" s="2585"/>
      <c r="F2" s="2585"/>
      <c r="G2" s="2585"/>
      <c r="H2" s="2585"/>
      <c r="I2" s="2585"/>
      <c r="J2" s="2585"/>
      <c r="K2" s="2585"/>
      <c r="L2" s="2585"/>
      <c r="M2" s="2585"/>
      <c r="N2" s="2585"/>
      <c r="O2" s="228"/>
      <c r="P2" s="490"/>
      <c r="Q2" s="490"/>
      <c r="R2" s="490"/>
      <c r="T2" s="305"/>
      <c r="U2" s="2573"/>
      <c r="V2" s="2577"/>
      <c r="W2" s="2572"/>
      <c r="X2" s="2572"/>
      <c r="Y2" s="2572"/>
      <c r="Z2" s="2572"/>
      <c r="AA2" s="2572"/>
      <c r="AB2" s="2572"/>
      <c r="AC2" s="2572"/>
      <c r="AD2" s="2572"/>
      <c r="AE2" s="2572"/>
      <c r="AF2" s="2572"/>
      <c r="AG2" s="2577"/>
      <c r="AI2" s="441"/>
      <c r="AJ2" s="2585"/>
      <c r="AK2" s="2585"/>
      <c r="AL2" s="2585"/>
      <c r="AM2" s="2585"/>
      <c r="AN2" s="2585"/>
      <c r="AO2" s="2585"/>
      <c r="AP2" s="2585"/>
      <c r="AQ2" s="2585"/>
      <c r="AR2" s="2585"/>
      <c r="AS2" s="2585"/>
    </row>
    <row r="3" spans="1:45" ht="45" customHeight="1">
      <c r="A3" s="2562"/>
      <c r="B3" s="2789" t="s">
        <v>5324</v>
      </c>
      <c r="C3" s="2789"/>
      <c r="D3" s="2789"/>
      <c r="E3" s="2789"/>
      <c r="F3" s="2789"/>
      <c r="G3" s="2789"/>
      <c r="H3" s="2789"/>
      <c r="I3" s="2789"/>
      <c r="J3" s="2789"/>
      <c r="K3" s="2789"/>
      <c r="L3" s="2789"/>
      <c r="M3" s="2789"/>
      <c r="N3" s="2789"/>
      <c r="O3" s="2789"/>
      <c r="P3" s="2789"/>
      <c r="Q3" s="2789"/>
      <c r="R3" s="2789"/>
      <c r="S3" s="2562"/>
      <c r="T3" s="307"/>
      <c r="U3" s="232" t="s">
        <v>1889</v>
      </c>
      <c r="V3" s="2577"/>
      <c r="W3" s="2572"/>
      <c r="X3" s="2572"/>
      <c r="Y3" s="2572"/>
      <c r="Z3" s="2572"/>
      <c r="AA3" s="2572"/>
      <c r="AB3" s="2572"/>
      <c r="AC3" s="2572"/>
      <c r="AD3" s="2572"/>
      <c r="AE3" s="2572"/>
      <c r="AF3" s="2572"/>
      <c r="AG3" s="2577"/>
      <c r="AH3" s="2562"/>
      <c r="AI3" s="2789" t="s">
        <v>5324</v>
      </c>
      <c r="AJ3" s="2789"/>
      <c r="AK3" s="2789"/>
      <c r="AL3" s="2789"/>
      <c r="AM3" s="2789"/>
      <c r="AN3" s="2789"/>
      <c r="AO3" s="2789"/>
      <c r="AP3" s="2789"/>
      <c r="AQ3" s="2789"/>
      <c r="AR3" s="2789"/>
      <c r="AS3" s="2789"/>
    </row>
    <row r="4" spans="1:45" ht="15" customHeight="1" thickBot="1">
      <c r="A4" s="2562"/>
      <c r="B4" s="594"/>
      <c r="C4" s="594"/>
      <c r="D4" s="594"/>
      <c r="E4" s="594"/>
      <c r="F4" s="594"/>
      <c r="G4" s="594"/>
      <c r="H4" s="594"/>
      <c r="I4" s="594"/>
      <c r="J4" s="594"/>
      <c r="K4" s="594"/>
      <c r="L4" s="594"/>
      <c r="M4" s="594"/>
      <c r="N4" s="594"/>
      <c r="O4" s="594"/>
      <c r="P4" s="228"/>
      <c r="Q4" s="2562"/>
      <c r="R4" s="2562"/>
      <c r="S4" s="2562"/>
      <c r="T4" s="2576"/>
      <c r="U4" s="2573"/>
      <c r="V4" s="2577"/>
      <c r="W4" s="2662" t="s">
        <v>1890</v>
      </c>
      <c r="X4" s="2662"/>
      <c r="Y4" s="2662"/>
      <c r="Z4" s="2662"/>
      <c r="AA4" s="2662"/>
      <c r="AB4" s="2662"/>
      <c r="AC4" s="2662"/>
      <c r="AD4" s="2662"/>
      <c r="AE4" s="2662"/>
      <c r="AF4" s="2662"/>
      <c r="AG4" s="2577"/>
      <c r="AH4" s="2562"/>
      <c r="AI4" s="594"/>
      <c r="AJ4" s="594"/>
      <c r="AK4" s="594"/>
      <c r="AL4" s="594"/>
      <c r="AM4" s="594"/>
      <c r="AN4" s="594"/>
      <c r="AO4" s="594"/>
      <c r="AP4" s="594"/>
      <c r="AQ4" s="594"/>
      <c r="AR4" s="594"/>
      <c r="AS4" s="594"/>
    </row>
    <row r="5" spans="1:45" ht="15" customHeight="1" thickTop="1">
      <c r="A5" s="197"/>
      <c r="B5" s="2785" t="s">
        <v>1891</v>
      </c>
      <c r="C5" s="2667" t="s">
        <v>1892</v>
      </c>
      <c r="D5" s="2667" t="s">
        <v>136</v>
      </c>
      <c r="E5" s="2787" t="s">
        <v>2539</v>
      </c>
      <c r="F5" s="2787"/>
      <c r="G5" s="2787"/>
      <c r="H5" s="2787"/>
      <c r="I5" s="2787"/>
      <c r="J5" s="2787" t="s">
        <v>5325</v>
      </c>
      <c r="K5" s="2787"/>
      <c r="L5" s="2787"/>
      <c r="M5" s="2787"/>
      <c r="N5" s="2788"/>
      <c r="O5" s="678"/>
      <c r="P5" s="2763" t="s">
        <v>1896</v>
      </c>
      <c r="Q5" s="197"/>
      <c r="R5" s="2763" t="s">
        <v>1897</v>
      </c>
      <c r="S5" s="197"/>
      <c r="T5" s="2576"/>
      <c r="U5" s="2573"/>
      <c r="V5" s="2577"/>
      <c r="W5" s="236" t="s">
        <v>1898</v>
      </c>
      <c r="X5" s="237"/>
      <c r="Y5" s="237"/>
      <c r="Z5" s="237"/>
      <c r="AA5" s="237"/>
      <c r="AB5" s="237"/>
      <c r="AC5" s="237"/>
      <c r="AD5" s="237"/>
      <c r="AE5" s="237"/>
      <c r="AF5" s="237"/>
      <c r="AG5" s="2577"/>
      <c r="AH5" s="2562"/>
      <c r="AI5" s="2785" t="s">
        <v>1891</v>
      </c>
      <c r="AJ5" s="2787" t="s">
        <v>2539</v>
      </c>
      <c r="AK5" s="2787"/>
      <c r="AL5" s="2787"/>
      <c r="AM5" s="2787"/>
      <c r="AN5" s="2787"/>
      <c r="AO5" s="2787" t="s">
        <v>5325</v>
      </c>
      <c r="AP5" s="2787"/>
      <c r="AQ5" s="2787"/>
      <c r="AR5" s="2787"/>
      <c r="AS5" s="2788"/>
    </row>
    <row r="6" spans="1:45" ht="56.25" customHeight="1" thickBot="1">
      <c r="A6" s="197"/>
      <c r="B6" s="2786"/>
      <c r="C6" s="2790"/>
      <c r="D6" s="2790"/>
      <c r="E6" s="679" t="s">
        <v>2828</v>
      </c>
      <c r="F6" s="679" t="s">
        <v>5326</v>
      </c>
      <c r="G6" s="679" t="s">
        <v>5327</v>
      </c>
      <c r="H6" s="679" t="s">
        <v>2831</v>
      </c>
      <c r="I6" s="679" t="s">
        <v>2832</v>
      </c>
      <c r="J6" s="679" t="s">
        <v>2828</v>
      </c>
      <c r="K6" s="679" t="s">
        <v>5326</v>
      </c>
      <c r="L6" s="679" t="s">
        <v>5327</v>
      </c>
      <c r="M6" s="679" t="s">
        <v>2831</v>
      </c>
      <c r="N6" s="680" t="s">
        <v>2832</v>
      </c>
      <c r="O6" s="313"/>
      <c r="P6" s="2765"/>
      <c r="Q6" s="197"/>
      <c r="R6" s="2765"/>
      <c r="S6" s="197"/>
      <c r="T6" s="2576"/>
      <c r="U6" s="2573"/>
      <c r="V6" s="2577"/>
      <c r="W6" s="2562"/>
      <c r="X6" s="2562"/>
      <c r="Y6" s="2562"/>
      <c r="Z6" s="2562"/>
      <c r="AA6" s="2562"/>
      <c r="AB6" s="2562"/>
      <c r="AC6" s="2562"/>
      <c r="AD6" s="2562"/>
      <c r="AE6" s="2562"/>
      <c r="AF6" s="2562"/>
      <c r="AG6" s="2577"/>
      <c r="AH6" s="2562"/>
      <c r="AI6" s="2786"/>
      <c r="AJ6" s="679" t="s">
        <v>2828</v>
      </c>
      <c r="AK6" s="679" t="s">
        <v>5326</v>
      </c>
      <c r="AL6" s="679" t="s">
        <v>5327</v>
      </c>
      <c r="AM6" s="679" t="s">
        <v>2831</v>
      </c>
      <c r="AN6" s="679" t="s">
        <v>5328</v>
      </c>
      <c r="AO6" s="679" t="s">
        <v>2828</v>
      </c>
      <c r="AP6" s="679" t="s">
        <v>5326</v>
      </c>
      <c r="AQ6" s="679" t="s">
        <v>5327</v>
      </c>
      <c r="AR6" s="679" t="s">
        <v>2831</v>
      </c>
      <c r="AS6" s="680" t="s">
        <v>5328</v>
      </c>
    </row>
    <row r="7" spans="1:45" ht="15" customHeight="1" thickTop="1" thickBot="1">
      <c r="A7" s="197"/>
      <c r="B7" s="377"/>
      <c r="C7" s="377"/>
      <c r="D7" s="377"/>
      <c r="E7" s="313"/>
      <c r="F7" s="313"/>
      <c r="G7" s="313"/>
      <c r="H7" s="313"/>
      <c r="I7" s="313"/>
      <c r="J7" s="313"/>
      <c r="K7" s="313"/>
      <c r="L7" s="313"/>
      <c r="M7" s="313"/>
      <c r="N7" s="313"/>
      <c r="O7" s="313"/>
      <c r="P7" s="544"/>
      <c r="Q7" s="197"/>
      <c r="R7" s="197"/>
      <c r="S7" s="197"/>
      <c r="T7" s="2576"/>
      <c r="U7" s="2573"/>
      <c r="V7" s="2577"/>
      <c r="W7" s="2573"/>
      <c r="X7" s="2573"/>
      <c r="Y7" s="2573"/>
      <c r="Z7" s="2573"/>
      <c r="AA7" s="2573"/>
      <c r="AB7" s="2573"/>
      <c r="AC7" s="2573"/>
      <c r="AD7" s="2573"/>
      <c r="AE7" s="2573"/>
      <c r="AF7" s="2573"/>
      <c r="AG7" s="2577"/>
      <c r="AH7" s="2562"/>
      <c r="AI7" s="485"/>
      <c r="AJ7" s="313"/>
      <c r="AK7" s="313"/>
      <c r="AL7" s="313"/>
      <c r="AM7" s="313"/>
      <c r="AN7" s="313"/>
      <c r="AO7" s="313"/>
      <c r="AP7" s="313"/>
      <c r="AQ7" s="313"/>
      <c r="AR7" s="313"/>
      <c r="AS7" s="313"/>
    </row>
    <row r="8" spans="1:45" ht="32" thickTop="1" thickBot="1">
      <c r="A8" s="197"/>
      <c r="B8" s="681" t="s">
        <v>5329</v>
      </c>
      <c r="C8" s="682"/>
      <c r="D8" s="682"/>
      <c r="E8" s="34"/>
      <c r="F8" s="313"/>
      <c r="G8" s="313"/>
      <c r="H8" s="313"/>
      <c r="I8" s="313"/>
      <c r="J8" s="313"/>
      <c r="K8" s="313"/>
      <c r="L8" s="313"/>
      <c r="M8" s="313"/>
      <c r="N8" s="313"/>
      <c r="O8" s="313"/>
      <c r="P8" s="544"/>
      <c r="Q8" s="197"/>
      <c r="R8" s="197"/>
      <c r="S8" s="197"/>
      <c r="T8" s="2576"/>
      <c r="U8" s="2573"/>
      <c r="V8" s="2577"/>
      <c r="W8" s="2562"/>
      <c r="X8" s="2562"/>
      <c r="Y8" s="2562"/>
      <c r="Z8" s="2562"/>
      <c r="AA8" s="2562"/>
      <c r="AB8" s="2562"/>
      <c r="AC8" s="2562"/>
      <c r="AD8" s="2562"/>
      <c r="AE8" s="2562"/>
      <c r="AF8" s="2562"/>
      <c r="AG8" s="2577"/>
      <c r="AH8" s="2562"/>
      <c r="AI8" s="681" t="s">
        <v>5329</v>
      </c>
      <c r="AJ8" s="683"/>
      <c r="AK8" s="313"/>
      <c r="AL8" s="313"/>
      <c r="AM8" s="313"/>
      <c r="AN8" s="313"/>
      <c r="AO8" s="313"/>
      <c r="AP8" s="313"/>
      <c r="AQ8" s="313"/>
      <c r="AR8" s="313"/>
      <c r="AS8" s="313"/>
    </row>
    <row r="9" spans="1:45" ht="47" thickTop="1">
      <c r="A9" s="197"/>
      <c r="B9" s="684" t="s">
        <v>5330</v>
      </c>
      <c r="C9" s="685" t="s">
        <v>137</v>
      </c>
      <c r="D9" s="685">
        <v>3</v>
      </c>
      <c r="E9" s="686">
        <v>46.140999999999998</v>
      </c>
      <c r="F9" s="686">
        <v>337.767</v>
      </c>
      <c r="G9" s="686">
        <v>497.17200000000003</v>
      </c>
      <c r="H9" s="686">
        <v>66.248000000000005</v>
      </c>
      <c r="I9" s="686">
        <v>0</v>
      </c>
      <c r="J9" s="686">
        <v>112.851</v>
      </c>
      <c r="K9" s="686">
        <v>942.04600000000005</v>
      </c>
      <c r="L9" s="686">
        <v>1573.123</v>
      </c>
      <c r="M9" s="686">
        <v>195.53200000000001</v>
      </c>
      <c r="N9" s="687">
        <v>0</v>
      </c>
      <c r="O9" s="313"/>
      <c r="P9" s="688" t="s">
        <v>5331</v>
      </c>
      <c r="Q9" s="197"/>
      <c r="R9" s="250"/>
      <c r="S9" s="197"/>
      <c r="T9" s="2578"/>
      <c r="U9" s="251">
        <f>IF( SUM( W9:AF9 ) = 0, 0, $W$5 )</f>
        <v>0</v>
      </c>
      <c r="V9" s="2577"/>
      <c r="W9" s="252">
        <f xml:space="preserve"> IF( ISNUMBER( E9 ), 0, 1 )</f>
        <v>0</v>
      </c>
      <c r="X9" s="252">
        <f t="shared" ref="X9:AF9" si="0" xml:space="preserve"> IF( ISNUMBER( F9 ), 0, 1 )</f>
        <v>0</v>
      </c>
      <c r="Y9" s="252">
        <f t="shared" si="0"/>
        <v>0</v>
      </c>
      <c r="Z9" s="252">
        <f t="shared" si="0"/>
        <v>0</v>
      </c>
      <c r="AA9" s="252">
        <f t="shared" si="0"/>
        <v>0</v>
      </c>
      <c r="AB9" s="252">
        <f t="shared" si="0"/>
        <v>0</v>
      </c>
      <c r="AC9" s="252">
        <f t="shared" si="0"/>
        <v>0</v>
      </c>
      <c r="AD9" s="252">
        <f t="shared" si="0"/>
        <v>0</v>
      </c>
      <c r="AE9" s="252">
        <f t="shared" si="0"/>
        <v>0</v>
      </c>
      <c r="AF9" s="252">
        <f t="shared" si="0"/>
        <v>0</v>
      </c>
      <c r="AG9" s="2577"/>
      <c r="AH9" s="2562"/>
      <c r="AI9" s="684" t="s">
        <v>5332</v>
      </c>
      <c r="AJ9" s="686" t="s">
        <v>5333</v>
      </c>
      <c r="AK9" s="686" t="s">
        <v>5334</v>
      </c>
      <c r="AL9" s="686" t="s">
        <v>5335</v>
      </c>
      <c r="AM9" s="686" t="s">
        <v>5336</v>
      </c>
      <c r="AN9" s="686" t="s">
        <v>5337</v>
      </c>
      <c r="AO9" s="686" t="s">
        <v>5338</v>
      </c>
      <c r="AP9" s="686" t="s">
        <v>5339</v>
      </c>
      <c r="AQ9" s="686" t="s">
        <v>5340</v>
      </c>
      <c r="AR9" s="686" t="s">
        <v>5341</v>
      </c>
      <c r="AS9" s="687" t="s">
        <v>5342</v>
      </c>
    </row>
    <row r="10" spans="1:45" ht="32.25" customHeight="1">
      <c r="A10" s="197"/>
      <c r="B10" s="689" t="s">
        <v>5343</v>
      </c>
      <c r="C10" s="290" t="s">
        <v>137</v>
      </c>
      <c r="D10" s="290">
        <v>3</v>
      </c>
      <c r="E10" s="690">
        <v>57.008000000000003</v>
      </c>
      <c r="F10" s="690">
        <v>419.767</v>
      </c>
      <c r="G10" s="690">
        <v>427.08300000000003</v>
      </c>
      <c r="H10" s="690">
        <v>51.427</v>
      </c>
      <c r="I10" s="690">
        <v>0</v>
      </c>
      <c r="J10" s="690">
        <v>126.81399999999999</v>
      </c>
      <c r="K10" s="690">
        <v>1081.296</v>
      </c>
      <c r="L10" s="690">
        <v>1194.2190000000001</v>
      </c>
      <c r="M10" s="690">
        <v>155.851</v>
      </c>
      <c r="N10" s="691">
        <v>0</v>
      </c>
      <c r="O10" s="313"/>
      <c r="P10" s="692" t="s">
        <v>5344</v>
      </c>
      <c r="Q10" s="197"/>
      <c r="R10" s="258"/>
      <c r="S10" s="197"/>
      <c r="T10" s="2578"/>
      <c r="U10" s="251">
        <f t="shared" ref="U10:U12" si="1">IF( SUM( W10:AF10 ) = 0, 0, $W$5 )</f>
        <v>0</v>
      </c>
      <c r="V10" s="2577"/>
      <c r="W10" s="252">
        <f t="shared" ref="W10:W12" si="2" xml:space="preserve"> IF( ISNUMBER( E10 ), 0, 1 )</f>
        <v>0</v>
      </c>
      <c r="X10" s="252">
        <f t="shared" ref="X10:X12" si="3" xml:space="preserve"> IF( ISNUMBER( F10 ), 0, 1 )</f>
        <v>0</v>
      </c>
      <c r="Y10" s="252">
        <f t="shared" ref="Y10:Y12" si="4" xml:space="preserve"> IF( ISNUMBER( G10 ), 0, 1 )</f>
        <v>0</v>
      </c>
      <c r="Z10" s="252">
        <f t="shared" ref="Z10:Z12" si="5" xml:space="preserve"> IF( ISNUMBER( H10 ), 0, 1 )</f>
        <v>0</v>
      </c>
      <c r="AA10" s="252">
        <f t="shared" ref="AA10:AA12" si="6" xml:space="preserve"> IF( ISNUMBER( I10 ), 0, 1 )</f>
        <v>0</v>
      </c>
      <c r="AB10" s="252">
        <f t="shared" ref="AB10:AB12" si="7" xml:space="preserve"> IF( ISNUMBER( J10 ), 0, 1 )</f>
        <v>0</v>
      </c>
      <c r="AC10" s="252">
        <f t="shared" ref="AC10:AC12" si="8" xml:space="preserve"> IF( ISNUMBER( K10 ), 0, 1 )</f>
        <v>0</v>
      </c>
      <c r="AD10" s="252">
        <f t="shared" ref="AD10:AD12" si="9" xml:space="preserve"> IF( ISNUMBER( L10 ), 0, 1 )</f>
        <v>0</v>
      </c>
      <c r="AE10" s="252">
        <f t="shared" ref="AE10:AE12" si="10" xml:space="preserve"> IF( ISNUMBER( M10 ), 0, 1 )</f>
        <v>0</v>
      </c>
      <c r="AF10" s="252">
        <f t="shared" ref="AF10:AF12" si="11" xml:space="preserve"> IF( ISNUMBER( N10 ), 0, 1 )</f>
        <v>0</v>
      </c>
      <c r="AG10" s="2577"/>
      <c r="AH10" s="2562"/>
      <c r="AI10" s="689" t="s">
        <v>5345</v>
      </c>
      <c r="AJ10" s="690" t="s">
        <v>5346</v>
      </c>
      <c r="AK10" s="690" t="s">
        <v>5347</v>
      </c>
      <c r="AL10" s="690" t="s">
        <v>5348</v>
      </c>
      <c r="AM10" s="690" t="s">
        <v>5349</v>
      </c>
      <c r="AN10" s="690" t="s">
        <v>5350</v>
      </c>
      <c r="AO10" s="690" t="s">
        <v>5351</v>
      </c>
      <c r="AP10" s="690" t="s">
        <v>5352</v>
      </c>
      <c r="AQ10" s="690" t="s">
        <v>5353</v>
      </c>
      <c r="AR10" s="690" t="s">
        <v>5354</v>
      </c>
      <c r="AS10" s="691" t="s">
        <v>5355</v>
      </c>
    </row>
    <row r="11" spans="1:45" ht="15.75" customHeight="1">
      <c r="A11" s="197"/>
      <c r="B11" s="689" t="s">
        <v>5356</v>
      </c>
      <c r="C11" s="290" t="s">
        <v>137</v>
      </c>
      <c r="D11" s="290">
        <v>3</v>
      </c>
      <c r="E11" s="690">
        <v>0</v>
      </c>
      <c r="F11" s="690">
        <v>0</v>
      </c>
      <c r="G11" s="690">
        <v>0</v>
      </c>
      <c r="H11" s="690">
        <v>0</v>
      </c>
      <c r="I11" s="690">
        <v>0</v>
      </c>
      <c r="J11" s="690">
        <v>0.40500000000000003</v>
      </c>
      <c r="K11" s="690">
        <v>0.79300000000000004</v>
      </c>
      <c r="L11" s="690">
        <v>5.3570000000000002</v>
      </c>
      <c r="M11" s="690">
        <v>8.3000000000000004E-2</v>
      </c>
      <c r="N11" s="691">
        <v>0</v>
      </c>
      <c r="O11" s="313"/>
      <c r="P11" s="692" t="s">
        <v>5357</v>
      </c>
      <c r="Q11" s="197"/>
      <c r="R11" s="258"/>
      <c r="S11" s="197"/>
      <c r="T11" s="2578"/>
      <c r="U11" s="251">
        <f t="shared" si="1"/>
        <v>0</v>
      </c>
      <c r="V11" s="2577"/>
      <c r="W11" s="252">
        <f t="shared" si="2"/>
        <v>0</v>
      </c>
      <c r="X11" s="252">
        <f t="shared" si="3"/>
        <v>0</v>
      </c>
      <c r="Y11" s="252">
        <f t="shared" si="4"/>
        <v>0</v>
      </c>
      <c r="Z11" s="252">
        <f t="shared" si="5"/>
        <v>0</v>
      </c>
      <c r="AA11" s="252">
        <f t="shared" si="6"/>
        <v>0</v>
      </c>
      <c r="AB11" s="252">
        <f t="shared" si="7"/>
        <v>0</v>
      </c>
      <c r="AC11" s="252">
        <f t="shared" si="8"/>
        <v>0</v>
      </c>
      <c r="AD11" s="252">
        <f t="shared" si="9"/>
        <v>0</v>
      </c>
      <c r="AE11" s="252">
        <f t="shared" si="10"/>
        <v>0</v>
      </c>
      <c r="AF11" s="252">
        <f t="shared" si="11"/>
        <v>0</v>
      </c>
      <c r="AG11" s="2577"/>
      <c r="AH11" s="2562"/>
      <c r="AI11" s="689" t="s">
        <v>5356</v>
      </c>
      <c r="AJ11" s="690" t="s">
        <v>5358</v>
      </c>
      <c r="AK11" s="690" t="s">
        <v>5359</v>
      </c>
      <c r="AL11" s="690" t="s">
        <v>5360</v>
      </c>
      <c r="AM11" s="690" t="s">
        <v>5361</v>
      </c>
      <c r="AN11" s="690" t="s">
        <v>5362</v>
      </c>
      <c r="AO11" s="690" t="s">
        <v>5363</v>
      </c>
      <c r="AP11" s="690" t="s">
        <v>5364</v>
      </c>
      <c r="AQ11" s="690" t="s">
        <v>5365</v>
      </c>
      <c r="AR11" s="690" t="s">
        <v>5366</v>
      </c>
      <c r="AS11" s="691" t="s">
        <v>5367</v>
      </c>
    </row>
    <row r="12" spans="1:45" ht="15.75" customHeight="1">
      <c r="A12" s="197"/>
      <c r="B12" s="689" t="s">
        <v>5368</v>
      </c>
      <c r="C12" s="290" t="s">
        <v>137</v>
      </c>
      <c r="D12" s="290">
        <v>3</v>
      </c>
      <c r="E12" s="690">
        <v>1E-3</v>
      </c>
      <c r="F12" s="690">
        <v>0.73799999999999999</v>
      </c>
      <c r="G12" s="690">
        <v>2.202</v>
      </c>
      <c r="H12" s="690">
        <v>2E-3</v>
      </c>
      <c r="I12" s="690">
        <v>0</v>
      </c>
      <c r="J12" s="690">
        <v>8.9999999999999993E-3</v>
      </c>
      <c r="K12" s="690">
        <v>1.786</v>
      </c>
      <c r="L12" s="690">
        <v>4.4779999999999998</v>
      </c>
      <c r="M12" s="690">
        <v>4.7E-2</v>
      </c>
      <c r="N12" s="693">
        <v>0</v>
      </c>
      <c r="O12" s="313"/>
      <c r="P12" s="692" t="s">
        <v>5369</v>
      </c>
      <c r="Q12" s="197"/>
      <c r="R12" s="258"/>
      <c r="S12" s="197"/>
      <c r="T12" s="2578"/>
      <c r="U12" s="251">
        <f t="shared" si="1"/>
        <v>0</v>
      </c>
      <c r="V12" s="2577"/>
      <c r="W12" s="252">
        <f t="shared" si="2"/>
        <v>0</v>
      </c>
      <c r="X12" s="252">
        <f t="shared" si="3"/>
        <v>0</v>
      </c>
      <c r="Y12" s="252">
        <f t="shared" si="4"/>
        <v>0</v>
      </c>
      <c r="Z12" s="252">
        <f t="shared" si="5"/>
        <v>0</v>
      </c>
      <c r="AA12" s="252">
        <f t="shared" si="6"/>
        <v>0</v>
      </c>
      <c r="AB12" s="252">
        <f t="shared" si="7"/>
        <v>0</v>
      </c>
      <c r="AC12" s="252">
        <f t="shared" si="8"/>
        <v>0</v>
      </c>
      <c r="AD12" s="252">
        <f t="shared" si="9"/>
        <v>0</v>
      </c>
      <c r="AE12" s="252">
        <f t="shared" si="10"/>
        <v>0</v>
      </c>
      <c r="AF12" s="252">
        <f t="shared" si="11"/>
        <v>0</v>
      </c>
      <c r="AG12" s="2577"/>
      <c r="AH12" s="2562"/>
      <c r="AI12" s="689" t="s">
        <v>5368</v>
      </c>
      <c r="AJ12" s="690" t="s">
        <v>5370</v>
      </c>
      <c r="AK12" s="690" t="s">
        <v>5371</v>
      </c>
      <c r="AL12" s="690" t="s">
        <v>5372</v>
      </c>
      <c r="AM12" s="690" t="s">
        <v>5373</v>
      </c>
      <c r="AN12" s="690" t="s">
        <v>5374</v>
      </c>
      <c r="AO12" s="690" t="s">
        <v>5375</v>
      </c>
      <c r="AP12" s="690" t="s">
        <v>5376</v>
      </c>
      <c r="AQ12" s="690" t="s">
        <v>5377</v>
      </c>
      <c r="AR12" s="690" t="s">
        <v>5378</v>
      </c>
      <c r="AS12" s="693" t="s">
        <v>5379</v>
      </c>
    </row>
    <row r="13" spans="1:45" ht="33" customHeight="1">
      <c r="A13" s="197"/>
      <c r="B13" s="689" t="s">
        <v>5380</v>
      </c>
      <c r="C13" s="290" t="s">
        <v>137</v>
      </c>
      <c r="D13" s="290">
        <v>3</v>
      </c>
      <c r="E13" s="694">
        <v>57.007000000000005</v>
      </c>
      <c r="F13" s="694">
        <v>419.029</v>
      </c>
      <c r="G13" s="694">
        <v>424.88100000000003</v>
      </c>
      <c r="H13" s="694">
        <v>51.424999999999997</v>
      </c>
      <c r="I13" s="694">
        <v>0</v>
      </c>
      <c r="J13" s="694">
        <v>127.21</v>
      </c>
      <c r="K13" s="694">
        <v>1080.3029999999999</v>
      </c>
      <c r="L13" s="694">
        <v>1195.098</v>
      </c>
      <c r="M13" s="694">
        <v>155.887</v>
      </c>
      <c r="N13" s="695">
        <v>0</v>
      </c>
      <c r="O13" s="313"/>
      <c r="P13" s="692" t="s">
        <v>5381</v>
      </c>
      <c r="Q13" s="197"/>
      <c r="R13" s="258"/>
      <c r="S13" s="197"/>
      <c r="T13" s="2578"/>
      <c r="U13" s="2573"/>
      <c r="V13" s="2577"/>
      <c r="W13" s="2562"/>
      <c r="X13" s="2562"/>
      <c r="Y13" s="2562"/>
      <c r="Z13" s="2562"/>
      <c r="AA13" s="2562"/>
      <c r="AB13" s="2562"/>
      <c r="AC13" s="2562"/>
      <c r="AD13" s="2562"/>
      <c r="AE13" s="2562"/>
      <c r="AF13" s="2562"/>
      <c r="AG13" s="2577"/>
      <c r="AH13" s="2562"/>
      <c r="AI13" s="689" t="s">
        <v>5380</v>
      </c>
      <c r="AJ13" s="694" t="s">
        <v>5382</v>
      </c>
      <c r="AK13" s="694" t="s">
        <v>5383</v>
      </c>
      <c r="AL13" s="694" t="s">
        <v>5384</v>
      </c>
      <c r="AM13" s="694" t="s">
        <v>5385</v>
      </c>
      <c r="AN13" s="694" t="s">
        <v>5386</v>
      </c>
      <c r="AO13" s="694" t="s">
        <v>5387</v>
      </c>
      <c r="AP13" s="694" t="s">
        <v>5388</v>
      </c>
      <c r="AQ13" s="694" t="s">
        <v>5389</v>
      </c>
      <c r="AR13" s="694" t="s">
        <v>5390</v>
      </c>
      <c r="AS13" s="695" t="s">
        <v>5391</v>
      </c>
    </row>
    <row r="14" spans="1:45" ht="15.75" customHeight="1">
      <c r="A14" s="197"/>
      <c r="B14" s="689" t="s">
        <v>5392</v>
      </c>
      <c r="C14" s="290" t="s">
        <v>137</v>
      </c>
      <c r="D14" s="290">
        <v>3</v>
      </c>
      <c r="E14" s="694">
        <v>10.866000000000007</v>
      </c>
      <c r="F14" s="694">
        <v>81.262</v>
      </c>
      <c r="G14" s="694">
        <v>-72.290999999999997</v>
      </c>
      <c r="H14" s="694">
        <v>-14.823000000000008</v>
      </c>
      <c r="I14" s="694">
        <v>0</v>
      </c>
      <c r="J14" s="694">
        <v>14.358999999999995</v>
      </c>
      <c r="K14" s="694">
        <v>138.25699999999983</v>
      </c>
      <c r="L14" s="694">
        <v>-378.02500000000009</v>
      </c>
      <c r="M14" s="694">
        <v>-39.64500000000001</v>
      </c>
      <c r="N14" s="695">
        <v>0</v>
      </c>
      <c r="O14" s="313"/>
      <c r="P14" s="692" t="s">
        <v>5393</v>
      </c>
      <c r="Q14" s="197"/>
      <c r="R14" s="258"/>
      <c r="S14" s="197"/>
      <c r="T14" s="2578"/>
      <c r="U14" s="2573"/>
      <c r="V14" s="2577"/>
      <c r="W14" s="2562"/>
      <c r="X14" s="2562"/>
      <c r="Y14" s="2562"/>
      <c r="Z14" s="2562"/>
      <c r="AA14" s="2562"/>
      <c r="AB14" s="2562"/>
      <c r="AC14" s="2562"/>
      <c r="AD14" s="2562"/>
      <c r="AE14" s="2562"/>
      <c r="AF14" s="2562"/>
      <c r="AG14" s="2577"/>
      <c r="AH14" s="2562"/>
      <c r="AI14" s="689" t="s">
        <v>5392</v>
      </c>
      <c r="AJ14" s="694" t="s">
        <v>5394</v>
      </c>
      <c r="AK14" s="694" t="s">
        <v>5395</v>
      </c>
      <c r="AL14" s="694" t="s">
        <v>5396</v>
      </c>
      <c r="AM14" s="694" t="s">
        <v>5397</v>
      </c>
      <c r="AN14" s="694" t="s">
        <v>5398</v>
      </c>
      <c r="AO14" s="694" t="s">
        <v>5399</v>
      </c>
      <c r="AP14" s="694" t="s">
        <v>5400</v>
      </c>
      <c r="AQ14" s="694" t="s">
        <v>5401</v>
      </c>
      <c r="AR14" s="694" t="s">
        <v>5402</v>
      </c>
      <c r="AS14" s="695" t="s">
        <v>5403</v>
      </c>
    </row>
    <row r="15" spans="1:45" ht="15.75" customHeight="1">
      <c r="A15" s="197"/>
      <c r="B15" s="689" t="s">
        <v>5404</v>
      </c>
      <c r="C15" s="290" t="s">
        <v>137</v>
      </c>
      <c r="D15" s="290">
        <v>3</v>
      </c>
      <c r="E15" s="696">
        <v>-0.23202976723756574</v>
      </c>
      <c r="F15" s="696">
        <v>-25.981738418898715</v>
      </c>
      <c r="G15" s="696">
        <v>-63.885749456110716</v>
      </c>
      <c r="H15" s="696">
        <v>-5.0670282670679434</v>
      </c>
      <c r="I15" s="696">
        <v>0</v>
      </c>
      <c r="J15" s="696">
        <v>-6.2813668310539583E-3</v>
      </c>
      <c r="K15" s="696">
        <v>-3.8704011114205628E-2</v>
      </c>
      <c r="L15" s="696">
        <v>-450.03681053081959</v>
      </c>
      <c r="M15" s="696">
        <v>-19.633846994293485</v>
      </c>
      <c r="N15" s="697">
        <v>0</v>
      </c>
      <c r="O15" s="313"/>
      <c r="P15" s="692" t="s">
        <v>5405</v>
      </c>
      <c r="Q15" s="197"/>
      <c r="R15" s="258"/>
      <c r="S15" s="197"/>
      <c r="T15" s="2578"/>
      <c r="U15" s="251">
        <f>IF( SUM( W15:AF15 ) = 0, 0, $W$5 )</f>
        <v>0</v>
      </c>
      <c r="V15" s="2577"/>
      <c r="W15" s="252">
        <f t="shared" ref="W15" si="12" xml:space="preserve"> IF( ISNUMBER( E15 ), 0, 1 )</f>
        <v>0</v>
      </c>
      <c r="X15" s="252">
        <f t="shared" ref="X15" si="13" xml:space="preserve"> IF( ISNUMBER( F15 ), 0, 1 )</f>
        <v>0</v>
      </c>
      <c r="Y15" s="252">
        <f t="shared" ref="Y15" si="14" xml:space="preserve"> IF( ISNUMBER( G15 ), 0, 1 )</f>
        <v>0</v>
      </c>
      <c r="Z15" s="252">
        <f t="shared" ref="Z15" si="15" xml:space="preserve"> IF( ISNUMBER( H15 ), 0, 1 )</f>
        <v>0</v>
      </c>
      <c r="AA15" s="252">
        <f t="shared" ref="AA15" si="16" xml:space="preserve"> IF( ISNUMBER( I15 ), 0, 1 )</f>
        <v>0</v>
      </c>
      <c r="AB15" s="252">
        <f t="shared" ref="AB15" si="17" xml:space="preserve"> IF( ISNUMBER( J15 ), 0, 1 )</f>
        <v>0</v>
      </c>
      <c r="AC15" s="252">
        <f t="shared" ref="AC15" si="18" xml:space="preserve"> IF( ISNUMBER( K15 ), 0, 1 )</f>
        <v>0</v>
      </c>
      <c r="AD15" s="252">
        <f t="shared" ref="AD15" si="19" xml:space="preserve"> IF( ISNUMBER( L15 ), 0, 1 )</f>
        <v>0</v>
      </c>
      <c r="AE15" s="252">
        <f t="shared" ref="AE15" si="20" xml:space="preserve"> IF( ISNUMBER( M15 ), 0, 1 )</f>
        <v>0</v>
      </c>
      <c r="AF15" s="252">
        <f t="shared" ref="AF15" si="21" xml:space="preserve"> IF( ISNUMBER( N15 ), 0, 1 )</f>
        <v>0</v>
      </c>
      <c r="AG15" s="2577"/>
      <c r="AH15" s="2562"/>
      <c r="AI15" s="689" t="s">
        <v>5404</v>
      </c>
      <c r="AJ15" s="696" t="s">
        <v>5406</v>
      </c>
      <c r="AK15" s="696" t="s">
        <v>5407</v>
      </c>
      <c r="AL15" s="696" t="s">
        <v>5408</v>
      </c>
      <c r="AM15" s="696" t="s">
        <v>5409</v>
      </c>
      <c r="AN15" s="696" t="s">
        <v>5410</v>
      </c>
      <c r="AO15" s="696" t="s">
        <v>5411</v>
      </c>
      <c r="AP15" s="696" t="s">
        <v>5412</v>
      </c>
      <c r="AQ15" s="696" t="s">
        <v>5413</v>
      </c>
      <c r="AR15" s="696" t="s">
        <v>5414</v>
      </c>
      <c r="AS15" s="697" t="s">
        <v>5415</v>
      </c>
    </row>
    <row r="16" spans="1:45" ht="15.75" customHeight="1">
      <c r="A16" s="197"/>
      <c r="B16" s="689" t="s">
        <v>5416</v>
      </c>
      <c r="C16" s="290" t="s">
        <v>137</v>
      </c>
      <c r="D16" s="290">
        <v>3</v>
      </c>
      <c r="E16" s="694">
        <v>11.098029767237573</v>
      </c>
      <c r="F16" s="694">
        <v>107.24373841889872</v>
      </c>
      <c r="G16" s="694">
        <v>-8.4052505438892808</v>
      </c>
      <c r="H16" s="694">
        <v>-9.7559717329320641</v>
      </c>
      <c r="I16" s="694">
        <v>0</v>
      </c>
      <c r="J16" s="694">
        <v>14.365281366831049</v>
      </c>
      <c r="K16" s="694">
        <v>138.29570401111403</v>
      </c>
      <c r="L16" s="694">
        <v>72.011810530819503</v>
      </c>
      <c r="M16" s="694">
        <v>-20.011153005706525</v>
      </c>
      <c r="N16" s="695">
        <v>0</v>
      </c>
      <c r="O16" s="313"/>
      <c r="P16" s="692" t="s">
        <v>5417</v>
      </c>
      <c r="Q16" s="197"/>
      <c r="R16" s="258"/>
      <c r="S16" s="197"/>
      <c r="T16" s="2578"/>
      <c r="U16" s="2573"/>
      <c r="V16" s="2577"/>
      <c r="W16" s="2562"/>
      <c r="X16" s="2562"/>
      <c r="Y16" s="2562"/>
      <c r="Z16" s="2562"/>
      <c r="AA16" s="2562"/>
      <c r="AB16" s="2562"/>
      <c r="AC16" s="2562"/>
      <c r="AD16" s="2562"/>
      <c r="AE16" s="2562"/>
      <c r="AF16" s="2562"/>
      <c r="AG16" s="2577"/>
      <c r="AH16" s="2562"/>
      <c r="AI16" s="689" t="s">
        <v>5416</v>
      </c>
      <c r="AJ16" s="694" t="s">
        <v>5418</v>
      </c>
      <c r="AK16" s="694" t="s">
        <v>5419</v>
      </c>
      <c r="AL16" s="694" t="s">
        <v>5420</v>
      </c>
      <c r="AM16" s="694" t="s">
        <v>5421</v>
      </c>
      <c r="AN16" s="694" t="s">
        <v>5422</v>
      </c>
      <c r="AO16" s="694" t="s">
        <v>5423</v>
      </c>
      <c r="AP16" s="694" t="s">
        <v>5424</v>
      </c>
      <c r="AQ16" s="694" t="s">
        <v>5425</v>
      </c>
      <c r="AR16" s="694" t="s">
        <v>5426</v>
      </c>
      <c r="AS16" s="695" t="s">
        <v>5427</v>
      </c>
    </row>
    <row r="17" spans="1:45" ht="15.75" customHeight="1">
      <c r="A17" s="197"/>
      <c r="B17" s="689" t="s">
        <v>5428</v>
      </c>
      <c r="C17" s="290" t="s">
        <v>1344</v>
      </c>
      <c r="D17" s="290">
        <v>2</v>
      </c>
      <c r="E17" s="1953">
        <v>0.55000000000000004</v>
      </c>
      <c r="F17" s="1953">
        <v>0.55000000000000004</v>
      </c>
      <c r="G17" s="1953">
        <v>0.55000000000000004</v>
      </c>
      <c r="H17" s="1953">
        <v>0</v>
      </c>
      <c r="I17" s="1953">
        <v>0</v>
      </c>
      <c r="J17" s="1953">
        <v>0.55000000000000004</v>
      </c>
      <c r="K17" s="1953">
        <v>0.55000000000000004</v>
      </c>
      <c r="L17" s="1953">
        <v>0.55000000000000004</v>
      </c>
      <c r="M17" s="1953">
        <v>0</v>
      </c>
      <c r="N17" s="1954">
        <v>0</v>
      </c>
      <c r="O17" s="313"/>
      <c r="P17" s="700" t="s">
        <v>5429</v>
      </c>
      <c r="Q17" s="197"/>
      <c r="R17" s="258"/>
      <c r="S17" s="197"/>
      <c r="T17" s="2578"/>
      <c r="U17" s="251">
        <f t="shared" ref="U17:U18" si="22">IF( SUM( W17:AF17 ) = 0, 0, $W$5 )</f>
        <v>0</v>
      </c>
      <c r="V17" s="2577"/>
      <c r="W17" s="252">
        <f t="shared" ref="W17:W18" si="23" xml:space="preserve"> IF( ISNUMBER( E17 ), 0, 1 )</f>
        <v>0</v>
      </c>
      <c r="X17" s="252">
        <f t="shared" ref="X17:X18" si="24" xml:space="preserve"> IF( ISNUMBER( F17 ), 0, 1 )</f>
        <v>0</v>
      </c>
      <c r="Y17" s="252">
        <f t="shared" ref="Y17:Y18" si="25" xml:space="preserve"> IF( ISNUMBER( G17 ), 0, 1 )</f>
        <v>0</v>
      </c>
      <c r="Z17" s="252">
        <f t="shared" ref="Z17:Z18" si="26" xml:space="preserve"> IF( ISNUMBER( H17 ), 0, 1 )</f>
        <v>0</v>
      </c>
      <c r="AA17" s="252">
        <f t="shared" ref="AA17:AA18" si="27" xml:space="preserve"> IF( ISNUMBER( I17 ), 0, 1 )</f>
        <v>0</v>
      </c>
      <c r="AB17" s="252">
        <f t="shared" ref="AB17:AB18" si="28" xml:space="preserve"> IF( ISNUMBER( J17 ), 0, 1 )</f>
        <v>0</v>
      </c>
      <c r="AC17" s="252">
        <f t="shared" ref="AC17:AC18" si="29" xml:space="preserve"> IF( ISNUMBER( K17 ), 0, 1 )</f>
        <v>0</v>
      </c>
      <c r="AD17" s="252">
        <f t="shared" ref="AD17:AD18" si="30" xml:space="preserve"> IF( ISNUMBER( L17 ), 0, 1 )</f>
        <v>0</v>
      </c>
      <c r="AE17" s="252">
        <f t="shared" ref="AE17:AE18" si="31" xml:space="preserve"> IF( ISNUMBER( M17 ), 0, 1 )</f>
        <v>0</v>
      </c>
      <c r="AF17" s="252">
        <f t="shared" ref="AF17:AF18" si="32" xml:space="preserve"> IF( ISNUMBER( N17 ), 0, 1 )</f>
        <v>0</v>
      </c>
      <c r="AG17" s="2577"/>
      <c r="AH17" s="2562"/>
      <c r="AI17" s="689" t="s">
        <v>5428</v>
      </c>
      <c r="AJ17" s="698" t="s">
        <v>5430</v>
      </c>
      <c r="AK17" s="698" t="s">
        <v>5431</v>
      </c>
      <c r="AL17" s="698" t="s">
        <v>5432</v>
      </c>
      <c r="AM17" s="698" t="s">
        <v>5433</v>
      </c>
      <c r="AN17" s="698" t="s">
        <v>5434</v>
      </c>
      <c r="AO17" s="698" t="s">
        <v>5435</v>
      </c>
      <c r="AP17" s="698" t="s">
        <v>5436</v>
      </c>
      <c r="AQ17" s="698" t="s">
        <v>5437</v>
      </c>
      <c r="AR17" s="698" t="s">
        <v>5438</v>
      </c>
      <c r="AS17" s="699" t="s">
        <v>5439</v>
      </c>
    </row>
    <row r="18" spans="1:45" ht="15.75" customHeight="1">
      <c r="A18" s="197"/>
      <c r="B18" s="689" t="s">
        <v>5440</v>
      </c>
      <c r="C18" s="290" t="s">
        <v>1344</v>
      </c>
      <c r="D18" s="290">
        <v>2</v>
      </c>
      <c r="E18" s="701">
        <v>0.44999999999999996</v>
      </c>
      <c r="F18" s="701">
        <v>0.44999999999999996</v>
      </c>
      <c r="G18" s="701">
        <v>0.44999999999999996</v>
      </c>
      <c r="H18" s="701">
        <v>0</v>
      </c>
      <c r="I18" s="701">
        <v>0</v>
      </c>
      <c r="J18" s="701">
        <v>0.44999999999999996</v>
      </c>
      <c r="K18" s="701">
        <v>0.44999999999999996</v>
      </c>
      <c r="L18" s="701">
        <v>0.44999999999999996</v>
      </c>
      <c r="M18" s="1953">
        <v>0</v>
      </c>
      <c r="N18" s="702">
        <v>0</v>
      </c>
      <c r="O18" s="313"/>
      <c r="P18" s="700" t="s">
        <v>5441</v>
      </c>
      <c r="Q18" s="197"/>
      <c r="R18" s="258"/>
      <c r="S18" s="197"/>
      <c r="T18" s="2578"/>
      <c r="U18" s="251">
        <f t="shared" si="22"/>
        <v>0</v>
      </c>
      <c r="V18" s="2577"/>
      <c r="W18" s="252">
        <f t="shared" si="23"/>
        <v>0</v>
      </c>
      <c r="X18" s="252">
        <f t="shared" si="24"/>
        <v>0</v>
      </c>
      <c r="Y18" s="252">
        <f t="shared" si="25"/>
        <v>0</v>
      </c>
      <c r="Z18" s="252">
        <f t="shared" si="26"/>
        <v>0</v>
      </c>
      <c r="AA18" s="252">
        <f t="shared" si="27"/>
        <v>0</v>
      </c>
      <c r="AB18" s="252">
        <f t="shared" si="28"/>
        <v>0</v>
      </c>
      <c r="AC18" s="252">
        <f t="shared" si="29"/>
        <v>0</v>
      </c>
      <c r="AD18" s="252">
        <f t="shared" si="30"/>
        <v>0</v>
      </c>
      <c r="AE18" s="252">
        <f t="shared" si="31"/>
        <v>0</v>
      </c>
      <c r="AF18" s="252">
        <f t="shared" si="32"/>
        <v>0</v>
      </c>
      <c r="AG18" s="2577"/>
      <c r="AH18" s="2562"/>
      <c r="AI18" s="689" t="s">
        <v>5440</v>
      </c>
      <c r="AJ18" s="701" t="s">
        <v>5442</v>
      </c>
      <c r="AK18" s="701" t="s">
        <v>5443</v>
      </c>
      <c r="AL18" s="701" t="s">
        <v>5444</v>
      </c>
      <c r="AM18" s="701" t="s">
        <v>5445</v>
      </c>
      <c r="AN18" s="701" t="s">
        <v>5446</v>
      </c>
      <c r="AO18" s="701" t="s">
        <v>5447</v>
      </c>
      <c r="AP18" s="701" t="s">
        <v>5448</v>
      </c>
      <c r="AQ18" s="701" t="s">
        <v>5449</v>
      </c>
      <c r="AR18" s="698" t="s">
        <v>5450</v>
      </c>
      <c r="AS18" s="702" t="s">
        <v>5451</v>
      </c>
    </row>
    <row r="19" spans="1:45" ht="15.75" customHeight="1">
      <c r="A19" s="197"/>
      <c r="B19" s="689" t="s">
        <v>5452</v>
      </c>
      <c r="C19" s="290" t="s">
        <v>137</v>
      </c>
      <c r="D19" s="290">
        <v>3</v>
      </c>
      <c r="E19" s="694">
        <v>4.9941133952569077</v>
      </c>
      <c r="F19" s="694">
        <v>48.259682288504415</v>
      </c>
      <c r="G19" s="694">
        <v>0</v>
      </c>
      <c r="H19" s="694">
        <v>0</v>
      </c>
      <c r="I19" s="694">
        <v>0</v>
      </c>
      <c r="J19" s="694">
        <v>6.464376615073971</v>
      </c>
      <c r="K19" s="694">
        <v>62.233066805001307</v>
      </c>
      <c r="L19" s="694">
        <v>32.405314738868775</v>
      </c>
      <c r="M19" s="694">
        <v>0</v>
      </c>
      <c r="N19" s="695">
        <v>0</v>
      </c>
      <c r="O19" s="313"/>
      <c r="P19" s="700" t="s">
        <v>5453</v>
      </c>
      <c r="Q19" s="197"/>
      <c r="R19" s="258"/>
      <c r="S19" s="197"/>
      <c r="T19" s="2578"/>
      <c r="U19" s="2573"/>
      <c r="V19" s="2577"/>
      <c r="W19" s="2562"/>
      <c r="X19" s="2562"/>
      <c r="Y19" s="2562"/>
      <c r="Z19" s="2562"/>
      <c r="AA19" s="2562"/>
      <c r="AB19" s="2562"/>
      <c r="AC19" s="2562"/>
      <c r="AD19" s="2562"/>
      <c r="AE19" s="2562"/>
      <c r="AF19" s="2562"/>
      <c r="AG19" s="2577"/>
      <c r="AH19" s="2562"/>
      <c r="AI19" s="689" t="s">
        <v>5452</v>
      </c>
      <c r="AJ19" s="694" t="s">
        <v>5454</v>
      </c>
      <c r="AK19" s="694" t="s">
        <v>5455</v>
      </c>
      <c r="AL19" s="694" t="s">
        <v>5456</v>
      </c>
      <c r="AM19" s="694" t="s">
        <v>5457</v>
      </c>
      <c r="AN19" s="694" t="s">
        <v>5458</v>
      </c>
      <c r="AO19" s="694" t="s">
        <v>5459</v>
      </c>
      <c r="AP19" s="694" t="s">
        <v>5460</v>
      </c>
      <c r="AQ19" s="694" t="s">
        <v>5461</v>
      </c>
      <c r="AR19" s="694" t="s">
        <v>5462</v>
      </c>
      <c r="AS19" s="695" t="s">
        <v>5463</v>
      </c>
    </row>
    <row r="20" spans="1:45" ht="15.75" customHeight="1">
      <c r="A20" s="197"/>
      <c r="B20" s="689" t="s">
        <v>5464</v>
      </c>
      <c r="C20" s="290" t="s">
        <v>137</v>
      </c>
      <c r="D20" s="290">
        <v>3</v>
      </c>
      <c r="E20" s="694">
        <v>0</v>
      </c>
      <c r="F20" s="694">
        <v>0</v>
      </c>
      <c r="G20" s="694">
        <v>-4.6228877991391046</v>
      </c>
      <c r="H20" s="694">
        <v>0</v>
      </c>
      <c r="I20" s="694">
        <v>0</v>
      </c>
      <c r="J20" s="694">
        <v>0</v>
      </c>
      <c r="K20" s="694">
        <v>0</v>
      </c>
      <c r="L20" s="694">
        <v>0</v>
      </c>
      <c r="M20" s="694">
        <v>0</v>
      </c>
      <c r="N20" s="695">
        <v>0</v>
      </c>
      <c r="O20" s="313"/>
      <c r="P20" s="700" t="s">
        <v>5465</v>
      </c>
      <c r="Q20" s="197"/>
      <c r="R20" s="258"/>
      <c r="S20" s="197"/>
      <c r="T20" s="2578"/>
      <c r="U20" s="2573"/>
      <c r="V20" s="2577"/>
      <c r="W20" s="2562"/>
      <c r="X20" s="2562"/>
      <c r="Y20" s="2562"/>
      <c r="Z20" s="2562"/>
      <c r="AA20" s="2562"/>
      <c r="AB20" s="2562"/>
      <c r="AC20" s="2562"/>
      <c r="AD20" s="2562"/>
      <c r="AE20" s="2562"/>
      <c r="AF20" s="2562"/>
      <c r="AG20" s="2577"/>
      <c r="AH20" s="2562"/>
      <c r="AI20" s="689" t="s">
        <v>5464</v>
      </c>
      <c r="AJ20" s="694" t="s">
        <v>5466</v>
      </c>
      <c r="AK20" s="694" t="s">
        <v>5467</v>
      </c>
      <c r="AL20" s="694" t="s">
        <v>5468</v>
      </c>
      <c r="AM20" s="694" t="s">
        <v>5469</v>
      </c>
      <c r="AN20" s="694" t="s">
        <v>5470</v>
      </c>
      <c r="AO20" s="694" t="s">
        <v>5471</v>
      </c>
      <c r="AP20" s="694" t="s">
        <v>5472</v>
      </c>
      <c r="AQ20" s="694" t="s">
        <v>5473</v>
      </c>
      <c r="AR20" s="694" t="s">
        <v>5474</v>
      </c>
      <c r="AS20" s="695" t="s">
        <v>5475</v>
      </c>
    </row>
    <row r="21" spans="1:45" ht="15.75" customHeight="1">
      <c r="A21" s="197"/>
      <c r="B21" s="689" t="s">
        <v>5476</v>
      </c>
      <c r="C21" s="290" t="s">
        <v>137</v>
      </c>
      <c r="D21" s="290">
        <v>3</v>
      </c>
      <c r="E21" s="694">
        <v>6.1039163719806657</v>
      </c>
      <c r="F21" s="694">
        <v>58.984056130394301</v>
      </c>
      <c r="G21" s="694">
        <v>0</v>
      </c>
      <c r="H21" s="694">
        <v>0</v>
      </c>
      <c r="I21" s="694">
        <v>0</v>
      </c>
      <c r="J21" s="694">
        <v>7.9009047517570776</v>
      </c>
      <c r="K21" s="694">
        <v>76.062637206112726</v>
      </c>
      <c r="L21" s="694">
        <v>39.606495791950728</v>
      </c>
      <c r="M21" s="694">
        <v>0</v>
      </c>
      <c r="N21" s="695">
        <v>0</v>
      </c>
      <c r="O21" s="313"/>
      <c r="P21" s="700" t="s">
        <v>5477</v>
      </c>
      <c r="Q21" s="197"/>
      <c r="R21" s="258"/>
      <c r="S21" s="197"/>
      <c r="T21" s="2578"/>
      <c r="U21" s="2573"/>
      <c r="V21" s="2577"/>
      <c r="W21" s="2562"/>
      <c r="X21" s="2562"/>
      <c r="Y21" s="2562"/>
      <c r="Z21" s="2562"/>
      <c r="AA21" s="2562"/>
      <c r="AB21" s="2562"/>
      <c r="AC21" s="2562"/>
      <c r="AD21" s="2562"/>
      <c r="AE21" s="2562"/>
      <c r="AF21" s="2562"/>
      <c r="AG21" s="2577"/>
      <c r="AH21" s="2562"/>
      <c r="AI21" s="689" t="s">
        <v>5476</v>
      </c>
      <c r="AJ21" s="694" t="s">
        <v>5478</v>
      </c>
      <c r="AK21" s="694" t="s">
        <v>5479</v>
      </c>
      <c r="AL21" s="694" t="s">
        <v>5480</v>
      </c>
      <c r="AM21" s="694" t="s">
        <v>5481</v>
      </c>
      <c r="AN21" s="694" t="s">
        <v>5482</v>
      </c>
      <c r="AO21" s="694" t="s">
        <v>5483</v>
      </c>
      <c r="AP21" s="694" t="s">
        <v>5484</v>
      </c>
      <c r="AQ21" s="694" t="s">
        <v>5485</v>
      </c>
      <c r="AR21" s="694" t="s">
        <v>5486</v>
      </c>
      <c r="AS21" s="695" t="s">
        <v>5487</v>
      </c>
    </row>
    <row r="22" spans="1:45" ht="15.75" customHeight="1" thickBot="1">
      <c r="A22" s="197"/>
      <c r="B22" s="415" t="s">
        <v>5488</v>
      </c>
      <c r="C22" s="297" t="s">
        <v>137</v>
      </c>
      <c r="D22" s="297">
        <v>3</v>
      </c>
      <c r="E22" s="703">
        <v>0</v>
      </c>
      <c r="F22" s="703">
        <v>0</v>
      </c>
      <c r="G22" s="703">
        <v>-3.7823627447501762</v>
      </c>
      <c r="H22" s="703">
        <v>-9.7559717329320641</v>
      </c>
      <c r="I22" s="703">
        <v>0</v>
      </c>
      <c r="J22" s="703">
        <v>0</v>
      </c>
      <c r="K22" s="703">
        <v>0</v>
      </c>
      <c r="L22" s="703">
        <v>0</v>
      </c>
      <c r="M22" s="703">
        <v>-20.011153005706525</v>
      </c>
      <c r="N22" s="704">
        <v>0</v>
      </c>
      <c r="O22" s="313"/>
      <c r="P22" s="705" t="s">
        <v>5489</v>
      </c>
      <c r="Q22" s="197"/>
      <c r="R22" s="269"/>
      <c r="S22" s="197"/>
      <c r="T22" s="2578"/>
      <c r="U22" s="2573"/>
      <c r="V22" s="2577"/>
      <c r="W22" s="2562"/>
      <c r="X22" s="2562"/>
      <c r="Y22" s="2562"/>
      <c r="Z22" s="2562"/>
      <c r="AA22" s="2562"/>
      <c r="AB22" s="2562"/>
      <c r="AC22" s="2562"/>
      <c r="AD22" s="2562"/>
      <c r="AE22" s="2562"/>
      <c r="AF22" s="2562"/>
      <c r="AG22" s="2577"/>
      <c r="AH22" s="2562"/>
      <c r="AI22" s="415" t="s">
        <v>5488</v>
      </c>
      <c r="AJ22" s="703" t="s">
        <v>5490</v>
      </c>
      <c r="AK22" s="703" t="s">
        <v>5491</v>
      </c>
      <c r="AL22" s="703" t="s">
        <v>5492</v>
      </c>
      <c r="AM22" s="703" t="s">
        <v>5493</v>
      </c>
      <c r="AN22" s="703" t="s">
        <v>5494</v>
      </c>
      <c r="AO22" s="703" t="s">
        <v>5495</v>
      </c>
      <c r="AP22" s="703" t="s">
        <v>5496</v>
      </c>
      <c r="AQ22" s="703" t="s">
        <v>5497</v>
      </c>
      <c r="AR22" s="703" t="s">
        <v>5498</v>
      </c>
      <c r="AS22" s="704" t="s">
        <v>5499</v>
      </c>
    </row>
    <row r="23" spans="1:45" ht="15.75" customHeight="1" thickTop="1" thickBot="1">
      <c r="A23" s="197"/>
      <c r="B23" s="417"/>
      <c r="C23" s="417"/>
      <c r="D23" s="417"/>
      <c r="E23" s="313"/>
      <c r="F23" s="313"/>
      <c r="G23" s="313"/>
      <c r="H23" s="313"/>
      <c r="I23" s="313"/>
      <c r="J23" s="313"/>
      <c r="K23" s="313"/>
      <c r="L23" s="313"/>
      <c r="M23" s="313"/>
      <c r="N23" s="313"/>
      <c r="O23" s="197"/>
      <c r="P23" s="197"/>
      <c r="Q23" s="197"/>
      <c r="R23" s="197"/>
      <c r="S23" s="197"/>
      <c r="T23" s="2578"/>
      <c r="U23" s="2573"/>
      <c r="V23" s="2577"/>
      <c r="W23" s="2562"/>
      <c r="X23" s="2562"/>
      <c r="Y23" s="2562"/>
      <c r="Z23" s="2562"/>
      <c r="AA23" s="2562"/>
      <c r="AB23" s="2562"/>
      <c r="AC23" s="2562"/>
      <c r="AD23" s="2562"/>
      <c r="AE23" s="2562"/>
      <c r="AF23" s="2562"/>
      <c r="AG23" s="2577"/>
      <c r="AH23" s="2562"/>
      <c r="AI23" s="417"/>
      <c r="AJ23" s="313"/>
      <c r="AK23" s="313"/>
      <c r="AL23" s="313"/>
      <c r="AM23" s="313"/>
      <c r="AN23" s="313"/>
      <c r="AO23" s="313"/>
      <c r="AP23" s="313"/>
      <c r="AQ23" s="313"/>
      <c r="AR23" s="313"/>
      <c r="AS23" s="313"/>
    </row>
    <row r="24" spans="1:45" ht="15.75" customHeight="1" thickTop="1" thickBot="1">
      <c r="A24" s="197"/>
      <c r="B24" s="681" t="s">
        <v>5500</v>
      </c>
      <c r="C24" s="682"/>
      <c r="D24" s="682"/>
      <c r="E24" s="34"/>
      <c r="F24" s="313"/>
      <c r="G24" s="313"/>
      <c r="H24" s="313"/>
      <c r="I24" s="313"/>
      <c r="J24" s="313"/>
      <c r="K24" s="313"/>
      <c r="L24" s="313"/>
      <c r="M24" s="313"/>
      <c r="N24" s="313"/>
      <c r="O24" s="197"/>
      <c r="P24" s="197"/>
      <c r="Q24" s="197"/>
      <c r="R24" s="197"/>
      <c r="S24" s="197"/>
      <c r="T24" s="2578"/>
      <c r="U24" s="2573"/>
      <c r="V24" s="2577"/>
      <c r="W24" s="2562"/>
      <c r="X24" s="2562"/>
      <c r="Y24" s="2562"/>
      <c r="Z24" s="2562"/>
      <c r="AA24" s="2562"/>
      <c r="AB24" s="2562"/>
      <c r="AC24" s="2562"/>
      <c r="AD24" s="2562"/>
      <c r="AE24" s="2562"/>
      <c r="AF24" s="2562"/>
      <c r="AG24" s="2577"/>
      <c r="AH24" s="2562"/>
      <c r="AI24" s="681" t="s">
        <v>5500</v>
      </c>
      <c r="AJ24" s="34"/>
      <c r="AK24" s="313"/>
      <c r="AL24" s="313"/>
      <c r="AM24" s="313"/>
      <c r="AN24" s="313"/>
      <c r="AO24" s="313"/>
      <c r="AP24" s="313"/>
      <c r="AQ24" s="313"/>
      <c r="AR24" s="313"/>
      <c r="AS24" s="313"/>
    </row>
    <row r="25" spans="1:45" ht="31.5" thickTop="1">
      <c r="A25" s="197"/>
      <c r="B25" s="684" t="s">
        <v>5501</v>
      </c>
      <c r="C25" s="685" t="s">
        <v>137</v>
      </c>
      <c r="D25" s="685">
        <v>3</v>
      </c>
      <c r="E25" s="2527">
        <v>15.326000000000001</v>
      </c>
      <c r="F25" s="2527">
        <v>36.165999999999997</v>
      </c>
      <c r="G25" s="2527">
        <v>19.45</v>
      </c>
      <c r="H25" s="2527">
        <v>1.341</v>
      </c>
      <c r="I25" s="2527">
        <v>0</v>
      </c>
      <c r="J25" s="2527">
        <v>43.006</v>
      </c>
      <c r="K25" s="2527">
        <v>101.488</v>
      </c>
      <c r="L25" s="2527">
        <v>54.581000000000003</v>
      </c>
      <c r="M25" s="2527">
        <v>3.7639999999999998</v>
      </c>
      <c r="N25" s="2528">
        <v>0</v>
      </c>
      <c r="O25" s="313"/>
      <c r="P25" s="688" t="s">
        <v>5502</v>
      </c>
      <c r="Q25" s="197"/>
      <c r="R25" s="250"/>
      <c r="S25" s="197"/>
      <c r="T25" s="2578"/>
      <c r="U25" s="251">
        <f t="shared" ref="U25:U26" si="33">IF( SUM( W25:AF25 ) = 0, 0, $W$5 )</f>
        <v>0</v>
      </c>
      <c r="V25" s="2577"/>
      <c r="W25" s="252">
        <f t="shared" ref="W25:W26" si="34" xml:space="preserve"> IF( ISNUMBER( E25 ), 0, 1 )</f>
        <v>0</v>
      </c>
      <c r="X25" s="252">
        <f t="shared" ref="X25:X26" si="35" xml:space="preserve"> IF( ISNUMBER( F25 ), 0, 1 )</f>
        <v>0</v>
      </c>
      <c r="Y25" s="252">
        <f t="shared" ref="Y25:Y26" si="36" xml:space="preserve"> IF( ISNUMBER( G25 ), 0, 1 )</f>
        <v>0</v>
      </c>
      <c r="Z25" s="252">
        <f t="shared" ref="Z25:Z26" si="37" xml:space="preserve"> IF( ISNUMBER( H25 ), 0, 1 )</f>
        <v>0</v>
      </c>
      <c r="AA25" s="252">
        <f t="shared" ref="AA25:AA26" si="38" xml:space="preserve"> IF( ISNUMBER( I25 ), 0, 1 )</f>
        <v>0</v>
      </c>
      <c r="AB25" s="252">
        <f t="shared" ref="AB25:AB26" si="39" xml:space="preserve"> IF( ISNUMBER( J25 ), 0, 1 )</f>
        <v>0</v>
      </c>
      <c r="AC25" s="252">
        <f t="shared" ref="AC25:AC26" si="40" xml:space="preserve"> IF( ISNUMBER( K25 ), 0, 1 )</f>
        <v>0</v>
      </c>
      <c r="AD25" s="252">
        <f t="shared" ref="AD25:AD26" si="41" xml:space="preserve"> IF( ISNUMBER( L25 ), 0, 1 )</f>
        <v>0</v>
      </c>
      <c r="AE25" s="252">
        <f t="shared" ref="AE25:AE26" si="42" xml:space="preserve"> IF( ISNUMBER( M25 ), 0, 1 )</f>
        <v>0</v>
      </c>
      <c r="AF25" s="252">
        <f t="shared" ref="AF25:AF26" si="43" xml:space="preserve"> IF( ISNUMBER( N25 ), 0, 1 )</f>
        <v>0</v>
      </c>
      <c r="AG25" s="2577"/>
      <c r="AH25" s="2562"/>
      <c r="AI25" s="684" t="s">
        <v>5501</v>
      </c>
      <c r="AJ25" s="706" t="s">
        <v>5503</v>
      </c>
      <c r="AK25" s="706" t="s">
        <v>5504</v>
      </c>
      <c r="AL25" s="706" t="s">
        <v>5505</v>
      </c>
      <c r="AM25" s="706" t="s">
        <v>5506</v>
      </c>
      <c r="AN25" s="706" t="s">
        <v>5507</v>
      </c>
      <c r="AO25" s="706" t="s">
        <v>5508</v>
      </c>
      <c r="AP25" s="706" t="s">
        <v>5509</v>
      </c>
      <c r="AQ25" s="706" t="s">
        <v>5510</v>
      </c>
      <c r="AR25" s="706" t="s">
        <v>5511</v>
      </c>
      <c r="AS25" s="707" t="s">
        <v>5512</v>
      </c>
    </row>
    <row r="26" spans="1:45" ht="15.75" customHeight="1">
      <c r="A26" s="197"/>
      <c r="B26" s="689" t="s">
        <v>5513</v>
      </c>
      <c r="C26" s="290" t="s">
        <v>137</v>
      </c>
      <c r="D26" s="290">
        <v>3</v>
      </c>
      <c r="E26" s="2529">
        <v>18.149999999999999</v>
      </c>
      <c r="F26" s="2529">
        <v>33.35</v>
      </c>
      <c r="G26" s="2529">
        <v>15.382999999999999</v>
      </c>
      <c r="H26" s="2529">
        <v>2.855</v>
      </c>
      <c r="I26" s="2529">
        <v>0</v>
      </c>
      <c r="J26" s="2529">
        <v>45.244999999999997</v>
      </c>
      <c r="K26" s="2529">
        <v>100.63200000000001</v>
      </c>
      <c r="L26" s="2529">
        <v>48.685000000000002</v>
      </c>
      <c r="M26" s="2529">
        <v>8.7729999999999997</v>
      </c>
      <c r="N26" s="2530">
        <v>0</v>
      </c>
      <c r="O26" s="313"/>
      <c r="P26" s="692" t="s">
        <v>5514</v>
      </c>
      <c r="Q26" s="197"/>
      <c r="R26" s="258"/>
      <c r="S26" s="197"/>
      <c r="T26" s="2578"/>
      <c r="U26" s="251">
        <f t="shared" si="33"/>
        <v>0</v>
      </c>
      <c r="V26" s="2577"/>
      <c r="W26" s="252">
        <f t="shared" si="34"/>
        <v>0</v>
      </c>
      <c r="X26" s="252">
        <f t="shared" si="35"/>
        <v>0</v>
      </c>
      <c r="Y26" s="252">
        <f t="shared" si="36"/>
        <v>0</v>
      </c>
      <c r="Z26" s="252">
        <f t="shared" si="37"/>
        <v>0</v>
      </c>
      <c r="AA26" s="252">
        <f t="shared" si="38"/>
        <v>0</v>
      </c>
      <c r="AB26" s="252">
        <f t="shared" si="39"/>
        <v>0</v>
      </c>
      <c r="AC26" s="252">
        <f t="shared" si="40"/>
        <v>0</v>
      </c>
      <c r="AD26" s="252">
        <f t="shared" si="41"/>
        <v>0</v>
      </c>
      <c r="AE26" s="252">
        <f t="shared" si="42"/>
        <v>0</v>
      </c>
      <c r="AF26" s="252">
        <f t="shared" si="43"/>
        <v>0</v>
      </c>
      <c r="AG26" s="2577"/>
      <c r="AH26" s="2562"/>
      <c r="AI26" s="689" t="s">
        <v>5513</v>
      </c>
      <c r="AJ26" s="696" t="s">
        <v>5515</v>
      </c>
      <c r="AK26" s="696" t="s">
        <v>5516</v>
      </c>
      <c r="AL26" s="696" t="s">
        <v>5517</v>
      </c>
      <c r="AM26" s="696" t="s">
        <v>5518</v>
      </c>
      <c r="AN26" s="696" t="s">
        <v>5519</v>
      </c>
      <c r="AO26" s="696" t="s">
        <v>5520</v>
      </c>
      <c r="AP26" s="696" t="s">
        <v>5521</v>
      </c>
      <c r="AQ26" s="696" t="s">
        <v>5522</v>
      </c>
      <c r="AR26" s="696" t="s">
        <v>5523</v>
      </c>
      <c r="AS26" s="697" t="s">
        <v>5524</v>
      </c>
    </row>
    <row r="27" spans="1:45" ht="15.75" customHeight="1">
      <c r="A27" s="197"/>
      <c r="B27" s="689" t="s">
        <v>5525</v>
      </c>
      <c r="C27" s="290" t="s">
        <v>137</v>
      </c>
      <c r="D27" s="290">
        <v>3</v>
      </c>
      <c r="E27" s="694">
        <v>2.8239999999999981</v>
      </c>
      <c r="F27" s="694">
        <v>-2.8159999999999954</v>
      </c>
      <c r="G27" s="694">
        <v>-4.0670000000000002</v>
      </c>
      <c r="H27" s="694">
        <v>1.514</v>
      </c>
      <c r="I27" s="694">
        <v>0</v>
      </c>
      <c r="J27" s="694">
        <v>2.2389999999999972</v>
      </c>
      <c r="K27" s="694">
        <v>-0.85599999999999454</v>
      </c>
      <c r="L27" s="694">
        <v>-5.8960000000000008</v>
      </c>
      <c r="M27" s="694">
        <v>5.0090000000000003</v>
      </c>
      <c r="N27" s="695">
        <v>0</v>
      </c>
      <c r="O27" s="313"/>
      <c r="P27" s="692" t="s">
        <v>5526</v>
      </c>
      <c r="Q27" s="197"/>
      <c r="R27" s="258"/>
      <c r="S27" s="197"/>
      <c r="T27" s="2578"/>
      <c r="U27" s="2573"/>
      <c r="V27" s="2577"/>
      <c r="W27" s="2562"/>
      <c r="X27" s="2562"/>
      <c r="Y27" s="2562"/>
      <c r="Z27" s="2562"/>
      <c r="AA27" s="2562"/>
      <c r="AB27" s="2562"/>
      <c r="AC27" s="2562"/>
      <c r="AD27" s="2562"/>
      <c r="AE27" s="2562"/>
      <c r="AF27" s="2562"/>
      <c r="AG27" s="2577"/>
      <c r="AH27" s="2562"/>
      <c r="AI27" s="689" t="s">
        <v>5525</v>
      </c>
      <c r="AJ27" s="694" t="s">
        <v>5527</v>
      </c>
      <c r="AK27" s="694" t="s">
        <v>5528</v>
      </c>
      <c r="AL27" s="694" t="s">
        <v>5529</v>
      </c>
      <c r="AM27" s="694" t="s">
        <v>5530</v>
      </c>
      <c r="AN27" s="694" t="s">
        <v>5531</v>
      </c>
      <c r="AO27" s="694" t="s">
        <v>5532</v>
      </c>
      <c r="AP27" s="694" t="s">
        <v>5533</v>
      </c>
      <c r="AQ27" s="694" t="s">
        <v>5534</v>
      </c>
      <c r="AR27" s="694" t="s">
        <v>5535</v>
      </c>
      <c r="AS27" s="695" t="s">
        <v>5536</v>
      </c>
    </row>
    <row r="28" spans="1:45" ht="31">
      <c r="A28" s="197"/>
      <c r="B28" s="689" t="s">
        <v>5537</v>
      </c>
      <c r="C28" s="290" t="s">
        <v>1344</v>
      </c>
      <c r="D28" s="290">
        <v>2</v>
      </c>
      <c r="E28" s="701">
        <v>0.68721485643518698</v>
      </c>
      <c r="F28" s="701">
        <v>0.91193425126905325</v>
      </c>
      <c r="G28" s="701">
        <v>0.9</v>
      </c>
      <c r="H28" s="701">
        <v>0.74470917785012503</v>
      </c>
      <c r="I28" s="701">
        <v>0</v>
      </c>
      <c r="J28" s="701">
        <v>0.64219996139465385</v>
      </c>
      <c r="K28" s="701">
        <v>1.0173166066053447</v>
      </c>
      <c r="L28" s="701">
        <v>0.9</v>
      </c>
      <c r="M28" s="701">
        <v>0.75916065551614453</v>
      </c>
      <c r="N28" s="702">
        <v>0</v>
      </c>
      <c r="O28" s="313"/>
      <c r="P28" s="700" t="s">
        <v>5538</v>
      </c>
      <c r="Q28" s="197"/>
      <c r="R28" s="258"/>
      <c r="S28" s="197"/>
      <c r="T28" s="2578"/>
      <c r="U28" s="251">
        <f t="shared" ref="U28:U29" si="44">IF( SUM( W28:AF28 ) = 0, 0, $W$5 )</f>
        <v>0</v>
      </c>
      <c r="V28" s="2577"/>
      <c r="W28" s="252">
        <f t="shared" ref="W28:W29" si="45" xml:space="preserve"> IF( ISNUMBER( E28 ), 0, 1 )</f>
        <v>0</v>
      </c>
      <c r="X28" s="252">
        <f t="shared" ref="X28:X29" si="46" xml:space="preserve"> IF( ISNUMBER( F28 ), 0, 1 )</f>
        <v>0</v>
      </c>
      <c r="Y28" s="252">
        <f t="shared" ref="Y28:Y29" si="47" xml:space="preserve"> IF( ISNUMBER( G28 ), 0, 1 )</f>
        <v>0</v>
      </c>
      <c r="Z28" s="252">
        <f t="shared" ref="Z28:Z29" si="48" xml:space="preserve"> IF( ISNUMBER( H28 ), 0, 1 )</f>
        <v>0</v>
      </c>
      <c r="AA28" s="252">
        <f t="shared" ref="AA28:AA29" si="49" xml:space="preserve"> IF( ISNUMBER( I28 ), 0, 1 )</f>
        <v>0</v>
      </c>
      <c r="AB28" s="252">
        <f t="shared" ref="AB28:AB29" si="50" xml:space="preserve"> IF( ISNUMBER( J28 ), 0, 1 )</f>
        <v>0</v>
      </c>
      <c r="AC28" s="252">
        <f t="shared" ref="AC28:AC29" si="51" xml:space="preserve"> IF( ISNUMBER( K28 ), 0, 1 )</f>
        <v>0</v>
      </c>
      <c r="AD28" s="252">
        <f t="shared" ref="AD28:AD29" si="52" xml:space="preserve"> IF( ISNUMBER( L28 ), 0, 1 )</f>
        <v>0</v>
      </c>
      <c r="AE28" s="252">
        <f t="shared" ref="AE28:AE29" si="53" xml:space="preserve"> IF( ISNUMBER( M28 ), 0, 1 )</f>
        <v>0</v>
      </c>
      <c r="AF28" s="252">
        <f t="shared" ref="AF28:AF29" si="54" xml:space="preserve"> IF( ISNUMBER( N28 ), 0, 1 )</f>
        <v>0</v>
      </c>
      <c r="AG28" s="332"/>
      <c r="AH28" s="2562"/>
      <c r="AI28" s="689" t="s">
        <v>5539</v>
      </c>
      <c r="AJ28" s="701" t="s">
        <v>5540</v>
      </c>
      <c r="AK28" s="701" t="s">
        <v>5541</v>
      </c>
      <c r="AL28" s="701" t="s">
        <v>5542</v>
      </c>
      <c r="AM28" s="701" t="s">
        <v>5543</v>
      </c>
      <c r="AN28" s="701" t="s">
        <v>5544</v>
      </c>
      <c r="AO28" s="701" t="s">
        <v>5545</v>
      </c>
      <c r="AP28" s="701" t="s">
        <v>5546</v>
      </c>
      <c r="AQ28" s="701" t="s">
        <v>5547</v>
      </c>
      <c r="AR28" s="701" t="s">
        <v>5548</v>
      </c>
      <c r="AS28" s="702" t="s">
        <v>5549</v>
      </c>
    </row>
    <row r="29" spans="1:45" ht="15.75" customHeight="1">
      <c r="A29" s="197"/>
      <c r="B29" s="689" t="s">
        <v>5550</v>
      </c>
      <c r="C29" s="290" t="s">
        <v>1344</v>
      </c>
      <c r="D29" s="290">
        <v>2</v>
      </c>
      <c r="E29" s="701">
        <v>0</v>
      </c>
      <c r="F29" s="701">
        <v>0</v>
      </c>
      <c r="G29" s="701">
        <v>0</v>
      </c>
      <c r="H29" s="701">
        <v>0</v>
      </c>
      <c r="I29" s="701">
        <v>0</v>
      </c>
      <c r="J29" s="701">
        <v>0</v>
      </c>
      <c r="K29" s="701">
        <v>0</v>
      </c>
      <c r="L29" s="701">
        <v>0</v>
      </c>
      <c r="M29" s="701">
        <v>0</v>
      </c>
      <c r="N29" s="701">
        <v>0</v>
      </c>
      <c r="O29" s="313"/>
      <c r="P29" s="700" t="s">
        <v>5551</v>
      </c>
      <c r="Q29" s="197"/>
      <c r="R29" s="258"/>
      <c r="S29" s="197"/>
      <c r="T29" s="2578"/>
      <c r="U29" s="251">
        <f t="shared" si="44"/>
        <v>0</v>
      </c>
      <c r="V29" s="2577"/>
      <c r="W29" s="252">
        <f t="shared" si="45"/>
        <v>0</v>
      </c>
      <c r="X29" s="252">
        <f t="shared" si="46"/>
        <v>0</v>
      </c>
      <c r="Y29" s="252">
        <f t="shared" si="47"/>
        <v>0</v>
      </c>
      <c r="Z29" s="252">
        <f t="shared" si="48"/>
        <v>0</v>
      </c>
      <c r="AA29" s="252">
        <f t="shared" si="49"/>
        <v>0</v>
      </c>
      <c r="AB29" s="252">
        <f t="shared" si="50"/>
        <v>0</v>
      </c>
      <c r="AC29" s="252">
        <f t="shared" si="51"/>
        <v>0</v>
      </c>
      <c r="AD29" s="252">
        <f t="shared" si="52"/>
        <v>0</v>
      </c>
      <c r="AE29" s="252">
        <f t="shared" si="53"/>
        <v>0</v>
      </c>
      <c r="AF29" s="252">
        <f t="shared" si="54"/>
        <v>0</v>
      </c>
      <c r="AG29" s="332"/>
      <c r="AH29" s="2562"/>
      <c r="AI29" s="689" t="s">
        <v>5550</v>
      </c>
      <c r="AJ29" s="701" t="s">
        <v>5552</v>
      </c>
      <c r="AK29" s="701" t="s">
        <v>5553</v>
      </c>
      <c r="AL29" s="701" t="s">
        <v>5554</v>
      </c>
      <c r="AM29" s="701" t="s">
        <v>5555</v>
      </c>
      <c r="AN29" s="701" t="s">
        <v>5556</v>
      </c>
      <c r="AO29" s="701" t="s">
        <v>5557</v>
      </c>
      <c r="AP29" s="701" t="s">
        <v>5558</v>
      </c>
      <c r="AQ29" s="701" t="s">
        <v>5559</v>
      </c>
      <c r="AR29" s="701" t="s">
        <v>5560</v>
      </c>
      <c r="AS29" s="702" t="s">
        <v>5561</v>
      </c>
    </row>
    <row r="30" spans="1:45" ht="31">
      <c r="A30" s="197"/>
      <c r="B30" s="689" t="s">
        <v>5562</v>
      </c>
      <c r="C30" s="290" t="s">
        <v>137</v>
      </c>
      <c r="D30" s="290">
        <v>3</v>
      </c>
      <c r="E30" s="1898">
        <v>1.9406947545729667</v>
      </c>
      <c r="F30" s="1898">
        <v>-2.5680068515736498</v>
      </c>
      <c r="G30" s="1898">
        <v>-3.6603000000000003</v>
      </c>
      <c r="H30" s="1898">
        <v>1.1274896952650892</v>
      </c>
      <c r="I30" s="1898">
        <v>0</v>
      </c>
      <c r="J30" s="1898">
        <v>1.4378857135626282</v>
      </c>
      <c r="K30" s="1898">
        <v>-0.8708230152541695</v>
      </c>
      <c r="L30" s="1898">
        <v>-5.3064000000000009</v>
      </c>
      <c r="M30" s="1898">
        <v>3.802635723480368</v>
      </c>
      <c r="N30" s="1899">
        <v>0</v>
      </c>
      <c r="O30" s="313"/>
      <c r="P30" s="692" t="s">
        <v>5563</v>
      </c>
      <c r="Q30" s="197"/>
      <c r="R30" s="258"/>
      <c r="S30" s="197"/>
      <c r="T30" s="2578"/>
      <c r="U30" s="2573"/>
      <c r="V30" s="2577"/>
      <c r="W30" s="2562"/>
      <c r="X30" s="2562"/>
      <c r="Y30" s="2562"/>
      <c r="Z30" s="2562"/>
      <c r="AA30" s="2562"/>
      <c r="AB30" s="2562"/>
      <c r="AC30" s="2562"/>
      <c r="AD30" s="2562"/>
      <c r="AE30" s="2562"/>
      <c r="AF30" s="2562"/>
      <c r="AG30" s="332"/>
      <c r="AH30" s="2562"/>
      <c r="AI30" s="689" t="s">
        <v>5562</v>
      </c>
      <c r="AJ30" s="708" t="s">
        <v>5564</v>
      </c>
      <c r="AK30" s="708" t="s">
        <v>5565</v>
      </c>
      <c r="AL30" s="708" t="s">
        <v>5566</v>
      </c>
      <c r="AM30" s="708" t="s">
        <v>5567</v>
      </c>
      <c r="AN30" s="708" t="s">
        <v>5568</v>
      </c>
      <c r="AO30" s="708" t="s">
        <v>5569</v>
      </c>
      <c r="AP30" s="708" t="s">
        <v>5570</v>
      </c>
      <c r="AQ30" s="708" t="s">
        <v>5571</v>
      </c>
      <c r="AR30" s="708" t="s">
        <v>5572</v>
      </c>
      <c r="AS30" s="709" t="s">
        <v>5573</v>
      </c>
    </row>
    <row r="31" spans="1:45" ht="31.5" thickBot="1">
      <c r="A31" s="197"/>
      <c r="B31" s="415" t="s">
        <v>5574</v>
      </c>
      <c r="C31" s="297" t="s">
        <v>137</v>
      </c>
      <c r="D31" s="297">
        <v>3</v>
      </c>
      <c r="E31" s="703">
        <v>0.88330524542703137</v>
      </c>
      <c r="F31" s="703">
        <v>-0.24799314842634557</v>
      </c>
      <c r="G31" s="703">
        <v>-0.40669999999999984</v>
      </c>
      <c r="H31" s="703">
        <v>0.38651030473491077</v>
      </c>
      <c r="I31" s="703">
        <v>0</v>
      </c>
      <c r="J31" s="703">
        <v>0.80111428643736904</v>
      </c>
      <c r="K31" s="703">
        <v>1.4823015254174954E-2</v>
      </c>
      <c r="L31" s="703">
        <v>-0.5895999999999999</v>
      </c>
      <c r="M31" s="703">
        <v>1.2063642765196323</v>
      </c>
      <c r="N31" s="704">
        <v>0</v>
      </c>
      <c r="O31" s="313"/>
      <c r="P31" s="710" t="s">
        <v>5575</v>
      </c>
      <c r="Q31" s="197"/>
      <c r="R31" s="269"/>
      <c r="S31" s="197"/>
      <c r="T31" s="2578"/>
      <c r="U31" s="2573"/>
      <c r="V31" s="332"/>
      <c r="W31" s="2562"/>
      <c r="X31" s="2562"/>
      <c r="Y31" s="2562"/>
      <c r="Z31" s="2562"/>
      <c r="AA31" s="2562"/>
      <c r="AB31" s="2562"/>
      <c r="AC31" s="2562"/>
      <c r="AD31" s="2562"/>
      <c r="AE31" s="2562"/>
      <c r="AF31" s="2562"/>
      <c r="AG31" s="332"/>
      <c r="AH31" s="2562"/>
      <c r="AI31" s="415" t="s">
        <v>5574</v>
      </c>
      <c r="AJ31" s="703" t="s">
        <v>5576</v>
      </c>
      <c r="AK31" s="703" t="s">
        <v>5577</v>
      </c>
      <c r="AL31" s="703" t="s">
        <v>5578</v>
      </c>
      <c r="AM31" s="703" t="s">
        <v>5579</v>
      </c>
      <c r="AN31" s="703" t="s">
        <v>5580</v>
      </c>
      <c r="AO31" s="703" t="s">
        <v>5581</v>
      </c>
      <c r="AP31" s="703" t="s">
        <v>5582</v>
      </c>
      <c r="AQ31" s="703" t="s">
        <v>5583</v>
      </c>
      <c r="AR31" s="703" t="s">
        <v>5584</v>
      </c>
      <c r="AS31" s="704" t="s">
        <v>5585</v>
      </c>
    </row>
    <row r="32" spans="1:45" ht="15.75" customHeight="1" thickTop="1" thickBot="1">
      <c r="A32" s="197"/>
      <c r="B32" s="417"/>
      <c r="C32" s="417"/>
      <c r="D32" s="417"/>
      <c r="E32" s="313"/>
      <c r="F32" s="313"/>
      <c r="G32" s="313"/>
      <c r="H32" s="313"/>
      <c r="I32" s="313"/>
      <c r="J32" s="313"/>
      <c r="K32" s="313"/>
      <c r="L32" s="313"/>
      <c r="M32" s="313"/>
      <c r="N32" s="313"/>
      <c r="O32" s="197"/>
      <c r="P32" s="197"/>
      <c r="Q32" s="197"/>
      <c r="R32" s="197"/>
      <c r="S32" s="197"/>
      <c r="T32" s="2578"/>
      <c r="U32" s="2573"/>
      <c r="V32" s="332"/>
      <c r="W32" s="2562"/>
      <c r="X32" s="2562"/>
      <c r="Y32" s="2562"/>
      <c r="Z32" s="2562"/>
      <c r="AA32" s="2562"/>
      <c r="AB32" s="2562"/>
      <c r="AC32" s="2562"/>
      <c r="AD32" s="2562"/>
      <c r="AE32" s="2562"/>
      <c r="AF32" s="2562"/>
      <c r="AG32" s="332"/>
      <c r="AH32" s="2562"/>
      <c r="AI32" s="417"/>
      <c r="AJ32" s="313"/>
      <c r="AK32" s="313"/>
      <c r="AL32" s="313"/>
      <c r="AM32" s="313"/>
      <c r="AN32" s="313"/>
      <c r="AO32" s="313"/>
      <c r="AP32" s="313"/>
      <c r="AQ32" s="313"/>
      <c r="AR32" s="313"/>
      <c r="AS32" s="313"/>
    </row>
    <row r="33" spans="1:45" ht="15.75" customHeight="1" thickTop="1" thickBot="1">
      <c r="A33" s="197"/>
      <c r="B33" s="681" t="s">
        <v>5586</v>
      </c>
      <c r="C33" s="682"/>
      <c r="D33" s="682"/>
      <c r="E33" s="34"/>
      <c r="F33" s="83"/>
      <c r="G33" s="83"/>
      <c r="H33" s="83"/>
      <c r="I33" s="83"/>
      <c r="J33" s="83"/>
      <c r="K33" s="83"/>
      <c r="L33" s="83"/>
      <c r="M33" s="83"/>
      <c r="N33" s="83"/>
      <c r="O33" s="197"/>
      <c r="P33" s="197"/>
      <c r="Q33" s="197"/>
      <c r="R33" s="197"/>
      <c r="S33" s="197"/>
      <c r="T33" s="2578"/>
      <c r="U33" s="2573"/>
      <c r="V33" s="332"/>
      <c r="W33" s="2562"/>
      <c r="X33" s="2562"/>
      <c r="Y33" s="2562"/>
      <c r="Z33" s="2562"/>
      <c r="AA33" s="2562"/>
      <c r="AB33" s="2562"/>
      <c r="AC33" s="2562"/>
      <c r="AD33" s="2562"/>
      <c r="AE33" s="2562"/>
      <c r="AF33" s="2562"/>
      <c r="AG33" s="332"/>
      <c r="AH33" s="2562"/>
      <c r="AI33" s="681" t="s">
        <v>5586</v>
      </c>
      <c r="AJ33" s="34"/>
      <c r="AK33" s="83"/>
      <c r="AL33" s="83"/>
      <c r="AM33" s="83"/>
      <c r="AN33" s="83"/>
      <c r="AO33" s="83"/>
      <c r="AP33" s="83"/>
      <c r="AQ33" s="83"/>
      <c r="AR33" s="83"/>
      <c r="AS33" s="83"/>
    </row>
    <row r="34" spans="1:45" ht="15.75" customHeight="1" thickTop="1">
      <c r="A34" s="197"/>
      <c r="B34" s="711" t="s">
        <v>5587</v>
      </c>
      <c r="C34" s="685" t="s">
        <v>137</v>
      </c>
      <c r="D34" s="685">
        <v>3</v>
      </c>
      <c r="E34" s="706">
        <v>0</v>
      </c>
      <c r="F34" s="706">
        <v>2.899</v>
      </c>
      <c r="G34" s="706">
        <v>2.1000000000000001E-2</v>
      </c>
      <c r="H34" s="706">
        <v>0</v>
      </c>
      <c r="I34" s="706">
        <v>0</v>
      </c>
      <c r="J34" s="706">
        <v>0.155</v>
      </c>
      <c r="K34" s="706">
        <v>9.2449999999999992</v>
      </c>
      <c r="L34" s="706">
        <v>0.95199999999999996</v>
      </c>
      <c r="M34" s="706">
        <v>0.23799999999999999</v>
      </c>
      <c r="N34" s="707">
        <v>0</v>
      </c>
      <c r="O34" s="313"/>
      <c r="P34" s="688" t="s">
        <v>5588</v>
      </c>
      <c r="Q34" s="197"/>
      <c r="R34" s="250"/>
      <c r="S34" s="197"/>
      <c r="T34" s="2578"/>
      <c r="U34" s="251">
        <f t="shared" ref="U34:U35" si="55">IF( SUM( W34:AF34 ) = 0, 0, $W$5 )</f>
        <v>0</v>
      </c>
      <c r="V34" s="2577"/>
      <c r="W34" s="252">
        <f t="shared" ref="W34:W35" si="56" xml:space="preserve"> IF( ISNUMBER( E34 ), 0, 1 )</f>
        <v>0</v>
      </c>
      <c r="X34" s="252">
        <f t="shared" ref="X34:X35" si="57" xml:space="preserve"> IF( ISNUMBER( F34 ), 0, 1 )</f>
        <v>0</v>
      </c>
      <c r="Y34" s="252">
        <f t="shared" ref="Y34:Y35" si="58" xml:space="preserve"> IF( ISNUMBER( G34 ), 0, 1 )</f>
        <v>0</v>
      </c>
      <c r="Z34" s="252">
        <f t="shared" ref="Z34:Z35" si="59" xml:space="preserve"> IF( ISNUMBER( H34 ), 0, 1 )</f>
        <v>0</v>
      </c>
      <c r="AA34" s="252">
        <f t="shared" ref="AA34:AA35" si="60" xml:space="preserve"> IF( ISNUMBER( I34 ), 0, 1 )</f>
        <v>0</v>
      </c>
      <c r="AB34" s="252">
        <f t="shared" ref="AB34:AB35" si="61" xml:space="preserve"> IF( ISNUMBER( J34 ), 0, 1 )</f>
        <v>0</v>
      </c>
      <c r="AC34" s="252">
        <f t="shared" ref="AC34:AC35" si="62" xml:space="preserve"> IF( ISNUMBER( K34 ), 0, 1 )</f>
        <v>0</v>
      </c>
      <c r="AD34" s="252">
        <f t="shared" ref="AD34:AD35" si="63" xml:space="preserve"> IF( ISNUMBER( L34 ), 0, 1 )</f>
        <v>0</v>
      </c>
      <c r="AE34" s="252">
        <f t="shared" ref="AE34:AE35" si="64" xml:space="preserve"> IF( ISNUMBER( M34 ), 0, 1 )</f>
        <v>0</v>
      </c>
      <c r="AF34" s="252">
        <f t="shared" ref="AF34:AF35" si="65" xml:space="preserve"> IF( ISNUMBER( N34 ), 0, 1 )</f>
        <v>0</v>
      </c>
      <c r="AG34" s="332"/>
      <c r="AH34" s="2562"/>
      <c r="AI34" s="711" t="s">
        <v>5587</v>
      </c>
      <c r="AJ34" s="706" t="s">
        <v>5589</v>
      </c>
      <c r="AK34" s="706" t="s">
        <v>5590</v>
      </c>
      <c r="AL34" s="706" t="s">
        <v>5591</v>
      </c>
      <c r="AM34" s="706" t="s">
        <v>5592</v>
      </c>
      <c r="AN34" s="706" t="s">
        <v>5593</v>
      </c>
      <c r="AO34" s="706" t="s">
        <v>5594</v>
      </c>
      <c r="AP34" s="706" t="s">
        <v>5595</v>
      </c>
      <c r="AQ34" s="706" t="s">
        <v>5596</v>
      </c>
      <c r="AR34" s="706" t="s">
        <v>5597</v>
      </c>
      <c r="AS34" s="707" t="s">
        <v>5598</v>
      </c>
    </row>
    <row r="35" spans="1:45" ht="15.75" customHeight="1">
      <c r="A35" s="197"/>
      <c r="B35" s="689" t="s">
        <v>5599</v>
      </c>
      <c r="C35" s="290" t="s">
        <v>137</v>
      </c>
      <c r="D35" s="290">
        <v>3</v>
      </c>
      <c r="E35" s="696">
        <v>7.2993137862758714E-4</v>
      </c>
      <c r="F35" s="696">
        <v>1.5177997087205557</v>
      </c>
      <c r="G35" s="696">
        <v>1.7977983771217798</v>
      </c>
      <c r="H35" s="696">
        <v>0</v>
      </c>
      <c r="I35" s="696">
        <v>0</v>
      </c>
      <c r="J35" s="696">
        <v>1.5284669886586275</v>
      </c>
      <c r="K35" s="696">
        <v>29.247730194920557</v>
      </c>
      <c r="L35" s="696">
        <v>18.280327247581781</v>
      </c>
      <c r="M35" s="696">
        <v>1.9161876277600001</v>
      </c>
      <c r="N35" s="697">
        <v>0</v>
      </c>
      <c r="O35" s="313"/>
      <c r="P35" s="692" t="s">
        <v>5600</v>
      </c>
      <c r="Q35" s="197"/>
      <c r="R35" s="258"/>
      <c r="S35" s="197"/>
      <c r="T35" s="2578"/>
      <c r="U35" s="251">
        <f t="shared" si="55"/>
        <v>0</v>
      </c>
      <c r="V35" s="2577"/>
      <c r="W35" s="252">
        <f t="shared" si="56"/>
        <v>0</v>
      </c>
      <c r="X35" s="252">
        <f t="shared" si="57"/>
        <v>0</v>
      </c>
      <c r="Y35" s="252">
        <f t="shared" si="58"/>
        <v>0</v>
      </c>
      <c r="Z35" s="252">
        <f t="shared" si="59"/>
        <v>0</v>
      </c>
      <c r="AA35" s="252">
        <f t="shared" si="60"/>
        <v>0</v>
      </c>
      <c r="AB35" s="252">
        <f t="shared" si="61"/>
        <v>0</v>
      </c>
      <c r="AC35" s="252">
        <f t="shared" si="62"/>
        <v>0</v>
      </c>
      <c r="AD35" s="252">
        <f t="shared" si="63"/>
        <v>0</v>
      </c>
      <c r="AE35" s="252">
        <f t="shared" si="64"/>
        <v>0</v>
      </c>
      <c r="AF35" s="252">
        <f t="shared" si="65"/>
        <v>0</v>
      </c>
      <c r="AG35" s="332"/>
      <c r="AH35" s="2562"/>
      <c r="AI35" s="689" t="s">
        <v>5599</v>
      </c>
      <c r="AJ35" s="696" t="s">
        <v>5601</v>
      </c>
      <c r="AK35" s="696" t="s">
        <v>5602</v>
      </c>
      <c r="AL35" s="696" t="s">
        <v>5603</v>
      </c>
      <c r="AM35" s="696" t="s">
        <v>5604</v>
      </c>
      <c r="AN35" s="696" t="s">
        <v>5605</v>
      </c>
      <c r="AO35" s="696" t="s">
        <v>5606</v>
      </c>
      <c r="AP35" s="696" t="s">
        <v>5607</v>
      </c>
      <c r="AQ35" s="696" t="s">
        <v>5608</v>
      </c>
      <c r="AR35" s="696" t="s">
        <v>5609</v>
      </c>
      <c r="AS35" s="697" t="s">
        <v>5610</v>
      </c>
    </row>
    <row r="36" spans="1:45" ht="15.75" customHeight="1" thickBot="1">
      <c r="A36" s="197"/>
      <c r="B36" s="415" t="s">
        <v>5611</v>
      </c>
      <c r="C36" s="297" t="s">
        <v>137</v>
      </c>
      <c r="D36" s="297">
        <v>3</v>
      </c>
      <c r="E36" s="703">
        <v>7.2993137862758714E-4</v>
      </c>
      <c r="F36" s="703">
        <v>-1.3812002912794443</v>
      </c>
      <c r="G36" s="703">
        <v>1.7767983771217799</v>
      </c>
      <c r="H36" s="703">
        <v>0</v>
      </c>
      <c r="I36" s="703">
        <v>0</v>
      </c>
      <c r="J36" s="703">
        <v>1.3734669886586275</v>
      </c>
      <c r="K36" s="703">
        <v>20.002730194920559</v>
      </c>
      <c r="L36" s="703">
        <v>17.328327247581782</v>
      </c>
      <c r="M36" s="703">
        <v>1.6781876277600001</v>
      </c>
      <c r="N36" s="704">
        <v>0</v>
      </c>
      <c r="O36" s="313"/>
      <c r="P36" s="710" t="s">
        <v>5612</v>
      </c>
      <c r="Q36" s="197"/>
      <c r="R36" s="269"/>
      <c r="S36" s="197"/>
      <c r="T36" s="2578"/>
      <c r="U36" s="2573"/>
      <c r="V36" s="2577"/>
      <c r="W36" s="2562"/>
      <c r="X36" s="2562"/>
      <c r="Y36" s="2562"/>
      <c r="Z36" s="2562"/>
      <c r="AA36" s="2562"/>
      <c r="AB36" s="2562"/>
      <c r="AC36" s="2562"/>
      <c r="AD36" s="2562"/>
      <c r="AE36" s="2562"/>
      <c r="AF36" s="2562"/>
      <c r="AG36" s="332"/>
      <c r="AH36" s="2562"/>
      <c r="AI36" s="415" t="s">
        <v>5611</v>
      </c>
      <c r="AJ36" s="703" t="s">
        <v>5613</v>
      </c>
      <c r="AK36" s="703" t="s">
        <v>5614</v>
      </c>
      <c r="AL36" s="703" t="s">
        <v>5615</v>
      </c>
      <c r="AM36" s="703" t="s">
        <v>5616</v>
      </c>
      <c r="AN36" s="703" t="s">
        <v>5617</v>
      </c>
      <c r="AO36" s="703" t="s">
        <v>5618</v>
      </c>
      <c r="AP36" s="703" t="s">
        <v>5619</v>
      </c>
      <c r="AQ36" s="703" t="s">
        <v>5620</v>
      </c>
      <c r="AR36" s="703" t="s">
        <v>5621</v>
      </c>
      <c r="AS36" s="704" t="s">
        <v>5622</v>
      </c>
    </row>
    <row r="37" spans="1:45" ht="15.75" customHeight="1" thickTop="1" thickBot="1">
      <c r="A37" s="197"/>
      <c r="B37" s="417"/>
      <c r="C37" s="417"/>
      <c r="D37" s="417"/>
      <c r="E37" s="313"/>
      <c r="F37" s="313"/>
      <c r="G37" s="313"/>
      <c r="H37" s="313"/>
      <c r="I37" s="313"/>
      <c r="J37" s="313"/>
      <c r="K37" s="313"/>
      <c r="L37" s="313"/>
      <c r="M37" s="313"/>
      <c r="N37" s="313"/>
      <c r="O37" s="197"/>
      <c r="P37" s="197"/>
      <c r="Q37" s="197"/>
      <c r="R37" s="197"/>
      <c r="S37" s="197"/>
      <c r="T37" s="2578"/>
      <c r="U37" s="2573"/>
      <c r="V37" s="2577"/>
      <c r="W37" s="2562"/>
      <c r="X37" s="2562"/>
      <c r="Y37" s="2562"/>
      <c r="Z37" s="2562"/>
      <c r="AA37" s="2562"/>
      <c r="AB37" s="2562"/>
      <c r="AC37" s="2562"/>
      <c r="AD37" s="2562"/>
      <c r="AE37" s="2562"/>
      <c r="AF37" s="2562"/>
      <c r="AG37" s="332"/>
      <c r="AH37" s="2562"/>
      <c r="AI37" s="417"/>
      <c r="AJ37" s="313"/>
      <c r="AK37" s="313"/>
      <c r="AL37" s="313"/>
      <c r="AM37" s="313"/>
      <c r="AN37" s="313"/>
      <c r="AO37" s="313"/>
      <c r="AP37" s="313"/>
      <c r="AQ37" s="313"/>
      <c r="AR37" s="313"/>
      <c r="AS37" s="313"/>
    </row>
    <row r="38" spans="1:45" ht="15.75" customHeight="1" thickTop="1" thickBot="1">
      <c r="A38" s="197"/>
      <c r="B38" s="712" t="s">
        <v>5623</v>
      </c>
      <c r="C38" s="346" t="s">
        <v>137</v>
      </c>
      <c r="D38" s="346">
        <v>3</v>
      </c>
      <c r="E38" s="713">
        <v>6.9348081498298741</v>
      </c>
      <c r="F38" s="713">
        <v>45.691675436930765</v>
      </c>
      <c r="G38" s="713">
        <v>-8.283187799139105</v>
      </c>
      <c r="H38" s="713">
        <v>1.1274896952650892</v>
      </c>
      <c r="I38" s="713">
        <v>0</v>
      </c>
      <c r="J38" s="713">
        <v>7.9022623286365992</v>
      </c>
      <c r="K38" s="713">
        <v>61.36224378974714</v>
      </c>
      <c r="L38" s="713">
        <v>27.098914738868775</v>
      </c>
      <c r="M38" s="713">
        <v>3.802635723480368</v>
      </c>
      <c r="N38" s="335">
        <v>0</v>
      </c>
      <c r="O38" s="313"/>
      <c r="P38" s="714" t="s">
        <v>5624</v>
      </c>
      <c r="Q38" s="197"/>
      <c r="R38" s="337"/>
      <c r="S38" s="197"/>
      <c r="T38" s="2578"/>
      <c r="U38" s="2573"/>
      <c r="V38" s="2577"/>
      <c r="W38" s="2562"/>
      <c r="X38" s="2562"/>
      <c r="Y38" s="2562"/>
      <c r="Z38" s="2562"/>
      <c r="AA38" s="2562"/>
      <c r="AB38" s="2562"/>
      <c r="AC38" s="2562"/>
      <c r="AD38" s="2562"/>
      <c r="AE38" s="2562"/>
      <c r="AF38" s="2562"/>
      <c r="AG38" s="332"/>
      <c r="AH38" s="2562"/>
      <c r="AI38" s="712" t="s">
        <v>5625</v>
      </c>
      <c r="AJ38" s="713" t="s">
        <v>5626</v>
      </c>
      <c r="AK38" s="713" t="s">
        <v>5627</v>
      </c>
      <c r="AL38" s="713" t="s">
        <v>5628</v>
      </c>
      <c r="AM38" s="713" t="s">
        <v>5629</v>
      </c>
      <c r="AN38" s="713" t="s">
        <v>5630</v>
      </c>
      <c r="AO38" s="713" t="s">
        <v>5631</v>
      </c>
      <c r="AP38" s="713" t="s">
        <v>5632</v>
      </c>
      <c r="AQ38" s="713" t="s">
        <v>5633</v>
      </c>
      <c r="AR38" s="713" t="s">
        <v>5634</v>
      </c>
      <c r="AS38" s="335" t="s">
        <v>5635</v>
      </c>
    </row>
    <row r="39" spans="1:45" ht="15.75" customHeight="1" thickTop="1" thickBot="1">
      <c r="A39" s="197"/>
      <c r="B39" s="327"/>
      <c r="C39" s="327"/>
      <c r="D39" s="327"/>
      <c r="E39" s="83"/>
      <c r="F39" s="83"/>
      <c r="G39" s="83"/>
      <c r="H39" s="83"/>
      <c r="I39" s="83"/>
      <c r="J39" s="83"/>
      <c r="K39" s="83"/>
      <c r="L39" s="83"/>
      <c r="M39" s="83"/>
      <c r="N39" s="83"/>
      <c r="O39" s="313"/>
      <c r="P39" s="197"/>
      <c r="Q39" s="197"/>
      <c r="R39" s="197"/>
      <c r="S39" s="197"/>
      <c r="T39" s="2578"/>
      <c r="U39" s="2573"/>
      <c r="V39" s="2578"/>
      <c r="W39" s="2562"/>
      <c r="X39" s="2562"/>
      <c r="Y39" s="2562"/>
      <c r="Z39" s="2562"/>
      <c r="AA39" s="2562"/>
      <c r="AB39" s="2562"/>
      <c r="AC39" s="2562"/>
      <c r="AD39" s="2562"/>
      <c r="AE39" s="2562"/>
      <c r="AF39" s="2562"/>
      <c r="AG39" s="2578"/>
      <c r="AH39" s="2562"/>
      <c r="AI39" s="327"/>
      <c r="AJ39" s="83"/>
      <c r="AK39" s="83"/>
      <c r="AL39" s="83"/>
      <c r="AM39" s="83"/>
      <c r="AN39" s="83"/>
      <c r="AO39" s="83"/>
      <c r="AP39" s="83"/>
      <c r="AQ39" s="83"/>
      <c r="AR39" s="83"/>
      <c r="AS39" s="83"/>
    </row>
    <row r="40" spans="1:45" ht="15.75" customHeight="1" thickTop="1" thickBot="1">
      <c r="A40" s="197"/>
      <c r="B40" s="681" t="s">
        <v>5636</v>
      </c>
      <c r="C40" s="682"/>
      <c r="D40" s="682"/>
      <c r="E40" s="34"/>
      <c r="F40" s="83"/>
      <c r="G40" s="83"/>
      <c r="H40" s="83"/>
      <c r="I40" s="83"/>
      <c r="J40" s="83"/>
      <c r="K40" s="83"/>
      <c r="L40" s="83"/>
      <c r="M40" s="83"/>
      <c r="N40" s="83"/>
      <c r="O40" s="313"/>
      <c r="P40" s="197"/>
      <c r="Q40" s="197"/>
      <c r="R40" s="197"/>
      <c r="S40" s="197"/>
      <c r="T40" s="2578"/>
      <c r="U40" s="2573"/>
      <c r="V40" s="2578"/>
      <c r="W40" s="2562"/>
      <c r="X40" s="2562"/>
      <c r="Y40" s="2562"/>
      <c r="Z40" s="2562"/>
      <c r="AA40" s="2562"/>
      <c r="AB40" s="2562"/>
      <c r="AC40" s="2562"/>
      <c r="AD40" s="2562"/>
      <c r="AE40" s="2562"/>
      <c r="AF40" s="2562"/>
      <c r="AG40" s="2578"/>
      <c r="AH40" s="2562"/>
      <c r="AI40" s="681" t="s">
        <v>5636</v>
      </c>
      <c r="AJ40" s="34"/>
      <c r="AK40" s="83"/>
      <c r="AL40" s="83"/>
      <c r="AM40" s="83"/>
      <c r="AN40" s="83"/>
      <c r="AO40" s="83"/>
      <c r="AP40" s="83"/>
      <c r="AQ40" s="83"/>
      <c r="AR40" s="83"/>
      <c r="AS40" s="83"/>
    </row>
    <row r="41" spans="1:45" ht="15.75" customHeight="1" thickTop="1">
      <c r="A41" s="197"/>
      <c r="B41" s="711" t="s">
        <v>5623</v>
      </c>
      <c r="C41" s="685" t="s">
        <v>137</v>
      </c>
      <c r="D41" s="685">
        <v>3</v>
      </c>
      <c r="E41" s="2006">
        <v>6.9348081498298741</v>
      </c>
      <c r="F41" s="2006">
        <v>45.691675436930765</v>
      </c>
      <c r="G41" s="2006">
        <v>-8.283187799139105</v>
      </c>
      <c r="H41" s="2006">
        <v>1.1274896952650892</v>
      </c>
      <c r="I41" s="2006">
        <v>0</v>
      </c>
      <c r="J41" s="2006">
        <v>7.9022623286365992</v>
      </c>
      <c r="K41" s="2006">
        <v>61.36224378974714</v>
      </c>
      <c r="L41" s="2006">
        <v>27.098914738868775</v>
      </c>
      <c r="M41" s="2006">
        <v>3.802635723480368</v>
      </c>
      <c r="N41" s="2007">
        <v>0</v>
      </c>
      <c r="O41" s="313"/>
      <c r="P41" s="688" t="s">
        <v>5637</v>
      </c>
      <c r="Q41" s="197"/>
      <c r="R41" s="250"/>
      <c r="S41" s="197"/>
      <c r="T41" s="2578"/>
      <c r="U41" s="2573"/>
      <c r="V41" s="2578"/>
      <c r="W41" s="2562"/>
      <c r="X41" s="2562"/>
      <c r="Y41" s="2562"/>
      <c r="Z41" s="2562"/>
      <c r="AA41" s="2562"/>
      <c r="AB41" s="2562"/>
      <c r="AC41" s="2562"/>
      <c r="AD41" s="2562"/>
      <c r="AE41" s="2562"/>
      <c r="AF41" s="2562"/>
      <c r="AG41" s="2578"/>
      <c r="AH41" s="2562"/>
      <c r="AI41" s="711" t="s">
        <v>5625</v>
      </c>
      <c r="AJ41" s="2008" t="s">
        <v>5638</v>
      </c>
      <c r="AK41" s="2008" t="s">
        <v>5639</v>
      </c>
      <c r="AL41" s="2008" t="s">
        <v>5640</v>
      </c>
      <c r="AM41" s="2008" t="s">
        <v>5641</v>
      </c>
      <c r="AN41" s="2008" t="s">
        <v>5642</v>
      </c>
      <c r="AO41" s="2008" t="s">
        <v>5643</v>
      </c>
      <c r="AP41" s="2008" t="s">
        <v>5644</v>
      </c>
      <c r="AQ41" s="2008" t="s">
        <v>5645</v>
      </c>
      <c r="AR41" s="2008" t="s">
        <v>5646</v>
      </c>
      <c r="AS41" s="2009" t="s">
        <v>5647</v>
      </c>
    </row>
    <row r="42" spans="1:45" ht="15.75" customHeight="1">
      <c r="A42" s="197"/>
      <c r="B42" s="689" t="s">
        <v>5648</v>
      </c>
      <c r="C42" s="290" t="s">
        <v>1344</v>
      </c>
      <c r="D42" s="290">
        <v>2</v>
      </c>
      <c r="E42" s="701">
        <v>0.77212246236863924</v>
      </c>
      <c r="F42" s="701">
        <v>0.72606695614765127</v>
      </c>
      <c r="G42" s="701">
        <v>0.38702537718420199</v>
      </c>
      <c r="H42" s="701">
        <v>0.62042886644265605</v>
      </c>
      <c r="I42" s="701">
        <v>0</v>
      </c>
      <c r="J42" s="701">
        <v>0.82528597909941603</v>
      </c>
      <c r="K42" s="701">
        <v>0.72767788257181421</v>
      </c>
      <c r="L42" s="701">
        <v>0.39714594029943678</v>
      </c>
      <c r="M42" s="701">
        <v>0.58419307524323416</v>
      </c>
      <c r="N42" s="702">
        <v>0</v>
      </c>
      <c r="O42" s="313"/>
      <c r="P42" s="692" t="s">
        <v>5649</v>
      </c>
      <c r="Q42" s="197"/>
      <c r="R42" s="258"/>
      <c r="S42" s="197"/>
      <c r="T42" s="2578"/>
      <c r="U42" s="251">
        <f t="shared" ref="U42" si="66">IF( SUM( W42:AF42 ) = 0, 0, $W$5 )</f>
        <v>0</v>
      </c>
      <c r="V42" s="2578"/>
      <c r="W42" s="252">
        <f t="shared" ref="W42" si="67" xml:space="preserve"> IF( ISNUMBER( E42 ), 0, 1 )</f>
        <v>0</v>
      </c>
      <c r="X42" s="252">
        <f t="shared" ref="X42" si="68" xml:space="preserve"> IF( ISNUMBER( F42 ), 0, 1 )</f>
        <v>0</v>
      </c>
      <c r="Y42" s="252">
        <f t="shared" ref="Y42" si="69" xml:space="preserve"> IF( ISNUMBER( G42 ), 0, 1 )</f>
        <v>0</v>
      </c>
      <c r="Z42" s="252">
        <f t="shared" ref="Z42" si="70" xml:space="preserve"> IF( ISNUMBER( H42 ), 0, 1 )</f>
        <v>0</v>
      </c>
      <c r="AA42" s="252">
        <f t="shared" ref="AA42" si="71" xml:space="preserve"> IF( ISNUMBER( I42 ), 0, 1 )</f>
        <v>0</v>
      </c>
      <c r="AB42" s="252">
        <f t="shared" ref="AB42" si="72" xml:space="preserve"> IF( ISNUMBER( J42 ), 0, 1 )</f>
        <v>0</v>
      </c>
      <c r="AC42" s="252">
        <f t="shared" ref="AC42" si="73" xml:space="preserve"> IF( ISNUMBER( K42 ), 0, 1 )</f>
        <v>0</v>
      </c>
      <c r="AD42" s="252">
        <f t="shared" ref="AD42" si="74" xml:space="preserve"> IF( ISNUMBER( L42 ), 0, 1 )</f>
        <v>0</v>
      </c>
      <c r="AE42" s="252">
        <f t="shared" ref="AE42" si="75" xml:space="preserve"> IF( ISNUMBER( M42 ), 0, 1 )</f>
        <v>0</v>
      </c>
      <c r="AF42" s="252">
        <f t="shared" ref="AF42" si="76" xml:space="preserve"> IF( ISNUMBER( N42 ), 0, 1 )</f>
        <v>0</v>
      </c>
      <c r="AG42" s="2578"/>
      <c r="AH42" s="2562"/>
      <c r="AI42" s="689" t="s">
        <v>5648</v>
      </c>
      <c r="AJ42" s="715" t="s">
        <v>5650</v>
      </c>
      <c r="AK42" s="715" t="s">
        <v>5651</v>
      </c>
      <c r="AL42" s="715" t="s">
        <v>5652</v>
      </c>
      <c r="AM42" s="715" t="s">
        <v>5653</v>
      </c>
      <c r="AN42" s="715" t="s">
        <v>5654</v>
      </c>
      <c r="AO42" s="715" t="s">
        <v>5655</v>
      </c>
      <c r="AP42" s="715" t="s">
        <v>5656</v>
      </c>
      <c r="AQ42" s="715" t="s">
        <v>5657</v>
      </c>
      <c r="AR42" s="715" t="s">
        <v>5658</v>
      </c>
      <c r="AS42" s="716" t="s">
        <v>5659</v>
      </c>
    </row>
    <row r="43" spans="1:45" ht="15.75" customHeight="1">
      <c r="A43" s="197"/>
      <c r="B43" s="689" t="s">
        <v>5660</v>
      </c>
      <c r="C43" s="290" t="s">
        <v>137</v>
      </c>
      <c r="D43" s="290">
        <v>3</v>
      </c>
      <c r="E43" s="694">
        <v>1.5802870051291245</v>
      </c>
      <c r="F43" s="694">
        <v>12.516459731152041</v>
      </c>
      <c r="G43" s="694">
        <v>-5.0773839168897128</v>
      </c>
      <c r="H43" s="694">
        <v>0.42796254170599424</v>
      </c>
      <c r="I43" s="694">
        <v>0</v>
      </c>
      <c r="J43" s="694">
        <v>1.380636025647312</v>
      </c>
      <c r="K43" s="694">
        <v>16.710296158968486</v>
      </c>
      <c r="L43" s="694">
        <v>16.336690763806466</v>
      </c>
      <c r="M43" s="694">
        <v>1.5811622661505913</v>
      </c>
      <c r="N43" s="695">
        <v>0</v>
      </c>
      <c r="O43" s="313"/>
      <c r="P43" s="692" t="s">
        <v>5661</v>
      </c>
      <c r="Q43" s="197"/>
      <c r="R43" s="258"/>
      <c r="S43" s="197"/>
      <c r="T43" s="2578"/>
      <c r="U43" s="2573"/>
      <c r="V43" s="2578"/>
      <c r="W43" s="2562"/>
      <c r="X43" s="2562"/>
      <c r="Y43" s="2562"/>
      <c r="Z43" s="2562"/>
      <c r="AA43" s="2562"/>
      <c r="AB43" s="2562"/>
      <c r="AC43" s="2562"/>
      <c r="AD43" s="2562"/>
      <c r="AE43" s="2562"/>
      <c r="AF43" s="2562"/>
      <c r="AG43" s="2578"/>
      <c r="AH43" s="2562"/>
      <c r="AI43" s="689" t="s">
        <v>5662</v>
      </c>
      <c r="AJ43" s="694" t="s">
        <v>5663</v>
      </c>
      <c r="AK43" s="694" t="s">
        <v>5664</v>
      </c>
      <c r="AL43" s="694" t="s">
        <v>5665</v>
      </c>
      <c r="AM43" s="694" t="s">
        <v>5666</v>
      </c>
      <c r="AN43" s="694" t="s">
        <v>5667</v>
      </c>
      <c r="AO43" s="694" t="s">
        <v>5668</v>
      </c>
      <c r="AP43" s="694" t="s">
        <v>5669</v>
      </c>
      <c r="AQ43" s="694" t="s">
        <v>5670</v>
      </c>
      <c r="AR43" s="694" t="s">
        <v>5671</v>
      </c>
      <c r="AS43" s="695" t="s">
        <v>5672</v>
      </c>
    </row>
    <row r="44" spans="1:45" ht="31">
      <c r="A44" s="197"/>
      <c r="B44" s="689" t="s">
        <v>5673</v>
      </c>
      <c r="C44" s="290" t="s">
        <v>137</v>
      </c>
      <c r="D44" s="290">
        <v>3</v>
      </c>
      <c r="E44" s="717">
        <v>0</v>
      </c>
      <c r="F44" s="717">
        <v>0</v>
      </c>
      <c r="G44" s="717">
        <v>0</v>
      </c>
      <c r="H44" s="717">
        <v>0</v>
      </c>
      <c r="I44" s="717">
        <v>0</v>
      </c>
      <c r="J44" s="696">
        <v>0</v>
      </c>
      <c r="K44" s="696">
        <v>0</v>
      </c>
      <c r="L44" s="696">
        <v>0</v>
      </c>
      <c r="M44" s="696">
        <v>0</v>
      </c>
      <c r="N44" s="697">
        <v>0</v>
      </c>
      <c r="O44" s="86"/>
      <c r="P44" s="692" t="s">
        <v>5674</v>
      </c>
      <c r="Q44" s="197"/>
      <c r="R44" s="258"/>
      <c r="S44" s="197"/>
      <c r="T44" s="2578"/>
      <c r="U44" s="251">
        <f t="shared" ref="U44" si="77">IF( SUM( W44:AF44 ) = 0, 0, $W$5 )</f>
        <v>0</v>
      </c>
      <c r="V44" s="2578"/>
      <c r="W44" s="2562"/>
      <c r="X44" s="2562"/>
      <c r="Y44" s="2562"/>
      <c r="Z44" s="2562"/>
      <c r="AA44" s="2562"/>
      <c r="AB44" s="252">
        <f t="shared" ref="AB44" si="78" xml:space="preserve"> IF( ISNUMBER( J44 ), 0, 1 )</f>
        <v>0</v>
      </c>
      <c r="AC44" s="252">
        <f t="shared" ref="AC44" si="79" xml:space="preserve"> IF( ISNUMBER( K44 ), 0, 1 )</f>
        <v>0</v>
      </c>
      <c r="AD44" s="252">
        <f t="shared" ref="AD44" si="80" xml:space="preserve"> IF( ISNUMBER( L44 ), 0, 1 )</f>
        <v>0</v>
      </c>
      <c r="AE44" s="252">
        <f t="shared" ref="AE44" si="81" xml:space="preserve"> IF( ISNUMBER( M44 ), 0, 1 )</f>
        <v>0</v>
      </c>
      <c r="AF44" s="252">
        <f t="shared" ref="AF44" si="82" xml:space="preserve"> IF( ISNUMBER( N44 ), 0, 1 )</f>
        <v>0</v>
      </c>
      <c r="AG44" s="2578"/>
      <c r="AH44" s="2562"/>
      <c r="AI44" s="689" t="s">
        <v>5673</v>
      </c>
      <c r="AJ44" s="717"/>
      <c r="AK44" s="717"/>
      <c r="AL44" s="717"/>
      <c r="AM44" s="717"/>
      <c r="AN44" s="717"/>
      <c r="AO44" s="696" t="s">
        <v>5675</v>
      </c>
      <c r="AP44" s="696" t="s">
        <v>5676</v>
      </c>
      <c r="AQ44" s="696" t="s">
        <v>5677</v>
      </c>
      <c r="AR44" s="696" t="s">
        <v>5678</v>
      </c>
      <c r="AS44" s="697" t="s">
        <v>5679</v>
      </c>
    </row>
    <row r="45" spans="1:45" ht="15.75" customHeight="1">
      <c r="A45" s="197"/>
      <c r="B45" s="689" t="s">
        <v>5680</v>
      </c>
      <c r="C45" s="290" t="s">
        <v>137</v>
      </c>
      <c r="D45" s="290">
        <v>3</v>
      </c>
      <c r="E45" s="717">
        <v>0</v>
      </c>
      <c r="F45" s="717">
        <v>0</v>
      </c>
      <c r="G45" s="717">
        <v>0</v>
      </c>
      <c r="H45" s="717">
        <v>0</v>
      </c>
      <c r="I45" s="717">
        <v>0</v>
      </c>
      <c r="J45" s="751">
        <v>0</v>
      </c>
      <c r="K45" s="751">
        <v>0</v>
      </c>
      <c r="L45" s="751">
        <v>0</v>
      </c>
      <c r="M45" s="717">
        <v>0</v>
      </c>
      <c r="N45" s="1900">
        <v>0</v>
      </c>
      <c r="O45" s="86"/>
      <c r="P45" s="700" t="s">
        <v>5681</v>
      </c>
      <c r="Q45" s="197"/>
      <c r="R45" s="258"/>
      <c r="S45" s="197"/>
      <c r="T45" s="2578"/>
      <c r="U45" s="2573"/>
      <c r="V45" s="2578"/>
      <c r="W45" s="2562"/>
      <c r="X45" s="2562"/>
      <c r="Y45" s="2562"/>
      <c r="Z45" s="2562"/>
      <c r="AA45" s="2562"/>
      <c r="AB45" s="2562"/>
      <c r="AC45" s="2562"/>
      <c r="AD45" s="2562"/>
      <c r="AE45" s="2562"/>
      <c r="AF45" s="2562"/>
      <c r="AG45" s="2578"/>
      <c r="AH45" s="2562"/>
      <c r="AI45" s="689" t="s">
        <v>5680</v>
      </c>
      <c r="AJ45" s="717"/>
      <c r="AK45" s="717"/>
      <c r="AL45" s="717"/>
      <c r="AM45" s="717"/>
      <c r="AN45" s="717"/>
      <c r="AO45" s="718" t="s">
        <v>5682</v>
      </c>
      <c r="AP45" s="718" t="s">
        <v>5683</v>
      </c>
      <c r="AQ45" s="718" t="s">
        <v>5684</v>
      </c>
      <c r="AR45" s="717"/>
      <c r="AS45" s="719" t="s">
        <v>5685</v>
      </c>
    </row>
    <row r="46" spans="1:45" ht="15.75" customHeight="1">
      <c r="A46" s="197"/>
      <c r="B46" s="689" t="s">
        <v>5686</v>
      </c>
      <c r="C46" s="290" t="s">
        <v>137</v>
      </c>
      <c r="D46" s="290">
        <v>3</v>
      </c>
      <c r="E46" s="717">
        <v>0</v>
      </c>
      <c r="F46" s="717">
        <v>0</v>
      </c>
      <c r="G46" s="717">
        <v>0</v>
      </c>
      <c r="H46" s="717">
        <v>0</v>
      </c>
      <c r="I46" s="717">
        <v>0</v>
      </c>
      <c r="J46" s="655">
        <v>678.38400000000001</v>
      </c>
      <c r="K46" s="655">
        <v>2780.4409999999998</v>
      </c>
      <c r="L46" s="655">
        <v>4902.5770000000002</v>
      </c>
      <c r="M46" s="655">
        <v>353.166</v>
      </c>
      <c r="N46" s="693">
        <v>0</v>
      </c>
      <c r="O46" s="86"/>
      <c r="P46" s="692" t="s">
        <v>5687</v>
      </c>
      <c r="Q46" s="197"/>
      <c r="R46" s="258"/>
      <c r="S46" s="197"/>
      <c r="T46" s="2578"/>
      <c r="U46" s="251">
        <f t="shared" ref="U46" si="83">IF( SUM( W46:AF46 ) = 0, 0, $W$5 )</f>
        <v>0</v>
      </c>
      <c r="V46" s="2578"/>
      <c r="W46" s="2562"/>
      <c r="X46" s="2562"/>
      <c r="Y46" s="2562"/>
      <c r="Z46" s="2562"/>
      <c r="AA46" s="2562"/>
      <c r="AB46" s="252">
        <f t="shared" ref="AB46" si="84" xml:space="preserve"> IF( ISNUMBER( J46 ), 0, 1 )</f>
        <v>0</v>
      </c>
      <c r="AC46" s="252">
        <f t="shared" ref="AC46" si="85" xml:space="preserve"> IF( ISNUMBER( K46 ), 0, 1 )</f>
        <v>0</v>
      </c>
      <c r="AD46" s="252">
        <f t="shared" ref="AD46" si="86" xml:space="preserve"> IF( ISNUMBER( L46 ), 0, 1 )</f>
        <v>0</v>
      </c>
      <c r="AE46" s="252">
        <f t="shared" ref="AE46" si="87" xml:space="preserve"> IF( ISNUMBER( M46 ), 0, 1 )</f>
        <v>0</v>
      </c>
      <c r="AF46" s="252">
        <f t="shared" ref="AF46" si="88" xml:space="preserve"> IF( ISNUMBER( N46 ), 0, 1 )</f>
        <v>0</v>
      </c>
      <c r="AG46" s="2578"/>
      <c r="AH46" s="2562"/>
      <c r="AI46" s="689" t="s">
        <v>5686</v>
      </c>
      <c r="AJ46" s="717"/>
      <c r="AK46" s="717"/>
      <c r="AL46" s="717"/>
      <c r="AM46" s="717"/>
      <c r="AN46" s="717"/>
      <c r="AO46" s="655" t="s">
        <v>5688</v>
      </c>
      <c r="AP46" s="655" t="s">
        <v>5689</v>
      </c>
      <c r="AQ46" s="655" t="s">
        <v>5690</v>
      </c>
      <c r="AR46" s="655" t="s">
        <v>5691</v>
      </c>
      <c r="AS46" s="693" t="s">
        <v>5692</v>
      </c>
    </row>
    <row r="47" spans="1:45" ht="15.75" customHeight="1" thickBot="1">
      <c r="A47" s="197"/>
      <c r="B47" s="415" t="s">
        <v>5693</v>
      </c>
      <c r="C47" s="297" t="s">
        <v>137</v>
      </c>
      <c r="D47" s="297">
        <v>3</v>
      </c>
      <c r="E47" s="720">
        <v>0</v>
      </c>
      <c r="F47" s="720">
        <v>0</v>
      </c>
      <c r="G47" s="720">
        <v>0</v>
      </c>
      <c r="H47" s="720">
        <v>0</v>
      </c>
      <c r="I47" s="720">
        <v>0</v>
      </c>
      <c r="J47" s="1805">
        <v>679.76463602564729</v>
      </c>
      <c r="K47" s="1805">
        <v>2797.1512961589683</v>
      </c>
      <c r="L47" s="1805">
        <v>4918.9136907638067</v>
      </c>
      <c r="M47" s="1805">
        <v>354.74716226615061</v>
      </c>
      <c r="N47" s="1806">
        <v>0</v>
      </c>
      <c r="O47" s="313"/>
      <c r="P47" s="710" t="s">
        <v>5694</v>
      </c>
      <c r="Q47" s="197"/>
      <c r="R47" s="269"/>
      <c r="S47" s="197"/>
      <c r="T47" s="2578"/>
      <c r="U47" s="2573"/>
      <c r="V47" s="2578"/>
      <c r="W47" s="2562"/>
      <c r="X47" s="2562"/>
      <c r="Y47" s="2562"/>
      <c r="Z47" s="2562"/>
      <c r="AA47" s="2562"/>
      <c r="AB47" s="2562"/>
      <c r="AC47" s="2562"/>
      <c r="AD47" s="2562"/>
      <c r="AE47" s="2562"/>
      <c r="AF47" s="2562"/>
      <c r="AG47" s="2578"/>
      <c r="AH47" s="2562"/>
      <c r="AI47" s="415" t="s">
        <v>5693</v>
      </c>
      <c r="AJ47" s="720"/>
      <c r="AK47" s="720"/>
      <c r="AL47" s="720"/>
      <c r="AM47" s="720"/>
      <c r="AN47" s="720"/>
      <c r="AO47" s="279" t="s">
        <v>5695</v>
      </c>
      <c r="AP47" s="279" t="s">
        <v>5696</v>
      </c>
      <c r="AQ47" s="279" t="s">
        <v>5697</v>
      </c>
      <c r="AR47" s="279" t="s">
        <v>5698</v>
      </c>
      <c r="AS47" s="280" t="s">
        <v>5699</v>
      </c>
    </row>
    <row r="48" spans="1:45" ht="16" thickTop="1">
      <c r="A48" s="197"/>
      <c r="B48" s="197"/>
      <c r="C48" s="197"/>
      <c r="D48" s="197"/>
      <c r="E48" s="197"/>
      <c r="F48" s="197"/>
      <c r="G48" s="197"/>
      <c r="H48" s="197"/>
      <c r="I48" s="197"/>
      <c r="P48" s="197"/>
      <c r="Q48" s="197"/>
      <c r="R48" s="197"/>
      <c r="S48" s="197"/>
      <c r="T48" s="2562"/>
      <c r="U48" s="2573"/>
      <c r="V48" s="2572"/>
      <c r="W48" s="2562"/>
      <c r="X48" s="2562"/>
      <c r="Y48" s="2562"/>
      <c r="Z48" s="2562"/>
      <c r="AA48" s="2562"/>
      <c r="AB48" s="2562"/>
      <c r="AC48" s="2562"/>
      <c r="AD48" s="2562"/>
      <c r="AE48" s="2562"/>
      <c r="AF48" s="2562"/>
      <c r="AG48" s="2572"/>
      <c r="AH48" s="2562"/>
      <c r="AI48" s="2562"/>
      <c r="AJ48" s="2562"/>
      <c r="AK48" s="2562"/>
      <c r="AL48" s="2562"/>
      <c r="AM48" s="2562"/>
      <c r="AN48" s="2562"/>
      <c r="AO48" s="2562"/>
      <c r="AP48" s="2562"/>
      <c r="AQ48" s="2562"/>
      <c r="AR48" s="2562"/>
      <c r="AS48" s="2562"/>
    </row>
    <row r="49" spans="1:32">
      <c r="A49" s="197"/>
      <c r="B49" s="197"/>
      <c r="C49" s="197"/>
      <c r="D49" s="197"/>
      <c r="E49" s="197"/>
      <c r="F49" s="197"/>
      <c r="G49" s="197"/>
      <c r="H49" s="197"/>
      <c r="I49" s="197"/>
      <c r="P49" s="197"/>
      <c r="Q49" s="197"/>
      <c r="R49" s="197"/>
      <c r="S49" s="197"/>
      <c r="T49" s="2562"/>
      <c r="U49" s="2573"/>
      <c r="V49" s="2572"/>
      <c r="W49" s="2562"/>
      <c r="X49" s="2562"/>
      <c r="Y49" s="2562"/>
      <c r="Z49" s="2562"/>
      <c r="AA49" s="2562"/>
      <c r="AB49" s="2562"/>
      <c r="AC49" s="2562"/>
      <c r="AD49" s="2562"/>
      <c r="AE49" s="2562"/>
      <c r="AF49" s="2562"/>
    </row>
    <row r="50" spans="1:32">
      <c r="A50" s="197"/>
      <c r="B50" s="197"/>
      <c r="C50" s="197"/>
      <c r="D50" s="197"/>
      <c r="E50" s="197"/>
      <c r="F50" s="197"/>
      <c r="G50" s="197"/>
      <c r="H50" s="197"/>
      <c r="I50" s="197"/>
      <c r="P50" s="197"/>
      <c r="Q50" s="197"/>
      <c r="R50" s="197"/>
      <c r="S50" s="197"/>
      <c r="T50" s="2562"/>
      <c r="U50" s="2573"/>
      <c r="V50" s="2572"/>
      <c r="W50" s="2562"/>
      <c r="X50" s="2562"/>
      <c r="Y50" s="2562"/>
      <c r="Z50" s="2562"/>
      <c r="AA50" s="2562"/>
      <c r="AB50" s="2562"/>
      <c r="AC50" s="2562"/>
      <c r="AD50" s="2562"/>
      <c r="AE50" s="2562"/>
      <c r="AF50" s="2562"/>
    </row>
    <row r="51" spans="1:32">
      <c r="A51" s="197"/>
      <c r="B51" s="197"/>
      <c r="C51" s="197"/>
      <c r="D51" s="197"/>
      <c r="E51" s="197"/>
      <c r="F51" s="197"/>
      <c r="G51" s="197"/>
      <c r="H51" s="197"/>
      <c r="I51" s="197"/>
      <c r="P51" s="197"/>
      <c r="Q51" s="197"/>
      <c r="R51" s="197"/>
      <c r="S51" s="197"/>
      <c r="T51" s="2562"/>
      <c r="U51" s="2573"/>
      <c r="V51" s="2572"/>
      <c r="W51" s="2562"/>
      <c r="X51" s="2562"/>
      <c r="Y51" s="2562"/>
      <c r="Z51" s="2562"/>
      <c r="AA51" s="2562"/>
      <c r="AB51" s="2562"/>
      <c r="AC51" s="2562"/>
      <c r="AD51" s="2562"/>
      <c r="AE51" s="2562"/>
      <c r="AF51" s="2562"/>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43" priority="28" operator="equal">
      <formula>0</formula>
    </cfRule>
  </conditionalFormatting>
  <conditionalFormatting sqref="U15">
    <cfRule type="cellIs" dxfId="142" priority="8" operator="equal">
      <formula>0</formula>
    </cfRule>
  </conditionalFormatting>
  <conditionalFormatting sqref="U17:U18">
    <cfRule type="cellIs" dxfId="141" priority="7" operator="equal">
      <formula>0</formula>
    </cfRule>
  </conditionalFormatting>
  <conditionalFormatting sqref="U25:U26">
    <cfRule type="cellIs" dxfId="140" priority="6" operator="equal">
      <formula>0</formula>
    </cfRule>
  </conditionalFormatting>
  <conditionalFormatting sqref="U28:U29">
    <cfRule type="cellIs" dxfId="139" priority="5" operator="equal">
      <formula>0</formula>
    </cfRule>
  </conditionalFormatting>
  <conditionalFormatting sqref="U34:U35">
    <cfRule type="cellIs" dxfId="138" priority="4" operator="equal">
      <formula>0</formula>
    </cfRule>
  </conditionalFormatting>
  <conditionalFormatting sqref="U42">
    <cfRule type="cellIs" dxfId="137" priority="3" operator="equal">
      <formula>0</formula>
    </cfRule>
  </conditionalFormatting>
  <conditionalFormatting sqref="U44">
    <cfRule type="cellIs" dxfId="136" priority="2" operator="equal">
      <formula>0</formula>
    </cfRule>
  </conditionalFormatting>
  <conditionalFormatting sqref="U46">
    <cfRule type="cellIs" dxfId="135" priority="1" operator="equal">
      <formula>0</formula>
    </cfRule>
  </conditionalFormatting>
  <dataValidations count="1">
    <dataValidation type="custom" allowBlank="1" showErrorMessage="1" errorTitle="Input Error" error="Please enter a numeric value." sqref="E42:N42 E34:N35 J44:N46 I9:N12 E25:N26 E15:N15 E9:G12 N18 H9:H14 H16:H17 E18:L18 E28:N30"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A29" zoomScale="85" zoomScaleNormal="85" zoomScaleSheetLayoutView="100" workbookViewId="0">
      <selection activeCell="E42" sqref="E42:J42"/>
    </sheetView>
  </sheetViews>
  <sheetFormatPr defaultColWidth="9" defaultRowHeight="15.5"/>
  <cols>
    <col min="1" max="1" width="1.58203125" style="220" customWidth="1"/>
    <col min="2" max="2" width="45" style="225" customWidth="1"/>
    <col min="3" max="3" width="7.08203125" style="220" customWidth="1"/>
    <col min="4" max="4" width="5.5" style="220" customWidth="1"/>
    <col min="5" max="8" width="12.5" style="220" customWidth="1"/>
    <col min="9" max="9" width="13.58203125" style="220" bestFit="1" customWidth="1"/>
    <col min="10" max="10" width="12.5" style="220" customWidth="1"/>
    <col min="11" max="11" width="1.58203125" style="220" customWidth="1"/>
    <col min="12" max="12" width="12.5" style="721" customWidth="1"/>
    <col min="13" max="13" width="1.58203125" style="220" customWidth="1"/>
    <col min="14" max="14" width="33.58203125" style="220" customWidth="1"/>
    <col min="15" max="16" width="1.58203125" style="220" customWidth="1"/>
    <col min="17" max="17" width="25" style="220" customWidth="1"/>
    <col min="18" max="18" width="1.58203125" style="220" customWidth="1"/>
    <col min="19" max="23" width="7.08203125" style="220" hidden="1" customWidth="1"/>
    <col min="24" max="24" width="1.58203125" style="220" hidden="1" customWidth="1"/>
    <col min="25" max="25" width="1.58203125" style="220" customWidth="1"/>
    <col min="26" max="26" width="44.08203125" style="225" bestFit="1" customWidth="1"/>
    <col min="27" max="32" width="15" style="220" customWidth="1"/>
    <col min="33" max="33" width="1.58203125" style="220" customWidth="1"/>
    <col min="34" max="16384" width="9" style="220"/>
  </cols>
  <sheetData>
    <row r="1" spans="2:33" s="351" customFormat="1" ht="29.25" customHeight="1">
      <c r="B1" s="2673" t="s">
        <v>5700</v>
      </c>
      <c r="C1" s="2673"/>
      <c r="D1" s="2673"/>
      <c r="E1" s="2673"/>
      <c r="F1" s="2673"/>
      <c r="G1" s="2673"/>
      <c r="H1" s="2673"/>
      <c r="I1" s="2673"/>
      <c r="J1" s="304"/>
      <c r="K1" s="227"/>
      <c r="L1" s="721"/>
      <c r="P1" s="722"/>
      <c r="Q1" s="2562"/>
      <c r="R1" s="722"/>
      <c r="X1" s="722"/>
      <c r="Z1" s="2673" t="s">
        <v>1887</v>
      </c>
      <c r="AA1" s="2673"/>
      <c r="AB1" s="2673"/>
      <c r="AC1" s="2673"/>
      <c r="AD1" s="2673"/>
      <c r="AE1" s="2673"/>
      <c r="AF1" s="304"/>
    </row>
    <row r="2" spans="2:33" s="351" customFormat="1" ht="29.25" customHeight="1">
      <c r="B2" s="2673" t="str">
        <f>SelectCompany!B4</f>
        <v>Yorkshire Water</v>
      </c>
      <c r="C2" s="2673"/>
      <c r="D2" s="2673"/>
      <c r="E2" s="2673"/>
      <c r="F2" s="2673"/>
      <c r="G2" s="2673"/>
      <c r="H2" s="2673"/>
      <c r="I2" s="2673"/>
      <c r="J2" s="304"/>
      <c r="K2" s="227"/>
      <c r="L2" s="721"/>
      <c r="P2" s="722"/>
      <c r="Q2" s="2562"/>
      <c r="R2" s="722"/>
      <c r="X2" s="722"/>
      <c r="Z2" s="2673"/>
      <c r="AA2" s="2673"/>
      <c r="AB2" s="2673"/>
      <c r="AC2" s="2673"/>
      <c r="AD2" s="2673"/>
      <c r="AE2" s="2673"/>
      <c r="AF2" s="2673"/>
      <c r="AG2" s="2673"/>
    </row>
    <row r="3" spans="2:33" ht="45" customHeight="1">
      <c r="B3" s="2781" t="s">
        <v>5701</v>
      </c>
      <c r="C3" s="2781"/>
      <c r="D3" s="2781"/>
      <c r="E3" s="2781"/>
      <c r="F3" s="2781"/>
      <c r="G3" s="2781"/>
      <c r="H3" s="2781"/>
      <c r="I3" s="2781"/>
      <c r="J3" s="2781"/>
      <c r="K3" s="2781"/>
      <c r="L3" s="2781"/>
      <c r="M3" s="2781"/>
      <c r="N3" s="2781"/>
      <c r="O3" s="2562"/>
      <c r="P3" s="2578"/>
      <c r="Q3" s="554" t="s">
        <v>1889</v>
      </c>
      <c r="R3" s="2578"/>
      <c r="S3" s="2562"/>
      <c r="T3" s="2562"/>
      <c r="U3" s="2562"/>
      <c r="V3" s="2562"/>
      <c r="W3" s="2562"/>
      <c r="X3" s="2578"/>
      <c r="Y3" s="2562"/>
      <c r="Z3" s="2781" t="s">
        <v>5701</v>
      </c>
      <c r="AA3" s="2781"/>
      <c r="AB3" s="2781"/>
      <c r="AC3" s="2781"/>
      <c r="AD3" s="2781"/>
      <c r="AE3" s="2781"/>
      <c r="AF3" s="2781"/>
      <c r="AG3" s="2562"/>
    </row>
    <row r="4" spans="2:33" ht="15" customHeight="1" thickBot="1">
      <c r="B4" s="594"/>
      <c r="C4" s="723"/>
      <c r="D4" s="723"/>
      <c r="E4" s="723"/>
      <c r="F4" s="723"/>
      <c r="G4" s="723"/>
      <c r="H4" s="723"/>
      <c r="I4" s="723"/>
      <c r="J4" s="723"/>
      <c r="K4" s="724"/>
      <c r="M4" s="2562"/>
      <c r="N4" s="2562"/>
      <c r="O4" s="2562"/>
      <c r="P4" s="2578"/>
      <c r="Q4" s="251"/>
      <c r="R4" s="2578"/>
      <c r="S4" s="2662" t="s">
        <v>1890</v>
      </c>
      <c r="T4" s="2662"/>
      <c r="U4" s="2662"/>
      <c r="V4" s="2795"/>
      <c r="W4" s="2795"/>
      <c r="X4" s="2578"/>
      <c r="Y4" s="2562"/>
      <c r="Z4" s="594"/>
      <c r="AA4" s="723"/>
      <c r="AB4" s="723"/>
      <c r="AC4" s="723"/>
      <c r="AD4" s="723"/>
      <c r="AE4" s="723"/>
      <c r="AF4" s="723"/>
      <c r="AG4" s="2562"/>
    </row>
    <row r="5" spans="2:33" s="197" customFormat="1" ht="15" customHeight="1" thickTop="1">
      <c r="B5" s="2785" t="s">
        <v>1891</v>
      </c>
      <c r="C5" s="2667" t="s">
        <v>1892</v>
      </c>
      <c r="D5" s="2667" t="s">
        <v>136</v>
      </c>
      <c r="E5" s="2667" t="s">
        <v>2828</v>
      </c>
      <c r="F5" s="2667" t="s">
        <v>5702</v>
      </c>
      <c r="G5" s="2667"/>
      <c r="H5" s="2667"/>
      <c r="I5" s="2667"/>
      <c r="J5" s="2669" t="s">
        <v>2112</v>
      </c>
      <c r="L5" s="2763" t="s">
        <v>1896</v>
      </c>
      <c r="N5" s="2763" t="s">
        <v>1897</v>
      </c>
      <c r="P5" s="725"/>
      <c r="Q5" s="251"/>
      <c r="R5" s="725"/>
      <c r="S5" s="236" t="s">
        <v>1898</v>
      </c>
      <c r="X5" s="725"/>
      <c r="Z5" s="2785" t="s">
        <v>1891</v>
      </c>
      <c r="AA5" s="2667" t="s">
        <v>2828</v>
      </c>
      <c r="AB5" s="2667" t="s">
        <v>5702</v>
      </c>
      <c r="AC5" s="2667"/>
      <c r="AD5" s="2667"/>
      <c r="AE5" s="2667"/>
      <c r="AF5" s="2669" t="s">
        <v>2112</v>
      </c>
    </row>
    <row r="6" spans="2:33" s="197" customFormat="1" ht="41.25" customHeight="1" thickBot="1">
      <c r="B6" s="2786"/>
      <c r="C6" s="2790"/>
      <c r="D6" s="2790"/>
      <c r="E6" s="2668"/>
      <c r="F6" s="238" t="s">
        <v>5703</v>
      </c>
      <c r="G6" s="238" t="s">
        <v>5704</v>
      </c>
      <c r="H6" s="238" t="s">
        <v>5705</v>
      </c>
      <c r="I6" s="238" t="s">
        <v>5706</v>
      </c>
      <c r="J6" s="2670"/>
      <c r="L6" s="2765"/>
      <c r="N6" s="2765"/>
      <c r="P6" s="725"/>
      <c r="Q6" s="251"/>
      <c r="R6" s="725"/>
      <c r="X6" s="725"/>
      <c r="Z6" s="2786"/>
      <c r="AA6" s="2668"/>
      <c r="AB6" s="238" t="s">
        <v>5703</v>
      </c>
      <c r="AC6" s="238" t="s">
        <v>5704</v>
      </c>
      <c r="AD6" s="238" t="s">
        <v>5705</v>
      </c>
      <c r="AE6" s="238" t="s">
        <v>5706</v>
      </c>
      <c r="AF6" s="2670"/>
    </row>
    <row r="7" spans="2:33" s="197" customFormat="1" ht="15.75" customHeight="1" thickTop="1" thickBot="1">
      <c r="B7" s="721"/>
      <c r="C7" s="721"/>
      <c r="D7" s="721"/>
      <c r="E7" s="721"/>
      <c r="F7" s="721"/>
      <c r="G7" s="721"/>
      <c r="H7" s="721"/>
      <c r="I7" s="721"/>
      <c r="J7" s="721"/>
      <c r="K7" s="721"/>
      <c r="L7" s="721"/>
      <c r="P7" s="725"/>
      <c r="Q7" s="251"/>
      <c r="R7" s="725"/>
      <c r="X7" s="725"/>
      <c r="Z7" s="721"/>
      <c r="AA7" s="721"/>
      <c r="AB7" s="721"/>
      <c r="AC7" s="721"/>
      <c r="AD7" s="721"/>
      <c r="AE7" s="721"/>
      <c r="AF7" s="721"/>
    </row>
    <row r="8" spans="2:33" s="197" customFormat="1" ht="15.75" customHeight="1" thickTop="1" thickBot="1">
      <c r="B8" s="355" t="s">
        <v>3147</v>
      </c>
      <c r="C8" s="682"/>
      <c r="D8" s="682"/>
      <c r="E8" s="444"/>
      <c r="F8" s="444"/>
      <c r="G8" s="444"/>
      <c r="L8" s="721"/>
      <c r="P8" s="725"/>
      <c r="Q8" s="251"/>
      <c r="R8" s="725"/>
      <c r="X8" s="725"/>
      <c r="Z8" s="355" t="s">
        <v>3147</v>
      </c>
      <c r="AA8" s="444"/>
      <c r="AB8" s="444"/>
      <c r="AC8" s="444"/>
    </row>
    <row r="9" spans="2:33" s="197" customFormat="1" ht="15.75" customHeight="1" thickTop="1">
      <c r="B9" s="726" t="s">
        <v>2929</v>
      </c>
      <c r="C9" s="685" t="s">
        <v>137</v>
      </c>
      <c r="D9" s="685">
        <v>3</v>
      </c>
      <c r="E9" s="1457">
        <f>IFERROR('4J'!E27,0)</f>
        <v>42.712000000000003</v>
      </c>
      <c r="F9" s="1457">
        <f>IFERROR('4J'!F27,0)</f>
        <v>15.674000000000001</v>
      </c>
      <c r="G9" s="1457">
        <f>IFERROR('4J'!G27,0)</f>
        <v>3.165</v>
      </c>
      <c r="H9" s="1457">
        <f>IFERROR('4J'!H27,0)</f>
        <v>85.283000000000001</v>
      </c>
      <c r="I9" s="1457">
        <f>IFERROR('4J'!I27,0)</f>
        <v>146.94999999999999</v>
      </c>
      <c r="J9" s="1458">
        <f>IFERROR(SUM(E9:I9), 0)</f>
        <v>293.78399999999999</v>
      </c>
      <c r="L9" s="729" t="s">
        <v>5707</v>
      </c>
      <c r="N9" s="250"/>
      <c r="P9" s="725"/>
      <c r="Q9" s="251"/>
      <c r="R9" s="725"/>
      <c r="X9" s="725"/>
      <c r="Z9" s="726" t="s">
        <v>2929</v>
      </c>
      <c r="AA9" s="727" t="s">
        <v>5708</v>
      </c>
      <c r="AB9" s="727" t="s">
        <v>5709</v>
      </c>
      <c r="AC9" s="727" t="s">
        <v>5710</v>
      </c>
      <c r="AD9" s="727" t="s">
        <v>5711</v>
      </c>
      <c r="AE9" s="727" t="s">
        <v>5712</v>
      </c>
      <c r="AF9" s="728" t="s">
        <v>5713</v>
      </c>
    </row>
    <row r="10" spans="2:33" s="197" customFormat="1" ht="15.75" customHeight="1">
      <c r="B10" s="730" t="s">
        <v>3004</v>
      </c>
      <c r="C10" s="731" t="s">
        <v>137</v>
      </c>
      <c r="D10" s="731">
        <v>3</v>
      </c>
      <c r="E10" s="1459">
        <f>IFERROR('4L'!F129, 0)</f>
        <v>0</v>
      </c>
      <c r="F10" s="1459">
        <f>IFERROR('4L'!G129, 0)</f>
        <v>0</v>
      </c>
      <c r="G10" s="1459">
        <f>IFERROR('4L'!H129, 0)</f>
        <v>0</v>
      </c>
      <c r="H10" s="1459">
        <f>IFERROR('4L'!I129, 0)</f>
        <v>0</v>
      </c>
      <c r="I10" s="1459">
        <f>IFERROR('4L'!J129, 0)</f>
        <v>22.314</v>
      </c>
      <c r="J10" s="1460">
        <f>IFERROR(SUM(E10:I10), 0)</f>
        <v>22.314</v>
      </c>
      <c r="L10" s="734" t="s">
        <v>5714</v>
      </c>
      <c r="N10" s="258"/>
      <c r="P10" s="725"/>
      <c r="Q10" s="251"/>
      <c r="R10" s="725"/>
      <c r="X10" s="725"/>
      <c r="Z10" s="730" t="s">
        <v>3004</v>
      </c>
      <c r="AA10" s="732" t="s">
        <v>3006</v>
      </c>
      <c r="AB10" s="732" t="s">
        <v>5715</v>
      </c>
      <c r="AC10" s="732" t="s">
        <v>5716</v>
      </c>
      <c r="AD10" s="732" t="s">
        <v>5717</v>
      </c>
      <c r="AE10" s="732" t="s">
        <v>5718</v>
      </c>
      <c r="AF10" s="733" t="s">
        <v>5719</v>
      </c>
    </row>
    <row r="11" spans="2:33" s="197" customFormat="1" ht="15.75" customHeight="1">
      <c r="B11" s="730" t="s">
        <v>5720</v>
      </c>
      <c r="C11" s="731" t="s">
        <v>137</v>
      </c>
      <c r="D11" s="731">
        <v>3</v>
      </c>
      <c r="E11" s="1472">
        <v>0</v>
      </c>
      <c r="F11" s="1472">
        <v>0</v>
      </c>
      <c r="G11" s="1472">
        <v>0</v>
      </c>
      <c r="H11" s="1472">
        <v>0</v>
      </c>
      <c r="I11" s="1472">
        <v>0</v>
      </c>
      <c r="J11" s="1460">
        <f t="shared" ref="J11:J13" si="0">IFERROR(SUM(E11:I11), 0)</f>
        <v>0</v>
      </c>
      <c r="L11" s="734" t="s">
        <v>5721</v>
      </c>
      <c r="N11" s="258"/>
      <c r="P11" s="725"/>
      <c r="Q11" s="251">
        <f t="shared" ref="Q11:Q17" si="1">IF( SUM( S11:W11 ) = 0, 0, $S$5 )</f>
        <v>0</v>
      </c>
      <c r="R11" s="725"/>
      <c r="S11" s="252">
        <f t="shared" ref="S11" si="2" xml:space="preserve"> IF( ISNUMBER( E11 ), 0, 1 )</f>
        <v>0</v>
      </c>
      <c r="T11" s="252">
        <f t="shared" ref="T11" si="3" xml:space="preserve"> IF( ISNUMBER( F11 ), 0, 1 )</f>
        <v>0</v>
      </c>
      <c r="U11" s="252">
        <f t="shared" ref="U11" si="4" xml:space="preserve"> IF( ISNUMBER( G11 ), 0, 1 )</f>
        <v>0</v>
      </c>
      <c r="V11" s="252">
        <f t="shared" ref="V11" si="5" xml:space="preserve"> IF( ISNUMBER( H11 ), 0, 1 )</f>
        <v>0</v>
      </c>
      <c r="W11" s="252">
        <f t="shared" ref="W11" si="6" xml:space="preserve"> IF( ISNUMBER( I11 ), 0, 1 )</f>
        <v>0</v>
      </c>
      <c r="X11" s="725"/>
      <c r="Z11" s="730" t="s">
        <v>5720</v>
      </c>
      <c r="AA11" s="735" t="s">
        <v>5722</v>
      </c>
      <c r="AB11" s="735" t="s">
        <v>5723</v>
      </c>
      <c r="AC11" s="735" t="s">
        <v>5724</v>
      </c>
      <c r="AD11" s="735" t="s">
        <v>5725</v>
      </c>
      <c r="AE11" s="735" t="s">
        <v>5726</v>
      </c>
      <c r="AF11" s="733" t="s">
        <v>5727</v>
      </c>
    </row>
    <row r="12" spans="2:33" s="197" customFormat="1" ht="33" customHeight="1">
      <c r="B12" s="730" t="s">
        <v>3021</v>
      </c>
      <c r="C12" s="736" t="s">
        <v>137</v>
      </c>
      <c r="D12" s="736">
        <v>3</v>
      </c>
      <c r="E12" s="1461">
        <f>IFERROR(SUM(E9:E11), 0)</f>
        <v>42.712000000000003</v>
      </c>
      <c r="F12" s="1461">
        <f t="shared" ref="F12:G12" si="7">IFERROR(SUM(F9:F11), 0)</f>
        <v>15.674000000000001</v>
      </c>
      <c r="G12" s="1461">
        <f t="shared" si="7"/>
        <v>3.165</v>
      </c>
      <c r="H12" s="1461">
        <f>IFERROR(SUM(H9:H11), 0)</f>
        <v>85.283000000000001</v>
      </c>
      <c r="I12" s="1461">
        <f>IFERROR(SUM(I9:I11), 0)</f>
        <v>169.26399999999998</v>
      </c>
      <c r="J12" s="1460">
        <f>IFERROR(SUM(E12:I12), 0)</f>
        <v>316.09799999999996</v>
      </c>
      <c r="L12" s="734" t="s">
        <v>5728</v>
      </c>
      <c r="N12" s="258"/>
      <c r="P12" s="725"/>
      <c r="Q12" s="251"/>
      <c r="R12" s="725"/>
      <c r="X12" s="725"/>
      <c r="Z12" s="730" t="s">
        <v>3021</v>
      </c>
      <c r="AA12" s="737" t="s">
        <v>5729</v>
      </c>
      <c r="AB12" s="737" t="s">
        <v>5730</v>
      </c>
      <c r="AC12" s="737" t="s">
        <v>5731</v>
      </c>
      <c r="AD12" s="737" t="s">
        <v>5732</v>
      </c>
      <c r="AE12" s="737" t="s">
        <v>5733</v>
      </c>
      <c r="AF12" s="733" t="s">
        <v>5734</v>
      </c>
    </row>
    <row r="13" spans="2:33" s="197" customFormat="1" ht="15.75" customHeight="1">
      <c r="B13" s="730" t="s">
        <v>3029</v>
      </c>
      <c r="C13" s="731" t="s">
        <v>137</v>
      </c>
      <c r="D13" s="731">
        <v>3</v>
      </c>
      <c r="E13" s="1472">
        <v>0</v>
      </c>
      <c r="F13" s="1472">
        <v>0</v>
      </c>
      <c r="G13" s="1472">
        <v>0</v>
      </c>
      <c r="H13" s="1472">
        <v>0</v>
      </c>
      <c r="I13" s="1472">
        <v>1.3169999999999999</v>
      </c>
      <c r="J13" s="1460">
        <f t="shared" si="0"/>
        <v>1.3169999999999999</v>
      </c>
      <c r="L13" s="734" t="s">
        <v>5735</v>
      </c>
      <c r="N13" s="739"/>
      <c r="P13" s="725"/>
      <c r="Q13" s="251">
        <f t="shared" si="1"/>
        <v>0</v>
      </c>
      <c r="R13" s="725"/>
      <c r="S13" s="252">
        <f t="shared" ref="S13" si="8" xml:space="preserve"> IF( ISNUMBER( E13 ), 0, 1 )</f>
        <v>0</v>
      </c>
      <c r="T13" s="252">
        <f t="shared" ref="T13" si="9" xml:space="preserve"> IF( ISNUMBER( F13 ), 0, 1 )</f>
        <v>0</v>
      </c>
      <c r="U13" s="252">
        <f t="shared" ref="U13" si="10" xml:space="preserve"> IF( ISNUMBER( G13 ), 0, 1 )</f>
        <v>0</v>
      </c>
      <c r="V13" s="252">
        <f t="shared" ref="V13" si="11" xml:space="preserve"> IF( ISNUMBER( H13 ), 0, 1 )</f>
        <v>0</v>
      </c>
      <c r="W13" s="252">
        <f t="shared" ref="W13" si="12" xml:space="preserve"> IF( ISNUMBER( I13 ), 0, 1 )</f>
        <v>0</v>
      </c>
      <c r="X13" s="725"/>
      <c r="Z13" s="730" t="s">
        <v>3029</v>
      </c>
      <c r="AA13" s="738" t="s">
        <v>3031</v>
      </c>
      <c r="AB13" s="738" t="s">
        <v>5736</v>
      </c>
      <c r="AC13" s="738" t="s">
        <v>5737</v>
      </c>
      <c r="AD13" s="738" t="s">
        <v>5738</v>
      </c>
      <c r="AE13" s="738" t="s">
        <v>5739</v>
      </c>
      <c r="AF13" s="733" t="s">
        <v>5740</v>
      </c>
    </row>
    <row r="14" spans="2:33" s="197" customFormat="1" ht="15.75" customHeight="1" thickBot="1">
      <c r="B14" s="740" t="s">
        <v>1846</v>
      </c>
      <c r="C14" s="741" t="s">
        <v>137</v>
      </c>
      <c r="D14" s="741">
        <v>3</v>
      </c>
      <c r="E14" s="1462">
        <f>IFERROR(E12 + E13, 0)</f>
        <v>42.712000000000003</v>
      </c>
      <c r="F14" s="1462">
        <f>IFERROR(F12 + F13, 0)</f>
        <v>15.674000000000001</v>
      </c>
      <c r="G14" s="1462">
        <f>IFERROR(G12 + G13, 0)</f>
        <v>3.165</v>
      </c>
      <c r="H14" s="1462">
        <f>IFERROR(H12 + H13, 0)</f>
        <v>85.283000000000001</v>
      </c>
      <c r="I14" s="1462">
        <f>IFERROR(I12 + I13, 0)</f>
        <v>170.58099999999999</v>
      </c>
      <c r="J14" s="1463">
        <f>IFERROR(SUM(E14:I14), 0)</f>
        <v>317.41499999999996</v>
      </c>
      <c r="L14" s="744" t="s">
        <v>5741</v>
      </c>
      <c r="N14" s="269"/>
      <c r="P14" s="725"/>
      <c r="Q14" s="251"/>
      <c r="R14" s="725"/>
      <c r="X14" s="725"/>
      <c r="Z14" s="740" t="s">
        <v>1846</v>
      </c>
      <c r="AA14" s="742" t="s">
        <v>5742</v>
      </c>
      <c r="AB14" s="742" t="s">
        <v>5743</v>
      </c>
      <c r="AC14" s="742" t="s">
        <v>5744</v>
      </c>
      <c r="AD14" s="742" t="s">
        <v>5745</v>
      </c>
      <c r="AE14" s="742" t="s">
        <v>5746</v>
      </c>
      <c r="AF14" s="743" t="s">
        <v>5747</v>
      </c>
    </row>
    <row r="15" spans="2:33" s="197" customFormat="1" ht="15.75" customHeight="1" thickTop="1" thickBot="1">
      <c r="B15" s="377"/>
      <c r="C15" s="106"/>
      <c r="D15" s="106"/>
      <c r="E15" s="2559">
        <f>SUM('[3]FINAL @ Service Level'!$D$29:$E$29)/10^6</f>
        <v>0.96973600230549972</v>
      </c>
      <c r="F15" s="2559">
        <f>'[3]FINAL @ Service Level'!F28/10^6</f>
        <v>0.20355870909909998</v>
      </c>
      <c r="G15" s="2559">
        <f>'[3]FINAL @ Service Level'!G28/10^6</f>
        <v>0.27040132874439993</v>
      </c>
      <c r="H15" s="2559">
        <f>'[3]FINAL @ Service Level'!H28/10^6</f>
        <v>3.6124258144491996</v>
      </c>
      <c r="I15" s="2559">
        <f>'[3]FINAL @ Service Level'!I28/10^6</f>
        <v>11.646192550307298</v>
      </c>
      <c r="J15" s="2559"/>
      <c r="K15" s="106"/>
      <c r="L15" s="745"/>
      <c r="P15" s="725"/>
      <c r="Q15" s="251"/>
      <c r="R15" s="725"/>
      <c r="X15" s="725"/>
      <c r="Z15" s="377"/>
      <c r="AA15" s="106"/>
      <c r="AB15" s="106"/>
      <c r="AC15" s="106"/>
      <c r="AD15" s="106"/>
      <c r="AE15" s="106"/>
      <c r="AF15" s="106"/>
    </row>
    <row r="16" spans="2:33" s="197" customFormat="1" ht="15.75" customHeight="1" thickTop="1" thickBot="1">
      <c r="B16" s="355" t="s">
        <v>3044</v>
      </c>
      <c r="C16" s="356"/>
      <c r="D16" s="356"/>
      <c r="E16" s="1477">
        <f>E14-E15</f>
        <v>41.742263997694501</v>
      </c>
      <c r="F16" s="1477">
        <f>F12-F15</f>
        <v>15.470441290900901</v>
      </c>
      <c r="G16" s="1477">
        <f t="shared" ref="G16:I16" si="13">G12-G15</f>
        <v>2.8945986712556002</v>
      </c>
      <c r="H16" s="1477">
        <f t="shared" si="13"/>
        <v>81.670574185550805</v>
      </c>
      <c r="I16" s="1477">
        <f t="shared" si="13"/>
        <v>157.61780744969269</v>
      </c>
      <c r="J16" s="106"/>
      <c r="K16" s="106"/>
      <c r="L16" s="745"/>
      <c r="P16" s="725"/>
      <c r="Q16" s="251"/>
      <c r="R16" s="725"/>
      <c r="X16" s="725"/>
      <c r="Z16" s="355" t="s">
        <v>3044</v>
      </c>
      <c r="AA16" s="106"/>
      <c r="AB16" s="106"/>
      <c r="AC16" s="106"/>
      <c r="AD16" s="106"/>
      <c r="AE16" s="106"/>
      <c r="AF16" s="106"/>
    </row>
    <row r="17" spans="2:32" s="197" customFormat="1" ht="24.75" customHeight="1" thickTop="1" thickBot="1">
      <c r="B17" s="382" t="s">
        <v>3045</v>
      </c>
      <c r="C17" s="333" t="s">
        <v>137</v>
      </c>
      <c r="D17" s="333">
        <v>3</v>
      </c>
      <c r="E17" s="1464">
        <v>0</v>
      </c>
      <c r="F17" s="1464">
        <v>0</v>
      </c>
      <c r="G17" s="1464">
        <v>0</v>
      </c>
      <c r="H17" s="1464">
        <v>0</v>
      </c>
      <c r="I17" s="1464">
        <v>0</v>
      </c>
      <c r="J17" s="1465">
        <f>IFERROR(SUM(E17:I17), 0)</f>
        <v>0</v>
      </c>
      <c r="K17" s="200"/>
      <c r="L17" s="747" t="s">
        <v>5748</v>
      </c>
      <c r="N17" s="439"/>
      <c r="P17" s="725"/>
      <c r="Q17" s="251">
        <f t="shared" si="1"/>
        <v>0</v>
      </c>
      <c r="R17" s="725"/>
      <c r="S17" s="252">
        <f t="shared" ref="S17" si="14" xml:space="preserve"> IF( ISNUMBER( E17 ), 0, 1 )</f>
        <v>0</v>
      </c>
      <c r="T17" s="252">
        <f t="shared" ref="T17" si="15" xml:space="preserve"> IF( ISNUMBER( F17 ), 0, 1 )</f>
        <v>0</v>
      </c>
      <c r="U17" s="252">
        <f t="shared" ref="U17" si="16" xml:space="preserve"> IF( ISNUMBER( G17 ), 0, 1 )</f>
        <v>0</v>
      </c>
      <c r="V17" s="252">
        <f t="shared" ref="V17" si="17" xml:space="preserve"> IF( ISNUMBER( H17 ), 0, 1 )</f>
        <v>0</v>
      </c>
      <c r="W17" s="252">
        <f t="shared" ref="W17" si="18" xml:space="preserve"> IF( ISNUMBER( I17 ), 0, 1 )</f>
        <v>0</v>
      </c>
      <c r="X17" s="725"/>
      <c r="Z17" s="382" t="s">
        <v>3045</v>
      </c>
      <c r="AA17" s="746" t="s">
        <v>3047</v>
      </c>
      <c r="AB17" s="746" t="s">
        <v>5749</v>
      </c>
      <c r="AC17" s="746" t="s">
        <v>5750</v>
      </c>
      <c r="AD17" s="746" t="s">
        <v>5751</v>
      </c>
      <c r="AE17" s="746" t="s">
        <v>5752</v>
      </c>
      <c r="AF17" s="591" t="s">
        <v>5753</v>
      </c>
    </row>
    <row r="18" spans="2:32" s="197" customFormat="1" ht="15.75" customHeight="1" thickTop="1" thickBot="1">
      <c r="B18" s="377"/>
      <c r="C18" s="106"/>
      <c r="D18" s="106"/>
      <c r="E18" s="106"/>
      <c r="F18" s="106"/>
      <c r="G18" s="106"/>
      <c r="H18" s="106"/>
      <c r="I18" s="106"/>
      <c r="J18" s="106"/>
      <c r="K18" s="106"/>
      <c r="L18" s="748"/>
      <c r="P18" s="725"/>
      <c r="Q18" s="251"/>
      <c r="R18" s="725"/>
      <c r="X18" s="725"/>
      <c r="Z18" s="377"/>
      <c r="AA18" s="106"/>
      <c r="AB18" s="106"/>
      <c r="AC18" s="106"/>
      <c r="AD18" s="106"/>
      <c r="AE18" s="106"/>
      <c r="AF18" s="106"/>
    </row>
    <row r="19" spans="2:32" s="197" customFormat="1" ht="15.75" customHeight="1" thickTop="1" thickBot="1">
      <c r="B19" s="355" t="s">
        <v>2389</v>
      </c>
      <c r="C19" s="356"/>
      <c r="D19" s="356"/>
      <c r="E19" s="313"/>
      <c r="F19" s="313"/>
      <c r="G19" s="313"/>
      <c r="H19" s="313"/>
      <c r="I19" s="313"/>
      <c r="J19" s="313"/>
      <c r="K19" s="106"/>
      <c r="L19" s="748"/>
      <c r="P19" s="725"/>
      <c r="Q19" s="251"/>
      <c r="R19" s="725"/>
      <c r="X19" s="725"/>
      <c r="Z19" s="355" t="s">
        <v>2389</v>
      </c>
      <c r="AA19" s="313"/>
      <c r="AB19" s="313"/>
      <c r="AC19" s="313"/>
      <c r="AD19" s="313"/>
      <c r="AE19" s="313"/>
      <c r="AF19" s="313"/>
    </row>
    <row r="20" spans="2:32" s="197" customFormat="1" ht="15.75" customHeight="1" thickTop="1">
      <c r="B20" s="413" t="s">
        <v>3053</v>
      </c>
      <c r="C20" s="244" t="s">
        <v>137</v>
      </c>
      <c r="D20" s="244">
        <v>3</v>
      </c>
      <c r="E20" s="1466">
        <f>IFERROR('4J'!E32, 0)</f>
        <v>24.494</v>
      </c>
      <c r="F20" s="1466">
        <f>IFERROR('4J'!F32, 0)</f>
        <v>1.617</v>
      </c>
      <c r="G20" s="1466">
        <f>IFERROR('4J'!G32, 0)</f>
        <v>0.69499999999999995</v>
      </c>
      <c r="H20" s="1466">
        <f>IFERROR('4J'!H32, 0)</f>
        <v>37.213000000000001</v>
      </c>
      <c r="I20" s="1466">
        <f>IFERROR('4J'!I32, 0)</f>
        <v>86.32</v>
      </c>
      <c r="J20" s="1458">
        <f t="shared" ref="J20:J25" si="19">IFERROR(SUM(E20:I20), 0)</f>
        <v>150.339</v>
      </c>
      <c r="K20" s="106"/>
      <c r="L20" s="729" t="s">
        <v>5754</v>
      </c>
      <c r="N20" s="250"/>
      <c r="P20" s="725"/>
      <c r="Q20" s="251"/>
      <c r="R20" s="725"/>
      <c r="X20" s="725"/>
      <c r="Z20" s="413" t="s">
        <v>3053</v>
      </c>
      <c r="AA20" s="750" t="s">
        <v>3055</v>
      </c>
      <c r="AB20" s="750" t="s">
        <v>5755</v>
      </c>
      <c r="AC20" s="750" t="s">
        <v>5756</v>
      </c>
      <c r="AD20" s="750" t="s">
        <v>5757</v>
      </c>
      <c r="AE20" s="750" t="s">
        <v>5758</v>
      </c>
      <c r="AF20" s="728" t="s">
        <v>5759</v>
      </c>
    </row>
    <row r="21" spans="2:32" s="197" customFormat="1" ht="15.75" customHeight="1">
      <c r="B21" s="689" t="s">
        <v>3061</v>
      </c>
      <c r="C21" s="290" t="s">
        <v>137</v>
      </c>
      <c r="D21" s="290">
        <v>3</v>
      </c>
      <c r="E21" s="1467">
        <f>IFERROR('4L'!F128, 0)</f>
        <v>7.9520000000000017</v>
      </c>
      <c r="F21" s="1467">
        <f>IFERROR('4L'!G128, 0)</f>
        <v>0.68800000000000006</v>
      </c>
      <c r="G21" s="1467">
        <f>IFERROR('4L'!H128, 0)</f>
        <v>1.0999999999999999E-2</v>
      </c>
      <c r="H21" s="1467">
        <f>IFERROR('4L'!I128, 0)</f>
        <v>22.721</v>
      </c>
      <c r="I21" s="1467">
        <f>IFERROR('4L'!J128, 0)</f>
        <v>18.493000000000002</v>
      </c>
      <c r="J21" s="1460">
        <f t="shared" si="19"/>
        <v>49.865000000000002</v>
      </c>
      <c r="L21" s="734" t="s">
        <v>5760</v>
      </c>
      <c r="N21" s="258"/>
      <c r="P21" s="725"/>
      <c r="Q21" s="251"/>
      <c r="R21" s="725"/>
      <c r="X21" s="725"/>
      <c r="Z21" s="689" t="s">
        <v>3061</v>
      </c>
      <c r="AA21" s="751" t="s">
        <v>3063</v>
      </c>
      <c r="AB21" s="751" t="s">
        <v>5761</v>
      </c>
      <c r="AC21" s="751" t="s">
        <v>5762</v>
      </c>
      <c r="AD21" s="751" t="s">
        <v>5763</v>
      </c>
      <c r="AE21" s="751" t="s">
        <v>5764</v>
      </c>
      <c r="AF21" s="733" t="s">
        <v>5765</v>
      </c>
    </row>
    <row r="22" spans="2:32" s="197" customFormat="1" ht="15.75" customHeight="1">
      <c r="B22" s="422" t="s">
        <v>5766</v>
      </c>
      <c r="C22" s="259" t="s">
        <v>137</v>
      </c>
      <c r="D22" s="259">
        <v>3</v>
      </c>
      <c r="E22" s="1955">
        <v>0</v>
      </c>
      <c r="F22" s="1955">
        <v>0</v>
      </c>
      <c r="G22" s="1955">
        <v>0</v>
      </c>
      <c r="H22" s="1955">
        <v>0</v>
      </c>
      <c r="I22" s="1955">
        <v>27.018000000000001</v>
      </c>
      <c r="J22" s="1460">
        <f t="shared" si="19"/>
        <v>27.018000000000001</v>
      </c>
      <c r="L22" s="734" t="s">
        <v>5767</v>
      </c>
      <c r="N22" s="258"/>
      <c r="P22" s="725"/>
      <c r="Q22" s="251">
        <f t="shared" ref="Q22" si="20">IF( SUM( S22:W22 ) = 0, 0, $S$5 )</f>
        <v>0</v>
      </c>
      <c r="R22" s="725"/>
      <c r="S22" s="252">
        <f t="shared" ref="S22" si="21" xml:space="preserve"> IF( ISNUMBER( E22 ), 0, 1 )</f>
        <v>0</v>
      </c>
      <c r="T22" s="252">
        <f t="shared" ref="T22" si="22" xml:space="preserve"> IF( ISNUMBER( F22 ), 0, 1 )</f>
        <v>0</v>
      </c>
      <c r="U22" s="252">
        <f t="shared" ref="U22" si="23" xml:space="preserve"> IF( ISNUMBER( G22 ), 0, 1 )</f>
        <v>0</v>
      </c>
      <c r="V22" s="252">
        <f t="shared" ref="V22" si="24" xml:space="preserve"> IF( ISNUMBER( H22 ), 0, 1 )</f>
        <v>0</v>
      </c>
      <c r="W22" s="252">
        <f t="shared" ref="W22" si="25" xml:space="preserve"> IF( ISNUMBER( I22 ), 0, 1 )</f>
        <v>0</v>
      </c>
      <c r="X22" s="725"/>
      <c r="Z22" s="422" t="s">
        <v>5766</v>
      </c>
      <c r="AA22" s="752" t="s">
        <v>5768</v>
      </c>
      <c r="AB22" s="752" t="s">
        <v>5769</v>
      </c>
      <c r="AC22" s="752" t="s">
        <v>5770</v>
      </c>
      <c r="AD22" s="752" t="s">
        <v>5771</v>
      </c>
      <c r="AE22" s="752" t="s">
        <v>5772</v>
      </c>
      <c r="AF22" s="733" t="s">
        <v>5773</v>
      </c>
    </row>
    <row r="23" spans="2:32" s="197" customFormat="1" ht="33" customHeight="1">
      <c r="B23" s="422" t="s">
        <v>3078</v>
      </c>
      <c r="C23" s="259" t="s">
        <v>137</v>
      </c>
      <c r="D23" s="259">
        <v>3</v>
      </c>
      <c r="E23" s="1461">
        <f>IFERROR(E20 + E21 + E22, 0)</f>
        <v>32.445999999999998</v>
      </c>
      <c r="F23" s="1461">
        <f t="shared" ref="F23:H23" si="26">IFERROR(F20 + F21 + F22, 0)</f>
        <v>2.3050000000000002</v>
      </c>
      <c r="G23" s="1461">
        <f t="shared" si="26"/>
        <v>0.70599999999999996</v>
      </c>
      <c r="H23" s="1461">
        <f t="shared" si="26"/>
        <v>59.933999999999997</v>
      </c>
      <c r="I23" s="1461">
        <f>IFERROR(I20 + I21 + I22, 0)</f>
        <v>131.83099999999999</v>
      </c>
      <c r="J23" s="1460">
        <f t="shared" si="19"/>
        <v>227.22199999999998</v>
      </c>
      <c r="K23" s="106"/>
      <c r="L23" s="734" t="s">
        <v>5774</v>
      </c>
      <c r="N23" s="258"/>
      <c r="P23" s="725"/>
      <c r="Q23" s="251"/>
      <c r="R23" s="725"/>
      <c r="X23" s="725"/>
      <c r="Z23" s="422" t="s">
        <v>3080</v>
      </c>
      <c r="AA23" s="737" t="s">
        <v>5775</v>
      </c>
      <c r="AB23" s="737" t="s">
        <v>5776</v>
      </c>
      <c r="AC23" s="737" t="s">
        <v>5777</v>
      </c>
      <c r="AD23" s="737" t="s">
        <v>5778</v>
      </c>
      <c r="AE23" s="737" t="s">
        <v>5779</v>
      </c>
      <c r="AF23" s="733" t="s">
        <v>5780</v>
      </c>
    </row>
    <row r="24" spans="2:32" s="197" customFormat="1" ht="15.75" customHeight="1">
      <c r="B24" s="422" t="s">
        <v>3029</v>
      </c>
      <c r="C24" s="253" t="s">
        <v>137</v>
      </c>
      <c r="D24" s="253">
        <v>3</v>
      </c>
      <c r="E24" s="1955">
        <v>0</v>
      </c>
      <c r="F24" s="1955">
        <v>0</v>
      </c>
      <c r="G24" s="1955">
        <v>0</v>
      </c>
      <c r="H24" s="1955">
        <v>0</v>
      </c>
      <c r="I24" s="1955">
        <v>1.6830000000000001</v>
      </c>
      <c r="J24" s="1460">
        <f t="shared" si="19"/>
        <v>1.6830000000000001</v>
      </c>
      <c r="K24" s="106"/>
      <c r="L24" s="734" t="s">
        <v>5781</v>
      </c>
      <c r="N24" s="739"/>
      <c r="P24" s="725"/>
      <c r="Q24" s="251">
        <f t="shared" ref="Q24" si="27">IF( SUM( S24:W24 ) = 0, 0, $S$5 )</f>
        <v>0</v>
      </c>
      <c r="R24" s="725"/>
      <c r="S24" s="252">
        <f t="shared" ref="S24" si="28" xml:space="preserve"> IF( ISNUMBER( E24 ), 0, 1 )</f>
        <v>0</v>
      </c>
      <c r="T24" s="252">
        <f t="shared" ref="T24" si="29" xml:space="preserve"> IF( ISNUMBER( F24 ), 0, 1 )</f>
        <v>0</v>
      </c>
      <c r="U24" s="252">
        <f t="shared" ref="U24" si="30" xml:space="preserve"> IF( ISNUMBER( G24 ), 0, 1 )</f>
        <v>0</v>
      </c>
      <c r="V24" s="252">
        <f t="shared" ref="V24" si="31" xml:space="preserve"> IF( ISNUMBER( H24 ), 0, 1 )</f>
        <v>0</v>
      </c>
      <c r="W24" s="252">
        <f t="shared" ref="W24" si="32" xml:space="preserve"> IF( ISNUMBER( I24 ), 0, 1 )</f>
        <v>0</v>
      </c>
      <c r="X24" s="725"/>
      <c r="Z24" s="422" t="s">
        <v>3029</v>
      </c>
      <c r="AA24" s="738" t="s">
        <v>3088</v>
      </c>
      <c r="AB24" s="738" t="s">
        <v>5782</v>
      </c>
      <c r="AC24" s="738" t="s">
        <v>5783</v>
      </c>
      <c r="AD24" s="738" t="s">
        <v>5784</v>
      </c>
      <c r="AE24" s="738" t="s">
        <v>5785</v>
      </c>
      <c r="AF24" s="733" t="s">
        <v>5786</v>
      </c>
    </row>
    <row r="25" spans="2:32" s="197" customFormat="1" ht="15.75" customHeight="1" thickBot="1">
      <c r="B25" s="373" t="s">
        <v>3094</v>
      </c>
      <c r="C25" s="741" t="s">
        <v>137</v>
      </c>
      <c r="D25" s="741">
        <v>3</v>
      </c>
      <c r="E25" s="1468">
        <f>IFERROR(E23 + E24, 0)</f>
        <v>32.445999999999998</v>
      </c>
      <c r="F25" s="1468">
        <f t="shared" ref="F25:H25" si="33">IFERROR(F23 + F24, 0)</f>
        <v>2.3050000000000002</v>
      </c>
      <c r="G25" s="1468">
        <f t="shared" si="33"/>
        <v>0.70599999999999996</v>
      </c>
      <c r="H25" s="1468">
        <f t="shared" si="33"/>
        <v>59.933999999999997</v>
      </c>
      <c r="I25" s="1468">
        <f>IFERROR(I23 + I24, 0)</f>
        <v>133.51399999999998</v>
      </c>
      <c r="J25" s="1463">
        <f t="shared" si="19"/>
        <v>228.90499999999997</v>
      </c>
      <c r="K25" s="106"/>
      <c r="L25" s="744" t="s">
        <v>5787</v>
      </c>
      <c r="N25" s="269"/>
      <c r="P25" s="725"/>
      <c r="Q25" s="251"/>
      <c r="R25" s="725"/>
      <c r="X25" s="725"/>
      <c r="Z25" s="373" t="s">
        <v>3094</v>
      </c>
      <c r="AA25" s="753" t="s">
        <v>5788</v>
      </c>
      <c r="AB25" s="753" t="s">
        <v>5789</v>
      </c>
      <c r="AC25" s="753" t="s">
        <v>5790</v>
      </c>
      <c r="AD25" s="753" t="s">
        <v>5791</v>
      </c>
      <c r="AE25" s="753" t="s">
        <v>5792</v>
      </c>
      <c r="AF25" s="743" t="s">
        <v>5793</v>
      </c>
    </row>
    <row r="26" spans="2:32" s="197" customFormat="1" ht="15.75" customHeight="1" thickTop="1" thickBot="1">
      <c r="B26" s="377"/>
      <c r="C26" s="106"/>
      <c r="D26" s="106"/>
      <c r="E26" s="106"/>
      <c r="F26" s="106"/>
      <c r="G26" s="106"/>
      <c r="H26" s="106"/>
      <c r="I26" s="106"/>
      <c r="J26" s="106"/>
      <c r="K26" s="106"/>
      <c r="L26" s="754"/>
      <c r="P26" s="725"/>
      <c r="Q26" s="251"/>
      <c r="R26" s="725"/>
      <c r="X26" s="725"/>
      <c r="Z26" s="377"/>
      <c r="AA26" s="106"/>
      <c r="AB26" s="106"/>
      <c r="AC26" s="106"/>
      <c r="AD26" s="106"/>
      <c r="AE26" s="106"/>
      <c r="AF26" s="106"/>
    </row>
    <row r="27" spans="2:32" s="197" customFormat="1" ht="15.75" customHeight="1" thickTop="1" thickBot="1">
      <c r="B27" s="355" t="s">
        <v>3044</v>
      </c>
      <c r="C27" s="356"/>
      <c r="D27" s="356"/>
      <c r="E27" s="106"/>
      <c r="F27" s="106"/>
      <c r="P27" s="725"/>
      <c r="Q27" s="251"/>
      <c r="R27" s="725"/>
      <c r="X27" s="725"/>
      <c r="Z27" s="355" t="s">
        <v>3044</v>
      </c>
      <c r="AA27" s="106"/>
      <c r="AB27" s="106"/>
    </row>
    <row r="28" spans="2:32" s="197" customFormat="1" ht="15.75" customHeight="1" thickTop="1" thickBot="1">
      <c r="B28" s="382" t="s">
        <v>3102</v>
      </c>
      <c r="C28" s="333" t="s">
        <v>137</v>
      </c>
      <c r="D28" s="333">
        <v>3</v>
      </c>
      <c r="E28" s="1464">
        <v>0</v>
      </c>
      <c r="F28" s="1464">
        <v>0</v>
      </c>
      <c r="G28" s="1464">
        <v>0</v>
      </c>
      <c r="H28" s="1464">
        <v>0</v>
      </c>
      <c r="I28" s="1464">
        <v>17.265999999999998</v>
      </c>
      <c r="J28" s="1469">
        <f>IFERROR(SUM(E28:I28), 0)</f>
        <v>17.265999999999998</v>
      </c>
      <c r="L28" s="747" t="s">
        <v>5794</v>
      </c>
      <c r="N28" s="439"/>
      <c r="P28" s="725"/>
      <c r="Q28" s="251">
        <f t="shared" ref="Q28" si="34">IF( SUM( S28:W28 ) = 0, 0, $S$5 )</f>
        <v>0</v>
      </c>
      <c r="R28" s="725"/>
      <c r="S28" s="252">
        <f t="shared" ref="S28" si="35" xml:space="preserve"> IF( ISNUMBER( E28 ), 0, 1 )</f>
        <v>0</v>
      </c>
      <c r="T28" s="252">
        <f t="shared" ref="T28" si="36" xml:space="preserve"> IF( ISNUMBER( F28 ), 0, 1 )</f>
        <v>0</v>
      </c>
      <c r="U28" s="252">
        <f t="shared" ref="U28" si="37" xml:space="preserve"> IF( ISNUMBER( G28 ), 0, 1 )</f>
        <v>0</v>
      </c>
      <c r="V28" s="252">
        <f t="shared" ref="V28" si="38" xml:space="preserve"> IF( ISNUMBER( H28 ), 0, 1 )</f>
        <v>0</v>
      </c>
      <c r="W28" s="252">
        <f t="shared" ref="W28" si="39" xml:space="preserve"> IF( ISNUMBER( I28 ), 0, 1 )</f>
        <v>0</v>
      </c>
      <c r="X28" s="725"/>
      <c r="Z28" s="382" t="s">
        <v>3102</v>
      </c>
      <c r="AA28" s="746" t="s">
        <v>3104</v>
      </c>
      <c r="AB28" s="746" t="s">
        <v>5795</v>
      </c>
      <c r="AC28" s="746" t="s">
        <v>5796</v>
      </c>
      <c r="AD28" s="746" t="s">
        <v>5797</v>
      </c>
      <c r="AE28" s="746" t="s">
        <v>5798</v>
      </c>
      <c r="AF28" s="755" t="s">
        <v>5799</v>
      </c>
    </row>
    <row r="29" spans="2:32" s="197" customFormat="1" ht="15.75" customHeight="1" thickTop="1" thickBot="1">
      <c r="B29" s="377"/>
      <c r="C29" s="377"/>
      <c r="D29" s="377"/>
      <c r="E29" s="313"/>
      <c r="F29" s="313"/>
      <c r="G29" s="313"/>
      <c r="H29" s="313"/>
      <c r="I29" s="313"/>
      <c r="J29" s="313"/>
      <c r="K29" s="106"/>
      <c r="P29" s="725"/>
      <c r="Q29" s="251"/>
      <c r="R29" s="725"/>
      <c r="X29" s="725"/>
      <c r="Z29" s="377"/>
      <c r="AA29" s="313"/>
      <c r="AB29" s="313"/>
      <c r="AC29" s="313"/>
      <c r="AD29" s="313"/>
      <c r="AE29" s="313"/>
      <c r="AF29" s="313"/>
    </row>
    <row r="30" spans="2:32" s="197" customFormat="1" ht="15.75" customHeight="1" thickTop="1" thickBot="1">
      <c r="B30" s="382" t="s">
        <v>3110</v>
      </c>
      <c r="C30" s="333" t="s">
        <v>137</v>
      </c>
      <c r="D30" s="333">
        <v>3</v>
      </c>
      <c r="E30" s="1470">
        <f>IFERROR(E14 + E25 - E17 - E28, 0)</f>
        <v>75.158000000000001</v>
      </c>
      <c r="F30" s="1470">
        <f t="shared" ref="F30:I30" si="40">IFERROR(F14 + F25 - F17 - F28, 0)</f>
        <v>17.979000000000003</v>
      </c>
      <c r="G30" s="1470">
        <f t="shared" si="40"/>
        <v>3.871</v>
      </c>
      <c r="H30" s="1470">
        <f t="shared" si="40"/>
        <v>145.21699999999998</v>
      </c>
      <c r="I30" s="1470">
        <f t="shared" si="40"/>
        <v>286.82899999999995</v>
      </c>
      <c r="J30" s="1469">
        <f>IFERROR(SUM(E30:I30), 0)</f>
        <v>529.05399999999986</v>
      </c>
      <c r="K30" s="106"/>
      <c r="L30" s="747" t="s">
        <v>5800</v>
      </c>
      <c r="N30" s="337"/>
      <c r="P30" s="725"/>
      <c r="Q30" s="251"/>
      <c r="R30" s="725"/>
      <c r="X30" s="725"/>
      <c r="Z30" s="382" t="s">
        <v>3110</v>
      </c>
      <c r="AA30" s="334" t="s">
        <v>5801</v>
      </c>
      <c r="AB30" s="334" t="s">
        <v>5802</v>
      </c>
      <c r="AC30" s="334" t="s">
        <v>5803</v>
      </c>
      <c r="AD30" s="334" t="s">
        <v>5804</v>
      </c>
      <c r="AE30" s="334" t="s">
        <v>5805</v>
      </c>
      <c r="AF30" s="755" t="s">
        <v>5806</v>
      </c>
    </row>
    <row r="31" spans="2:32" s="197" customFormat="1" ht="15.75" customHeight="1" thickTop="1" thickBot="1">
      <c r="B31" s="756"/>
      <c r="C31" s="756"/>
      <c r="D31" s="756"/>
      <c r="E31" s="313"/>
      <c r="F31" s="313"/>
      <c r="G31" s="313"/>
      <c r="H31" s="313"/>
      <c r="I31" s="313"/>
      <c r="J31" s="313"/>
      <c r="K31" s="106"/>
      <c r="L31" s="754"/>
      <c r="P31" s="725"/>
      <c r="Q31" s="251"/>
      <c r="R31" s="725"/>
      <c r="X31" s="725"/>
      <c r="Z31" s="756"/>
      <c r="AA31" s="313"/>
      <c r="AB31" s="313"/>
      <c r="AC31" s="313"/>
      <c r="AD31" s="313"/>
      <c r="AE31" s="313"/>
      <c r="AF31" s="313"/>
    </row>
    <row r="32" spans="2:32" s="197" customFormat="1" ht="15.75" customHeight="1" thickTop="1" thickBot="1">
      <c r="B32" s="355" t="s">
        <v>3118</v>
      </c>
      <c r="C32" s="356"/>
      <c r="D32" s="356"/>
      <c r="E32" s="313"/>
      <c r="F32" s="313"/>
      <c r="G32" s="313"/>
      <c r="H32" s="313"/>
      <c r="I32" s="313"/>
      <c r="J32" s="313"/>
      <c r="K32" s="106"/>
      <c r="L32" s="754"/>
      <c r="P32" s="725"/>
      <c r="Q32" s="251"/>
      <c r="R32" s="725"/>
      <c r="X32" s="725"/>
      <c r="Z32" s="355" t="s">
        <v>3118</v>
      </c>
      <c r="AA32" s="313"/>
      <c r="AB32" s="313"/>
      <c r="AC32" s="313"/>
      <c r="AD32" s="313"/>
      <c r="AE32" s="313"/>
      <c r="AF32" s="313"/>
    </row>
    <row r="33" spans="1:33" s="197" customFormat="1" ht="15.75" customHeight="1">
      <c r="B33" s="413" t="s">
        <v>3119</v>
      </c>
      <c r="C33" s="244" t="s">
        <v>137</v>
      </c>
      <c r="D33" s="244">
        <v>3</v>
      </c>
      <c r="E33" s="1471">
        <v>0</v>
      </c>
      <c r="F33" s="1471">
        <v>0</v>
      </c>
      <c r="G33" s="1471">
        <v>0</v>
      </c>
      <c r="H33" s="1471">
        <v>0</v>
      </c>
      <c r="I33" s="1471">
        <v>0</v>
      </c>
      <c r="J33" s="1458">
        <f>IFERROR(SUM(E33:I33), 0)</f>
        <v>0</v>
      </c>
      <c r="K33" s="106"/>
      <c r="L33" s="729" t="s">
        <v>5807</v>
      </c>
      <c r="N33" s="758"/>
      <c r="P33" s="725"/>
      <c r="Q33" s="251">
        <f t="shared" ref="Q33:Q34" si="41">IF( SUM( S33:W33 ) = 0, 0, $S$5 )</f>
        <v>0</v>
      </c>
      <c r="R33" s="725"/>
      <c r="S33" s="252">
        <f t="shared" ref="S33:S34" si="42" xml:space="preserve"> IF( ISNUMBER( E33 ), 0, 1 )</f>
        <v>0</v>
      </c>
      <c r="T33" s="252">
        <f t="shared" ref="T33:T34" si="43" xml:space="preserve"> IF( ISNUMBER( F33 ), 0, 1 )</f>
        <v>0</v>
      </c>
      <c r="U33" s="252">
        <f t="shared" ref="U33:U34" si="44" xml:space="preserve"> IF( ISNUMBER( G33 ), 0, 1 )</f>
        <v>0</v>
      </c>
      <c r="V33" s="252">
        <f t="shared" ref="V33:V34" si="45" xml:space="preserve"> IF( ISNUMBER( H33 ), 0, 1 )</f>
        <v>0</v>
      </c>
      <c r="W33" s="252">
        <f t="shared" ref="W33:W34" si="46" xml:space="preserve"> IF( ISNUMBER( I33 ), 0, 1 )</f>
        <v>0</v>
      </c>
      <c r="X33" s="725"/>
      <c r="Z33" s="413" t="s">
        <v>3119</v>
      </c>
      <c r="AA33" s="757" t="s">
        <v>3121</v>
      </c>
      <c r="AB33" s="757" t="s">
        <v>5808</v>
      </c>
      <c r="AC33" s="757" t="s">
        <v>5809</v>
      </c>
      <c r="AD33" s="757" t="s">
        <v>5810</v>
      </c>
      <c r="AE33" s="757" t="s">
        <v>5811</v>
      </c>
      <c r="AF33" s="728" t="s">
        <v>5812</v>
      </c>
    </row>
    <row r="34" spans="1:33" s="197" customFormat="1" ht="15.75" customHeight="1">
      <c r="B34" s="422" t="s">
        <v>3127</v>
      </c>
      <c r="C34" s="253" t="s">
        <v>137</v>
      </c>
      <c r="D34" s="253">
        <v>3</v>
      </c>
      <c r="E34" s="1472">
        <v>0</v>
      </c>
      <c r="F34" s="1472">
        <v>0</v>
      </c>
      <c r="G34" s="1472">
        <v>0</v>
      </c>
      <c r="H34" s="1472">
        <v>0</v>
      </c>
      <c r="I34" s="1472">
        <v>0</v>
      </c>
      <c r="J34" s="1460">
        <f>IFERROR(SUM(E34:I34), 0)</f>
        <v>0</v>
      </c>
      <c r="K34" s="106"/>
      <c r="L34" s="734" t="s">
        <v>5813</v>
      </c>
      <c r="N34" s="739"/>
      <c r="P34" s="725"/>
      <c r="Q34" s="251">
        <f t="shared" si="41"/>
        <v>0</v>
      </c>
      <c r="R34" s="725"/>
      <c r="S34" s="252">
        <f t="shared" si="42"/>
        <v>0</v>
      </c>
      <c r="T34" s="252">
        <f t="shared" si="43"/>
        <v>0</v>
      </c>
      <c r="U34" s="252">
        <f t="shared" si="44"/>
        <v>0</v>
      </c>
      <c r="V34" s="252">
        <f t="shared" si="45"/>
        <v>0</v>
      </c>
      <c r="W34" s="252">
        <f t="shared" si="46"/>
        <v>0</v>
      </c>
      <c r="X34" s="725"/>
      <c r="Z34" s="422" t="s">
        <v>3127</v>
      </c>
      <c r="AA34" s="738" t="s">
        <v>3129</v>
      </c>
      <c r="AB34" s="738" t="s">
        <v>5814</v>
      </c>
      <c r="AC34" s="738" t="s">
        <v>5815</v>
      </c>
      <c r="AD34" s="738" t="s">
        <v>5816</v>
      </c>
      <c r="AE34" s="738" t="s">
        <v>5817</v>
      </c>
      <c r="AF34" s="733" t="s">
        <v>5818</v>
      </c>
    </row>
    <row r="35" spans="1:33" s="197" customFormat="1" ht="15.75" customHeight="1" thickBot="1">
      <c r="B35" s="425" t="s">
        <v>3135</v>
      </c>
      <c r="C35" s="319" t="s">
        <v>137</v>
      </c>
      <c r="D35" s="319">
        <v>3</v>
      </c>
      <c r="E35" s="1473">
        <f>IFERROR(E30 + E33 + E34, 0)</f>
        <v>75.158000000000001</v>
      </c>
      <c r="F35" s="1473">
        <f t="shared" ref="F35:H35" si="47">IFERROR(F30 + F33 + F34, 0)</f>
        <v>17.979000000000003</v>
      </c>
      <c r="G35" s="1473">
        <f t="shared" si="47"/>
        <v>3.871</v>
      </c>
      <c r="H35" s="1473">
        <f t="shared" si="47"/>
        <v>145.21699999999998</v>
      </c>
      <c r="I35" s="1473">
        <f>IFERROR(I30 + I33 + I34, 0)</f>
        <v>286.82899999999995</v>
      </c>
      <c r="J35" s="1463">
        <f>IFERROR(SUM(E35:I35), 0)</f>
        <v>529.05399999999986</v>
      </c>
      <c r="K35" s="106"/>
      <c r="L35" s="744" t="s">
        <v>5819</v>
      </c>
      <c r="N35" s="269"/>
      <c r="P35" s="725"/>
      <c r="Q35" s="251"/>
      <c r="R35" s="725"/>
      <c r="X35" s="725"/>
      <c r="Z35" s="425" t="s">
        <v>3135</v>
      </c>
      <c r="AA35" s="583" t="s">
        <v>5820</v>
      </c>
      <c r="AB35" s="583" t="s">
        <v>5821</v>
      </c>
      <c r="AC35" s="583" t="s">
        <v>5822</v>
      </c>
      <c r="AD35" s="583" t="s">
        <v>5823</v>
      </c>
      <c r="AE35" s="583" t="s">
        <v>5824</v>
      </c>
      <c r="AF35" s="743" t="s">
        <v>5825</v>
      </c>
    </row>
    <row r="36" spans="1:33" s="197" customFormat="1" ht="15.75" customHeight="1" thickTop="1" thickBot="1">
      <c r="B36" s="327"/>
      <c r="C36" s="327"/>
      <c r="D36" s="327"/>
      <c r="E36" s="327"/>
      <c r="F36" s="327"/>
      <c r="G36" s="327"/>
      <c r="H36" s="327"/>
      <c r="I36" s="327"/>
      <c r="J36" s="327"/>
      <c r="K36" s="327"/>
      <c r="L36" s="327"/>
      <c r="M36" s="327"/>
      <c r="N36" s="327"/>
      <c r="P36" s="725"/>
      <c r="Q36" s="251"/>
      <c r="R36" s="725"/>
      <c r="X36" s="725"/>
      <c r="Z36" s="327"/>
      <c r="AA36" s="327"/>
      <c r="AB36" s="327"/>
      <c r="AC36" s="327"/>
      <c r="AD36" s="327"/>
      <c r="AE36" s="327"/>
      <c r="AF36" s="327"/>
      <c r="AG36" s="429"/>
    </row>
    <row r="37" spans="1:33" s="197" customFormat="1" ht="16.399999999999999" customHeight="1" thickTop="1">
      <c r="B37" s="2785" t="s">
        <v>1891</v>
      </c>
      <c r="C37" s="2667" t="s">
        <v>1892</v>
      </c>
      <c r="D37" s="2667" t="s">
        <v>136</v>
      </c>
      <c r="E37" s="2793" t="s">
        <v>2828</v>
      </c>
      <c r="F37" s="2793" t="s">
        <v>5702</v>
      </c>
      <c r="G37" s="2793"/>
      <c r="H37" s="2793"/>
      <c r="I37" s="2793"/>
      <c r="J37" s="2791" t="s">
        <v>2112</v>
      </c>
      <c r="K37" s="327"/>
      <c r="L37" s="327"/>
      <c r="M37" s="327"/>
      <c r="N37" s="327"/>
      <c r="P37" s="725"/>
      <c r="Q37" s="251"/>
      <c r="R37" s="725"/>
      <c r="X37" s="725"/>
      <c r="Z37" s="2785" t="s">
        <v>1891</v>
      </c>
      <c r="AA37" s="2793" t="s">
        <v>2828</v>
      </c>
      <c r="AB37" s="2793" t="s">
        <v>5702</v>
      </c>
      <c r="AC37" s="2793"/>
      <c r="AD37" s="2793"/>
      <c r="AE37" s="2793"/>
      <c r="AF37" s="2791" t="s">
        <v>2112</v>
      </c>
      <c r="AG37" s="429"/>
    </row>
    <row r="38" spans="1:33" s="197" customFormat="1" ht="33" customHeight="1" thickBot="1">
      <c r="B38" s="2786"/>
      <c r="C38" s="2790"/>
      <c r="D38" s="2790"/>
      <c r="E38" s="2794"/>
      <c r="F38" s="759" t="s">
        <v>5703</v>
      </c>
      <c r="G38" s="759" t="s">
        <v>5704</v>
      </c>
      <c r="H38" s="759" t="s">
        <v>5705</v>
      </c>
      <c r="I38" s="759" t="s">
        <v>5706</v>
      </c>
      <c r="J38" s="2792"/>
      <c r="K38" s="327"/>
      <c r="L38" s="327"/>
      <c r="M38" s="327"/>
      <c r="N38" s="327"/>
      <c r="P38" s="725"/>
      <c r="Q38" s="251"/>
      <c r="R38" s="725"/>
      <c r="X38" s="725"/>
      <c r="Z38" s="2786"/>
      <c r="AA38" s="2794"/>
      <c r="AB38" s="759" t="s">
        <v>5703</v>
      </c>
      <c r="AC38" s="759" t="s">
        <v>5704</v>
      </c>
      <c r="AD38" s="759" t="s">
        <v>5705</v>
      </c>
      <c r="AE38" s="759" t="s">
        <v>5706</v>
      </c>
      <c r="AF38" s="2792"/>
      <c r="AG38" s="429"/>
    </row>
    <row r="39" spans="1:33" s="197" customFormat="1" ht="15.75" customHeight="1" thickTop="1" thickBot="1">
      <c r="B39" s="417"/>
      <c r="C39" s="417"/>
      <c r="D39" s="417"/>
      <c r="E39" s="313"/>
      <c r="F39" s="760"/>
      <c r="G39" s="760"/>
      <c r="H39" s="760"/>
      <c r="I39" s="760"/>
      <c r="J39" s="760"/>
      <c r="K39" s="761"/>
      <c r="L39" s="249"/>
      <c r="P39" s="725"/>
      <c r="Q39" s="251"/>
      <c r="R39" s="725"/>
      <c r="X39" s="725"/>
      <c r="Z39" s="417"/>
      <c r="AA39" s="313"/>
      <c r="AB39" s="760"/>
      <c r="AC39" s="760"/>
      <c r="AD39" s="760"/>
      <c r="AE39" s="760"/>
      <c r="AF39" s="760"/>
    </row>
    <row r="40" spans="1:33" ht="15.75" customHeight="1" thickTop="1" thickBot="1">
      <c r="A40" s="197"/>
      <c r="B40" s="355" t="s">
        <v>5826</v>
      </c>
      <c r="C40" s="721"/>
      <c r="D40" s="721"/>
      <c r="E40" s="721"/>
      <c r="F40" s="721"/>
      <c r="G40" s="721"/>
      <c r="H40" s="721"/>
      <c r="I40" s="721"/>
      <c r="J40" s="721"/>
      <c r="K40" s="762"/>
      <c r="M40" s="197"/>
      <c r="N40" s="197"/>
      <c r="O40" s="197"/>
      <c r="P40" s="2578"/>
      <c r="Q40" s="251"/>
      <c r="R40" s="2578"/>
      <c r="S40" s="197"/>
      <c r="T40" s="197"/>
      <c r="U40" s="197"/>
      <c r="V40" s="197"/>
      <c r="W40" s="197"/>
      <c r="X40" s="2578"/>
      <c r="Y40" s="2562"/>
      <c r="Z40" s="355" t="s">
        <v>5826</v>
      </c>
      <c r="AA40" s="721"/>
      <c r="AB40" s="721"/>
      <c r="AC40" s="721"/>
      <c r="AD40" s="721"/>
      <c r="AE40" s="721"/>
      <c r="AF40" s="721"/>
      <c r="AG40" s="2562"/>
    </row>
    <row r="41" spans="1:33" ht="15.75" customHeight="1">
      <c r="A41" s="197"/>
      <c r="B41" s="726" t="s">
        <v>5827</v>
      </c>
      <c r="C41" s="685" t="s">
        <v>137</v>
      </c>
      <c r="D41" s="685">
        <v>3</v>
      </c>
      <c r="E41" s="1471">
        <v>0</v>
      </c>
      <c r="F41" s="1471">
        <v>0</v>
      </c>
      <c r="G41" s="1471">
        <v>0</v>
      </c>
      <c r="H41" s="1471">
        <v>0</v>
      </c>
      <c r="I41" s="1471">
        <v>0</v>
      </c>
      <c r="J41" s="1458">
        <f t="shared" ref="J41:J46" si="48">IFERROR(SUM(E41:I41), 0)</f>
        <v>0</v>
      </c>
      <c r="K41" s="197"/>
      <c r="L41" s="729" t="s">
        <v>5828</v>
      </c>
      <c r="M41" s="197"/>
      <c r="N41" s="758"/>
      <c r="O41" s="197"/>
      <c r="P41" s="2578"/>
      <c r="Q41" s="251">
        <f t="shared" ref="Q41:Q45" si="49">IF( SUM( S41:W41 ) = 0, 0, $S$5 )</f>
        <v>0</v>
      </c>
      <c r="R41" s="2578"/>
      <c r="S41" s="252">
        <f t="shared" ref="S41:S45" si="50" xml:space="preserve"> IF( ISNUMBER( E41 ), 0, 1 )</f>
        <v>0</v>
      </c>
      <c r="T41" s="252">
        <f t="shared" ref="T41:T45" si="51" xml:space="preserve"> IF( ISNUMBER( F41 ), 0, 1 )</f>
        <v>0</v>
      </c>
      <c r="U41" s="252">
        <f t="shared" ref="U41:U45" si="52" xml:space="preserve"> IF( ISNUMBER( G41 ), 0, 1 )</f>
        <v>0</v>
      </c>
      <c r="V41" s="252">
        <f t="shared" ref="V41:V45" si="53" xml:space="preserve"> IF( ISNUMBER( H41 ), 0, 1 )</f>
        <v>0</v>
      </c>
      <c r="W41" s="252">
        <f t="shared" ref="W41:W45" si="54" xml:space="preserve"> IF( ISNUMBER( I41 ), 0, 1 )</f>
        <v>0</v>
      </c>
      <c r="X41" s="2578"/>
      <c r="Y41" s="2562"/>
      <c r="Z41" s="726" t="s">
        <v>5829</v>
      </c>
      <c r="AA41" s="757" t="s">
        <v>5830</v>
      </c>
      <c r="AB41" s="757" t="s">
        <v>5831</v>
      </c>
      <c r="AC41" s="757" t="s">
        <v>5832</v>
      </c>
      <c r="AD41" s="757" t="s">
        <v>5833</v>
      </c>
      <c r="AE41" s="757" t="s">
        <v>5834</v>
      </c>
      <c r="AF41" s="728" t="s">
        <v>5835</v>
      </c>
      <c r="AG41" s="2562"/>
    </row>
    <row r="42" spans="1:33" ht="46.5">
      <c r="A42" s="197"/>
      <c r="B42" s="730" t="s">
        <v>5836</v>
      </c>
      <c r="C42" s="731" t="s">
        <v>137</v>
      </c>
      <c r="D42" s="731">
        <v>3</v>
      </c>
      <c r="E42" s="1474">
        <v>3.387</v>
      </c>
      <c r="F42" s="1474">
        <v>0.63200000000000001</v>
      </c>
      <c r="G42" s="1474">
        <v>0</v>
      </c>
      <c r="H42" s="1474">
        <v>18.812000000000001</v>
      </c>
      <c r="I42" s="1474">
        <v>2.4689999999999999</v>
      </c>
      <c r="J42" s="1460">
        <f t="shared" si="48"/>
        <v>25.300000000000004</v>
      </c>
      <c r="K42" s="197"/>
      <c r="L42" s="734" t="s">
        <v>5837</v>
      </c>
      <c r="M42" s="197"/>
      <c r="N42" s="739"/>
      <c r="O42" s="197"/>
      <c r="P42" s="2578"/>
      <c r="Q42" s="251">
        <f t="shared" si="49"/>
        <v>0</v>
      </c>
      <c r="R42" s="2578"/>
      <c r="S42" s="252">
        <f t="shared" si="50"/>
        <v>0</v>
      </c>
      <c r="T42" s="252">
        <f t="shared" si="51"/>
        <v>0</v>
      </c>
      <c r="U42" s="252">
        <f t="shared" si="52"/>
        <v>0</v>
      </c>
      <c r="V42" s="252">
        <f t="shared" si="53"/>
        <v>0</v>
      </c>
      <c r="W42" s="252">
        <f t="shared" si="54"/>
        <v>0</v>
      </c>
      <c r="X42" s="2578"/>
      <c r="Y42" s="2562"/>
      <c r="Z42" s="730" t="s">
        <v>5838</v>
      </c>
      <c r="AA42" s="764" t="s">
        <v>5839</v>
      </c>
      <c r="AB42" s="764" t="s">
        <v>5840</v>
      </c>
      <c r="AC42" s="764" t="s">
        <v>5841</v>
      </c>
      <c r="AD42" s="764" t="s">
        <v>5842</v>
      </c>
      <c r="AE42" s="764" t="s">
        <v>5843</v>
      </c>
      <c r="AF42" s="733" t="s">
        <v>5844</v>
      </c>
      <c r="AG42" s="2562"/>
    </row>
    <row r="43" spans="1:33" ht="28.5" customHeight="1">
      <c r="A43" s="197"/>
      <c r="B43" s="730" t="s">
        <v>5845</v>
      </c>
      <c r="C43" s="731" t="s">
        <v>137</v>
      </c>
      <c r="D43" s="731">
        <v>3</v>
      </c>
      <c r="E43" s="1474">
        <v>0.17100000000000001</v>
      </c>
      <c r="F43" s="1474">
        <v>4.9000000000000002E-2</v>
      </c>
      <c r="G43" s="1474">
        <v>6.3E-2</v>
      </c>
      <c r="H43" s="1474">
        <v>0.69199999999999995</v>
      </c>
      <c r="I43" s="1474">
        <v>1.6</v>
      </c>
      <c r="J43" s="1460">
        <f t="shared" si="48"/>
        <v>2.5750000000000002</v>
      </c>
      <c r="K43" s="197"/>
      <c r="L43" s="734" t="s">
        <v>5846</v>
      </c>
      <c r="M43" s="197"/>
      <c r="N43" s="739"/>
      <c r="O43" s="197"/>
      <c r="P43" s="2578"/>
      <c r="Q43" s="251">
        <f t="shared" si="49"/>
        <v>0</v>
      </c>
      <c r="R43" s="2578"/>
      <c r="S43" s="252">
        <f t="shared" si="50"/>
        <v>0</v>
      </c>
      <c r="T43" s="252">
        <f t="shared" si="51"/>
        <v>0</v>
      </c>
      <c r="U43" s="252">
        <f t="shared" si="52"/>
        <v>0</v>
      </c>
      <c r="V43" s="252">
        <f t="shared" si="53"/>
        <v>0</v>
      </c>
      <c r="W43" s="252">
        <f t="shared" si="54"/>
        <v>0</v>
      </c>
      <c r="X43" s="2578"/>
      <c r="Y43" s="2562"/>
      <c r="Z43" s="730" t="s">
        <v>5847</v>
      </c>
      <c r="AA43" s="764" t="s">
        <v>5848</v>
      </c>
      <c r="AB43" s="764" t="s">
        <v>5849</v>
      </c>
      <c r="AC43" s="764" t="s">
        <v>5850</v>
      </c>
      <c r="AD43" s="764" t="s">
        <v>5851</v>
      </c>
      <c r="AE43" s="764" t="s">
        <v>5852</v>
      </c>
      <c r="AF43" s="733" t="s">
        <v>5853</v>
      </c>
      <c r="AG43" s="2562"/>
    </row>
    <row r="44" spans="1:33" ht="15.75" customHeight="1">
      <c r="A44" s="197"/>
      <c r="B44" s="730" t="s">
        <v>5854</v>
      </c>
      <c r="C44" s="731" t="s">
        <v>137</v>
      </c>
      <c r="D44" s="731">
        <v>3</v>
      </c>
      <c r="E44" s="1474">
        <v>0</v>
      </c>
      <c r="F44" s="1474">
        <v>0</v>
      </c>
      <c r="G44" s="1474">
        <v>0</v>
      </c>
      <c r="H44" s="1474">
        <v>0</v>
      </c>
      <c r="I44" s="1474">
        <v>0</v>
      </c>
      <c r="J44" s="1460">
        <f t="shared" si="48"/>
        <v>0</v>
      </c>
      <c r="K44" s="197"/>
      <c r="L44" s="734" t="s">
        <v>5855</v>
      </c>
      <c r="M44" s="197"/>
      <c r="N44" s="739"/>
      <c r="O44" s="197"/>
      <c r="P44" s="2578"/>
      <c r="Q44" s="251">
        <f t="shared" si="49"/>
        <v>0</v>
      </c>
      <c r="R44" s="2578"/>
      <c r="S44" s="252">
        <f t="shared" si="50"/>
        <v>0</v>
      </c>
      <c r="T44" s="252">
        <f t="shared" si="51"/>
        <v>0</v>
      </c>
      <c r="U44" s="252">
        <f t="shared" si="52"/>
        <v>0</v>
      </c>
      <c r="V44" s="252">
        <f t="shared" si="53"/>
        <v>0</v>
      </c>
      <c r="W44" s="252">
        <f t="shared" si="54"/>
        <v>0</v>
      </c>
      <c r="X44" s="2578"/>
      <c r="Y44" s="2562"/>
      <c r="Z44" s="730" t="s">
        <v>5854</v>
      </c>
      <c r="AA44" s="764" t="s">
        <v>5856</v>
      </c>
      <c r="AB44" s="764" t="s">
        <v>5857</v>
      </c>
      <c r="AC44" s="764" t="s">
        <v>5858</v>
      </c>
      <c r="AD44" s="764" t="s">
        <v>5859</v>
      </c>
      <c r="AE44" s="764" t="s">
        <v>5860</v>
      </c>
      <c r="AF44" s="733" t="s">
        <v>5861</v>
      </c>
      <c r="AG44" s="2562"/>
    </row>
    <row r="45" spans="1:33" ht="15.75" customHeight="1">
      <c r="A45" s="197"/>
      <c r="B45" s="730" t="s">
        <v>5862</v>
      </c>
      <c r="C45" s="731" t="s">
        <v>137</v>
      </c>
      <c r="D45" s="731">
        <v>3</v>
      </c>
      <c r="E45" s="1474">
        <v>0</v>
      </c>
      <c r="F45" s="1474">
        <v>0</v>
      </c>
      <c r="G45" s="1474">
        <v>0</v>
      </c>
      <c r="H45" s="1474">
        <v>0</v>
      </c>
      <c r="I45" s="1474">
        <v>0</v>
      </c>
      <c r="J45" s="1460">
        <f t="shared" si="48"/>
        <v>0</v>
      </c>
      <c r="K45" s="197"/>
      <c r="L45" s="734" t="s">
        <v>5863</v>
      </c>
      <c r="M45" s="197"/>
      <c r="N45" s="739"/>
      <c r="O45" s="197"/>
      <c r="P45" s="2578"/>
      <c r="Q45" s="251">
        <f t="shared" si="49"/>
        <v>0</v>
      </c>
      <c r="R45" s="2578"/>
      <c r="S45" s="252">
        <f t="shared" si="50"/>
        <v>0</v>
      </c>
      <c r="T45" s="252">
        <f t="shared" si="51"/>
        <v>0</v>
      </c>
      <c r="U45" s="252">
        <f t="shared" si="52"/>
        <v>0</v>
      </c>
      <c r="V45" s="252">
        <f t="shared" si="53"/>
        <v>0</v>
      </c>
      <c r="W45" s="252">
        <f t="shared" si="54"/>
        <v>0</v>
      </c>
      <c r="X45" s="2578"/>
      <c r="Y45" s="2562"/>
      <c r="Z45" s="730" t="s">
        <v>5862</v>
      </c>
      <c r="AA45" s="764" t="s">
        <v>5864</v>
      </c>
      <c r="AB45" s="764" t="s">
        <v>5865</v>
      </c>
      <c r="AC45" s="764" t="s">
        <v>5866</v>
      </c>
      <c r="AD45" s="764" t="s">
        <v>5867</v>
      </c>
      <c r="AE45" s="764" t="s">
        <v>5868</v>
      </c>
      <c r="AF45" s="733" t="s">
        <v>5869</v>
      </c>
      <c r="AG45" s="2562"/>
    </row>
    <row r="46" spans="1:33" ht="15.75" customHeight="1" thickBot="1">
      <c r="A46" s="197"/>
      <c r="B46" s="765" t="s">
        <v>5870</v>
      </c>
      <c r="C46" s="741" t="s">
        <v>137</v>
      </c>
      <c r="D46" s="741">
        <v>3</v>
      </c>
      <c r="E46" s="1468">
        <f>IFERROR(SUM(E41:E45), 0)</f>
        <v>3.5579999999999998</v>
      </c>
      <c r="F46" s="1468">
        <f t="shared" ref="F46:H46" si="55">IFERROR(SUM(F41:F45), 0)</f>
        <v>0.68100000000000005</v>
      </c>
      <c r="G46" s="1468">
        <f t="shared" si="55"/>
        <v>6.3E-2</v>
      </c>
      <c r="H46" s="1468">
        <f t="shared" si="55"/>
        <v>19.504000000000001</v>
      </c>
      <c r="I46" s="1468">
        <f>IFERROR(SUM(I41:I45), 0)</f>
        <v>4.069</v>
      </c>
      <c r="J46" s="1463">
        <f t="shared" si="48"/>
        <v>27.875</v>
      </c>
      <c r="K46" s="197"/>
      <c r="L46" s="744" t="s">
        <v>5871</v>
      </c>
      <c r="M46" s="197"/>
      <c r="N46" s="269"/>
      <c r="O46" s="197"/>
      <c r="P46" s="2578"/>
      <c r="Q46" s="251"/>
      <c r="R46" s="2578"/>
      <c r="S46" s="197"/>
      <c r="T46" s="197"/>
      <c r="U46" s="197"/>
      <c r="V46" s="197"/>
      <c r="W46" s="197"/>
      <c r="X46" s="2578"/>
      <c r="Y46" s="2562"/>
      <c r="Z46" s="765" t="s">
        <v>5870</v>
      </c>
      <c r="AA46" s="753" t="s">
        <v>5872</v>
      </c>
      <c r="AB46" s="753" t="s">
        <v>5873</v>
      </c>
      <c r="AC46" s="753" t="s">
        <v>5874</v>
      </c>
      <c r="AD46" s="753" t="s">
        <v>5875</v>
      </c>
      <c r="AE46" s="753" t="s">
        <v>5876</v>
      </c>
      <c r="AF46" s="743" t="s">
        <v>5877</v>
      </c>
      <c r="AG46" s="2562"/>
    </row>
    <row r="47" spans="1:33" s="197" customFormat="1" ht="18.75" customHeight="1" thickTop="1">
      <c r="B47" s="377"/>
      <c r="C47" s="106"/>
      <c r="D47" s="106"/>
      <c r="E47" s="106"/>
      <c r="F47" s="106"/>
      <c r="G47" s="106"/>
      <c r="H47" s="106"/>
      <c r="I47" s="106"/>
      <c r="J47" s="106"/>
      <c r="K47" s="106"/>
      <c r="L47" s="745"/>
      <c r="Q47" s="251"/>
      <c r="Z47" s="377"/>
      <c r="AA47" s="106"/>
      <c r="AB47" s="106"/>
      <c r="AC47" s="106"/>
      <c r="AD47" s="106"/>
      <c r="AE47" s="106"/>
      <c r="AF47" s="106"/>
    </row>
    <row r="48" spans="1:33" ht="33" customHeight="1">
      <c r="A48" s="197"/>
      <c r="B48" s="195"/>
      <c r="C48" s="197"/>
      <c r="D48" s="197"/>
      <c r="E48" s="197"/>
      <c r="F48" s="197"/>
      <c r="G48" s="197"/>
      <c r="H48" s="197"/>
      <c r="I48" s="440"/>
      <c r="J48" s="197"/>
      <c r="K48" s="197"/>
      <c r="M48" s="197"/>
      <c r="N48" s="197"/>
      <c r="O48" s="197"/>
      <c r="P48" s="2562"/>
      <c r="Q48" s="251"/>
      <c r="R48" s="2562"/>
      <c r="S48" s="197"/>
      <c r="T48" s="197"/>
      <c r="U48" s="197"/>
      <c r="V48" s="197"/>
      <c r="W48" s="197"/>
      <c r="X48" s="2562"/>
      <c r="Y48" s="2562"/>
      <c r="Z48" s="2579"/>
      <c r="AA48" s="2562"/>
      <c r="AB48" s="2562"/>
      <c r="AC48" s="2562"/>
      <c r="AD48" s="2562"/>
      <c r="AE48" s="2562"/>
      <c r="AF48" s="2562"/>
      <c r="AG48" s="2562"/>
    </row>
    <row r="49" spans="1:23" ht="33" customHeight="1">
      <c r="A49" s="197"/>
      <c r="B49" s="195"/>
      <c r="C49" s="197"/>
      <c r="D49" s="197"/>
      <c r="E49" s="197"/>
      <c r="F49" s="197"/>
      <c r="G49" s="197"/>
      <c r="H49" s="197"/>
      <c r="I49" s="197"/>
      <c r="J49" s="197"/>
      <c r="K49" s="197"/>
      <c r="M49" s="197"/>
      <c r="N49" s="197"/>
      <c r="O49" s="197"/>
      <c r="P49" s="2562"/>
      <c r="Q49" s="251"/>
      <c r="R49" s="2562"/>
      <c r="S49" s="197"/>
      <c r="T49" s="197"/>
      <c r="U49" s="197"/>
      <c r="V49" s="197"/>
      <c r="W49" s="197"/>
    </row>
    <row r="50" spans="1:23" ht="33" customHeight="1">
      <c r="A50" s="197"/>
      <c r="B50" s="195"/>
      <c r="C50" s="197"/>
      <c r="D50" s="197"/>
      <c r="E50" s="197"/>
      <c r="F50" s="197"/>
      <c r="G50" s="197"/>
      <c r="H50" s="197"/>
      <c r="I50" s="197"/>
      <c r="J50" s="197"/>
      <c r="K50" s="197"/>
      <c r="M50" s="197"/>
      <c r="N50" s="197"/>
      <c r="O50" s="197"/>
      <c r="P50" s="2562"/>
      <c r="Q50" s="251"/>
      <c r="R50" s="2562"/>
      <c r="S50" s="197"/>
      <c r="T50" s="197"/>
      <c r="U50" s="197"/>
      <c r="V50" s="197"/>
      <c r="W50" s="197"/>
    </row>
    <row r="51" spans="1:23" ht="33" customHeight="1">
      <c r="A51" s="197"/>
      <c r="B51" s="195"/>
      <c r="C51" s="197"/>
      <c r="D51" s="197"/>
      <c r="E51" s="197"/>
      <c r="F51" s="197"/>
      <c r="G51" s="197"/>
      <c r="H51" s="197"/>
      <c r="I51" s="197"/>
      <c r="J51" s="766"/>
      <c r="K51" s="197"/>
      <c r="M51" s="197"/>
      <c r="N51" s="197"/>
      <c r="O51" s="197"/>
      <c r="P51" s="2562"/>
      <c r="Q51" s="251"/>
      <c r="R51" s="2562"/>
      <c r="S51" s="2562"/>
      <c r="T51" s="2562"/>
      <c r="U51" s="2562"/>
      <c r="V51" s="2562"/>
      <c r="W51" s="2562"/>
    </row>
    <row r="52" spans="1:23" ht="33" customHeight="1">
      <c r="A52" s="197"/>
      <c r="B52" s="195"/>
      <c r="C52" s="197"/>
      <c r="D52" s="197"/>
      <c r="E52" s="197"/>
      <c r="F52" s="197"/>
      <c r="G52" s="197"/>
      <c r="H52" s="197"/>
      <c r="I52" s="197"/>
      <c r="J52" s="197"/>
      <c r="K52" s="197"/>
      <c r="M52" s="197"/>
      <c r="N52" s="197"/>
      <c r="O52" s="197"/>
      <c r="P52" s="2562"/>
      <c r="Q52" s="251"/>
      <c r="R52" s="2562"/>
      <c r="S52" s="2562"/>
      <c r="T52" s="2562"/>
      <c r="U52" s="2562"/>
      <c r="V52" s="2562"/>
      <c r="W52" s="2562"/>
    </row>
    <row r="53" spans="1:23" ht="33" customHeight="1">
      <c r="A53" s="197"/>
      <c r="B53" s="195"/>
      <c r="C53" s="197"/>
      <c r="D53" s="197"/>
      <c r="E53" s="197"/>
      <c r="F53" s="197"/>
      <c r="G53" s="197"/>
      <c r="H53" s="197"/>
      <c r="I53" s="197"/>
      <c r="J53" s="197"/>
      <c r="K53" s="197"/>
      <c r="M53" s="197"/>
      <c r="N53" s="197"/>
      <c r="O53" s="197"/>
      <c r="P53" s="2562"/>
      <c r="Q53" s="251"/>
      <c r="R53" s="2562"/>
      <c r="S53" s="2562"/>
      <c r="T53" s="2562"/>
      <c r="U53" s="2562"/>
      <c r="V53" s="2562"/>
      <c r="W53" s="2562"/>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34" priority="1" operator="equal">
      <formula>0</formula>
    </cfRule>
  </conditionalFormatting>
  <dataValidations count="1">
    <dataValidation type="custom" allowBlank="1" showInputMessage="1" showErrorMessage="1" errorTitle="Input Error" error="Please enter a numeric value." sqref="E41:I45 E17:I17 E22:I22 E28:I28 E33:I34 E24:I24 E13:I13 E11:I11"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85" zoomScaleNormal="85" zoomScaleSheetLayoutView="100" workbookViewId="0">
      <pane ySplit="6" topLeftCell="A34" activePane="bottomLeft" state="frozen"/>
      <selection pane="bottomLeft" activeCell="E43" sqref="E43:M43"/>
    </sheetView>
  </sheetViews>
  <sheetFormatPr defaultColWidth="9" defaultRowHeight="15.5"/>
  <cols>
    <col min="1" max="1" width="2.08203125" style="220" customWidth="1"/>
    <col min="2" max="2" width="55.58203125" style="220" bestFit="1" customWidth="1"/>
    <col min="3" max="3" width="7.08203125" style="220" customWidth="1"/>
    <col min="4" max="4" width="5.08203125" style="220" customWidth="1"/>
    <col min="5" max="9" width="12.5" style="220" customWidth="1"/>
    <col min="10" max="10" width="13.58203125" style="220" bestFit="1" customWidth="1"/>
    <col min="11" max="13" width="12.5" style="220" customWidth="1"/>
    <col min="14" max="14" width="1.58203125" style="220" customWidth="1"/>
    <col min="15" max="15" width="12.5" style="780" customWidth="1"/>
    <col min="16" max="16" width="1.58203125" style="220" customWidth="1"/>
    <col min="17" max="17" width="22.58203125" style="220" customWidth="1"/>
    <col min="18" max="18" width="2" style="220" customWidth="1"/>
    <col min="19" max="19" width="1.58203125" style="220" customWidth="1"/>
    <col min="20" max="20" width="25" style="220" customWidth="1"/>
    <col min="21" max="21" width="1.58203125" style="220" customWidth="1"/>
    <col min="22" max="29" width="4.58203125" style="220" hidden="1" customWidth="1"/>
    <col min="30" max="30" width="1.58203125" style="220" hidden="1" customWidth="1"/>
    <col min="31" max="31" width="2" style="220" customWidth="1"/>
    <col min="32" max="32" width="36.08203125" style="225" customWidth="1"/>
    <col min="33" max="41" width="15" style="220" customWidth="1"/>
    <col min="42" max="42" width="1.58203125" style="220" customWidth="1"/>
    <col min="43" max="16384" width="9" style="220"/>
  </cols>
  <sheetData>
    <row r="1" spans="2:41" s="351" customFormat="1" ht="29.25" customHeight="1">
      <c r="B1" s="2673" t="s">
        <v>5878</v>
      </c>
      <c r="C1" s="2673"/>
      <c r="D1" s="2673"/>
      <c r="E1" s="2673"/>
      <c r="F1" s="2673"/>
      <c r="G1" s="2673"/>
      <c r="H1" s="2673"/>
      <c r="I1" s="2673"/>
      <c r="J1" s="304"/>
      <c r="K1" s="523"/>
      <c r="L1" s="523"/>
      <c r="M1" s="523"/>
      <c r="N1" s="523"/>
      <c r="O1" s="721"/>
      <c r="S1" s="722"/>
      <c r="U1" s="722"/>
      <c r="AD1" s="722"/>
      <c r="AF1" s="2673" t="s">
        <v>1887</v>
      </c>
      <c r="AG1" s="2673"/>
      <c r="AH1" s="2673"/>
      <c r="AI1" s="2673"/>
      <c r="AJ1" s="2673"/>
      <c r="AK1" s="2673"/>
      <c r="AL1" s="304"/>
      <c r="AM1" s="2673"/>
      <c r="AN1" s="2673"/>
      <c r="AO1" s="2673"/>
    </row>
    <row r="2" spans="2:41" s="351" customFormat="1" ht="29.25" customHeight="1">
      <c r="B2" s="2673" t="str">
        <f>SelectCompany!B4</f>
        <v>Yorkshire Water</v>
      </c>
      <c r="C2" s="2673"/>
      <c r="D2" s="2673"/>
      <c r="E2" s="2673"/>
      <c r="F2" s="2673"/>
      <c r="G2" s="2673"/>
      <c r="H2" s="2673"/>
      <c r="I2" s="2673"/>
      <c r="J2" s="304"/>
      <c r="K2" s="352"/>
      <c r="L2" s="352"/>
      <c r="M2" s="352"/>
      <c r="N2" s="352"/>
      <c r="O2" s="721"/>
      <c r="S2" s="722"/>
      <c r="U2" s="722"/>
      <c r="AD2" s="722"/>
      <c r="AF2" s="2673"/>
      <c r="AG2" s="2673"/>
      <c r="AH2" s="2673"/>
      <c r="AI2" s="2673"/>
      <c r="AJ2" s="2673"/>
      <c r="AK2" s="2673"/>
      <c r="AL2" s="2673"/>
      <c r="AM2" s="2673"/>
      <c r="AN2" s="352"/>
      <c r="AO2" s="352"/>
    </row>
    <row r="3" spans="2:41" ht="45.75" customHeight="1">
      <c r="B3" s="2781" t="s">
        <v>5879</v>
      </c>
      <c r="C3" s="2781"/>
      <c r="D3" s="2781"/>
      <c r="E3" s="2781"/>
      <c r="F3" s="2781"/>
      <c r="G3" s="2781"/>
      <c r="H3" s="2781"/>
      <c r="I3" s="2781"/>
      <c r="J3" s="2781"/>
      <c r="K3" s="2781"/>
      <c r="L3" s="2781"/>
      <c r="M3" s="2781"/>
      <c r="N3" s="2781"/>
      <c r="O3" s="2781"/>
      <c r="P3" s="2781"/>
      <c r="Q3" s="2781"/>
      <c r="R3" s="2562"/>
      <c r="S3" s="2578"/>
      <c r="T3" s="554" t="s">
        <v>1889</v>
      </c>
      <c r="U3" s="2578"/>
      <c r="V3" s="2562"/>
      <c r="W3" s="2562"/>
      <c r="X3" s="2562"/>
      <c r="Y3" s="2562"/>
      <c r="Z3" s="2562"/>
      <c r="AA3" s="2562"/>
      <c r="AB3" s="2562"/>
      <c r="AC3" s="2562"/>
      <c r="AD3" s="2578"/>
      <c r="AE3" s="2562"/>
      <c r="AF3" s="2781" t="s">
        <v>5879</v>
      </c>
      <c r="AG3" s="2781"/>
      <c r="AH3" s="2781"/>
      <c r="AI3" s="2781"/>
      <c r="AJ3" s="2781"/>
      <c r="AK3" s="2781"/>
      <c r="AL3" s="2781"/>
      <c r="AM3" s="2781"/>
      <c r="AN3" s="2781"/>
      <c r="AO3" s="2781"/>
    </row>
    <row r="4" spans="2:41" ht="15" customHeight="1" thickBot="1">
      <c r="B4" s="594"/>
      <c r="C4" s="594"/>
      <c r="D4" s="594"/>
      <c r="E4" s="594"/>
      <c r="F4" s="594"/>
      <c r="G4" s="594"/>
      <c r="H4" s="594"/>
      <c r="I4" s="594"/>
      <c r="J4" s="594"/>
      <c r="K4" s="594"/>
      <c r="L4" s="594"/>
      <c r="M4" s="594"/>
      <c r="N4" s="767"/>
      <c r="O4" s="721"/>
      <c r="P4" s="2562"/>
      <c r="Q4" s="2562"/>
      <c r="R4" s="2562"/>
      <c r="S4" s="2578"/>
      <c r="T4" s="251"/>
      <c r="U4" s="2578"/>
      <c r="V4" s="2662" t="s">
        <v>1890</v>
      </c>
      <c r="W4" s="2662"/>
      <c r="X4" s="2662"/>
      <c r="Y4" s="2795"/>
      <c r="Z4" s="2795"/>
      <c r="AA4" s="2795"/>
      <c r="AB4" s="2795"/>
      <c r="AC4" s="2795"/>
      <c r="AD4" s="2578"/>
      <c r="AE4" s="2562"/>
      <c r="AF4" s="594"/>
      <c r="AG4" s="594"/>
      <c r="AH4" s="594"/>
      <c r="AI4" s="594"/>
      <c r="AJ4" s="594"/>
      <c r="AK4" s="594"/>
      <c r="AL4" s="594"/>
      <c r="AM4" s="594"/>
      <c r="AN4" s="594"/>
      <c r="AO4" s="594"/>
    </row>
    <row r="5" spans="2:41" s="197" customFormat="1" ht="30" customHeight="1" thickTop="1">
      <c r="B5" s="2785" t="s">
        <v>1891</v>
      </c>
      <c r="C5" s="2667" t="s">
        <v>1892</v>
      </c>
      <c r="D5" s="2667" t="s">
        <v>136</v>
      </c>
      <c r="E5" s="2667" t="s">
        <v>5880</v>
      </c>
      <c r="F5" s="2667"/>
      <c r="G5" s="2667"/>
      <c r="H5" s="2667" t="s">
        <v>5881</v>
      </c>
      <c r="I5" s="2667"/>
      <c r="J5" s="2667" t="s">
        <v>2831</v>
      </c>
      <c r="K5" s="2667"/>
      <c r="L5" s="2667"/>
      <c r="M5" s="2669" t="s">
        <v>2112</v>
      </c>
      <c r="O5" s="2763" t="s">
        <v>1896</v>
      </c>
      <c r="Q5" s="2763" t="s">
        <v>1897</v>
      </c>
      <c r="S5" s="725"/>
      <c r="T5" s="251"/>
      <c r="U5" s="725"/>
      <c r="V5" s="236" t="s">
        <v>1898</v>
      </c>
      <c r="AD5" s="725"/>
      <c r="AF5" s="2785" t="s">
        <v>1891</v>
      </c>
      <c r="AG5" s="2667" t="s">
        <v>5880</v>
      </c>
      <c r="AH5" s="2667"/>
      <c r="AI5" s="2667"/>
      <c r="AJ5" s="2667" t="s">
        <v>5881</v>
      </c>
      <c r="AK5" s="2667"/>
      <c r="AL5" s="2667" t="s">
        <v>2831</v>
      </c>
      <c r="AM5" s="2667"/>
      <c r="AN5" s="2667"/>
      <c r="AO5" s="2669" t="s">
        <v>2112</v>
      </c>
    </row>
    <row r="6" spans="2:41" s="197" customFormat="1" ht="56.25" customHeight="1" thickBot="1">
      <c r="B6" s="2786"/>
      <c r="C6" s="2668"/>
      <c r="D6" s="2668"/>
      <c r="E6" s="238" t="s">
        <v>5882</v>
      </c>
      <c r="F6" s="238" t="s">
        <v>5883</v>
      </c>
      <c r="G6" s="238" t="s">
        <v>5884</v>
      </c>
      <c r="H6" s="238" t="s">
        <v>5885</v>
      </c>
      <c r="I6" s="238" t="s">
        <v>5886</v>
      </c>
      <c r="J6" s="238" t="s">
        <v>5887</v>
      </c>
      <c r="K6" s="238" t="s">
        <v>5888</v>
      </c>
      <c r="L6" s="238" t="s">
        <v>5889</v>
      </c>
      <c r="M6" s="2670"/>
      <c r="O6" s="2765"/>
      <c r="Q6" s="2765"/>
      <c r="S6" s="725"/>
      <c r="T6" s="251"/>
      <c r="U6" s="725"/>
      <c r="AD6" s="725"/>
      <c r="AF6" s="2786"/>
      <c r="AG6" s="238" t="s">
        <v>5882</v>
      </c>
      <c r="AH6" s="238" t="s">
        <v>5883</v>
      </c>
      <c r="AI6" s="238" t="s">
        <v>5884</v>
      </c>
      <c r="AJ6" s="238" t="s">
        <v>5885</v>
      </c>
      <c r="AK6" s="238" t="s">
        <v>5886</v>
      </c>
      <c r="AL6" s="238" t="s">
        <v>5887</v>
      </c>
      <c r="AM6" s="238" t="s">
        <v>5888</v>
      </c>
      <c r="AN6" s="238" t="s">
        <v>5889</v>
      </c>
      <c r="AO6" s="2670"/>
    </row>
    <row r="7" spans="2:41" s="197" customFormat="1" ht="15.75" customHeight="1" thickTop="1" thickBot="1">
      <c r="B7" s="322"/>
      <c r="C7" s="322"/>
      <c r="D7" s="322"/>
      <c r="E7" s="83"/>
      <c r="F7" s="768"/>
      <c r="G7" s="83"/>
      <c r="H7" s="768"/>
      <c r="I7" s="768"/>
      <c r="J7" s="768"/>
      <c r="K7" s="768"/>
      <c r="L7" s="768"/>
      <c r="M7" s="768"/>
      <c r="O7" s="721"/>
      <c r="S7" s="725"/>
      <c r="T7" s="251"/>
      <c r="U7" s="725"/>
      <c r="AD7" s="725"/>
      <c r="AF7" s="322"/>
      <c r="AG7" s="83"/>
      <c r="AH7" s="768"/>
      <c r="AI7" s="83"/>
      <c r="AJ7" s="768"/>
      <c r="AK7" s="768"/>
      <c r="AL7" s="768"/>
      <c r="AM7" s="768"/>
      <c r="AN7" s="768"/>
      <c r="AO7" s="768"/>
    </row>
    <row r="8" spans="2:41" s="197" customFormat="1" ht="15.75" customHeight="1" thickTop="1" thickBot="1">
      <c r="B8" s="355" t="s">
        <v>3147</v>
      </c>
      <c r="C8" s="356"/>
      <c r="D8" s="356"/>
      <c r="E8" s="444"/>
      <c r="F8" s="444"/>
      <c r="G8" s="444"/>
      <c r="O8" s="721"/>
      <c r="S8" s="725"/>
      <c r="T8" s="251"/>
      <c r="U8" s="725"/>
      <c r="AD8" s="725"/>
      <c r="AF8" s="355" t="s">
        <v>3147</v>
      </c>
      <c r="AG8" s="444"/>
      <c r="AH8" s="444"/>
      <c r="AI8" s="444"/>
    </row>
    <row r="9" spans="2:41" s="197" customFormat="1" ht="15.75" customHeight="1" thickTop="1">
      <c r="B9" s="726" t="s">
        <v>2929</v>
      </c>
      <c r="C9" s="685" t="s">
        <v>137</v>
      </c>
      <c r="D9" s="685">
        <v>3</v>
      </c>
      <c r="E9" s="1457">
        <f>IFERROR('4K'!E28, 0)</f>
        <v>41.197000000000003</v>
      </c>
      <c r="F9" s="1457">
        <f>IFERROR('4K'!F28, 0)</f>
        <v>6.6670000000000007</v>
      </c>
      <c r="G9" s="1457">
        <f>IFERROR('4K'!G28, 0)</f>
        <v>14.093999999999999</v>
      </c>
      <c r="H9" s="1457">
        <f>IFERROR('4K'!H28, 0)</f>
        <v>105.86799999999999</v>
      </c>
      <c r="I9" s="1457">
        <f>IFERROR('4K'!I28, 0)</f>
        <v>-2.2999999999999965E-2</v>
      </c>
      <c r="J9" s="1457">
        <f>IFERROR('4K'!J28, 0)</f>
        <v>9.6319999999999997</v>
      </c>
      <c r="K9" s="1457">
        <f>IFERROR('4K'!K28, 0)</f>
        <v>14.629000000000001</v>
      </c>
      <c r="L9" s="1457">
        <f>IFERROR('4K'!L28, 0)</f>
        <v>9.3609999999999989</v>
      </c>
      <c r="M9" s="1458">
        <f>IFERROR(SUM(E9:L9), 0)</f>
        <v>201.42499999999998</v>
      </c>
      <c r="O9" s="729" t="s">
        <v>5890</v>
      </c>
      <c r="Q9" s="250"/>
      <c r="S9" s="725"/>
      <c r="T9" s="251"/>
      <c r="U9" s="725"/>
      <c r="AD9" s="725"/>
      <c r="AF9" s="726" t="s">
        <v>2929</v>
      </c>
      <c r="AG9" s="727" t="s">
        <v>5891</v>
      </c>
      <c r="AH9" s="727" t="s">
        <v>5892</v>
      </c>
      <c r="AI9" s="727" t="s">
        <v>5893</v>
      </c>
      <c r="AJ9" s="727" t="s">
        <v>5894</v>
      </c>
      <c r="AK9" s="727" t="s">
        <v>5895</v>
      </c>
      <c r="AL9" s="727" t="s">
        <v>5896</v>
      </c>
      <c r="AM9" s="727" t="s">
        <v>5897</v>
      </c>
      <c r="AN9" s="727" t="s">
        <v>5898</v>
      </c>
      <c r="AO9" s="728" t="s">
        <v>5899</v>
      </c>
    </row>
    <row r="10" spans="2:41" s="197" customFormat="1" ht="15.75" customHeight="1">
      <c r="B10" s="730" t="s">
        <v>3004</v>
      </c>
      <c r="C10" s="731" t="s">
        <v>137</v>
      </c>
      <c r="D10" s="731">
        <v>3</v>
      </c>
      <c r="E10" s="1459">
        <f>IFERROR('4M'!F100, 0)</f>
        <v>0</v>
      </c>
      <c r="F10" s="1459">
        <f>IFERROR('4M'!G100, 0)</f>
        <v>0</v>
      </c>
      <c r="G10" s="1459">
        <f>IFERROR('4M'!H100, 0)</f>
        <v>0</v>
      </c>
      <c r="H10" s="1459">
        <f>IFERROR('4M'!I100, 0)</f>
        <v>0.35399999999999998</v>
      </c>
      <c r="I10" s="1459">
        <f>IFERROR('4M'!J100, 0)</f>
        <v>0</v>
      </c>
      <c r="J10" s="1459">
        <f>IFERROR('4M'!K100, 0)</f>
        <v>0</v>
      </c>
      <c r="K10" s="1459">
        <f>IFERROR('4M'!L100, 0)</f>
        <v>0</v>
      </c>
      <c r="L10" s="1459">
        <f>IFERROR('4M'!M100, 0)</f>
        <v>0</v>
      </c>
      <c r="M10" s="1460">
        <f t="shared" ref="M10:M13" si="0">IFERROR(SUM(E10:L10), 0)</f>
        <v>0.35399999999999998</v>
      </c>
      <c r="O10" s="734" t="s">
        <v>5900</v>
      </c>
      <c r="Q10" s="258"/>
      <c r="S10" s="725"/>
      <c r="T10" s="251"/>
      <c r="U10" s="725"/>
      <c r="AD10" s="725"/>
      <c r="AF10" s="730" t="s">
        <v>3004</v>
      </c>
      <c r="AG10" s="732" t="s">
        <v>5901</v>
      </c>
      <c r="AH10" s="732" t="s">
        <v>5902</v>
      </c>
      <c r="AI10" s="732" t="s">
        <v>5903</v>
      </c>
      <c r="AJ10" s="732" t="s">
        <v>5904</v>
      </c>
      <c r="AK10" s="732" t="s">
        <v>5905</v>
      </c>
      <c r="AL10" s="732" t="s">
        <v>5906</v>
      </c>
      <c r="AM10" s="732" t="s">
        <v>5907</v>
      </c>
      <c r="AN10" s="732" t="s">
        <v>5908</v>
      </c>
      <c r="AO10" s="733" t="s">
        <v>5909</v>
      </c>
    </row>
    <row r="11" spans="2:41" s="197" customFormat="1" ht="15.75" customHeight="1">
      <c r="B11" s="730" t="s">
        <v>3012</v>
      </c>
      <c r="C11" s="731" t="s">
        <v>137</v>
      </c>
      <c r="D11" s="731">
        <v>3</v>
      </c>
      <c r="E11" s="1472">
        <v>0</v>
      </c>
      <c r="F11" s="1472">
        <v>0</v>
      </c>
      <c r="G11" s="1472">
        <v>0</v>
      </c>
      <c r="H11" s="1472">
        <v>0</v>
      </c>
      <c r="I11" s="1472">
        <v>0</v>
      </c>
      <c r="J11" s="1472">
        <v>0</v>
      </c>
      <c r="K11" s="1472">
        <v>0</v>
      </c>
      <c r="L11" s="1472">
        <v>0</v>
      </c>
      <c r="M11" s="1460">
        <f t="shared" si="0"/>
        <v>0</v>
      </c>
      <c r="O11" s="734" t="s">
        <v>5910</v>
      </c>
      <c r="Q11" s="258"/>
      <c r="S11" s="725"/>
      <c r="T11" s="251">
        <f t="shared" ref="T11:T13" si="1">IF( SUM( V11:AC11 ) = 0, 0, $V$5 )</f>
        <v>0</v>
      </c>
      <c r="U11" s="725"/>
      <c r="V11" s="252">
        <f t="shared" ref="V11" si="2" xml:space="preserve"> IF( ISNUMBER( E11 ), 0, 1 )</f>
        <v>0</v>
      </c>
      <c r="W11" s="252">
        <f t="shared" ref="W11" si="3" xml:space="preserve"> IF( ISNUMBER( F11 ), 0, 1 )</f>
        <v>0</v>
      </c>
      <c r="X11" s="252">
        <f t="shared" ref="X11" si="4" xml:space="preserve"> IF( ISNUMBER( G11 ), 0, 1 )</f>
        <v>0</v>
      </c>
      <c r="Y11" s="252">
        <f t="shared" ref="Y11" si="5" xml:space="preserve"> IF( ISNUMBER( H11 ), 0, 1 )</f>
        <v>0</v>
      </c>
      <c r="Z11" s="252">
        <f t="shared" ref="Z11" si="6" xml:space="preserve"> IF( ISNUMBER( I11 ), 0, 1 )</f>
        <v>0</v>
      </c>
      <c r="AA11" s="252">
        <f t="shared" ref="AA11" si="7" xml:space="preserve"> IF( ISNUMBER( J11 ), 0, 1 )</f>
        <v>0</v>
      </c>
      <c r="AB11" s="252">
        <f t="shared" ref="AB11" si="8" xml:space="preserve"> IF( ISNUMBER( K11 ), 0, 1 )</f>
        <v>0</v>
      </c>
      <c r="AC11" s="252">
        <f t="shared" ref="AC11" si="9" xml:space="preserve"> IF( ISNUMBER( L11 ), 0, 1 )</f>
        <v>0</v>
      </c>
      <c r="AD11" s="725"/>
      <c r="AF11" s="730" t="s">
        <v>3012</v>
      </c>
      <c r="AG11" s="735" t="s">
        <v>5911</v>
      </c>
      <c r="AH11" s="735" t="s">
        <v>5912</v>
      </c>
      <c r="AI11" s="735" t="s">
        <v>5913</v>
      </c>
      <c r="AJ11" s="735" t="s">
        <v>5914</v>
      </c>
      <c r="AK11" s="735" t="s">
        <v>5915</v>
      </c>
      <c r="AL11" s="735" t="s">
        <v>5916</v>
      </c>
      <c r="AM11" s="735" t="s">
        <v>5917</v>
      </c>
      <c r="AN11" s="735" t="s">
        <v>5918</v>
      </c>
      <c r="AO11" s="733" t="s">
        <v>5919</v>
      </c>
    </row>
    <row r="12" spans="2:41" s="197" customFormat="1" ht="15.75" customHeight="1">
      <c r="B12" s="769" t="s">
        <v>3021</v>
      </c>
      <c r="C12" s="736" t="s">
        <v>137</v>
      </c>
      <c r="D12" s="736">
        <v>3</v>
      </c>
      <c r="E12" s="1461">
        <f>IFERROR(E9 + E10 + E11, 0)</f>
        <v>41.197000000000003</v>
      </c>
      <c r="F12" s="1461">
        <f t="shared" ref="F12:L12" si="10">IFERROR(F9 + F10 + F11, 0)</f>
        <v>6.6670000000000007</v>
      </c>
      <c r="G12" s="1461">
        <f t="shared" si="10"/>
        <v>14.093999999999999</v>
      </c>
      <c r="H12" s="1461">
        <f t="shared" si="10"/>
        <v>106.22199999999999</v>
      </c>
      <c r="I12" s="1461">
        <f t="shared" si="10"/>
        <v>-2.2999999999999965E-2</v>
      </c>
      <c r="J12" s="1461">
        <f t="shared" si="10"/>
        <v>9.6319999999999997</v>
      </c>
      <c r="K12" s="1461">
        <f t="shared" si="10"/>
        <v>14.629000000000001</v>
      </c>
      <c r="L12" s="1461">
        <f t="shared" si="10"/>
        <v>9.3609999999999989</v>
      </c>
      <c r="M12" s="1460">
        <f t="shared" si="0"/>
        <v>201.779</v>
      </c>
      <c r="O12" s="734" t="s">
        <v>5920</v>
      </c>
      <c r="Q12" s="258"/>
      <c r="S12" s="725"/>
      <c r="T12" s="251"/>
      <c r="U12" s="725"/>
      <c r="AD12" s="725"/>
      <c r="AF12" s="769" t="s">
        <v>3021</v>
      </c>
      <c r="AG12" s="737" t="s">
        <v>5921</v>
      </c>
      <c r="AH12" s="737" t="s">
        <v>5922</v>
      </c>
      <c r="AI12" s="737" t="s">
        <v>5923</v>
      </c>
      <c r="AJ12" s="737" t="s">
        <v>5924</v>
      </c>
      <c r="AK12" s="737" t="s">
        <v>5925</v>
      </c>
      <c r="AL12" s="737" t="s">
        <v>5926</v>
      </c>
      <c r="AM12" s="737" t="s">
        <v>5927</v>
      </c>
      <c r="AN12" s="737" t="s">
        <v>5928</v>
      </c>
      <c r="AO12" s="733" t="s">
        <v>5929</v>
      </c>
    </row>
    <row r="13" spans="2:41" s="197" customFormat="1" ht="15.75" customHeight="1">
      <c r="B13" s="730" t="s">
        <v>5930</v>
      </c>
      <c r="C13" s="731" t="s">
        <v>137</v>
      </c>
      <c r="D13" s="731">
        <v>3</v>
      </c>
      <c r="E13" s="1472">
        <v>0</v>
      </c>
      <c r="F13" s="1472">
        <v>0</v>
      </c>
      <c r="G13" s="1472">
        <v>0</v>
      </c>
      <c r="H13" s="1472">
        <v>0</v>
      </c>
      <c r="I13" s="1472">
        <v>0</v>
      </c>
      <c r="J13" s="1472">
        <v>0</v>
      </c>
      <c r="K13" s="1472">
        <v>0</v>
      </c>
      <c r="L13" s="1472">
        <v>0</v>
      </c>
      <c r="M13" s="1460">
        <f t="shared" si="0"/>
        <v>0</v>
      </c>
      <c r="O13" s="734" t="s">
        <v>5931</v>
      </c>
      <c r="Q13" s="258"/>
      <c r="S13" s="725"/>
      <c r="T13" s="251">
        <f t="shared" si="1"/>
        <v>0</v>
      </c>
      <c r="U13" s="725"/>
      <c r="V13" s="252">
        <f t="shared" ref="V13" si="11" xml:space="preserve"> IF( ISNUMBER( E13 ), 0, 1 )</f>
        <v>0</v>
      </c>
      <c r="W13" s="252">
        <f t="shared" ref="W13" si="12" xml:space="preserve"> IF( ISNUMBER( F13 ), 0, 1 )</f>
        <v>0</v>
      </c>
      <c r="X13" s="252">
        <f t="shared" ref="X13" si="13" xml:space="preserve"> IF( ISNUMBER( G13 ), 0, 1 )</f>
        <v>0</v>
      </c>
      <c r="Y13" s="252">
        <f t="shared" ref="Y13" si="14" xml:space="preserve"> IF( ISNUMBER( H13 ), 0, 1 )</f>
        <v>0</v>
      </c>
      <c r="Z13" s="252">
        <f t="shared" ref="Z13" si="15" xml:space="preserve"> IF( ISNUMBER( I13 ), 0, 1 )</f>
        <v>0</v>
      </c>
      <c r="AA13" s="252">
        <f t="shared" ref="AA13" si="16" xml:space="preserve"> IF( ISNUMBER( J13 ), 0, 1 )</f>
        <v>0</v>
      </c>
      <c r="AB13" s="252">
        <f t="shared" ref="AB13" si="17" xml:space="preserve"> IF( ISNUMBER( K13 ), 0, 1 )</f>
        <v>0</v>
      </c>
      <c r="AC13" s="252">
        <f t="shared" ref="AC13" si="18" xml:space="preserve"> IF( ISNUMBER( L13 ), 0, 1 )</f>
        <v>0</v>
      </c>
      <c r="AD13" s="725"/>
      <c r="AF13" s="730" t="s">
        <v>3029</v>
      </c>
      <c r="AG13" s="738" t="s">
        <v>5932</v>
      </c>
      <c r="AH13" s="738" t="s">
        <v>5933</v>
      </c>
      <c r="AI13" s="738" t="s">
        <v>5934</v>
      </c>
      <c r="AJ13" s="738" t="s">
        <v>5935</v>
      </c>
      <c r="AK13" s="738" t="s">
        <v>5936</v>
      </c>
      <c r="AL13" s="738" t="s">
        <v>5937</v>
      </c>
      <c r="AM13" s="738" t="s">
        <v>5938</v>
      </c>
      <c r="AN13" s="738" t="s">
        <v>5939</v>
      </c>
      <c r="AO13" s="733" t="s">
        <v>5940</v>
      </c>
    </row>
    <row r="14" spans="2:41" s="197" customFormat="1" ht="15.75" customHeight="1" thickBot="1">
      <c r="B14" s="765" t="s">
        <v>1846</v>
      </c>
      <c r="C14" s="741" t="s">
        <v>137</v>
      </c>
      <c r="D14" s="741">
        <v>3</v>
      </c>
      <c r="E14" s="1475">
        <f>IFERROR(E12 + E13, 0)</f>
        <v>41.197000000000003</v>
      </c>
      <c r="F14" s="1475">
        <f t="shared" ref="F14:L14" si="19">IFERROR(F12 + F13, 0)</f>
        <v>6.6670000000000007</v>
      </c>
      <c r="G14" s="1475">
        <f t="shared" si="19"/>
        <v>14.093999999999999</v>
      </c>
      <c r="H14" s="1475">
        <f t="shared" si="19"/>
        <v>106.22199999999999</v>
      </c>
      <c r="I14" s="1475">
        <f t="shared" si="19"/>
        <v>-2.2999999999999965E-2</v>
      </c>
      <c r="J14" s="1475">
        <f t="shared" si="19"/>
        <v>9.6319999999999997</v>
      </c>
      <c r="K14" s="1475">
        <f t="shared" si="19"/>
        <v>14.629000000000001</v>
      </c>
      <c r="L14" s="1475">
        <f t="shared" si="19"/>
        <v>9.3609999999999989</v>
      </c>
      <c r="M14" s="1463">
        <f>IFERROR(SUM(E14:L14), 0)</f>
        <v>201.779</v>
      </c>
      <c r="O14" s="744" t="s">
        <v>5941</v>
      </c>
      <c r="Q14" s="269"/>
      <c r="S14" s="725"/>
      <c r="T14" s="251"/>
      <c r="U14" s="725"/>
      <c r="AD14" s="725"/>
      <c r="AF14" s="765" t="s">
        <v>1846</v>
      </c>
      <c r="AG14" s="770" t="s">
        <v>5942</v>
      </c>
      <c r="AH14" s="770" t="s">
        <v>5943</v>
      </c>
      <c r="AI14" s="770" t="s">
        <v>5944</v>
      </c>
      <c r="AJ14" s="770" t="s">
        <v>5945</v>
      </c>
      <c r="AK14" s="770" t="s">
        <v>5946</v>
      </c>
      <c r="AL14" s="770" t="s">
        <v>5947</v>
      </c>
      <c r="AM14" s="770" t="s">
        <v>5948</v>
      </c>
      <c r="AN14" s="770" t="s">
        <v>5949</v>
      </c>
      <c r="AO14" s="743" t="s">
        <v>5950</v>
      </c>
    </row>
    <row r="15" spans="2:41" s="197" customFormat="1" ht="15.75" customHeight="1" thickTop="1" thickBot="1">
      <c r="B15" s="756"/>
      <c r="C15" s="756"/>
      <c r="D15" s="756"/>
      <c r="E15" s="1475">
        <f>'[3]FINAL @ Service Level'!J28/10^6</f>
        <v>-8.6586528893041486</v>
      </c>
      <c r="F15" s="1475">
        <f>'[3]FINAL @ Service Level'!K28/10^6</f>
        <v>-3.183328268126524</v>
      </c>
      <c r="G15" s="1475">
        <f>'[3]FINAL @ Service Level'!L28/10^6</f>
        <v>-0.89133191507542664</v>
      </c>
      <c r="H15" s="1475">
        <f>'[3]FINAL @ Service Level'!M28/10^6</f>
        <v>-8.8512869386808575</v>
      </c>
      <c r="I15" s="1475">
        <f>'[3]FINAL @ Service Level'!N28/10^6</f>
        <v>-0.15147036388973892</v>
      </c>
      <c r="J15" s="1475">
        <f>'[3]FINAL @ Service Level'!O28/10^6</f>
        <v>0.10383054650649999</v>
      </c>
      <c r="K15" s="1475">
        <f>'[3]FINAL @ Service Level'!P28/10^6</f>
        <v>1.8429031093830996</v>
      </c>
      <c r="L15" s="1475">
        <f>'[3]FINAL @ Service Level'!Q28/10^6</f>
        <v>2.9934387776199996E-2</v>
      </c>
      <c r="M15" s="1476"/>
      <c r="N15" s="106"/>
      <c r="O15" s="771"/>
      <c r="S15" s="725"/>
      <c r="T15" s="251"/>
      <c r="U15" s="725"/>
      <c r="AD15" s="725"/>
      <c r="AF15" s="756"/>
      <c r="AG15" s="313"/>
      <c r="AH15" s="313"/>
      <c r="AI15" s="313"/>
      <c r="AJ15" s="313"/>
      <c r="AK15" s="313"/>
      <c r="AL15" s="313"/>
      <c r="AM15" s="313"/>
      <c r="AN15" s="313"/>
      <c r="AO15" s="313"/>
    </row>
    <row r="16" spans="2:41" s="197" customFormat="1" ht="15.75" customHeight="1" thickTop="1" thickBot="1">
      <c r="B16" s="355" t="s">
        <v>3044</v>
      </c>
      <c r="C16" s="356"/>
      <c r="D16" s="356"/>
      <c r="E16" s="1476">
        <f>E14-E15</f>
        <v>49.855652889304153</v>
      </c>
      <c r="F16" s="1476">
        <f>F14-F15</f>
        <v>9.8503282681265247</v>
      </c>
      <c r="G16" s="1476">
        <f>G14-G15</f>
        <v>14.985331915075426</v>
      </c>
      <c r="H16" s="1476">
        <f>H14-H15-H10</f>
        <v>114.71928693868085</v>
      </c>
      <c r="I16" s="1476">
        <f>I14-I15</f>
        <v>0.12847036388973895</v>
      </c>
      <c r="J16" s="1476">
        <f>J14-J15</f>
        <v>9.5281694534934989</v>
      </c>
      <c r="K16" s="1476">
        <f>K14-K15</f>
        <v>12.786096890616902</v>
      </c>
      <c r="L16" s="1476">
        <f>L14-L15</f>
        <v>9.3310656122237994</v>
      </c>
      <c r="M16" s="1476"/>
      <c r="N16" s="106"/>
      <c r="O16" s="771"/>
      <c r="S16" s="725"/>
      <c r="T16" s="251"/>
      <c r="U16" s="725"/>
      <c r="AD16" s="725"/>
      <c r="AF16" s="355" t="s">
        <v>3044</v>
      </c>
      <c r="AG16" s="313"/>
      <c r="AH16" s="313"/>
      <c r="AI16" s="313"/>
      <c r="AJ16" s="313"/>
      <c r="AK16" s="313"/>
      <c r="AL16" s="313"/>
      <c r="AM16" s="313"/>
      <c r="AN16" s="313"/>
      <c r="AO16" s="313"/>
    </row>
    <row r="17" spans="2:41" s="197" customFormat="1" ht="15.75" customHeight="1" thickTop="1" thickBot="1">
      <c r="B17" s="382" t="s">
        <v>3045</v>
      </c>
      <c r="C17" s="333" t="s">
        <v>137</v>
      </c>
      <c r="D17" s="333">
        <v>3</v>
      </c>
      <c r="E17" s="1464">
        <v>0</v>
      </c>
      <c r="F17" s="1464">
        <v>0</v>
      </c>
      <c r="G17" s="1464">
        <v>0</v>
      </c>
      <c r="H17" s="1464">
        <v>0</v>
      </c>
      <c r="I17" s="1464">
        <v>0</v>
      </c>
      <c r="J17" s="1464">
        <v>0</v>
      </c>
      <c r="K17" s="1464">
        <v>0</v>
      </c>
      <c r="L17" s="1464">
        <v>0</v>
      </c>
      <c r="M17" s="1469">
        <f>IFERROR(SUM(E17:L17), 0)</f>
        <v>0</v>
      </c>
      <c r="N17" s="106"/>
      <c r="O17" s="773" t="s">
        <v>5951</v>
      </c>
      <c r="Q17" s="337"/>
      <c r="S17" s="725"/>
      <c r="T17" s="251">
        <f t="shared" ref="T17" si="20">IF( SUM( V17:AC17 ) = 0, 0, $V$5 )</f>
        <v>0</v>
      </c>
      <c r="U17" s="725"/>
      <c r="V17" s="252">
        <f t="shared" ref="V17" si="21" xml:space="preserve"> IF( ISNUMBER( E17 ), 0, 1 )</f>
        <v>0</v>
      </c>
      <c r="W17" s="252">
        <f t="shared" ref="W17" si="22" xml:space="preserve"> IF( ISNUMBER( F17 ), 0, 1 )</f>
        <v>0</v>
      </c>
      <c r="X17" s="252">
        <f t="shared" ref="X17" si="23" xml:space="preserve"> IF( ISNUMBER( G17 ), 0, 1 )</f>
        <v>0</v>
      </c>
      <c r="Y17" s="252">
        <f t="shared" ref="Y17" si="24" xml:space="preserve"> IF( ISNUMBER( H17 ), 0, 1 )</f>
        <v>0</v>
      </c>
      <c r="Z17" s="252">
        <f t="shared" ref="Z17" si="25" xml:space="preserve"> IF( ISNUMBER( I17 ), 0, 1 )</f>
        <v>0</v>
      </c>
      <c r="AA17" s="252">
        <f t="shared" ref="AA17" si="26" xml:space="preserve"> IF( ISNUMBER( J17 ), 0, 1 )</f>
        <v>0</v>
      </c>
      <c r="AB17" s="252">
        <f t="shared" ref="AB17" si="27" xml:space="preserve"> IF( ISNUMBER( K17 ), 0, 1 )</f>
        <v>0</v>
      </c>
      <c r="AC17" s="252">
        <f t="shared" ref="AC17" si="28" xml:space="preserve"> IF( ISNUMBER( L17 ), 0, 1 )</f>
        <v>0</v>
      </c>
      <c r="AD17" s="725"/>
      <c r="AF17" s="382" t="s">
        <v>3045</v>
      </c>
      <c r="AG17" s="772" t="s">
        <v>5952</v>
      </c>
      <c r="AH17" s="772" t="s">
        <v>5953</v>
      </c>
      <c r="AI17" s="772" t="s">
        <v>5954</v>
      </c>
      <c r="AJ17" s="772" t="s">
        <v>5955</v>
      </c>
      <c r="AK17" s="772" t="s">
        <v>5956</v>
      </c>
      <c r="AL17" s="772" t="s">
        <v>5957</v>
      </c>
      <c r="AM17" s="772" t="s">
        <v>5958</v>
      </c>
      <c r="AN17" s="772" t="s">
        <v>5959</v>
      </c>
      <c r="AO17" s="755" t="s">
        <v>5960</v>
      </c>
    </row>
    <row r="18" spans="2:41" s="197" customFormat="1" ht="15.75" customHeight="1" thickTop="1" thickBot="1">
      <c r="B18" s="756"/>
      <c r="C18" s="756"/>
      <c r="D18" s="756"/>
      <c r="E18" s="1476"/>
      <c r="F18" s="1476"/>
      <c r="G18" s="1476"/>
      <c r="H18" s="1476"/>
      <c r="I18" s="1476"/>
      <c r="J18" s="1476"/>
      <c r="K18" s="1476"/>
      <c r="L18" s="1476"/>
      <c r="M18" s="1476"/>
      <c r="N18" s="106"/>
      <c r="S18" s="725"/>
      <c r="T18" s="251"/>
      <c r="U18" s="725"/>
      <c r="AD18" s="725"/>
      <c r="AF18" s="756"/>
      <c r="AG18" s="313"/>
      <c r="AH18" s="313"/>
      <c r="AI18" s="313"/>
      <c r="AJ18" s="313"/>
      <c r="AK18" s="313"/>
      <c r="AL18" s="313"/>
      <c r="AM18" s="313"/>
      <c r="AN18" s="313"/>
      <c r="AO18" s="313"/>
    </row>
    <row r="19" spans="2:41" s="197" customFormat="1" ht="15.75" customHeight="1" thickTop="1" thickBot="1">
      <c r="B19" s="355" t="s">
        <v>2389</v>
      </c>
      <c r="C19" s="356"/>
      <c r="D19" s="356"/>
      <c r="E19" s="1477"/>
      <c r="F19" s="1477"/>
      <c r="G19" s="1476"/>
      <c r="H19" s="1476"/>
      <c r="I19" s="1476"/>
      <c r="J19" s="1476"/>
      <c r="K19" s="1476"/>
      <c r="L19" s="1476"/>
      <c r="M19" s="1476"/>
      <c r="N19" s="106"/>
      <c r="O19" s="754"/>
      <c r="S19" s="725"/>
      <c r="T19" s="251"/>
      <c r="U19" s="725"/>
      <c r="AD19" s="725"/>
      <c r="AF19" s="355" t="s">
        <v>2389</v>
      </c>
      <c r="AG19" s="106"/>
      <c r="AH19" s="106"/>
      <c r="AI19" s="313"/>
      <c r="AJ19" s="313"/>
      <c r="AK19" s="313"/>
      <c r="AL19" s="313"/>
      <c r="AM19" s="313"/>
      <c r="AN19" s="313"/>
      <c r="AO19" s="313"/>
    </row>
    <row r="20" spans="2:41" s="197" customFormat="1" ht="15.75" customHeight="1" thickTop="1">
      <c r="B20" s="413" t="s">
        <v>3053</v>
      </c>
      <c r="C20" s="244" t="s">
        <v>137</v>
      </c>
      <c r="D20" s="244">
        <v>3</v>
      </c>
      <c r="E20" s="1466">
        <f>IFERROR('4K'!E33, 0)</f>
        <v>70.299000000000007</v>
      </c>
      <c r="F20" s="1466">
        <f>IFERROR('4K'!F33, 0)</f>
        <v>23.398</v>
      </c>
      <c r="G20" s="1466">
        <f>IFERROR('4K'!G33, 0)</f>
        <v>5.5759999999999996</v>
      </c>
      <c r="H20" s="1466">
        <f>IFERROR('4K'!H33, 0)</f>
        <v>71.046000000000006</v>
      </c>
      <c r="I20" s="1466">
        <f>IFERROR('4K'!I33, 0)</f>
        <v>0.28699999999999998</v>
      </c>
      <c r="J20" s="1466">
        <f>IFERROR('4K'!J33, 0)</f>
        <v>0.30299999999999999</v>
      </c>
      <c r="K20" s="1466">
        <f>IFERROR('4K'!K33, 0)</f>
        <v>15.009</v>
      </c>
      <c r="L20" s="1466">
        <f>IFERROR('4K'!L33, 0)</f>
        <v>3.6829999999999998</v>
      </c>
      <c r="M20" s="1458">
        <f>IFERROR(SUM(E20:L20), 0)</f>
        <v>189.601</v>
      </c>
      <c r="N20" s="106"/>
      <c r="O20" s="729" t="s">
        <v>5961</v>
      </c>
      <c r="Q20" s="250"/>
      <c r="S20" s="725"/>
      <c r="T20" s="251"/>
      <c r="U20" s="725"/>
      <c r="AD20" s="725"/>
      <c r="AF20" s="413" t="s">
        <v>3053</v>
      </c>
      <c r="AG20" s="750" t="s">
        <v>5962</v>
      </c>
      <c r="AH20" s="750" t="s">
        <v>5963</v>
      </c>
      <c r="AI20" s="750" t="s">
        <v>5964</v>
      </c>
      <c r="AJ20" s="750" t="s">
        <v>5965</v>
      </c>
      <c r="AK20" s="750" t="s">
        <v>5966</v>
      </c>
      <c r="AL20" s="750" t="s">
        <v>5967</v>
      </c>
      <c r="AM20" s="750" t="s">
        <v>5968</v>
      </c>
      <c r="AN20" s="750" t="s">
        <v>5969</v>
      </c>
      <c r="AO20" s="728" t="s">
        <v>5970</v>
      </c>
    </row>
    <row r="21" spans="2:41" s="197" customFormat="1" ht="15.75" customHeight="1">
      <c r="B21" s="689" t="s">
        <v>3061</v>
      </c>
      <c r="C21" s="290" t="s">
        <v>137</v>
      </c>
      <c r="D21" s="290">
        <v>3</v>
      </c>
      <c r="E21" s="1467">
        <f>IFERROR('4M'!F99, 0)</f>
        <v>5.1109999999999998</v>
      </c>
      <c r="F21" s="1467">
        <f>IFERROR('4M'!G99, 0)</f>
        <v>4.9039999999999999</v>
      </c>
      <c r="G21" s="1467">
        <f>IFERROR('4M'!H99, 0)</f>
        <v>0.49299999999999999</v>
      </c>
      <c r="H21" s="1467">
        <f>IFERROR('4M'!I99, 0)</f>
        <v>95.548000000000002</v>
      </c>
      <c r="I21" s="1467">
        <f>IFERROR('4M'!J99, 0)</f>
        <v>5.0000000000000001E-3</v>
      </c>
      <c r="J21" s="1467">
        <f>IFERROR('4M'!K99, 0)</f>
        <v>4.0000000000000001E-3</v>
      </c>
      <c r="K21" s="1467">
        <f>IFERROR('4M'!L99, 0)</f>
        <v>1.66</v>
      </c>
      <c r="L21" s="1467">
        <f>IFERROR('4M'!M99, 0)</f>
        <v>1E-3</v>
      </c>
      <c r="M21" s="1460">
        <f t="shared" ref="M21:M24" si="29">IFERROR(SUM(E21:L21), 0)</f>
        <v>107.726</v>
      </c>
      <c r="O21" s="734" t="s">
        <v>5971</v>
      </c>
      <c r="Q21" s="258"/>
      <c r="S21" s="725"/>
      <c r="T21" s="251"/>
      <c r="U21" s="725"/>
      <c r="AD21" s="725"/>
      <c r="AF21" s="689" t="s">
        <v>3061</v>
      </c>
      <c r="AG21" s="751" t="s">
        <v>5972</v>
      </c>
      <c r="AH21" s="751" t="s">
        <v>5973</v>
      </c>
      <c r="AI21" s="751" t="s">
        <v>5974</v>
      </c>
      <c r="AJ21" s="751" t="s">
        <v>5975</v>
      </c>
      <c r="AK21" s="751" t="s">
        <v>5976</v>
      </c>
      <c r="AL21" s="751" t="s">
        <v>5977</v>
      </c>
      <c r="AM21" s="751" t="s">
        <v>5978</v>
      </c>
      <c r="AN21" s="751" t="s">
        <v>5979</v>
      </c>
      <c r="AO21" s="733" t="s">
        <v>5980</v>
      </c>
    </row>
    <row r="22" spans="2:41" s="197" customFormat="1" ht="15.75" customHeight="1">
      <c r="B22" s="317" t="s">
        <v>3069</v>
      </c>
      <c r="C22" s="259" t="s">
        <v>137</v>
      </c>
      <c r="D22" s="259">
        <v>3</v>
      </c>
      <c r="E22" s="1955">
        <v>4.4139999999999997</v>
      </c>
      <c r="F22" s="1955">
        <v>1.1399999999999999</v>
      </c>
      <c r="G22" s="1955">
        <v>0.26600000000000001</v>
      </c>
      <c r="H22" s="1955">
        <v>7.8E-2</v>
      </c>
      <c r="I22" s="1955">
        <v>0</v>
      </c>
      <c r="J22" s="1955">
        <v>0</v>
      </c>
      <c r="K22" s="1955">
        <v>0</v>
      </c>
      <c r="L22" s="1955">
        <v>0</v>
      </c>
      <c r="M22" s="1460">
        <f t="shared" si="29"/>
        <v>5.8979999999999997</v>
      </c>
      <c r="O22" s="734" t="s">
        <v>5981</v>
      </c>
      <c r="Q22" s="258"/>
      <c r="S22" s="725"/>
      <c r="T22" s="251">
        <f t="shared" ref="T22" si="30">IF( SUM( V22:AC22 ) = 0, 0, $V$5 )</f>
        <v>0</v>
      </c>
      <c r="U22" s="725"/>
      <c r="V22" s="252">
        <f t="shared" ref="V22" si="31" xml:space="preserve"> IF( ISNUMBER( E22 ), 0, 1 )</f>
        <v>0</v>
      </c>
      <c r="W22" s="252">
        <f t="shared" ref="W22" si="32" xml:space="preserve"> IF( ISNUMBER( F22 ), 0, 1 )</f>
        <v>0</v>
      </c>
      <c r="X22" s="252">
        <f t="shared" ref="X22" si="33" xml:space="preserve"> IF( ISNUMBER( G22 ), 0, 1 )</f>
        <v>0</v>
      </c>
      <c r="Y22" s="252">
        <f t="shared" ref="Y22" si="34" xml:space="preserve"> IF( ISNUMBER( H22 ), 0, 1 )</f>
        <v>0</v>
      </c>
      <c r="Z22" s="252">
        <f t="shared" ref="Z22" si="35" xml:space="preserve"> IF( ISNUMBER( I22 ), 0, 1 )</f>
        <v>0</v>
      </c>
      <c r="AA22" s="252">
        <f t="shared" ref="AA22" si="36" xml:space="preserve"> IF( ISNUMBER( J22 ), 0, 1 )</f>
        <v>0</v>
      </c>
      <c r="AB22" s="252">
        <f t="shared" ref="AB22" si="37" xml:space="preserve"> IF( ISNUMBER( K22 ), 0, 1 )</f>
        <v>0</v>
      </c>
      <c r="AC22" s="252">
        <f t="shared" ref="AC22" si="38" xml:space="preserve"> IF( ISNUMBER( L22 ), 0, 1 )</f>
        <v>0</v>
      </c>
      <c r="AD22" s="725"/>
      <c r="AF22" s="317" t="s">
        <v>3069</v>
      </c>
      <c r="AG22" s="752" t="s">
        <v>5982</v>
      </c>
      <c r="AH22" s="752" t="s">
        <v>5983</v>
      </c>
      <c r="AI22" s="752" t="s">
        <v>5984</v>
      </c>
      <c r="AJ22" s="752" t="s">
        <v>5985</v>
      </c>
      <c r="AK22" s="752" t="s">
        <v>5986</v>
      </c>
      <c r="AL22" s="752" t="s">
        <v>5987</v>
      </c>
      <c r="AM22" s="752" t="s">
        <v>5988</v>
      </c>
      <c r="AN22" s="752" t="s">
        <v>5989</v>
      </c>
      <c r="AO22" s="733" t="s">
        <v>5990</v>
      </c>
    </row>
    <row r="23" spans="2:41" s="197" customFormat="1" ht="15.75" customHeight="1">
      <c r="B23" s="317" t="s">
        <v>3078</v>
      </c>
      <c r="C23" s="259" t="s">
        <v>137</v>
      </c>
      <c r="D23" s="259">
        <v>3</v>
      </c>
      <c r="E23" s="1478">
        <f>IFERROR(E20 + E21 + E22, 0)</f>
        <v>79.824000000000012</v>
      </c>
      <c r="F23" s="1478">
        <f t="shared" ref="F23:K23" si="39">IFERROR(F20 + F21 + F22, 0)</f>
        <v>29.442</v>
      </c>
      <c r="G23" s="1478">
        <f t="shared" si="39"/>
        <v>6.335</v>
      </c>
      <c r="H23" s="1478">
        <f t="shared" si="39"/>
        <v>166.672</v>
      </c>
      <c r="I23" s="1478">
        <f t="shared" si="39"/>
        <v>0.29199999999999998</v>
      </c>
      <c r="J23" s="1478">
        <f t="shared" si="39"/>
        <v>0.307</v>
      </c>
      <c r="K23" s="1478">
        <f t="shared" si="39"/>
        <v>16.669</v>
      </c>
      <c r="L23" s="1478">
        <f>IFERROR(L20 + L21 + L22, 0)</f>
        <v>3.6839999999999997</v>
      </c>
      <c r="M23" s="1460">
        <f t="shared" si="29"/>
        <v>303.22500000000002</v>
      </c>
      <c r="N23" s="106"/>
      <c r="O23" s="734" t="s">
        <v>5991</v>
      </c>
      <c r="Q23" s="258"/>
      <c r="S23" s="725"/>
      <c r="T23" s="251"/>
      <c r="U23" s="725"/>
      <c r="AD23" s="725"/>
      <c r="AF23" s="317" t="s">
        <v>3080</v>
      </c>
      <c r="AG23" s="774" t="s">
        <v>5992</v>
      </c>
      <c r="AH23" s="774" t="s">
        <v>5993</v>
      </c>
      <c r="AI23" s="774" t="s">
        <v>5994</v>
      </c>
      <c r="AJ23" s="774" t="s">
        <v>5995</v>
      </c>
      <c r="AK23" s="774" t="s">
        <v>5996</v>
      </c>
      <c r="AL23" s="774" t="s">
        <v>5997</v>
      </c>
      <c r="AM23" s="774" t="s">
        <v>5998</v>
      </c>
      <c r="AN23" s="774" t="s">
        <v>5999</v>
      </c>
      <c r="AO23" s="733" t="s">
        <v>6000</v>
      </c>
    </row>
    <row r="24" spans="2:41" s="197" customFormat="1" ht="15.75" customHeight="1">
      <c r="B24" s="422" t="s">
        <v>3029</v>
      </c>
      <c r="C24" s="253" t="s">
        <v>137</v>
      </c>
      <c r="D24" s="253">
        <v>3</v>
      </c>
      <c r="E24" s="1472">
        <v>1E-3</v>
      </c>
      <c r="F24" s="1472">
        <v>1E-3</v>
      </c>
      <c r="G24" s="1472">
        <v>0</v>
      </c>
      <c r="H24" s="1472">
        <v>0</v>
      </c>
      <c r="I24" s="1472">
        <v>0</v>
      </c>
      <c r="J24" s="1472">
        <v>0</v>
      </c>
      <c r="K24" s="1472">
        <v>0</v>
      </c>
      <c r="L24" s="1472">
        <v>0</v>
      </c>
      <c r="M24" s="1460">
        <f t="shared" si="29"/>
        <v>2E-3</v>
      </c>
      <c r="N24" s="106"/>
      <c r="O24" s="734" t="s">
        <v>6001</v>
      </c>
      <c r="Q24" s="258"/>
      <c r="S24" s="725"/>
      <c r="T24" s="251">
        <f t="shared" ref="T24" si="40">IF( SUM( V24:AC24 ) = 0, 0, $V$5 )</f>
        <v>0</v>
      </c>
      <c r="U24" s="725"/>
      <c r="V24" s="252">
        <f t="shared" ref="V24" si="41" xml:space="preserve"> IF( ISNUMBER( E24 ), 0, 1 )</f>
        <v>0</v>
      </c>
      <c r="W24" s="252">
        <f t="shared" ref="W24" si="42" xml:space="preserve"> IF( ISNUMBER( F24 ), 0, 1 )</f>
        <v>0</v>
      </c>
      <c r="X24" s="252">
        <f t="shared" ref="X24" si="43" xml:space="preserve"> IF( ISNUMBER( G24 ), 0, 1 )</f>
        <v>0</v>
      </c>
      <c r="Y24" s="252">
        <f t="shared" ref="Y24" si="44" xml:space="preserve"> IF( ISNUMBER( H24 ), 0, 1 )</f>
        <v>0</v>
      </c>
      <c r="Z24" s="252">
        <f t="shared" ref="Z24" si="45" xml:space="preserve"> IF( ISNUMBER( I24 ), 0, 1 )</f>
        <v>0</v>
      </c>
      <c r="AA24" s="252">
        <f t="shared" ref="AA24" si="46" xml:space="preserve"> IF( ISNUMBER( J24 ), 0, 1 )</f>
        <v>0</v>
      </c>
      <c r="AB24" s="252">
        <f t="shared" ref="AB24" si="47" xml:space="preserve"> IF( ISNUMBER( K24 ), 0, 1 )</f>
        <v>0</v>
      </c>
      <c r="AC24" s="252">
        <f t="shared" ref="AC24" si="48" xml:space="preserve"> IF( ISNUMBER( L24 ), 0, 1 )</f>
        <v>0</v>
      </c>
      <c r="AD24" s="725"/>
      <c r="AF24" s="422" t="s">
        <v>3029</v>
      </c>
      <c r="AG24" s="775" t="s">
        <v>6002</v>
      </c>
      <c r="AH24" s="775" t="s">
        <v>6003</v>
      </c>
      <c r="AI24" s="775" t="s">
        <v>6004</v>
      </c>
      <c r="AJ24" s="775" t="s">
        <v>6005</v>
      </c>
      <c r="AK24" s="775" t="s">
        <v>6006</v>
      </c>
      <c r="AL24" s="775" t="s">
        <v>6007</v>
      </c>
      <c r="AM24" s="775" t="s">
        <v>6008</v>
      </c>
      <c r="AN24" s="775" t="s">
        <v>6009</v>
      </c>
      <c r="AO24" s="733" t="s">
        <v>6010</v>
      </c>
    </row>
    <row r="25" spans="2:41" s="197" customFormat="1" ht="15.75" customHeight="1" thickBot="1">
      <c r="B25" s="425" t="s">
        <v>3094</v>
      </c>
      <c r="C25" s="319" t="s">
        <v>137</v>
      </c>
      <c r="D25" s="319">
        <v>3</v>
      </c>
      <c r="E25" s="1473">
        <f>IFERROR(E23 + E24, 0)</f>
        <v>79.825000000000017</v>
      </c>
      <c r="F25" s="1473">
        <f t="shared" ref="F25:K25" si="49">IFERROR(F23 + F24, 0)</f>
        <v>29.443000000000001</v>
      </c>
      <c r="G25" s="1473">
        <f t="shared" si="49"/>
        <v>6.335</v>
      </c>
      <c r="H25" s="1473">
        <f t="shared" si="49"/>
        <v>166.672</v>
      </c>
      <c r="I25" s="1473">
        <f t="shared" si="49"/>
        <v>0.29199999999999998</v>
      </c>
      <c r="J25" s="1473">
        <f t="shared" si="49"/>
        <v>0.307</v>
      </c>
      <c r="K25" s="1473">
        <f t="shared" si="49"/>
        <v>16.669</v>
      </c>
      <c r="L25" s="1473">
        <f>IFERROR(L23 + L24, 0)</f>
        <v>3.6839999999999997</v>
      </c>
      <c r="M25" s="1463">
        <f>IFERROR(SUM(E25:L25), 0)</f>
        <v>303.22699999999998</v>
      </c>
      <c r="N25" s="106"/>
      <c r="O25" s="744" t="s">
        <v>6011</v>
      </c>
      <c r="Q25" s="269"/>
      <c r="S25" s="725"/>
      <c r="T25" s="251"/>
      <c r="U25" s="725"/>
      <c r="AD25" s="725"/>
      <c r="AF25" s="425" t="s">
        <v>3094</v>
      </c>
      <c r="AG25" s="583" t="s">
        <v>6012</v>
      </c>
      <c r="AH25" s="583" t="s">
        <v>6013</v>
      </c>
      <c r="AI25" s="583" t="s">
        <v>6014</v>
      </c>
      <c r="AJ25" s="583" t="s">
        <v>6015</v>
      </c>
      <c r="AK25" s="583" t="s">
        <v>6016</v>
      </c>
      <c r="AL25" s="583" t="s">
        <v>6017</v>
      </c>
      <c r="AM25" s="583" t="s">
        <v>6018</v>
      </c>
      <c r="AN25" s="583" t="s">
        <v>6019</v>
      </c>
      <c r="AO25" s="743" t="s">
        <v>6020</v>
      </c>
    </row>
    <row r="26" spans="2:41" s="197" customFormat="1" ht="15.75" customHeight="1" thickTop="1" thickBot="1">
      <c r="B26" s="106"/>
      <c r="C26" s="106"/>
      <c r="D26" s="106"/>
      <c r="E26" s="1477"/>
      <c r="F26" s="1477"/>
      <c r="G26" s="1477"/>
      <c r="H26" s="1477"/>
      <c r="I26" s="1477"/>
      <c r="J26" s="1477"/>
      <c r="K26" s="1477"/>
      <c r="L26" s="1477"/>
      <c r="M26" s="1477"/>
      <c r="N26" s="106"/>
      <c r="S26" s="725"/>
      <c r="T26" s="251"/>
      <c r="U26" s="725"/>
      <c r="AD26" s="725"/>
      <c r="AF26" s="106"/>
      <c r="AG26" s="106"/>
      <c r="AH26" s="106"/>
      <c r="AI26" s="106"/>
      <c r="AJ26" s="106"/>
      <c r="AK26" s="106"/>
      <c r="AL26" s="106"/>
      <c r="AM26" s="106"/>
      <c r="AN26" s="106"/>
      <c r="AO26" s="106"/>
    </row>
    <row r="27" spans="2:41" s="197" customFormat="1" ht="15.75" customHeight="1" thickTop="1" thickBot="1">
      <c r="B27" s="355" t="s">
        <v>3044</v>
      </c>
      <c r="C27" s="356"/>
      <c r="D27" s="356"/>
      <c r="E27" s="1477"/>
      <c r="F27" s="1477"/>
      <c r="G27" s="1477"/>
      <c r="H27" s="1477"/>
      <c r="I27" s="1477"/>
      <c r="J27" s="1477"/>
      <c r="K27" s="1477"/>
      <c r="L27" s="1477"/>
      <c r="M27" s="1477"/>
      <c r="N27" s="106"/>
      <c r="S27" s="725"/>
      <c r="T27" s="251"/>
      <c r="U27" s="725"/>
      <c r="AD27" s="725"/>
      <c r="AF27" s="355" t="s">
        <v>3044</v>
      </c>
      <c r="AG27" s="106"/>
      <c r="AH27" s="106"/>
      <c r="AI27" s="106"/>
      <c r="AJ27" s="106"/>
      <c r="AK27" s="106"/>
      <c r="AL27" s="106"/>
      <c r="AM27" s="106"/>
      <c r="AN27" s="106"/>
      <c r="AO27" s="106"/>
    </row>
    <row r="28" spans="2:41" s="197" customFormat="1" ht="15.75" customHeight="1" thickTop="1" thickBot="1">
      <c r="B28" s="382" t="s">
        <v>3102</v>
      </c>
      <c r="C28" s="333" t="s">
        <v>137</v>
      </c>
      <c r="D28" s="333">
        <v>3</v>
      </c>
      <c r="E28" s="1464">
        <v>6.49</v>
      </c>
      <c r="F28" s="1464">
        <v>1.524</v>
      </c>
      <c r="G28" s="1464">
        <v>0.41</v>
      </c>
      <c r="H28" s="1464">
        <v>0.23699999999999999</v>
      </c>
      <c r="I28" s="1464">
        <v>0</v>
      </c>
      <c r="J28" s="1464">
        <v>0</v>
      </c>
      <c r="K28" s="1464">
        <v>0</v>
      </c>
      <c r="L28" s="1464">
        <v>0</v>
      </c>
      <c r="M28" s="1469">
        <f>IFERROR(SUM(E28:L28), 0)</f>
        <v>8.6609999999999996</v>
      </c>
      <c r="N28" s="106"/>
      <c r="O28" s="773" t="s">
        <v>6021</v>
      </c>
      <c r="Q28" s="337"/>
      <c r="S28" s="725"/>
      <c r="T28" s="251">
        <f t="shared" ref="T28" si="50">IF( SUM( V28:AC28 ) = 0, 0, $V$5 )</f>
        <v>0</v>
      </c>
      <c r="U28" s="725"/>
      <c r="V28" s="252">
        <f t="shared" ref="V28" si="51" xml:space="preserve"> IF( ISNUMBER( E28 ), 0, 1 )</f>
        <v>0</v>
      </c>
      <c r="W28" s="252">
        <f t="shared" ref="W28" si="52" xml:space="preserve"> IF( ISNUMBER( F28 ), 0, 1 )</f>
        <v>0</v>
      </c>
      <c r="X28" s="252">
        <f t="shared" ref="X28" si="53" xml:space="preserve"> IF( ISNUMBER( G28 ), 0, 1 )</f>
        <v>0</v>
      </c>
      <c r="Y28" s="252">
        <f t="shared" ref="Y28" si="54" xml:space="preserve"> IF( ISNUMBER( H28 ), 0, 1 )</f>
        <v>0</v>
      </c>
      <c r="Z28" s="252">
        <f t="shared" ref="Z28" si="55" xml:space="preserve"> IF( ISNUMBER( I28 ), 0, 1 )</f>
        <v>0</v>
      </c>
      <c r="AA28" s="252">
        <f t="shared" ref="AA28" si="56" xml:space="preserve"> IF( ISNUMBER( J28 ), 0, 1 )</f>
        <v>0</v>
      </c>
      <c r="AB28" s="252">
        <f t="shared" ref="AB28" si="57" xml:space="preserve"> IF( ISNUMBER( K28 ), 0, 1 )</f>
        <v>0</v>
      </c>
      <c r="AC28" s="252">
        <f t="shared" ref="AC28" si="58" xml:space="preserve"> IF( ISNUMBER( L28 ), 0, 1 )</f>
        <v>0</v>
      </c>
      <c r="AD28" s="725"/>
      <c r="AF28" s="382" t="s">
        <v>3102</v>
      </c>
      <c r="AG28" s="772" t="s">
        <v>6022</v>
      </c>
      <c r="AH28" s="772" t="s">
        <v>6023</v>
      </c>
      <c r="AI28" s="772" t="s">
        <v>6024</v>
      </c>
      <c r="AJ28" s="772" t="s">
        <v>6025</v>
      </c>
      <c r="AK28" s="772" t="s">
        <v>6026</v>
      </c>
      <c r="AL28" s="772" t="s">
        <v>6027</v>
      </c>
      <c r="AM28" s="772" t="s">
        <v>6028</v>
      </c>
      <c r="AN28" s="772" t="s">
        <v>6029</v>
      </c>
      <c r="AO28" s="755" t="s">
        <v>6030</v>
      </c>
    </row>
    <row r="29" spans="2:41" s="197" customFormat="1" ht="15.75" customHeight="1" thickTop="1" thickBot="1">
      <c r="B29" s="776"/>
      <c r="C29" s="377"/>
      <c r="D29" s="377"/>
      <c r="E29" s="1476"/>
      <c r="F29" s="1476"/>
      <c r="G29" s="1476"/>
      <c r="H29" s="1476"/>
      <c r="I29" s="1476"/>
      <c r="J29" s="1476"/>
      <c r="K29" s="1476"/>
      <c r="L29" s="1476"/>
      <c r="M29" s="1476"/>
      <c r="N29" s="106"/>
      <c r="O29" s="754"/>
      <c r="S29" s="725"/>
      <c r="T29" s="251"/>
      <c r="U29" s="725"/>
      <c r="AD29" s="725"/>
      <c r="AF29" s="776"/>
      <c r="AG29" s="313"/>
      <c r="AH29" s="313"/>
      <c r="AI29" s="313"/>
      <c r="AJ29" s="313"/>
      <c r="AK29" s="313"/>
      <c r="AL29" s="313"/>
      <c r="AM29" s="313"/>
      <c r="AN29" s="313"/>
      <c r="AO29" s="313"/>
    </row>
    <row r="30" spans="2:41" s="197" customFormat="1" ht="15.75" customHeight="1" thickTop="1" thickBot="1">
      <c r="B30" s="382" t="s">
        <v>3110</v>
      </c>
      <c r="C30" s="333" t="s">
        <v>137</v>
      </c>
      <c r="D30" s="333">
        <v>3</v>
      </c>
      <c r="E30" s="1470">
        <f>IFERROR(E14 + E25 - E17 - E28, 0)</f>
        <v>114.53200000000002</v>
      </c>
      <c r="F30" s="1470">
        <f t="shared" ref="F30:L30" si="59">IFERROR(F14 + F25 - F17 - F28, 0)</f>
        <v>34.585999999999999</v>
      </c>
      <c r="G30" s="1470">
        <f t="shared" si="59"/>
        <v>20.018999999999998</v>
      </c>
      <c r="H30" s="1470">
        <f t="shared" si="59"/>
        <v>272.65699999999998</v>
      </c>
      <c r="I30" s="1470">
        <f t="shared" si="59"/>
        <v>0.26900000000000002</v>
      </c>
      <c r="J30" s="1470">
        <f t="shared" si="59"/>
        <v>9.9390000000000001</v>
      </c>
      <c r="K30" s="1470">
        <f t="shared" si="59"/>
        <v>31.298000000000002</v>
      </c>
      <c r="L30" s="1470">
        <f t="shared" si="59"/>
        <v>13.044999999999998</v>
      </c>
      <c r="M30" s="1465">
        <f>SUM(E30:L30)</f>
        <v>496.34500000000003</v>
      </c>
      <c r="N30" s="106"/>
      <c r="O30" s="773" t="s">
        <v>6031</v>
      </c>
      <c r="Q30" s="337"/>
      <c r="S30" s="725"/>
      <c r="T30" s="251"/>
      <c r="U30" s="725"/>
      <c r="AD30" s="725"/>
      <c r="AF30" s="382" t="s">
        <v>3110</v>
      </c>
      <c r="AG30" s="334" t="s">
        <v>6032</v>
      </c>
      <c r="AH30" s="334" t="s">
        <v>6033</v>
      </c>
      <c r="AI30" s="334" t="s">
        <v>6034</v>
      </c>
      <c r="AJ30" s="334" t="s">
        <v>6035</v>
      </c>
      <c r="AK30" s="334" t="s">
        <v>6036</v>
      </c>
      <c r="AL30" s="334" t="s">
        <v>6037</v>
      </c>
      <c r="AM30" s="334" t="s">
        <v>6038</v>
      </c>
      <c r="AN30" s="334" t="s">
        <v>6039</v>
      </c>
      <c r="AO30" s="591" t="s">
        <v>6040</v>
      </c>
    </row>
    <row r="31" spans="2:41" s="197" customFormat="1" ht="15.75" customHeight="1" thickTop="1" thickBot="1">
      <c r="B31" s="377"/>
      <c r="C31" s="377"/>
      <c r="D31" s="377"/>
      <c r="E31" s="1476"/>
      <c r="F31" s="1476"/>
      <c r="G31" s="1476"/>
      <c r="H31" s="1476"/>
      <c r="I31" s="1476"/>
      <c r="J31" s="1476"/>
      <c r="K31" s="1476"/>
      <c r="L31" s="1476"/>
      <c r="M31" s="1476"/>
      <c r="N31" s="106"/>
      <c r="S31" s="725"/>
      <c r="T31" s="251"/>
      <c r="U31" s="725"/>
      <c r="AD31" s="725"/>
      <c r="AF31" s="377"/>
      <c r="AG31" s="313"/>
      <c r="AH31" s="313"/>
      <c r="AI31" s="313"/>
      <c r="AJ31" s="313"/>
      <c r="AK31" s="313"/>
      <c r="AL31" s="313"/>
      <c r="AM31" s="313"/>
      <c r="AN31" s="313"/>
      <c r="AO31" s="313"/>
    </row>
    <row r="32" spans="2:41" s="197" customFormat="1" ht="15.75" customHeight="1" thickTop="1" thickBot="1">
      <c r="B32" s="355" t="s">
        <v>3118</v>
      </c>
      <c r="C32" s="356"/>
      <c r="D32" s="356"/>
      <c r="E32" s="1476"/>
      <c r="F32" s="1476"/>
      <c r="G32" s="1476"/>
      <c r="H32" s="1476"/>
      <c r="I32" s="1476"/>
      <c r="J32" s="1476"/>
      <c r="K32" s="1476"/>
      <c r="L32" s="1476"/>
      <c r="M32" s="1476"/>
      <c r="N32" s="106"/>
      <c r="O32" s="754"/>
      <c r="S32" s="725"/>
      <c r="T32" s="251"/>
      <c r="U32" s="725"/>
      <c r="AD32" s="725"/>
      <c r="AF32" s="355" t="s">
        <v>3118</v>
      </c>
      <c r="AG32" s="313"/>
      <c r="AH32" s="313"/>
      <c r="AI32" s="313"/>
      <c r="AJ32" s="313"/>
      <c r="AK32" s="313"/>
      <c r="AL32" s="313"/>
      <c r="AM32" s="313"/>
      <c r="AN32" s="313"/>
      <c r="AO32" s="313"/>
    </row>
    <row r="33" spans="1:41" s="197" customFormat="1" ht="15.75" customHeight="1">
      <c r="B33" s="413" t="s">
        <v>3119</v>
      </c>
      <c r="C33" s="244" t="s">
        <v>137</v>
      </c>
      <c r="D33" s="244">
        <v>3</v>
      </c>
      <c r="E33" s="1471">
        <v>0</v>
      </c>
      <c r="F33" s="1471">
        <v>0</v>
      </c>
      <c r="G33" s="1471">
        <v>0</v>
      </c>
      <c r="H33" s="1471">
        <v>0</v>
      </c>
      <c r="I33" s="1471">
        <v>0</v>
      </c>
      <c r="J33" s="1471">
        <v>0</v>
      </c>
      <c r="K33" s="1471">
        <v>0</v>
      </c>
      <c r="L33" s="1471">
        <v>0</v>
      </c>
      <c r="M33" s="1458">
        <f>IFERROR(SUM(E33:L33), 0)</f>
        <v>0</v>
      </c>
      <c r="N33" s="106"/>
      <c r="O33" s="729" t="s">
        <v>6041</v>
      </c>
      <c r="Q33" s="250"/>
      <c r="S33" s="725"/>
      <c r="T33" s="251">
        <f t="shared" ref="T33:T34" si="60">IF( SUM( V33:AC33 ) = 0, 0, $V$5 )</f>
        <v>0</v>
      </c>
      <c r="U33" s="725"/>
      <c r="V33" s="252">
        <f t="shared" ref="V33:V34" si="61" xml:space="preserve"> IF( ISNUMBER( E33 ), 0, 1 )</f>
        <v>0</v>
      </c>
      <c r="W33" s="252">
        <f t="shared" ref="W33:W34" si="62" xml:space="preserve"> IF( ISNUMBER( F33 ), 0, 1 )</f>
        <v>0</v>
      </c>
      <c r="X33" s="252">
        <f t="shared" ref="X33:X34" si="63" xml:space="preserve"> IF( ISNUMBER( G33 ), 0, 1 )</f>
        <v>0</v>
      </c>
      <c r="Y33" s="252">
        <f t="shared" ref="Y33:Y34" si="64" xml:space="preserve"> IF( ISNUMBER( H33 ), 0, 1 )</f>
        <v>0</v>
      </c>
      <c r="Z33" s="252">
        <f t="shared" ref="Z33:Z34" si="65" xml:space="preserve"> IF( ISNUMBER( I33 ), 0, 1 )</f>
        <v>0</v>
      </c>
      <c r="AA33" s="252">
        <f t="shared" ref="AA33:AA34" si="66" xml:space="preserve"> IF( ISNUMBER( J33 ), 0, 1 )</f>
        <v>0</v>
      </c>
      <c r="AB33" s="252">
        <f t="shared" ref="AB33:AB34" si="67" xml:space="preserve"> IF( ISNUMBER( K33 ), 0, 1 )</f>
        <v>0</v>
      </c>
      <c r="AC33" s="252">
        <f t="shared" ref="AC33:AC34" si="68" xml:space="preserve"> IF( ISNUMBER( L33 ), 0, 1 )</f>
        <v>0</v>
      </c>
      <c r="AD33" s="725"/>
      <c r="AF33" s="413" t="s">
        <v>3119</v>
      </c>
      <c r="AG33" s="777" t="s">
        <v>6042</v>
      </c>
      <c r="AH33" s="777" t="s">
        <v>6043</v>
      </c>
      <c r="AI33" s="777" t="s">
        <v>6044</v>
      </c>
      <c r="AJ33" s="777" t="s">
        <v>6045</v>
      </c>
      <c r="AK33" s="777" t="s">
        <v>6046</v>
      </c>
      <c r="AL33" s="777" t="s">
        <v>6047</v>
      </c>
      <c r="AM33" s="777" t="s">
        <v>6048</v>
      </c>
      <c r="AN33" s="777" t="s">
        <v>6049</v>
      </c>
      <c r="AO33" s="728" t="s">
        <v>6050</v>
      </c>
    </row>
    <row r="34" spans="1:41" s="197" customFormat="1" ht="15.75" customHeight="1">
      <c r="B34" s="422" t="s">
        <v>3127</v>
      </c>
      <c r="C34" s="253" t="s">
        <v>137</v>
      </c>
      <c r="D34" s="253">
        <v>3</v>
      </c>
      <c r="E34" s="1472">
        <v>0</v>
      </c>
      <c r="F34" s="1472">
        <v>0</v>
      </c>
      <c r="G34" s="1472">
        <v>0</v>
      </c>
      <c r="H34" s="1472">
        <v>0</v>
      </c>
      <c r="I34" s="1472">
        <v>0</v>
      </c>
      <c r="J34" s="1472">
        <v>0</v>
      </c>
      <c r="K34" s="1472">
        <v>0</v>
      </c>
      <c r="L34" s="1472">
        <v>0</v>
      </c>
      <c r="M34" s="1460">
        <f>IFERROR(SUM(E34:L34), 0)</f>
        <v>0</v>
      </c>
      <c r="N34" s="106"/>
      <c r="O34" s="734" t="s">
        <v>6051</v>
      </c>
      <c r="Q34" s="258"/>
      <c r="S34" s="725"/>
      <c r="T34" s="251">
        <f t="shared" si="60"/>
        <v>0</v>
      </c>
      <c r="U34" s="725"/>
      <c r="V34" s="252">
        <f t="shared" si="61"/>
        <v>0</v>
      </c>
      <c r="W34" s="252">
        <f t="shared" si="62"/>
        <v>0</v>
      </c>
      <c r="X34" s="252">
        <f t="shared" si="63"/>
        <v>0</v>
      </c>
      <c r="Y34" s="252">
        <f t="shared" si="64"/>
        <v>0</v>
      </c>
      <c r="Z34" s="252">
        <f t="shared" si="65"/>
        <v>0</v>
      </c>
      <c r="AA34" s="252">
        <f t="shared" si="66"/>
        <v>0</v>
      </c>
      <c r="AB34" s="252">
        <f t="shared" si="67"/>
        <v>0</v>
      </c>
      <c r="AC34" s="252">
        <f t="shared" si="68"/>
        <v>0</v>
      </c>
      <c r="AD34" s="725"/>
      <c r="AF34" s="422" t="s">
        <v>3127</v>
      </c>
      <c r="AG34" s="775" t="s">
        <v>6052</v>
      </c>
      <c r="AH34" s="775" t="s">
        <v>6053</v>
      </c>
      <c r="AI34" s="775" t="s">
        <v>6054</v>
      </c>
      <c r="AJ34" s="775" t="s">
        <v>6055</v>
      </c>
      <c r="AK34" s="775" t="s">
        <v>6056</v>
      </c>
      <c r="AL34" s="775" t="s">
        <v>6057</v>
      </c>
      <c r="AM34" s="775" t="s">
        <v>6058</v>
      </c>
      <c r="AN34" s="775" t="s">
        <v>6059</v>
      </c>
      <c r="AO34" s="733" t="s">
        <v>6060</v>
      </c>
    </row>
    <row r="35" spans="1:41" s="197" customFormat="1" ht="15.75" customHeight="1" thickBot="1">
      <c r="B35" s="425" t="s">
        <v>3135</v>
      </c>
      <c r="C35" s="319" t="s">
        <v>137</v>
      </c>
      <c r="D35" s="319">
        <v>3</v>
      </c>
      <c r="E35" s="1473">
        <f>IFERROR(E30 + E33 + E34, 0)</f>
        <v>114.53200000000002</v>
      </c>
      <c r="F35" s="1473">
        <f t="shared" ref="F35:K35" si="69">IFERROR(F30 + F33 + F34, 0)</f>
        <v>34.585999999999999</v>
      </c>
      <c r="G35" s="1473">
        <f t="shared" si="69"/>
        <v>20.018999999999998</v>
      </c>
      <c r="H35" s="1473">
        <f t="shared" si="69"/>
        <v>272.65699999999998</v>
      </c>
      <c r="I35" s="1473">
        <f t="shared" si="69"/>
        <v>0.26900000000000002</v>
      </c>
      <c r="J35" s="1473">
        <f t="shared" si="69"/>
        <v>9.9390000000000001</v>
      </c>
      <c r="K35" s="1473">
        <f t="shared" si="69"/>
        <v>31.298000000000002</v>
      </c>
      <c r="L35" s="1473">
        <f>IFERROR(L30 + L33 + L34, 0)</f>
        <v>13.044999999999998</v>
      </c>
      <c r="M35" s="1463">
        <f>IFERROR(SUM(E35:L35), 0)</f>
        <v>496.34500000000003</v>
      </c>
      <c r="N35" s="106"/>
      <c r="O35" s="744" t="s">
        <v>6061</v>
      </c>
      <c r="Q35" s="269"/>
      <c r="S35" s="725"/>
      <c r="T35" s="251"/>
      <c r="U35" s="725"/>
      <c r="AD35" s="725"/>
      <c r="AF35" s="425" t="s">
        <v>3135</v>
      </c>
      <c r="AG35" s="583" t="s">
        <v>6062</v>
      </c>
      <c r="AH35" s="583" t="s">
        <v>6063</v>
      </c>
      <c r="AI35" s="583" t="s">
        <v>6064</v>
      </c>
      <c r="AJ35" s="583" t="s">
        <v>6065</v>
      </c>
      <c r="AK35" s="583" t="s">
        <v>6066</v>
      </c>
      <c r="AL35" s="583" t="s">
        <v>6067</v>
      </c>
      <c r="AM35" s="583" t="s">
        <v>6068</v>
      </c>
      <c r="AN35" s="583" t="s">
        <v>6069</v>
      </c>
      <c r="AO35" s="743" t="s">
        <v>6070</v>
      </c>
    </row>
    <row r="36" spans="1:41" s="197" customFormat="1" ht="15.75" customHeight="1" thickTop="1" thickBot="1">
      <c r="B36" s="327"/>
      <c r="C36" s="327"/>
      <c r="D36" s="327"/>
      <c r="E36" s="327"/>
      <c r="F36" s="327"/>
      <c r="G36" s="327"/>
      <c r="H36" s="327"/>
      <c r="I36" s="327"/>
      <c r="J36" s="327"/>
      <c r="K36" s="327"/>
      <c r="L36" s="327"/>
      <c r="M36" s="327"/>
      <c r="N36" s="327"/>
      <c r="O36" s="327"/>
      <c r="Q36" s="670"/>
      <c r="S36" s="725"/>
      <c r="T36" s="251"/>
      <c r="U36" s="725"/>
      <c r="AD36" s="725"/>
      <c r="AF36" s="327"/>
      <c r="AG36" s="327"/>
      <c r="AH36" s="327"/>
      <c r="AI36" s="327"/>
      <c r="AJ36" s="327"/>
      <c r="AK36" s="327"/>
      <c r="AL36" s="327"/>
      <c r="AM36" s="327"/>
      <c r="AN36" s="327"/>
      <c r="AO36" s="327"/>
    </row>
    <row r="37" spans="1:41" s="197" customFormat="1" ht="16" thickTop="1">
      <c r="B37" s="2785" t="s">
        <v>1891</v>
      </c>
      <c r="C37" s="2667" t="s">
        <v>1892</v>
      </c>
      <c r="D37" s="2667" t="s">
        <v>136</v>
      </c>
      <c r="E37" s="2667" t="s">
        <v>5880</v>
      </c>
      <c r="F37" s="2667"/>
      <c r="G37" s="2667"/>
      <c r="H37" s="2667" t="s">
        <v>5881</v>
      </c>
      <c r="I37" s="2667"/>
      <c r="J37" s="2667" t="s">
        <v>2831</v>
      </c>
      <c r="K37" s="2667"/>
      <c r="L37" s="2667"/>
      <c r="M37" s="2669" t="s">
        <v>2112</v>
      </c>
      <c r="N37" s="327"/>
      <c r="O37" s="327"/>
      <c r="Q37" s="670"/>
      <c r="S37" s="725"/>
      <c r="T37" s="251"/>
      <c r="U37" s="725"/>
      <c r="AD37" s="725"/>
      <c r="AF37" s="2785" t="s">
        <v>1891</v>
      </c>
      <c r="AG37" s="2667" t="s">
        <v>5880</v>
      </c>
      <c r="AH37" s="2667"/>
      <c r="AI37" s="2667"/>
      <c r="AJ37" s="2667" t="s">
        <v>5881</v>
      </c>
      <c r="AK37" s="2667"/>
      <c r="AL37" s="2667" t="s">
        <v>2831</v>
      </c>
      <c r="AM37" s="2667"/>
      <c r="AN37" s="2667"/>
      <c r="AO37" s="2669" t="s">
        <v>2112</v>
      </c>
    </row>
    <row r="38" spans="1:41" s="197" customFormat="1" ht="62.5" thickBot="1">
      <c r="B38" s="2786"/>
      <c r="C38" s="2668"/>
      <c r="D38" s="2668"/>
      <c r="E38" s="238" t="s">
        <v>5882</v>
      </c>
      <c r="F38" s="238" t="s">
        <v>5883</v>
      </c>
      <c r="G38" s="238" t="s">
        <v>5884</v>
      </c>
      <c r="H38" s="238" t="s">
        <v>5885</v>
      </c>
      <c r="I38" s="238" t="s">
        <v>5886</v>
      </c>
      <c r="J38" s="238" t="s">
        <v>5887</v>
      </c>
      <c r="K38" s="238" t="s">
        <v>5888</v>
      </c>
      <c r="L38" s="238" t="s">
        <v>5889</v>
      </c>
      <c r="M38" s="2670"/>
      <c r="N38" s="327"/>
      <c r="O38" s="327"/>
      <c r="Q38" s="670"/>
      <c r="S38" s="725"/>
      <c r="T38" s="251"/>
      <c r="U38" s="725"/>
      <c r="AD38" s="725"/>
      <c r="AF38" s="2786"/>
      <c r="AG38" s="238" t="s">
        <v>5882</v>
      </c>
      <c r="AH38" s="238" t="s">
        <v>5883</v>
      </c>
      <c r="AI38" s="238" t="s">
        <v>5884</v>
      </c>
      <c r="AJ38" s="238" t="s">
        <v>5885</v>
      </c>
      <c r="AK38" s="238" t="s">
        <v>5886</v>
      </c>
      <c r="AL38" s="238" t="s">
        <v>5887</v>
      </c>
      <c r="AM38" s="238" t="s">
        <v>5888</v>
      </c>
      <c r="AN38" s="238" t="s">
        <v>5889</v>
      </c>
      <c r="AO38" s="2670"/>
    </row>
    <row r="39" spans="1:41" s="721" customFormat="1" ht="15.75" customHeight="1" thickTop="1" thickBot="1">
      <c r="B39" s="106"/>
      <c r="C39" s="106"/>
      <c r="D39" s="106"/>
      <c r="E39" s="106"/>
      <c r="F39" s="106"/>
      <c r="G39" s="106"/>
      <c r="H39" s="106"/>
      <c r="I39" s="106"/>
      <c r="J39" s="106"/>
      <c r="K39" s="106"/>
      <c r="L39" s="106"/>
      <c r="M39" s="106"/>
      <c r="N39" s="106"/>
      <c r="O39" s="754"/>
      <c r="S39" s="778"/>
      <c r="T39" s="251"/>
      <c r="U39" s="778"/>
      <c r="V39" s="197"/>
      <c r="W39" s="197"/>
      <c r="X39" s="197"/>
      <c r="Y39" s="197"/>
      <c r="Z39" s="197"/>
      <c r="AA39" s="197"/>
      <c r="AB39" s="197"/>
      <c r="AC39" s="197"/>
      <c r="AD39" s="778"/>
      <c r="AF39" s="106"/>
      <c r="AG39" s="106"/>
      <c r="AH39" s="106"/>
      <c r="AI39" s="106"/>
      <c r="AJ39" s="106"/>
      <c r="AK39" s="106"/>
      <c r="AL39" s="106"/>
      <c r="AM39" s="106"/>
      <c r="AN39" s="106"/>
      <c r="AO39" s="106"/>
    </row>
    <row r="40" spans="1:41" s="721" customFormat="1" ht="15.75" customHeight="1" thickTop="1" thickBot="1">
      <c r="B40" s="355" t="s">
        <v>5826</v>
      </c>
      <c r="C40" s="754"/>
      <c r="D40" s="754"/>
      <c r="E40" s="754"/>
      <c r="F40" s="754"/>
      <c r="G40" s="754"/>
      <c r="H40" s="754"/>
      <c r="I40" s="754"/>
      <c r="J40" s="754"/>
      <c r="K40" s="754"/>
      <c r="L40" s="754"/>
      <c r="M40" s="754"/>
      <c r="N40" s="200"/>
      <c r="S40" s="778"/>
      <c r="T40" s="251"/>
      <c r="U40" s="778"/>
      <c r="V40" s="197"/>
      <c r="W40" s="197"/>
      <c r="X40" s="197"/>
      <c r="Y40" s="197"/>
      <c r="Z40" s="197"/>
      <c r="AA40" s="197"/>
      <c r="AB40" s="197"/>
      <c r="AC40" s="197"/>
      <c r="AD40" s="778"/>
      <c r="AF40" s="355" t="s">
        <v>5826</v>
      </c>
      <c r="AG40" s="754"/>
      <c r="AH40" s="754"/>
      <c r="AI40" s="754"/>
      <c r="AJ40" s="754"/>
      <c r="AK40" s="754"/>
      <c r="AL40" s="754"/>
      <c r="AM40" s="754"/>
      <c r="AN40" s="754"/>
      <c r="AO40" s="754"/>
    </row>
    <row r="41" spans="1:41" s="721" customFormat="1" ht="15.75" customHeight="1">
      <c r="B41" s="726" t="s">
        <v>6071</v>
      </c>
      <c r="C41" s="685" t="s">
        <v>137</v>
      </c>
      <c r="D41" s="685">
        <v>3</v>
      </c>
      <c r="E41" s="1471">
        <v>0</v>
      </c>
      <c r="F41" s="1471">
        <v>0</v>
      </c>
      <c r="G41" s="1471">
        <v>0</v>
      </c>
      <c r="H41" s="1471">
        <v>0</v>
      </c>
      <c r="I41" s="1471">
        <v>0</v>
      </c>
      <c r="J41" s="1471">
        <v>0</v>
      </c>
      <c r="K41" s="1471">
        <v>0</v>
      </c>
      <c r="L41" s="1471">
        <v>0</v>
      </c>
      <c r="M41" s="1458">
        <f>IFERROR(SUM(E41:L41), 0)</f>
        <v>0</v>
      </c>
      <c r="N41" s="200"/>
      <c r="O41" s="729" t="s">
        <v>6072</v>
      </c>
      <c r="Q41" s="250"/>
      <c r="S41" s="778"/>
      <c r="T41" s="251">
        <f t="shared" ref="T41:T45" si="70">IF( SUM( V41:AC41 ) = 0, 0, $V$5 )</f>
        <v>0</v>
      </c>
      <c r="U41" s="778"/>
      <c r="V41" s="252">
        <f t="shared" ref="V41:V45" si="71" xml:space="preserve"> IF( ISNUMBER( E41 ), 0, 1 )</f>
        <v>0</v>
      </c>
      <c r="W41" s="252">
        <f t="shared" ref="W41:W45" si="72" xml:space="preserve"> IF( ISNUMBER( F41 ), 0, 1 )</f>
        <v>0</v>
      </c>
      <c r="X41" s="252">
        <f t="shared" ref="X41:X45" si="73" xml:space="preserve"> IF( ISNUMBER( G41 ), 0, 1 )</f>
        <v>0</v>
      </c>
      <c r="Y41" s="252">
        <f t="shared" ref="Y41:Y45" si="74" xml:space="preserve"> IF( ISNUMBER( H41 ), 0, 1 )</f>
        <v>0</v>
      </c>
      <c r="Z41" s="252">
        <f t="shared" ref="Z41:Z45" si="75" xml:space="preserve"> IF( ISNUMBER( I41 ), 0, 1 )</f>
        <v>0</v>
      </c>
      <c r="AA41" s="252">
        <f t="shared" ref="AA41:AA45" si="76" xml:space="preserve"> IF( ISNUMBER( J41 ), 0, 1 )</f>
        <v>0</v>
      </c>
      <c r="AB41" s="252">
        <f t="shared" ref="AB41:AB45" si="77" xml:space="preserve"> IF( ISNUMBER( K41 ), 0, 1 )</f>
        <v>0</v>
      </c>
      <c r="AC41" s="252">
        <f t="shared" ref="AC41:AC45" si="78" xml:space="preserve"> IF( ISNUMBER( L41 ), 0, 1 )</f>
        <v>0</v>
      </c>
      <c r="AD41" s="778"/>
      <c r="AF41" s="726" t="s">
        <v>5829</v>
      </c>
      <c r="AG41" s="777" t="s">
        <v>6073</v>
      </c>
      <c r="AH41" s="777" t="s">
        <v>6074</v>
      </c>
      <c r="AI41" s="777" t="s">
        <v>6075</v>
      </c>
      <c r="AJ41" s="777" t="s">
        <v>6076</v>
      </c>
      <c r="AK41" s="777" t="s">
        <v>6077</v>
      </c>
      <c r="AL41" s="777" t="s">
        <v>6078</v>
      </c>
      <c r="AM41" s="777" t="s">
        <v>6079</v>
      </c>
      <c r="AN41" s="777" t="s">
        <v>6080</v>
      </c>
      <c r="AO41" s="728" t="s">
        <v>6081</v>
      </c>
    </row>
    <row r="42" spans="1:41" s="721" customFormat="1" ht="15.75" customHeight="1">
      <c r="B42" s="730" t="s">
        <v>6082</v>
      </c>
      <c r="C42" s="731" t="s">
        <v>137</v>
      </c>
      <c r="D42" s="731">
        <v>3</v>
      </c>
      <c r="E42" s="1474">
        <v>0</v>
      </c>
      <c r="F42" s="1474">
        <v>0</v>
      </c>
      <c r="G42" s="1474">
        <v>0</v>
      </c>
      <c r="H42" s="1474">
        <v>0</v>
      </c>
      <c r="I42" s="1474">
        <v>0</v>
      </c>
      <c r="J42" s="1474">
        <v>0</v>
      </c>
      <c r="K42" s="1474">
        <v>0</v>
      </c>
      <c r="L42" s="1474">
        <v>0</v>
      </c>
      <c r="M42" s="1460">
        <f t="shared" ref="M42:M45" si="79">IFERROR(SUM(E42:L42), 0)</f>
        <v>0</v>
      </c>
      <c r="N42" s="200"/>
      <c r="O42" s="734" t="s">
        <v>6083</v>
      </c>
      <c r="Q42" s="258"/>
      <c r="S42" s="778"/>
      <c r="T42" s="251">
        <f t="shared" si="70"/>
        <v>0</v>
      </c>
      <c r="U42" s="778"/>
      <c r="V42" s="252">
        <f t="shared" si="71"/>
        <v>0</v>
      </c>
      <c r="W42" s="252">
        <f t="shared" si="72"/>
        <v>0</v>
      </c>
      <c r="X42" s="252">
        <f t="shared" si="73"/>
        <v>0</v>
      </c>
      <c r="Y42" s="252">
        <f t="shared" si="74"/>
        <v>0</v>
      </c>
      <c r="Z42" s="252">
        <f t="shared" si="75"/>
        <v>0</v>
      </c>
      <c r="AA42" s="252">
        <f t="shared" si="76"/>
        <v>0</v>
      </c>
      <c r="AB42" s="252">
        <f t="shared" si="77"/>
        <v>0</v>
      </c>
      <c r="AC42" s="252">
        <f t="shared" si="78"/>
        <v>0</v>
      </c>
      <c r="AD42" s="778"/>
      <c r="AF42" s="730" t="s">
        <v>5838</v>
      </c>
      <c r="AG42" s="779" t="s">
        <v>6084</v>
      </c>
      <c r="AH42" s="779" t="s">
        <v>6085</v>
      </c>
      <c r="AI42" s="779" t="s">
        <v>6086</v>
      </c>
      <c r="AJ42" s="779" t="s">
        <v>6087</v>
      </c>
      <c r="AK42" s="779" t="s">
        <v>6088</v>
      </c>
      <c r="AL42" s="779" t="s">
        <v>6089</v>
      </c>
      <c r="AM42" s="779" t="s">
        <v>6090</v>
      </c>
      <c r="AN42" s="779" t="s">
        <v>6091</v>
      </c>
      <c r="AO42" s="733" t="s">
        <v>6092</v>
      </c>
    </row>
    <row r="43" spans="1:41" s="721" customFormat="1" ht="15.75" customHeight="1">
      <c r="B43" s="730" t="s">
        <v>5845</v>
      </c>
      <c r="C43" s="731" t="s">
        <v>137</v>
      </c>
      <c r="D43" s="731">
        <v>3</v>
      </c>
      <c r="E43" s="1474">
        <v>0.77100000000000002</v>
      </c>
      <c r="F43" s="1474">
        <v>0.56499999999999995</v>
      </c>
      <c r="G43" s="1474">
        <v>0.56499999999999995</v>
      </c>
      <c r="H43" s="1474">
        <v>2.9329999999999998</v>
      </c>
      <c r="I43" s="1474">
        <v>6.3E-2</v>
      </c>
      <c r="J43" s="1474">
        <v>2.7E-2</v>
      </c>
      <c r="K43" s="1474">
        <v>0.53900000000000003</v>
      </c>
      <c r="L43" s="1474">
        <v>7.0000000000000001E-3</v>
      </c>
      <c r="M43" s="1460">
        <f t="shared" si="79"/>
        <v>5.4699999999999989</v>
      </c>
      <c r="N43" s="200"/>
      <c r="O43" s="734" t="s">
        <v>6093</v>
      </c>
      <c r="Q43" s="258"/>
      <c r="S43" s="778"/>
      <c r="T43" s="251">
        <f t="shared" si="70"/>
        <v>0</v>
      </c>
      <c r="U43" s="778"/>
      <c r="V43" s="252">
        <f t="shared" si="71"/>
        <v>0</v>
      </c>
      <c r="W43" s="252">
        <f t="shared" si="72"/>
        <v>0</v>
      </c>
      <c r="X43" s="252">
        <f t="shared" si="73"/>
        <v>0</v>
      </c>
      <c r="Y43" s="252">
        <f t="shared" si="74"/>
        <v>0</v>
      </c>
      <c r="Z43" s="252">
        <f t="shared" si="75"/>
        <v>0</v>
      </c>
      <c r="AA43" s="252">
        <f t="shared" si="76"/>
        <v>0</v>
      </c>
      <c r="AB43" s="252">
        <f t="shared" si="77"/>
        <v>0</v>
      </c>
      <c r="AC43" s="252">
        <f t="shared" si="78"/>
        <v>0</v>
      </c>
      <c r="AD43" s="778"/>
      <c r="AF43" s="730" t="s">
        <v>5847</v>
      </c>
      <c r="AG43" s="779" t="s">
        <v>6094</v>
      </c>
      <c r="AH43" s="779" t="s">
        <v>6095</v>
      </c>
      <c r="AI43" s="779" t="s">
        <v>6096</v>
      </c>
      <c r="AJ43" s="779" t="s">
        <v>6097</v>
      </c>
      <c r="AK43" s="779" t="s">
        <v>6098</v>
      </c>
      <c r="AL43" s="779" t="s">
        <v>6099</v>
      </c>
      <c r="AM43" s="779" t="s">
        <v>6100</v>
      </c>
      <c r="AN43" s="779" t="s">
        <v>6101</v>
      </c>
      <c r="AO43" s="733" t="s">
        <v>6102</v>
      </c>
    </row>
    <row r="44" spans="1:41" s="721" customFormat="1" ht="15.75" customHeight="1">
      <c r="B44" s="730" t="s">
        <v>5854</v>
      </c>
      <c r="C44" s="731" t="s">
        <v>137</v>
      </c>
      <c r="D44" s="731">
        <v>3</v>
      </c>
      <c r="E44" s="1474">
        <v>0</v>
      </c>
      <c r="F44" s="1474">
        <v>0</v>
      </c>
      <c r="G44" s="1474">
        <v>0</v>
      </c>
      <c r="H44" s="1474">
        <v>0</v>
      </c>
      <c r="I44" s="1474">
        <v>0</v>
      </c>
      <c r="J44" s="1474">
        <v>0</v>
      </c>
      <c r="K44" s="1474">
        <v>0</v>
      </c>
      <c r="L44" s="1474">
        <v>0</v>
      </c>
      <c r="M44" s="1460">
        <f t="shared" si="79"/>
        <v>0</v>
      </c>
      <c r="N44" s="200"/>
      <c r="O44" s="734" t="s">
        <v>6103</v>
      </c>
      <c r="Q44" s="258"/>
      <c r="S44" s="778"/>
      <c r="T44" s="251">
        <f t="shared" si="70"/>
        <v>0</v>
      </c>
      <c r="U44" s="778"/>
      <c r="V44" s="252">
        <f t="shared" si="71"/>
        <v>0</v>
      </c>
      <c r="W44" s="252">
        <f t="shared" si="72"/>
        <v>0</v>
      </c>
      <c r="X44" s="252">
        <f t="shared" si="73"/>
        <v>0</v>
      </c>
      <c r="Y44" s="252">
        <f t="shared" si="74"/>
        <v>0</v>
      </c>
      <c r="Z44" s="252">
        <f t="shared" si="75"/>
        <v>0</v>
      </c>
      <c r="AA44" s="252">
        <f t="shared" si="76"/>
        <v>0</v>
      </c>
      <c r="AB44" s="252">
        <f t="shared" si="77"/>
        <v>0</v>
      </c>
      <c r="AC44" s="252">
        <f t="shared" si="78"/>
        <v>0</v>
      </c>
      <c r="AD44" s="778"/>
      <c r="AF44" s="730" t="s">
        <v>5854</v>
      </c>
      <c r="AG44" s="779" t="s">
        <v>6104</v>
      </c>
      <c r="AH44" s="779" t="s">
        <v>6105</v>
      </c>
      <c r="AI44" s="779" t="s">
        <v>6106</v>
      </c>
      <c r="AJ44" s="779" t="s">
        <v>6107</v>
      </c>
      <c r="AK44" s="779" t="s">
        <v>6108</v>
      </c>
      <c r="AL44" s="779" t="s">
        <v>6109</v>
      </c>
      <c r="AM44" s="779" t="s">
        <v>6110</v>
      </c>
      <c r="AN44" s="779" t="s">
        <v>6111</v>
      </c>
      <c r="AO44" s="733" t="s">
        <v>6112</v>
      </c>
    </row>
    <row r="45" spans="1:41" s="721" customFormat="1" ht="15.75" customHeight="1">
      <c r="B45" s="730" t="s">
        <v>5862</v>
      </c>
      <c r="C45" s="731" t="s">
        <v>137</v>
      </c>
      <c r="D45" s="731">
        <v>3</v>
      </c>
      <c r="E45" s="1474">
        <v>0</v>
      </c>
      <c r="F45" s="1474">
        <v>0</v>
      </c>
      <c r="G45" s="1474">
        <v>0</v>
      </c>
      <c r="H45" s="1474">
        <v>0</v>
      </c>
      <c r="I45" s="1474">
        <v>0</v>
      </c>
      <c r="J45" s="1474">
        <v>0</v>
      </c>
      <c r="K45" s="1474">
        <v>0</v>
      </c>
      <c r="L45" s="1474">
        <v>0</v>
      </c>
      <c r="M45" s="1460">
        <f t="shared" si="79"/>
        <v>0</v>
      </c>
      <c r="N45" s="200"/>
      <c r="O45" s="734" t="s">
        <v>6113</v>
      </c>
      <c r="Q45" s="258"/>
      <c r="S45" s="778"/>
      <c r="T45" s="251">
        <f t="shared" si="70"/>
        <v>0</v>
      </c>
      <c r="U45" s="778"/>
      <c r="V45" s="252">
        <f t="shared" si="71"/>
        <v>0</v>
      </c>
      <c r="W45" s="252">
        <f t="shared" si="72"/>
        <v>0</v>
      </c>
      <c r="X45" s="252">
        <f t="shared" si="73"/>
        <v>0</v>
      </c>
      <c r="Y45" s="252">
        <f t="shared" si="74"/>
        <v>0</v>
      </c>
      <c r="Z45" s="252">
        <f t="shared" si="75"/>
        <v>0</v>
      </c>
      <c r="AA45" s="252">
        <f t="shared" si="76"/>
        <v>0</v>
      </c>
      <c r="AB45" s="252">
        <f t="shared" si="77"/>
        <v>0</v>
      </c>
      <c r="AC45" s="252">
        <f t="shared" si="78"/>
        <v>0</v>
      </c>
      <c r="AD45" s="778"/>
      <c r="AF45" s="730" t="s">
        <v>5862</v>
      </c>
      <c r="AG45" s="779" t="s">
        <v>6114</v>
      </c>
      <c r="AH45" s="779" t="s">
        <v>6115</v>
      </c>
      <c r="AI45" s="779" t="s">
        <v>6116</v>
      </c>
      <c r="AJ45" s="779" t="s">
        <v>6117</v>
      </c>
      <c r="AK45" s="779" t="s">
        <v>6118</v>
      </c>
      <c r="AL45" s="779" t="s">
        <v>6119</v>
      </c>
      <c r="AM45" s="779" t="s">
        <v>6120</v>
      </c>
      <c r="AN45" s="779" t="s">
        <v>6121</v>
      </c>
      <c r="AO45" s="733" t="s">
        <v>6122</v>
      </c>
    </row>
    <row r="46" spans="1:41" s="721" customFormat="1" ht="15.75" customHeight="1" thickBot="1">
      <c r="B46" s="765" t="s">
        <v>5870</v>
      </c>
      <c r="C46" s="741" t="s">
        <v>137</v>
      </c>
      <c r="D46" s="741">
        <v>3</v>
      </c>
      <c r="E46" s="1475">
        <f>IFERROR(SUM(E41:E45), 0)</f>
        <v>0.77100000000000002</v>
      </c>
      <c r="F46" s="1475">
        <f t="shared" ref="F46:L46" si="80">IFERROR(SUM(F41:F45), 0)</f>
        <v>0.56499999999999995</v>
      </c>
      <c r="G46" s="1475">
        <f t="shared" si="80"/>
        <v>0.56499999999999995</v>
      </c>
      <c r="H46" s="1475">
        <f t="shared" si="80"/>
        <v>2.9329999999999998</v>
      </c>
      <c r="I46" s="1475">
        <f t="shared" si="80"/>
        <v>6.3E-2</v>
      </c>
      <c r="J46" s="1475">
        <f t="shared" si="80"/>
        <v>2.7E-2</v>
      </c>
      <c r="K46" s="1475">
        <f t="shared" si="80"/>
        <v>0.53900000000000003</v>
      </c>
      <c r="L46" s="1475">
        <f t="shared" si="80"/>
        <v>7.0000000000000001E-3</v>
      </c>
      <c r="M46" s="1463">
        <f>IFERROR(SUM(E46:L46), 0)</f>
        <v>5.4699999999999989</v>
      </c>
      <c r="N46" s="200"/>
      <c r="O46" s="744" t="s">
        <v>6123</v>
      </c>
      <c r="Q46" s="269"/>
      <c r="S46" s="778"/>
      <c r="T46" s="251"/>
      <c r="U46" s="778"/>
      <c r="V46" s="197"/>
      <c r="W46" s="197"/>
      <c r="X46" s="197"/>
      <c r="Y46" s="197"/>
      <c r="Z46" s="197"/>
      <c r="AA46" s="197"/>
      <c r="AB46" s="197"/>
      <c r="AC46" s="197"/>
      <c r="AD46" s="778"/>
      <c r="AF46" s="765" t="s">
        <v>5870</v>
      </c>
      <c r="AG46" s="770" t="s">
        <v>6124</v>
      </c>
      <c r="AH46" s="770" t="s">
        <v>6125</v>
      </c>
      <c r="AI46" s="770" t="s">
        <v>6126</v>
      </c>
      <c r="AJ46" s="770" t="s">
        <v>6127</v>
      </c>
      <c r="AK46" s="770" t="s">
        <v>6128</v>
      </c>
      <c r="AL46" s="770" t="s">
        <v>6129</v>
      </c>
      <c r="AM46" s="770" t="s">
        <v>6130</v>
      </c>
      <c r="AN46" s="770" t="s">
        <v>6131</v>
      </c>
      <c r="AO46" s="743" t="s">
        <v>6132</v>
      </c>
    </row>
    <row r="47" spans="1:41" ht="32.25" customHeight="1" thickTop="1">
      <c r="A47" s="197"/>
      <c r="B47" s="197"/>
      <c r="C47" s="197"/>
      <c r="D47" s="197"/>
      <c r="E47" s="197"/>
      <c r="F47" s="197"/>
      <c r="G47" s="197"/>
      <c r="H47" s="197"/>
      <c r="I47" s="197"/>
      <c r="J47" s="197"/>
      <c r="K47" s="197"/>
      <c r="L47" s="197"/>
      <c r="M47" s="197"/>
      <c r="N47" s="197"/>
      <c r="P47" s="197"/>
      <c r="Q47" s="197"/>
      <c r="R47" s="197"/>
      <c r="S47" s="2562"/>
      <c r="T47" s="251"/>
      <c r="U47" s="2562"/>
      <c r="V47" s="2562"/>
      <c r="W47" s="2562"/>
      <c r="X47" s="2562"/>
      <c r="Y47" s="2562"/>
      <c r="Z47" s="2562"/>
      <c r="AA47" s="2562"/>
      <c r="AB47" s="2562"/>
      <c r="AC47" s="2562"/>
      <c r="AD47" s="2562"/>
      <c r="AE47" s="2562"/>
      <c r="AF47" s="2579"/>
      <c r="AG47" s="2562"/>
      <c r="AH47" s="2562"/>
      <c r="AI47" s="2562"/>
      <c r="AJ47" s="2562"/>
      <c r="AK47" s="2562"/>
      <c r="AL47" s="2562"/>
      <c r="AM47" s="2562"/>
      <c r="AN47" s="2562"/>
      <c r="AO47" s="2562"/>
    </row>
    <row r="48" spans="1:41" ht="32.25" customHeight="1">
      <c r="A48" s="197"/>
      <c r="B48" s="197"/>
      <c r="C48" s="197"/>
      <c r="D48" s="197"/>
      <c r="E48" s="197"/>
      <c r="F48" s="197"/>
      <c r="G48" s="197"/>
      <c r="H48" s="197"/>
      <c r="I48" s="197"/>
      <c r="J48" s="197"/>
      <c r="K48" s="197"/>
      <c r="L48" s="197"/>
      <c r="M48" s="197"/>
      <c r="N48" s="197"/>
      <c r="P48" s="197"/>
      <c r="Q48" s="197"/>
      <c r="R48" s="197"/>
      <c r="S48" s="2562"/>
      <c r="T48" s="251"/>
      <c r="U48" s="2562"/>
      <c r="V48" s="2562"/>
      <c r="W48" s="2562"/>
      <c r="X48" s="2562"/>
      <c r="Y48" s="2562"/>
      <c r="Z48" s="2562"/>
      <c r="AA48" s="2562"/>
      <c r="AB48" s="2562"/>
      <c r="AC48" s="2562"/>
      <c r="AD48" s="2562"/>
      <c r="AE48" s="2562"/>
      <c r="AF48" s="2579"/>
      <c r="AG48" s="2562"/>
      <c r="AH48" s="2562"/>
      <c r="AI48" s="2562"/>
      <c r="AJ48" s="2562"/>
      <c r="AK48" s="2562"/>
      <c r="AL48" s="2562"/>
      <c r="AM48" s="2562"/>
      <c r="AN48" s="2562"/>
      <c r="AO48" s="2562"/>
    </row>
    <row r="49" spans="1:20" ht="32.25" customHeight="1">
      <c r="A49" s="197"/>
      <c r="B49" s="197"/>
      <c r="C49" s="197"/>
      <c r="D49" s="197"/>
      <c r="E49" s="197"/>
      <c r="F49" s="197"/>
      <c r="G49" s="197"/>
      <c r="H49" s="197"/>
      <c r="I49" s="197"/>
      <c r="J49" s="197"/>
      <c r="K49" s="197"/>
      <c r="L49" s="197"/>
      <c r="M49" s="197"/>
      <c r="N49" s="197"/>
      <c r="P49" s="197"/>
      <c r="Q49" s="197"/>
      <c r="R49" s="197"/>
      <c r="S49" s="2562"/>
      <c r="T49" s="251"/>
    </row>
    <row r="50" spans="1:20" ht="32.25" customHeight="1">
      <c r="A50" s="197"/>
      <c r="B50" s="197"/>
      <c r="C50" s="197"/>
      <c r="D50" s="197"/>
      <c r="E50" s="197"/>
      <c r="F50" s="197"/>
      <c r="G50" s="197"/>
      <c r="H50" s="197"/>
      <c r="I50" s="197"/>
      <c r="J50" s="197"/>
      <c r="K50" s="197"/>
      <c r="L50" s="197"/>
      <c r="M50" s="197"/>
      <c r="N50" s="197"/>
      <c r="P50" s="197"/>
      <c r="Q50" s="197"/>
      <c r="R50" s="197"/>
      <c r="S50" s="2562"/>
      <c r="T50" s="251"/>
    </row>
    <row r="51" spans="1:20">
      <c r="A51" s="197"/>
      <c r="B51" s="197"/>
      <c r="C51" s="197"/>
      <c r="D51" s="197"/>
      <c r="E51" s="197"/>
      <c r="F51" s="197"/>
      <c r="G51" s="197"/>
      <c r="H51" s="197"/>
      <c r="I51" s="197"/>
      <c r="J51" s="197"/>
      <c r="K51" s="197"/>
      <c r="L51" s="197"/>
      <c r="M51" s="197"/>
      <c r="N51" s="197"/>
      <c r="P51" s="197"/>
      <c r="Q51" s="197"/>
      <c r="R51" s="197"/>
      <c r="S51" s="2562"/>
      <c r="T51" s="251"/>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33" priority="1" operator="equal">
      <formula>0</formula>
    </cfRule>
  </conditionalFormatting>
  <dataValidations count="2">
    <dataValidation type="custom" allowBlank="1" showErrorMessage="1" errorTitle="Input Error" error="Please enter a numeric value." sqref="E33:L34 E13:L13 E28:L28 E17:L17 E41: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tabColor rgb="FF808080"/>
    <pageSetUpPr fitToPage="1"/>
  </sheetPr>
  <dimension ref="A1:AJ39"/>
  <sheetViews>
    <sheetView showGridLines="0" zoomScaleNormal="100" zoomScaleSheetLayoutView="100" workbookViewId="0"/>
  </sheetViews>
  <sheetFormatPr defaultColWidth="9" defaultRowHeight="15.75" customHeight="1"/>
  <cols>
    <col min="1" max="1" width="1.58203125" style="219" customWidth="1"/>
    <col min="2" max="2" width="37" style="219" customWidth="1"/>
    <col min="3" max="3" width="7.08203125" style="219" customWidth="1"/>
    <col min="4" max="4" width="5.5" style="219" customWidth="1"/>
    <col min="5" max="16" width="12.5" style="219" customWidth="1"/>
    <col min="17" max="17" width="1.5" style="219" customWidth="1"/>
    <col min="18" max="18" width="12.5" style="219" customWidth="1"/>
    <col min="19" max="19" width="1.58203125" style="219" customWidth="1"/>
    <col min="20" max="20" width="33.58203125" style="219" customWidth="1"/>
    <col min="21" max="22" width="1.58203125" style="219" customWidth="1"/>
    <col min="23" max="23" width="24.58203125" style="219" customWidth="1"/>
    <col min="24" max="24" width="1.58203125" style="219" customWidth="1"/>
    <col min="25" max="25" width="5.58203125" style="219" hidden="1" customWidth="1"/>
    <col min="26" max="29" width="6.08203125" style="219" hidden="1" customWidth="1"/>
    <col min="30" max="30" width="1.5" style="219" hidden="1" customWidth="1"/>
    <col min="31" max="31" width="5.58203125" style="219" hidden="1" customWidth="1"/>
    <col min="32" max="32" width="6.08203125" style="219" hidden="1" customWidth="1"/>
    <col min="33" max="33" width="5.58203125" style="219" hidden="1" customWidth="1"/>
    <col min="34" max="34" width="6.08203125" style="219" hidden="1" customWidth="1"/>
    <col min="35" max="35" width="5.08203125" style="219" hidden="1" customWidth="1"/>
    <col min="36" max="36" width="1.58203125" style="219" hidden="1" customWidth="1"/>
    <col min="37" max="37" width="1.58203125" style="219" customWidth="1"/>
    <col min="38" max="16384" width="9" style="219"/>
  </cols>
  <sheetData>
    <row r="1" spans="1:36" ht="29.25" customHeight="1">
      <c r="A1" s="2560" t="s">
        <v>6133</v>
      </c>
      <c r="B1" s="2673" t="s">
        <v>6134</v>
      </c>
      <c r="C1" s="2673"/>
      <c r="D1" s="2673"/>
      <c r="E1" s="2673"/>
      <c r="F1" s="2673"/>
      <c r="G1" s="2673"/>
      <c r="H1" s="2673"/>
      <c r="I1" s="2673"/>
      <c r="J1" s="304"/>
      <c r="K1" s="523"/>
      <c r="L1" s="523"/>
      <c r="M1" s="523"/>
      <c r="N1" s="523"/>
      <c r="O1" s="2673"/>
      <c r="P1" s="2673"/>
      <c r="Q1" s="2560"/>
      <c r="R1" s="2560"/>
      <c r="S1" s="2560"/>
      <c r="T1" s="2560"/>
      <c r="U1" s="2560"/>
      <c r="V1" s="2589"/>
      <c r="W1" s="2560"/>
      <c r="X1" s="2589"/>
      <c r="Y1" s="2560"/>
      <c r="Z1" s="2560"/>
      <c r="AA1" s="2560"/>
      <c r="AB1" s="2560"/>
      <c r="AC1" s="2560"/>
      <c r="AD1" s="2560"/>
      <c r="AE1" s="2560"/>
      <c r="AF1" s="2560"/>
      <c r="AG1" s="2560"/>
      <c r="AH1" s="2560"/>
      <c r="AI1" s="2560"/>
      <c r="AJ1" s="2589"/>
    </row>
    <row r="2" spans="1:36" ht="29.25" customHeight="1">
      <c r="A2" s="2560"/>
      <c r="B2" s="2673" t="str">
        <f>SelectCompany!B4</f>
        <v>Yorkshire Water</v>
      </c>
      <c r="C2" s="2673"/>
      <c r="D2" s="2673"/>
      <c r="E2" s="2673"/>
      <c r="F2" s="2673"/>
      <c r="G2" s="2673"/>
      <c r="H2" s="2673"/>
      <c r="I2" s="2673"/>
      <c r="J2" s="304"/>
      <c r="K2" s="352"/>
      <c r="L2" s="352"/>
      <c r="M2" s="352"/>
      <c r="N2" s="352"/>
      <c r="O2" s="352"/>
      <c r="P2" s="352"/>
      <c r="Q2" s="2560"/>
      <c r="R2" s="2560"/>
      <c r="S2" s="2560"/>
      <c r="T2" s="2560"/>
      <c r="U2" s="2560"/>
      <c r="V2" s="2589"/>
      <c r="W2" s="2560"/>
      <c r="X2" s="2589"/>
      <c r="Y2" s="2560"/>
      <c r="Z2" s="2560"/>
      <c r="AA2" s="2560"/>
      <c r="AB2" s="2560"/>
      <c r="AC2" s="2560"/>
      <c r="AD2" s="2560"/>
      <c r="AE2" s="2560"/>
      <c r="AF2" s="2560"/>
      <c r="AG2" s="2560"/>
      <c r="AH2" s="2560"/>
      <c r="AI2" s="2560"/>
      <c r="AJ2" s="2589"/>
    </row>
    <row r="3" spans="1:36" ht="45" customHeight="1">
      <c r="A3" s="2560"/>
      <c r="B3" s="2781" t="s">
        <v>6135</v>
      </c>
      <c r="C3" s="2781"/>
      <c r="D3" s="2781"/>
      <c r="E3" s="2781"/>
      <c r="F3" s="2781"/>
      <c r="G3" s="2781"/>
      <c r="H3" s="2781"/>
      <c r="I3" s="2781"/>
      <c r="J3" s="2781"/>
      <c r="K3" s="2781"/>
      <c r="L3" s="2781"/>
      <c r="M3" s="2781"/>
      <c r="N3" s="2781"/>
      <c r="O3" s="2781"/>
      <c r="P3" s="2781"/>
      <c r="Q3" s="2781"/>
      <c r="R3" s="2781"/>
      <c r="S3" s="2781"/>
      <c r="T3" s="2781"/>
      <c r="U3" s="2560"/>
      <c r="V3" s="2589"/>
      <c r="W3" s="554" t="s">
        <v>1889</v>
      </c>
      <c r="X3" s="2589"/>
      <c r="Y3" s="2560"/>
      <c r="Z3" s="2560"/>
      <c r="AA3" s="2560"/>
      <c r="AB3" s="2560"/>
      <c r="AC3" s="2560"/>
      <c r="AD3" s="2560"/>
      <c r="AE3" s="2560"/>
      <c r="AF3" s="2560"/>
      <c r="AG3" s="2560"/>
      <c r="AH3" s="2560"/>
      <c r="AI3" s="2560"/>
      <c r="AJ3" s="2589"/>
    </row>
    <row r="4" spans="1:36" ht="15" customHeight="1" thickBot="1">
      <c r="A4" s="2560"/>
      <c r="B4" s="223"/>
      <c r="C4" s="223"/>
      <c r="D4" s="223"/>
      <c r="E4" s="781"/>
      <c r="F4" s="782"/>
      <c r="G4" s="782"/>
      <c r="H4" s="782"/>
      <c r="I4" s="782"/>
      <c r="J4" s="782"/>
      <c r="K4" s="782"/>
      <c r="L4" s="782"/>
      <c r="M4" s="782"/>
      <c r="N4" s="782"/>
      <c r="O4" s="782"/>
      <c r="P4" s="782"/>
      <c r="Q4" s="782"/>
      <c r="R4" s="2560"/>
      <c r="S4" s="721"/>
      <c r="T4" s="721"/>
      <c r="U4" s="721"/>
      <c r="V4" s="2589"/>
      <c r="W4" s="2560"/>
      <c r="X4" s="2589"/>
      <c r="Y4" s="2560"/>
      <c r="Z4" s="2560"/>
      <c r="AA4" s="2560"/>
      <c r="AB4" s="2560"/>
      <c r="AC4" s="2560"/>
      <c r="AD4" s="2560"/>
      <c r="AE4" s="2560"/>
      <c r="AF4" s="2560"/>
      <c r="AG4" s="2560"/>
      <c r="AH4" s="2560"/>
      <c r="AI4" s="2560"/>
      <c r="AJ4" s="2589"/>
    </row>
    <row r="5" spans="1:36" s="222" customFormat="1" ht="29.25" customHeight="1" thickTop="1">
      <c r="B5" s="2796" t="s">
        <v>1891</v>
      </c>
      <c r="C5" s="2799" t="s">
        <v>1892</v>
      </c>
      <c r="D5" s="2799" t="s">
        <v>6136</v>
      </c>
      <c r="E5" s="2787" t="s">
        <v>6137</v>
      </c>
      <c r="F5" s="2787"/>
      <c r="G5" s="2787"/>
      <c r="H5" s="2787"/>
      <c r="I5" s="2787"/>
      <c r="J5" s="2787"/>
      <c r="K5" s="2787" t="s">
        <v>6138</v>
      </c>
      <c r="L5" s="2787"/>
      <c r="M5" s="2787"/>
      <c r="N5" s="2787"/>
      <c r="O5" s="2787"/>
      <c r="P5" s="2788"/>
      <c r="R5" s="2763" t="s">
        <v>1896</v>
      </c>
      <c r="T5" s="2763" t="s">
        <v>1897</v>
      </c>
      <c r="V5" s="783"/>
      <c r="X5" s="783"/>
      <c r="AJ5" s="783"/>
    </row>
    <row r="6" spans="1:36" s="222" customFormat="1" ht="15" customHeight="1">
      <c r="B6" s="2797"/>
      <c r="C6" s="2800"/>
      <c r="D6" s="2800"/>
      <c r="E6" s="2802" t="s">
        <v>2828</v>
      </c>
      <c r="F6" s="2802" t="s">
        <v>3654</v>
      </c>
      <c r="G6" s="2802"/>
      <c r="H6" s="2802"/>
      <c r="I6" s="2802"/>
      <c r="J6" s="2802" t="s">
        <v>2112</v>
      </c>
      <c r="K6" s="2802" t="s">
        <v>2828</v>
      </c>
      <c r="L6" s="2802" t="s">
        <v>3654</v>
      </c>
      <c r="M6" s="2802"/>
      <c r="N6" s="2802"/>
      <c r="O6" s="2802"/>
      <c r="P6" s="2804" t="s">
        <v>2112</v>
      </c>
      <c r="R6" s="2764"/>
      <c r="T6" s="2764"/>
      <c r="V6" s="783"/>
      <c r="X6" s="783"/>
      <c r="AJ6" s="783"/>
    </row>
    <row r="7" spans="1:36" s="222" customFormat="1" ht="63" customHeight="1" thickBot="1">
      <c r="B7" s="2798"/>
      <c r="C7" s="2801"/>
      <c r="D7" s="2801"/>
      <c r="E7" s="2803"/>
      <c r="F7" s="784" t="s">
        <v>5703</v>
      </c>
      <c r="G7" s="784" t="s">
        <v>5704</v>
      </c>
      <c r="H7" s="784" t="s">
        <v>5705</v>
      </c>
      <c r="I7" s="784" t="s">
        <v>5706</v>
      </c>
      <c r="J7" s="2803"/>
      <c r="K7" s="2803"/>
      <c r="L7" s="784" t="s">
        <v>5703</v>
      </c>
      <c r="M7" s="784" t="s">
        <v>5704</v>
      </c>
      <c r="N7" s="784" t="s">
        <v>5705</v>
      </c>
      <c r="O7" s="784" t="s">
        <v>5706</v>
      </c>
      <c r="P7" s="2805"/>
      <c r="R7" s="2765"/>
      <c r="T7" s="2765"/>
      <c r="V7" s="783"/>
      <c r="W7" s="785"/>
      <c r="X7" s="783"/>
      <c r="AJ7" s="783"/>
    </row>
    <row r="8" spans="1:36" s="222" customFormat="1" ht="15" customHeight="1" thickTop="1" thickBot="1">
      <c r="B8" s="786"/>
      <c r="C8" s="786"/>
      <c r="D8" s="786"/>
      <c r="E8" s="787"/>
      <c r="F8" s="787"/>
      <c r="G8" s="787"/>
      <c r="H8" s="787"/>
      <c r="I8" s="787"/>
      <c r="J8" s="787"/>
      <c r="K8" s="787"/>
      <c r="L8" s="787"/>
      <c r="M8" s="787"/>
      <c r="N8" s="787"/>
      <c r="O8" s="787"/>
      <c r="P8" s="787"/>
      <c r="R8" s="721"/>
      <c r="V8" s="783"/>
      <c r="X8" s="783"/>
      <c r="Y8" s="2662" t="s">
        <v>1890</v>
      </c>
      <c r="Z8" s="2662"/>
      <c r="AA8" s="2662"/>
      <c r="AB8" s="2795"/>
      <c r="AC8" s="2795"/>
      <c r="AJ8" s="783"/>
    </row>
    <row r="9" spans="1:36" s="222" customFormat="1" ht="32" thickTop="1" thickBot="1">
      <c r="B9" s="355" t="s">
        <v>6139</v>
      </c>
      <c r="C9" s="356"/>
      <c r="D9" s="356"/>
      <c r="E9" s="444"/>
      <c r="F9" s="444"/>
      <c r="G9" s="787"/>
      <c r="H9" s="787"/>
      <c r="I9" s="787"/>
      <c r="J9" s="787"/>
      <c r="K9" s="787"/>
      <c r="L9" s="787"/>
      <c r="M9" s="787"/>
      <c r="N9" s="787"/>
      <c r="O9" s="787"/>
      <c r="P9" s="787"/>
      <c r="R9" s="721"/>
      <c r="V9" s="783"/>
      <c r="X9" s="783"/>
      <c r="Y9" s="236" t="s">
        <v>1898</v>
      </c>
      <c r="AJ9" s="783"/>
    </row>
    <row r="10" spans="1:36" s="222" customFormat="1" ht="15.75" customHeight="1" thickTop="1">
      <c r="B10" s="673" t="s">
        <v>6140</v>
      </c>
      <c r="C10" s="244" t="s">
        <v>137</v>
      </c>
      <c r="D10" s="244">
        <v>3</v>
      </c>
      <c r="E10" s="788">
        <v>0</v>
      </c>
      <c r="F10" s="788">
        <v>0</v>
      </c>
      <c r="G10" s="788">
        <v>0</v>
      </c>
      <c r="H10" s="788">
        <v>0</v>
      </c>
      <c r="I10" s="788">
        <v>0</v>
      </c>
      <c r="J10" s="579">
        <f>IFERROR(SUM(E10:I10), 0)</f>
        <v>0</v>
      </c>
      <c r="K10" s="788">
        <v>0</v>
      </c>
      <c r="L10" s="788">
        <v>0</v>
      </c>
      <c r="M10" s="788">
        <v>0</v>
      </c>
      <c r="N10" s="788">
        <v>0</v>
      </c>
      <c r="O10" s="788">
        <v>0</v>
      </c>
      <c r="P10" s="378">
        <f>IFERROR(SUM(K10:O10), 0)</f>
        <v>0</v>
      </c>
      <c r="R10" s="248" t="s">
        <v>6141</v>
      </c>
      <c r="T10" s="250"/>
      <c r="V10" s="783"/>
      <c r="W10" s="251">
        <f t="shared" ref="W10:W19" si="0">IF( SUM( Y10:AI10 ) = 0, 0, $Y$9 )</f>
        <v>0</v>
      </c>
      <c r="X10" s="783"/>
      <c r="Y10" s="252">
        <f t="shared" ref="Y10" si="1" xml:space="preserve"> IF( ISNUMBER( E10 ), 0, 1 )</f>
        <v>0</v>
      </c>
      <c r="Z10" s="252">
        <f t="shared" ref="Z10" si="2" xml:space="preserve"> IF( ISNUMBER( F10 ), 0, 1 )</f>
        <v>0</v>
      </c>
      <c r="AA10" s="252">
        <f t="shared" ref="AA10" si="3" xml:space="preserve"> IF( ISNUMBER( G10 ), 0, 1 )</f>
        <v>0</v>
      </c>
      <c r="AB10" s="252">
        <f t="shared" ref="AB10" si="4" xml:space="preserve"> IF( ISNUMBER( H10 ), 0, 1 )</f>
        <v>0</v>
      </c>
      <c r="AC10" s="252">
        <f t="shared" ref="AC10" si="5" xml:space="preserve"> IF( ISNUMBER( I10 ), 0, 1 )</f>
        <v>0</v>
      </c>
      <c r="AE10" s="252">
        <f t="shared" ref="AE10" si="6" xml:space="preserve"> IF( ISNUMBER( K10 ), 0, 1 )</f>
        <v>0</v>
      </c>
      <c r="AF10" s="252">
        <f t="shared" ref="AF10" si="7" xml:space="preserve"> IF( ISNUMBER( L10 ), 0, 1 )</f>
        <v>0</v>
      </c>
      <c r="AG10" s="252">
        <f t="shared" ref="AG10" si="8" xml:space="preserve"> IF( ISNUMBER( M10 ), 0, 1 )</f>
        <v>0</v>
      </c>
      <c r="AH10" s="252">
        <f t="shared" ref="AH10" si="9" xml:space="preserve"> IF( ISNUMBER( N10 ), 0, 1 )</f>
        <v>0</v>
      </c>
      <c r="AI10" s="252">
        <f t="shared" ref="AI10" si="10" xml:space="preserve"> IF( ISNUMBER( O10 ), 0, 1 )</f>
        <v>0</v>
      </c>
      <c r="AJ10" s="783"/>
    </row>
    <row r="11" spans="1:36" s="222" customFormat="1" ht="15.75" customHeight="1">
      <c r="B11" s="675" t="s">
        <v>6142</v>
      </c>
      <c r="C11" s="253" t="s">
        <v>137</v>
      </c>
      <c r="D11" s="253">
        <v>3</v>
      </c>
      <c r="E11" s="789">
        <v>0</v>
      </c>
      <c r="F11" s="789">
        <v>0</v>
      </c>
      <c r="G11" s="789">
        <v>0</v>
      </c>
      <c r="H11" s="789">
        <v>0</v>
      </c>
      <c r="I11" s="789">
        <v>0</v>
      </c>
      <c r="J11" s="581">
        <f t="shared" ref="J11:J19" si="11">IFERROR(SUM(E11:I11), 0)</f>
        <v>0</v>
      </c>
      <c r="K11" s="789">
        <v>0</v>
      </c>
      <c r="L11" s="789">
        <v>0</v>
      </c>
      <c r="M11" s="789">
        <v>0</v>
      </c>
      <c r="N11" s="789">
        <v>0</v>
      </c>
      <c r="O11" s="789">
        <v>0</v>
      </c>
      <c r="P11" s="790">
        <f>IFERROR(SUM(K11:O11), 0)</f>
        <v>0</v>
      </c>
      <c r="R11" s="257" t="s">
        <v>6143</v>
      </c>
      <c r="T11" s="258"/>
      <c r="V11" s="783"/>
      <c r="W11" s="251">
        <f t="shared" si="0"/>
        <v>0</v>
      </c>
      <c r="X11" s="783"/>
      <c r="Y11" s="252">
        <f t="shared" ref="Y11:Y19" si="12" xml:space="preserve"> IF( ISNUMBER( E11 ), 0, 1 )</f>
        <v>0</v>
      </c>
      <c r="Z11" s="252">
        <f t="shared" ref="Z11:Z19" si="13" xml:space="preserve"> IF( ISNUMBER( F11 ), 0, 1 )</f>
        <v>0</v>
      </c>
      <c r="AA11" s="252">
        <f t="shared" ref="AA11:AA19" si="14" xml:space="preserve"> IF( ISNUMBER( G11 ), 0, 1 )</f>
        <v>0</v>
      </c>
      <c r="AB11" s="252">
        <f t="shared" ref="AB11:AB19" si="15" xml:space="preserve"> IF( ISNUMBER( H11 ), 0, 1 )</f>
        <v>0</v>
      </c>
      <c r="AC11" s="252">
        <f t="shared" ref="AC11:AC19" si="16" xml:space="preserve"> IF( ISNUMBER( I11 ), 0, 1 )</f>
        <v>0</v>
      </c>
      <c r="AE11" s="252">
        <f t="shared" ref="AE11:AE19" si="17" xml:space="preserve"> IF( ISNUMBER( K11 ), 0, 1 )</f>
        <v>0</v>
      </c>
      <c r="AF11" s="252">
        <f t="shared" ref="AF11:AF19" si="18" xml:space="preserve"> IF( ISNUMBER( L11 ), 0, 1 )</f>
        <v>0</v>
      </c>
      <c r="AG11" s="252">
        <f t="shared" ref="AG11:AG19" si="19" xml:space="preserve"> IF( ISNUMBER( M11 ), 0, 1 )</f>
        <v>0</v>
      </c>
      <c r="AH11" s="252">
        <f t="shared" ref="AH11:AH19" si="20" xml:space="preserve"> IF( ISNUMBER( N11 ), 0, 1 )</f>
        <v>0</v>
      </c>
      <c r="AI11" s="252">
        <f t="shared" ref="AI11:AI19" si="21" xml:space="preserve"> IF( ISNUMBER( O11 ), 0, 1 )</f>
        <v>0</v>
      </c>
      <c r="AJ11" s="783"/>
    </row>
    <row r="12" spans="1:36" s="222" customFormat="1" ht="15.75" customHeight="1">
      <c r="B12" s="675" t="s">
        <v>6144</v>
      </c>
      <c r="C12" s="253" t="s">
        <v>137</v>
      </c>
      <c r="D12" s="253">
        <v>3</v>
      </c>
      <c r="E12" s="789">
        <v>0</v>
      </c>
      <c r="F12" s="789">
        <v>0</v>
      </c>
      <c r="G12" s="789">
        <v>0</v>
      </c>
      <c r="H12" s="789">
        <v>0</v>
      </c>
      <c r="I12" s="789">
        <v>0</v>
      </c>
      <c r="J12" s="581">
        <f t="shared" si="11"/>
        <v>0</v>
      </c>
      <c r="K12" s="789">
        <v>0</v>
      </c>
      <c r="L12" s="789">
        <v>0</v>
      </c>
      <c r="M12" s="789">
        <v>0</v>
      </c>
      <c r="N12" s="789">
        <v>0</v>
      </c>
      <c r="O12" s="789">
        <v>0</v>
      </c>
      <c r="P12" s="790">
        <f t="shared" ref="P12:P19" si="22">IFERROR(SUM(K12:O12), 0)</f>
        <v>0</v>
      </c>
      <c r="R12" s="257" t="s">
        <v>6145</v>
      </c>
      <c r="T12" s="258"/>
      <c r="V12" s="783"/>
      <c r="W12" s="251">
        <f t="shared" si="0"/>
        <v>0</v>
      </c>
      <c r="X12" s="783"/>
      <c r="Y12" s="252">
        <f t="shared" si="12"/>
        <v>0</v>
      </c>
      <c r="Z12" s="252">
        <f t="shared" si="13"/>
        <v>0</v>
      </c>
      <c r="AA12" s="252">
        <f t="shared" si="14"/>
        <v>0</v>
      </c>
      <c r="AB12" s="252">
        <f t="shared" si="15"/>
        <v>0</v>
      </c>
      <c r="AC12" s="252">
        <f t="shared" si="16"/>
        <v>0</v>
      </c>
      <c r="AE12" s="252">
        <f t="shared" si="17"/>
        <v>0</v>
      </c>
      <c r="AF12" s="252">
        <f t="shared" si="18"/>
        <v>0</v>
      </c>
      <c r="AG12" s="252">
        <f t="shared" si="19"/>
        <v>0</v>
      </c>
      <c r="AH12" s="252">
        <f t="shared" si="20"/>
        <v>0</v>
      </c>
      <c r="AI12" s="252">
        <f t="shared" si="21"/>
        <v>0</v>
      </c>
      <c r="AJ12" s="783"/>
    </row>
    <row r="13" spans="1:36" s="222" customFormat="1" ht="15.75" customHeight="1">
      <c r="B13" s="675" t="s">
        <v>6146</v>
      </c>
      <c r="C13" s="253" t="s">
        <v>137</v>
      </c>
      <c r="D13" s="253">
        <v>3</v>
      </c>
      <c r="E13" s="789">
        <v>0</v>
      </c>
      <c r="F13" s="789">
        <v>0</v>
      </c>
      <c r="G13" s="789">
        <v>0</v>
      </c>
      <c r="H13" s="789">
        <v>0</v>
      </c>
      <c r="I13" s="789">
        <v>0</v>
      </c>
      <c r="J13" s="581">
        <f t="shared" si="11"/>
        <v>0</v>
      </c>
      <c r="K13" s="789">
        <v>0</v>
      </c>
      <c r="L13" s="789">
        <v>0</v>
      </c>
      <c r="M13" s="789">
        <v>0</v>
      </c>
      <c r="N13" s="789">
        <v>0</v>
      </c>
      <c r="O13" s="789">
        <v>0</v>
      </c>
      <c r="P13" s="790">
        <f t="shared" si="22"/>
        <v>0</v>
      </c>
      <c r="R13" s="257" t="s">
        <v>6147</v>
      </c>
      <c r="T13" s="258"/>
      <c r="V13" s="783"/>
      <c r="W13" s="251">
        <f t="shared" si="0"/>
        <v>0</v>
      </c>
      <c r="X13" s="783"/>
      <c r="Y13" s="252">
        <f t="shared" si="12"/>
        <v>0</v>
      </c>
      <c r="Z13" s="252">
        <f t="shared" si="13"/>
        <v>0</v>
      </c>
      <c r="AA13" s="252">
        <f t="shared" si="14"/>
        <v>0</v>
      </c>
      <c r="AB13" s="252">
        <f t="shared" si="15"/>
        <v>0</v>
      </c>
      <c r="AC13" s="252">
        <f t="shared" si="16"/>
        <v>0</v>
      </c>
      <c r="AE13" s="252">
        <f t="shared" si="17"/>
        <v>0</v>
      </c>
      <c r="AF13" s="252">
        <f t="shared" si="18"/>
        <v>0</v>
      </c>
      <c r="AG13" s="252">
        <f t="shared" si="19"/>
        <v>0</v>
      </c>
      <c r="AH13" s="252">
        <f t="shared" si="20"/>
        <v>0</v>
      </c>
      <c r="AI13" s="252">
        <f t="shared" si="21"/>
        <v>0</v>
      </c>
      <c r="AJ13" s="783"/>
    </row>
    <row r="14" spans="1:36" s="222" customFormat="1" ht="15.75" customHeight="1">
      <c r="B14" s="675" t="s">
        <v>6148</v>
      </c>
      <c r="C14" s="253" t="s">
        <v>137</v>
      </c>
      <c r="D14" s="253">
        <v>3</v>
      </c>
      <c r="E14" s="789">
        <v>0</v>
      </c>
      <c r="F14" s="789">
        <v>0</v>
      </c>
      <c r="G14" s="789">
        <v>0</v>
      </c>
      <c r="H14" s="789">
        <v>0</v>
      </c>
      <c r="I14" s="789">
        <v>0</v>
      </c>
      <c r="J14" s="581">
        <f t="shared" si="11"/>
        <v>0</v>
      </c>
      <c r="K14" s="789">
        <v>0</v>
      </c>
      <c r="L14" s="789">
        <v>0</v>
      </c>
      <c r="M14" s="789">
        <v>0</v>
      </c>
      <c r="N14" s="789">
        <v>0</v>
      </c>
      <c r="O14" s="789">
        <v>0</v>
      </c>
      <c r="P14" s="790">
        <f t="shared" si="22"/>
        <v>0</v>
      </c>
      <c r="R14" s="257" t="s">
        <v>6149</v>
      </c>
      <c r="T14" s="258"/>
      <c r="V14" s="783"/>
      <c r="W14" s="251">
        <f t="shared" si="0"/>
        <v>0</v>
      </c>
      <c r="X14" s="783"/>
      <c r="Y14" s="252">
        <f t="shared" si="12"/>
        <v>0</v>
      </c>
      <c r="Z14" s="252">
        <f t="shared" si="13"/>
        <v>0</v>
      </c>
      <c r="AA14" s="252">
        <f t="shared" si="14"/>
        <v>0</v>
      </c>
      <c r="AB14" s="252">
        <f t="shared" si="15"/>
        <v>0</v>
      </c>
      <c r="AC14" s="252">
        <f t="shared" si="16"/>
        <v>0</v>
      </c>
      <c r="AE14" s="252">
        <f t="shared" si="17"/>
        <v>0</v>
      </c>
      <c r="AF14" s="252">
        <f t="shared" si="18"/>
        <v>0</v>
      </c>
      <c r="AG14" s="252">
        <f t="shared" si="19"/>
        <v>0</v>
      </c>
      <c r="AH14" s="252">
        <f t="shared" si="20"/>
        <v>0</v>
      </c>
      <c r="AI14" s="252">
        <f t="shared" si="21"/>
        <v>0</v>
      </c>
      <c r="AJ14" s="783"/>
    </row>
    <row r="15" spans="1:36" s="222" customFormat="1" ht="15.75" customHeight="1">
      <c r="B15" s="675" t="s">
        <v>6150</v>
      </c>
      <c r="C15" s="253" t="s">
        <v>137</v>
      </c>
      <c r="D15" s="253">
        <v>3</v>
      </c>
      <c r="E15" s="789">
        <v>0</v>
      </c>
      <c r="F15" s="789">
        <v>0</v>
      </c>
      <c r="G15" s="789">
        <v>0</v>
      </c>
      <c r="H15" s="789">
        <v>0</v>
      </c>
      <c r="I15" s="789">
        <v>0</v>
      </c>
      <c r="J15" s="581">
        <f t="shared" si="11"/>
        <v>0</v>
      </c>
      <c r="K15" s="789">
        <v>0</v>
      </c>
      <c r="L15" s="789">
        <v>0</v>
      </c>
      <c r="M15" s="789">
        <v>0</v>
      </c>
      <c r="N15" s="789">
        <v>0</v>
      </c>
      <c r="O15" s="789">
        <v>0</v>
      </c>
      <c r="P15" s="790">
        <f t="shared" si="22"/>
        <v>0</v>
      </c>
      <c r="R15" s="257" t="s">
        <v>6151</v>
      </c>
      <c r="T15" s="258"/>
      <c r="V15" s="783"/>
      <c r="W15" s="251">
        <f t="shared" si="0"/>
        <v>0</v>
      </c>
      <c r="X15" s="783"/>
      <c r="Y15" s="252">
        <f t="shared" si="12"/>
        <v>0</v>
      </c>
      <c r="Z15" s="252">
        <f t="shared" si="13"/>
        <v>0</v>
      </c>
      <c r="AA15" s="252">
        <f t="shared" si="14"/>
        <v>0</v>
      </c>
      <c r="AB15" s="252">
        <f t="shared" si="15"/>
        <v>0</v>
      </c>
      <c r="AC15" s="252">
        <f t="shared" si="16"/>
        <v>0</v>
      </c>
      <c r="AE15" s="252">
        <f t="shared" si="17"/>
        <v>0</v>
      </c>
      <c r="AF15" s="252">
        <f t="shared" si="18"/>
        <v>0</v>
      </c>
      <c r="AG15" s="252">
        <f t="shared" si="19"/>
        <v>0</v>
      </c>
      <c r="AH15" s="252">
        <f t="shared" si="20"/>
        <v>0</v>
      </c>
      <c r="AI15" s="252">
        <f t="shared" si="21"/>
        <v>0</v>
      </c>
      <c r="AJ15" s="783"/>
    </row>
    <row r="16" spans="1:36" s="222" customFormat="1" ht="15.75" customHeight="1">
      <c r="B16" s="675" t="s">
        <v>6152</v>
      </c>
      <c r="C16" s="253" t="s">
        <v>137</v>
      </c>
      <c r="D16" s="253">
        <v>3</v>
      </c>
      <c r="E16" s="789">
        <v>0</v>
      </c>
      <c r="F16" s="789">
        <v>0</v>
      </c>
      <c r="G16" s="789">
        <v>0</v>
      </c>
      <c r="H16" s="789">
        <v>0</v>
      </c>
      <c r="I16" s="789">
        <v>0</v>
      </c>
      <c r="J16" s="581">
        <f t="shared" si="11"/>
        <v>0</v>
      </c>
      <c r="K16" s="789">
        <v>0</v>
      </c>
      <c r="L16" s="789">
        <v>0</v>
      </c>
      <c r="M16" s="789">
        <v>0</v>
      </c>
      <c r="N16" s="789">
        <v>0</v>
      </c>
      <c r="O16" s="789">
        <v>0</v>
      </c>
      <c r="P16" s="790">
        <f t="shared" si="22"/>
        <v>0</v>
      </c>
      <c r="R16" s="257" t="s">
        <v>6153</v>
      </c>
      <c r="T16" s="258"/>
      <c r="V16" s="783"/>
      <c r="W16" s="251">
        <f t="shared" si="0"/>
        <v>0</v>
      </c>
      <c r="X16" s="783"/>
      <c r="Y16" s="252">
        <f t="shared" si="12"/>
        <v>0</v>
      </c>
      <c r="Z16" s="252">
        <f t="shared" si="13"/>
        <v>0</v>
      </c>
      <c r="AA16" s="252">
        <f t="shared" si="14"/>
        <v>0</v>
      </c>
      <c r="AB16" s="252">
        <f t="shared" si="15"/>
        <v>0</v>
      </c>
      <c r="AC16" s="252">
        <f t="shared" si="16"/>
        <v>0</v>
      </c>
      <c r="AE16" s="252">
        <f t="shared" si="17"/>
        <v>0</v>
      </c>
      <c r="AF16" s="252">
        <f t="shared" si="18"/>
        <v>0</v>
      </c>
      <c r="AG16" s="252">
        <f t="shared" si="19"/>
        <v>0</v>
      </c>
      <c r="AH16" s="252">
        <f t="shared" si="20"/>
        <v>0</v>
      </c>
      <c r="AI16" s="252">
        <f t="shared" si="21"/>
        <v>0</v>
      </c>
      <c r="AJ16" s="783"/>
    </row>
    <row r="17" spans="2:36" s="222" customFormat="1" ht="15.75" customHeight="1">
      <c r="B17" s="675" t="s">
        <v>6154</v>
      </c>
      <c r="C17" s="253" t="s">
        <v>137</v>
      </c>
      <c r="D17" s="253">
        <v>3</v>
      </c>
      <c r="E17" s="789">
        <v>0</v>
      </c>
      <c r="F17" s="789">
        <v>0</v>
      </c>
      <c r="G17" s="789">
        <v>0</v>
      </c>
      <c r="H17" s="789">
        <v>0</v>
      </c>
      <c r="I17" s="789">
        <v>0</v>
      </c>
      <c r="J17" s="581">
        <f t="shared" si="11"/>
        <v>0</v>
      </c>
      <c r="K17" s="789">
        <v>0</v>
      </c>
      <c r="L17" s="789">
        <v>0</v>
      </c>
      <c r="M17" s="789">
        <v>0</v>
      </c>
      <c r="N17" s="789">
        <v>0</v>
      </c>
      <c r="O17" s="789">
        <v>0</v>
      </c>
      <c r="P17" s="790">
        <f t="shared" si="22"/>
        <v>0</v>
      </c>
      <c r="R17" s="257" t="s">
        <v>6155</v>
      </c>
      <c r="T17" s="258"/>
      <c r="V17" s="783"/>
      <c r="W17" s="251">
        <f t="shared" si="0"/>
        <v>0</v>
      </c>
      <c r="X17" s="783"/>
      <c r="Y17" s="252">
        <f t="shared" si="12"/>
        <v>0</v>
      </c>
      <c r="Z17" s="252">
        <f t="shared" si="13"/>
        <v>0</v>
      </c>
      <c r="AA17" s="252">
        <f t="shared" si="14"/>
        <v>0</v>
      </c>
      <c r="AB17" s="252">
        <f t="shared" si="15"/>
        <v>0</v>
      </c>
      <c r="AC17" s="252">
        <f t="shared" si="16"/>
        <v>0</v>
      </c>
      <c r="AE17" s="252">
        <f t="shared" si="17"/>
        <v>0</v>
      </c>
      <c r="AF17" s="252">
        <f t="shared" si="18"/>
        <v>0</v>
      </c>
      <c r="AG17" s="252">
        <f t="shared" si="19"/>
        <v>0</v>
      </c>
      <c r="AH17" s="252">
        <f t="shared" si="20"/>
        <v>0</v>
      </c>
      <c r="AI17" s="252">
        <f t="shared" si="21"/>
        <v>0</v>
      </c>
      <c r="AJ17" s="783"/>
    </row>
    <row r="18" spans="2:36" s="222" customFormat="1" ht="15.75" customHeight="1">
      <c r="B18" s="675" t="s">
        <v>6156</v>
      </c>
      <c r="C18" s="253" t="s">
        <v>137</v>
      </c>
      <c r="D18" s="253">
        <v>3</v>
      </c>
      <c r="E18" s="789">
        <v>0</v>
      </c>
      <c r="F18" s="789">
        <v>0</v>
      </c>
      <c r="G18" s="789">
        <v>0</v>
      </c>
      <c r="H18" s="789">
        <v>0</v>
      </c>
      <c r="I18" s="789">
        <v>0</v>
      </c>
      <c r="J18" s="581">
        <f t="shared" si="11"/>
        <v>0</v>
      </c>
      <c r="K18" s="789">
        <v>0</v>
      </c>
      <c r="L18" s="789">
        <v>0</v>
      </c>
      <c r="M18" s="789">
        <v>0</v>
      </c>
      <c r="N18" s="789">
        <v>0</v>
      </c>
      <c r="O18" s="789">
        <v>0</v>
      </c>
      <c r="P18" s="790">
        <f t="shared" si="22"/>
        <v>0</v>
      </c>
      <c r="R18" s="257" t="s">
        <v>6157</v>
      </c>
      <c r="T18" s="258"/>
      <c r="V18" s="783"/>
      <c r="W18" s="251">
        <f t="shared" si="0"/>
        <v>0</v>
      </c>
      <c r="X18" s="783"/>
      <c r="Y18" s="252">
        <f t="shared" si="12"/>
        <v>0</v>
      </c>
      <c r="Z18" s="252">
        <f t="shared" si="13"/>
        <v>0</v>
      </c>
      <c r="AA18" s="252">
        <f t="shared" si="14"/>
        <v>0</v>
      </c>
      <c r="AB18" s="252">
        <f t="shared" si="15"/>
        <v>0</v>
      </c>
      <c r="AC18" s="252">
        <f t="shared" si="16"/>
        <v>0</v>
      </c>
      <c r="AE18" s="252">
        <f t="shared" si="17"/>
        <v>0</v>
      </c>
      <c r="AF18" s="252">
        <f t="shared" si="18"/>
        <v>0</v>
      </c>
      <c r="AG18" s="252">
        <f t="shared" si="19"/>
        <v>0</v>
      </c>
      <c r="AH18" s="252">
        <f t="shared" si="20"/>
        <v>0</v>
      </c>
      <c r="AI18" s="252">
        <f t="shared" si="21"/>
        <v>0</v>
      </c>
      <c r="AJ18" s="783"/>
    </row>
    <row r="19" spans="2:36" s="222" customFormat="1" ht="15.75" customHeight="1">
      <c r="B19" s="675" t="s">
        <v>6158</v>
      </c>
      <c r="C19" s="253" t="s">
        <v>137</v>
      </c>
      <c r="D19" s="253">
        <v>3</v>
      </c>
      <c r="E19" s="789">
        <v>0</v>
      </c>
      <c r="F19" s="789">
        <v>0</v>
      </c>
      <c r="G19" s="789">
        <v>0</v>
      </c>
      <c r="H19" s="789">
        <v>0</v>
      </c>
      <c r="I19" s="789">
        <v>0</v>
      </c>
      <c r="J19" s="581">
        <f t="shared" si="11"/>
        <v>0</v>
      </c>
      <c r="K19" s="789">
        <v>0</v>
      </c>
      <c r="L19" s="789">
        <v>0</v>
      </c>
      <c r="M19" s="789">
        <v>0</v>
      </c>
      <c r="N19" s="789">
        <v>0</v>
      </c>
      <c r="O19" s="789">
        <v>0</v>
      </c>
      <c r="P19" s="790">
        <f t="shared" si="22"/>
        <v>0</v>
      </c>
      <c r="R19" s="257" t="s">
        <v>6159</v>
      </c>
      <c r="T19" s="258"/>
      <c r="V19" s="783"/>
      <c r="W19" s="251">
        <f t="shared" si="0"/>
        <v>0</v>
      </c>
      <c r="X19" s="783"/>
      <c r="Y19" s="252">
        <f t="shared" si="12"/>
        <v>0</v>
      </c>
      <c r="Z19" s="252">
        <f t="shared" si="13"/>
        <v>0</v>
      </c>
      <c r="AA19" s="252">
        <f t="shared" si="14"/>
        <v>0</v>
      </c>
      <c r="AB19" s="252">
        <f t="shared" si="15"/>
        <v>0</v>
      </c>
      <c r="AC19" s="252">
        <f t="shared" si="16"/>
        <v>0</v>
      </c>
      <c r="AE19" s="252">
        <f t="shared" si="17"/>
        <v>0</v>
      </c>
      <c r="AF19" s="252">
        <f t="shared" si="18"/>
        <v>0</v>
      </c>
      <c r="AG19" s="252">
        <f t="shared" si="19"/>
        <v>0</v>
      </c>
      <c r="AH19" s="252">
        <f t="shared" si="20"/>
        <v>0</v>
      </c>
      <c r="AI19" s="252">
        <f t="shared" si="21"/>
        <v>0</v>
      </c>
      <c r="AJ19" s="783"/>
    </row>
    <row r="20" spans="2:36" s="222" customFormat="1" ht="15.75" customHeight="1" thickBot="1">
      <c r="B20" s="425" t="s">
        <v>6160</v>
      </c>
      <c r="C20" s="319" t="s">
        <v>137</v>
      </c>
      <c r="D20" s="319">
        <v>3</v>
      </c>
      <c r="E20" s="583">
        <f>IFERROR(SUM(E10:E19), 0)</f>
        <v>0</v>
      </c>
      <c r="F20" s="583">
        <f t="shared" ref="F20:I20" si="23">IFERROR(SUM(F10:F19), 0)</f>
        <v>0</v>
      </c>
      <c r="G20" s="583">
        <f t="shared" si="23"/>
        <v>0</v>
      </c>
      <c r="H20" s="583">
        <f t="shared" si="23"/>
        <v>0</v>
      </c>
      <c r="I20" s="583">
        <f t="shared" si="23"/>
        <v>0</v>
      </c>
      <c r="J20" s="583">
        <f>IFERROR(SUM(E20:I20), 0)</f>
        <v>0</v>
      </c>
      <c r="K20" s="583">
        <f t="shared" ref="K20:L20" si="24">IFERROR(SUM(K10:K19), 0)</f>
        <v>0</v>
      </c>
      <c r="L20" s="583">
        <f t="shared" si="24"/>
        <v>0</v>
      </c>
      <c r="M20" s="583">
        <f>IFERROR(SUM(M10:M19), 0)</f>
        <v>0</v>
      </c>
      <c r="N20" s="583">
        <f>IFERROR(SUM(N10:N19), 0)</f>
        <v>0</v>
      </c>
      <c r="O20" s="583">
        <f>IFERROR(SUM(O10:O19), 0)</f>
        <v>0</v>
      </c>
      <c r="P20" s="379">
        <f>IFERROR(SUM(K20:O20), 0)</f>
        <v>0</v>
      </c>
      <c r="R20" s="538" t="s">
        <v>6161</v>
      </c>
      <c r="T20" s="269"/>
      <c r="V20" s="783"/>
      <c r="W20" s="2560"/>
      <c r="X20" s="783"/>
      <c r="AJ20" s="783"/>
    </row>
    <row r="21" spans="2:36" s="222" customFormat="1" ht="16.5" thickTop="1" thickBot="1">
      <c r="B21" s="791"/>
      <c r="C21" s="791"/>
      <c r="D21" s="791"/>
      <c r="E21" s="792"/>
      <c r="F21" s="792"/>
      <c r="G21" s="792"/>
      <c r="H21" s="792"/>
      <c r="I21" s="792"/>
      <c r="J21" s="792"/>
      <c r="K21" s="792"/>
      <c r="L21" s="792"/>
      <c r="M21" s="792"/>
      <c r="N21" s="792"/>
      <c r="O21" s="792"/>
      <c r="P21" s="792"/>
      <c r="R21" s="721"/>
      <c r="V21" s="783"/>
      <c r="W21" s="2560"/>
      <c r="X21" s="783"/>
      <c r="AJ21" s="783"/>
    </row>
    <row r="22" spans="2:36" s="222" customFormat="1" ht="32" thickTop="1" thickBot="1">
      <c r="B22" s="355" t="s">
        <v>6162</v>
      </c>
      <c r="C22" s="356"/>
      <c r="D22" s="356"/>
      <c r="E22" s="793"/>
      <c r="F22" s="793"/>
      <c r="G22" s="794"/>
      <c r="H22" s="794"/>
      <c r="I22" s="794"/>
      <c r="J22" s="794"/>
      <c r="K22" s="794"/>
      <c r="L22" s="794"/>
      <c r="M22" s="794"/>
      <c r="N22" s="794"/>
      <c r="O22" s="794"/>
      <c r="P22" s="794"/>
      <c r="R22" s="721"/>
      <c r="V22" s="783"/>
      <c r="W22" s="2560"/>
      <c r="X22" s="783"/>
      <c r="AJ22" s="783"/>
    </row>
    <row r="23" spans="2:36" s="222" customFormat="1" ht="15.75" customHeight="1" thickTop="1">
      <c r="B23" s="673" t="s">
        <v>6163</v>
      </c>
      <c r="C23" s="244" t="s">
        <v>137</v>
      </c>
      <c r="D23" s="244">
        <v>3</v>
      </c>
      <c r="E23" s="788">
        <v>0</v>
      </c>
      <c r="F23" s="788">
        <v>0</v>
      </c>
      <c r="G23" s="788">
        <v>0</v>
      </c>
      <c r="H23" s="788">
        <v>0</v>
      </c>
      <c r="I23" s="788">
        <v>0</v>
      </c>
      <c r="J23" s="579">
        <f>IFERROR(SUM(E23:I23), 0)</f>
        <v>0</v>
      </c>
      <c r="K23" s="788">
        <v>0</v>
      </c>
      <c r="L23" s="788">
        <v>0</v>
      </c>
      <c r="M23" s="788">
        <v>0</v>
      </c>
      <c r="N23" s="788">
        <v>0</v>
      </c>
      <c r="O23" s="788">
        <v>0</v>
      </c>
      <c r="P23" s="378">
        <f>IFERROR(SUM(K23:O23), 0)</f>
        <v>0</v>
      </c>
      <c r="R23" s="248" t="s">
        <v>6164</v>
      </c>
      <c r="T23" s="250"/>
      <c r="V23" s="783"/>
      <c r="W23" s="251">
        <f t="shared" ref="W23:W32" si="25">IF( SUM( Y23:AI23 ) = 0, 0, $Y$9 )</f>
        <v>0</v>
      </c>
      <c r="X23" s="783"/>
      <c r="Y23" s="252">
        <f t="shared" ref="Y23:Y32" si="26" xml:space="preserve"> IF( ISNUMBER( E23 ), 0, 1 )</f>
        <v>0</v>
      </c>
      <c r="Z23" s="252">
        <f t="shared" ref="Z23:Z32" si="27" xml:space="preserve"> IF( ISNUMBER( F23 ), 0, 1 )</f>
        <v>0</v>
      </c>
      <c r="AA23" s="252">
        <f t="shared" ref="AA23:AA32" si="28" xml:space="preserve"> IF( ISNUMBER( G23 ), 0, 1 )</f>
        <v>0</v>
      </c>
      <c r="AB23" s="252">
        <f t="shared" ref="AB23:AB32" si="29" xml:space="preserve"> IF( ISNUMBER( H23 ), 0, 1 )</f>
        <v>0</v>
      </c>
      <c r="AC23" s="252">
        <f t="shared" ref="AC23:AC32" si="30" xml:space="preserve"> IF( ISNUMBER( I23 ), 0, 1 )</f>
        <v>0</v>
      </c>
      <c r="AE23" s="252">
        <f t="shared" ref="AE23:AE32" si="31" xml:space="preserve"> IF( ISNUMBER( K23 ), 0, 1 )</f>
        <v>0</v>
      </c>
      <c r="AF23" s="252">
        <f t="shared" ref="AF23:AF32" si="32" xml:space="preserve"> IF( ISNUMBER( L23 ), 0, 1 )</f>
        <v>0</v>
      </c>
      <c r="AG23" s="252">
        <f t="shared" ref="AG23:AG32" si="33" xml:space="preserve"> IF( ISNUMBER( M23 ), 0, 1 )</f>
        <v>0</v>
      </c>
      <c r="AH23" s="252">
        <f t="shared" ref="AH23:AH32" si="34" xml:space="preserve"> IF( ISNUMBER( N23 ), 0, 1 )</f>
        <v>0</v>
      </c>
      <c r="AI23" s="252">
        <f t="shared" ref="AI23:AI32" si="35" xml:space="preserve"> IF( ISNUMBER( O23 ), 0, 1 )</f>
        <v>0</v>
      </c>
      <c r="AJ23" s="783"/>
    </row>
    <row r="24" spans="2:36" s="222" customFormat="1" ht="15.75" customHeight="1">
      <c r="B24" s="675" t="s">
        <v>6165</v>
      </c>
      <c r="C24" s="253" t="s">
        <v>137</v>
      </c>
      <c r="D24" s="253">
        <v>3</v>
      </c>
      <c r="E24" s="789">
        <v>0</v>
      </c>
      <c r="F24" s="789">
        <v>0</v>
      </c>
      <c r="G24" s="789">
        <v>0</v>
      </c>
      <c r="H24" s="789">
        <v>0</v>
      </c>
      <c r="I24" s="789">
        <v>0</v>
      </c>
      <c r="J24" s="581">
        <f t="shared" ref="J24:J32" si="36">IFERROR(SUM(E24:I24), 0)</f>
        <v>0</v>
      </c>
      <c r="K24" s="789">
        <v>0</v>
      </c>
      <c r="L24" s="789">
        <v>0</v>
      </c>
      <c r="M24" s="789">
        <v>0</v>
      </c>
      <c r="N24" s="789">
        <v>0</v>
      </c>
      <c r="O24" s="789">
        <v>0</v>
      </c>
      <c r="P24" s="790">
        <f t="shared" ref="P24:P32" si="37">IFERROR(SUM(K24:O24), 0)</f>
        <v>0</v>
      </c>
      <c r="R24" s="257" t="s">
        <v>6166</v>
      </c>
      <c r="T24" s="258"/>
      <c r="V24" s="783"/>
      <c r="W24" s="251">
        <f t="shared" si="25"/>
        <v>0</v>
      </c>
      <c r="X24" s="783"/>
      <c r="Y24" s="252">
        <f t="shared" si="26"/>
        <v>0</v>
      </c>
      <c r="Z24" s="252">
        <f t="shared" si="27"/>
        <v>0</v>
      </c>
      <c r="AA24" s="252">
        <f t="shared" si="28"/>
        <v>0</v>
      </c>
      <c r="AB24" s="252">
        <f t="shared" si="29"/>
        <v>0</v>
      </c>
      <c r="AC24" s="252">
        <f t="shared" si="30"/>
        <v>0</v>
      </c>
      <c r="AE24" s="252">
        <f t="shared" si="31"/>
        <v>0</v>
      </c>
      <c r="AF24" s="252">
        <f t="shared" si="32"/>
        <v>0</v>
      </c>
      <c r="AG24" s="252">
        <f t="shared" si="33"/>
        <v>0</v>
      </c>
      <c r="AH24" s="252">
        <f t="shared" si="34"/>
        <v>0</v>
      </c>
      <c r="AI24" s="252">
        <f t="shared" si="35"/>
        <v>0</v>
      </c>
      <c r="AJ24" s="783"/>
    </row>
    <row r="25" spans="2:36" s="222" customFormat="1" ht="15.75" customHeight="1">
      <c r="B25" s="675" t="s">
        <v>6167</v>
      </c>
      <c r="C25" s="253" t="s">
        <v>137</v>
      </c>
      <c r="D25" s="253">
        <v>3</v>
      </c>
      <c r="E25" s="789">
        <v>0</v>
      </c>
      <c r="F25" s="789">
        <v>0</v>
      </c>
      <c r="G25" s="789">
        <v>0</v>
      </c>
      <c r="H25" s="789">
        <v>0</v>
      </c>
      <c r="I25" s="789">
        <v>0</v>
      </c>
      <c r="J25" s="581">
        <f t="shared" si="36"/>
        <v>0</v>
      </c>
      <c r="K25" s="789">
        <v>0</v>
      </c>
      <c r="L25" s="789">
        <v>0</v>
      </c>
      <c r="M25" s="789">
        <v>0</v>
      </c>
      <c r="N25" s="789">
        <v>0</v>
      </c>
      <c r="O25" s="789">
        <v>0</v>
      </c>
      <c r="P25" s="790">
        <f t="shared" si="37"/>
        <v>0</v>
      </c>
      <c r="R25" s="257" t="s">
        <v>6168</v>
      </c>
      <c r="T25" s="258"/>
      <c r="V25" s="783"/>
      <c r="W25" s="251">
        <f t="shared" si="25"/>
        <v>0</v>
      </c>
      <c r="X25" s="783"/>
      <c r="Y25" s="252">
        <f t="shared" si="26"/>
        <v>0</v>
      </c>
      <c r="Z25" s="252">
        <f t="shared" si="27"/>
        <v>0</v>
      </c>
      <c r="AA25" s="252">
        <f t="shared" si="28"/>
        <v>0</v>
      </c>
      <c r="AB25" s="252">
        <f t="shared" si="29"/>
        <v>0</v>
      </c>
      <c r="AC25" s="252">
        <f t="shared" si="30"/>
        <v>0</v>
      </c>
      <c r="AE25" s="252">
        <f t="shared" si="31"/>
        <v>0</v>
      </c>
      <c r="AF25" s="252">
        <f t="shared" si="32"/>
        <v>0</v>
      </c>
      <c r="AG25" s="252">
        <f t="shared" si="33"/>
        <v>0</v>
      </c>
      <c r="AH25" s="252">
        <f t="shared" si="34"/>
        <v>0</v>
      </c>
      <c r="AI25" s="252">
        <f t="shared" si="35"/>
        <v>0</v>
      </c>
      <c r="AJ25" s="783"/>
    </row>
    <row r="26" spans="2:36" s="222" customFormat="1" ht="15.75" customHeight="1">
      <c r="B26" s="675" t="s">
        <v>6169</v>
      </c>
      <c r="C26" s="253" t="s">
        <v>137</v>
      </c>
      <c r="D26" s="253">
        <v>3</v>
      </c>
      <c r="E26" s="789">
        <v>0</v>
      </c>
      <c r="F26" s="789">
        <v>0</v>
      </c>
      <c r="G26" s="789">
        <v>0</v>
      </c>
      <c r="H26" s="789">
        <v>0</v>
      </c>
      <c r="I26" s="789">
        <v>0</v>
      </c>
      <c r="J26" s="581">
        <f t="shared" si="36"/>
        <v>0</v>
      </c>
      <c r="K26" s="789">
        <v>0</v>
      </c>
      <c r="L26" s="789">
        <v>0</v>
      </c>
      <c r="M26" s="789">
        <v>0</v>
      </c>
      <c r="N26" s="789">
        <v>0</v>
      </c>
      <c r="O26" s="789">
        <v>0</v>
      </c>
      <c r="P26" s="790">
        <f>IFERROR(SUM(K26:O26), 0)</f>
        <v>0</v>
      </c>
      <c r="R26" s="257" t="s">
        <v>6170</v>
      </c>
      <c r="T26" s="258"/>
      <c r="V26" s="783"/>
      <c r="W26" s="251">
        <f t="shared" si="25"/>
        <v>0</v>
      </c>
      <c r="X26" s="783"/>
      <c r="Y26" s="252">
        <f t="shared" si="26"/>
        <v>0</v>
      </c>
      <c r="Z26" s="252">
        <f t="shared" si="27"/>
        <v>0</v>
      </c>
      <c r="AA26" s="252">
        <f t="shared" si="28"/>
        <v>0</v>
      </c>
      <c r="AB26" s="252">
        <f t="shared" si="29"/>
        <v>0</v>
      </c>
      <c r="AC26" s="252">
        <f t="shared" si="30"/>
        <v>0</v>
      </c>
      <c r="AE26" s="252">
        <f t="shared" si="31"/>
        <v>0</v>
      </c>
      <c r="AF26" s="252">
        <f t="shared" si="32"/>
        <v>0</v>
      </c>
      <c r="AG26" s="252">
        <f t="shared" si="33"/>
        <v>0</v>
      </c>
      <c r="AH26" s="252">
        <f t="shared" si="34"/>
        <v>0</v>
      </c>
      <c r="AI26" s="252">
        <f t="shared" si="35"/>
        <v>0</v>
      </c>
      <c r="AJ26" s="783"/>
    </row>
    <row r="27" spans="2:36" s="222" customFormat="1" ht="15.75" customHeight="1">
      <c r="B27" s="675" t="s">
        <v>6171</v>
      </c>
      <c r="C27" s="253" t="s">
        <v>137</v>
      </c>
      <c r="D27" s="253">
        <v>3</v>
      </c>
      <c r="E27" s="789">
        <v>0</v>
      </c>
      <c r="F27" s="789">
        <v>0</v>
      </c>
      <c r="G27" s="789">
        <v>0</v>
      </c>
      <c r="H27" s="789">
        <v>0</v>
      </c>
      <c r="I27" s="789">
        <v>0</v>
      </c>
      <c r="J27" s="581">
        <f t="shared" si="36"/>
        <v>0</v>
      </c>
      <c r="K27" s="789">
        <v>0</v>
      </c>
      <c r="L27" s="789">
        <v>0</v>
      </c>
      <c r="M27" s="789">
        <v>0</v>
      </c>
      <c r="N27" s="789">
        <v>0</v>
      </c>
      <c r="O27" s="789">
        <v>0</v>
      </c>
      <c r="P27" s="790">
        <f t="shared" si="37"/>
        <v>0</v>
      </c>
      <c r="R27" s="257" t="s">
        <v>6172</v>
      </c>
      <c r="T27" s="258"/>
      <c r="V27" s="783"/>
      <c r="W27" s="251">
        <f t="shared" si="25"/>
        <v>0</v>
      </c>
      <c r="X27" s="783"/>
      <c r="Y27" s="252">
        <f t="shared" si="26"/>
        <v>0</v>
      </c>
      <c r="Z27" s="252">
        <f t="shared" si="27"/>
        <v>0</v>
      </c>
      <c r="AA27" s="252">
        <f t="shared" si="28"/>
        <v>0</v>
      </c>
      <c r="AB27" s="252">
        <f t="shared" si="29"/>
        <v>0</v>
      </c>
      <c r="AC27" s="252">
        <f t="shared" si="30"/>
        <v>0</v>
      </c>
      <c r="AE27" s="252">
        <f t="shared" si="31"/>
        <v>0</v>
      </c>
      <c r="AF27" s="252">
        <f t="shared" si="32"/>
        <v>0</v>
      </c>
      <c r="AG27" s="252">
        <f t="shared" si="33"/>
        <v>0</v>
      </c>
      <c r="AH27" s="252">
        <f t="shared" si="34"/>
        <v>0</v>
      </c>
      <c r="AI27" s="252">
        <f t="shared" si="35"/>
        <v>0</v>
      </c>
      <c r="AJ27" s="783"/>
    </row>
    <row r="28" spans="2:36" s="222" customFormat="1" ht="15.75" customHeight="1">
      <c r="B28" s="675" t="s">
        <v>6173</v>
      </c>
      <c r="C28" s="253" t="s">
        <v>137</v>
      </c>
      <c r="D28" s="253">
        <v>3</v>
      </c>
      <c r="E28" s="789">
        <v>0</v>
      </c>
      <c r="F28" s="789">
        <v>0</v>
      </c>
      <c r="G28" s="789">
        <v>0</v>
      </c>
      <c r="H28" s="789">
        <v>0</v>
      </c>
      <c r="I28" s="789">
        <v>0</v>
      </c>
      <c r="J28" s="581">
        <f t="shared" si="36"/>
        <v>0</v>
      </c>
      <c r="K28" s="789">
        <v>0</v>
      </c>
      <c r="L28" s="789">
        <v>0</v>
      </c>
      <c r="M28" s="789">
        <v>0</v>
      </c>
      <c r="N28" s="789">
        <v>0</v>
      </c>
      <c r="O28" s="789">
        <v>0</v>
      </c>
      <c r="P28" s="790">
        <f t="shared" si="37"/>
        <v>0</v>
      </c>
      <c r="R28" s="257" t="s">
        <v>6174</v>
      </c>
      <c r="T28" s="258"/>
      <c r="V28" s="783"/>
      <c r="W28" s="251">
        <f t="shared" si="25"/>
        <v>0</v>
      </c>
      <c r="X28" s="783"/>
      <c r="Y28" s="252">
        <f t="shared" si="26"/>
        <v>0</v>
      </c>
      <c r="Z28" s="252">
        <f t="shared" si="27"/>
        <v>0</v>
      </c>
      <c r="AA28" s="252">
        <f t="shared" si="28"/>
        <v>0</v>
      </c>
      <c r="AB28" s="252">
        <f t="shared" si="29"/>
        <v>0</v>
      </c>
      <c r="AC28" s="252">
        <f t="shared" si="30"/>
        <v>0</v>
      </c>
      <c r="AE28" s="252">
        <f t="shared" si="31"/>
        <v>0</v>
      </c>
      <c r="AF28" s="252">
        <f t="shared" si="32"/>
        <v>0</v>
      </c>
      <c r="AG28" s="252">
        <f t="shared" si="33"/>
        <v>0</v>
      </c>
      <c r="AH28" s="252">
        <f t="shared" si="34"/>
        <v>0</v>
      </c>
      <c r="AI28" s="252">
        <f t="shared" si="35"/>
        <v>0</v>
      </c>
      <c r="AJ28" s="783"/>
    </row>
    <row r="29" spans="2:36" s="222" customFormat="1" ht="15.75" customHeight="1">
      <c r="B29" s="675" t="s">
        <v>6175</v>
      </c>
      <c r="C29" s="253" t="s">
        <v>137</v>
      </c>
      <c r="D29" s="253">
        <v>3</v>
      </c>
      <c r="E29" s="789">
        <v>0</v>
      </c>
      <c r="F29" s="789">
        <v>0</v>
      </c>
      <c r="G29" s="789">
        <v>0</v>
      </c>
      <c r="H29" s="789">
        <v>0</v>
      </c>
      <c r="I29" s="789">
        <v>0</v>
      </c>
      <c r="J29" s="581">
        <f t="shared" si="36"/>
        <v>0</v>
      </c>
      <c r="K29" s="789">
        <v>0</v>
      </c>
      <c r="L29" s="789">
        <v>0</v>
      </c>
      <c r="M29" s="789">
        <v>0</v>
      </c>
      <c r="N29" s="789">
        <v>0</v>
      </c>
      <c r="O29" s="789">
        <v>0</v>
      </c>
      <c r="P29" s="790">
        <f t="shared" si="37"/>
        <v>0</v>
      </c>
      <c r="R29" s="257" t="s">
        <v>6176</v>
      </c>
      <c r="T29" s="258"/>
      <c r="V29" s="783"/>
      <c r="W29" s="251">
        <f t="shared" si="25"/>
        <v>0</v>
      </c>
      <c r="X29" s="783"/>
      <c r="Y29" s="252">
        <f t="shared" si="26"/>
        <v>0</v>
      </c>
      <c r="Z29" s="252">
        <f t="shared" si="27"/>
        <v>0</v>
      </c>
      <c r="AA29" s="252">
        <f t="shared" si="28"/>
        <v>0</v>
      </c>
      <c r="AB29" s="252">
        <f t="shared" si="29"/>
        <v>0</v>
      </c>
      <c r="AC29" s="252">
        <f t="shared" si="30"/>
        <v>0</v>
      </c>
      <c r="AE29" s="252">
        <f t="shared" si="31"/>
        <v>0</v>
      </c>
      <c r="AF29" s="252">
        <f t="shared" si="32"/>
        <v>0</v>
      </c>
      <c r="AG29" s="252">
        <f t="shared" si="33"/>
        <v>0</v>
      </c>
      <c r="AH29" s="252">
        <f t="shared" si="34"/>
        <v>0</v>
      </c>
      <c r="AI29" s="252">
        <f t="shared" si="35"/>
        <v>0</v>
      </c>
      <c r="AJ29" s="783"/>
    </row>
    <row r="30" spans="2:36" s="222" customFormat="1" ht="15.75" customHeight="1">
      <c r="B30" s="675" t="s">
        <v>6177</v>
      </c>
      <c r="C30" s="253" t="s">
        <v>137</v>
      </c>
      <c r="D30" s="253">
        <v>3</v>
      </c>
      <c r="E30" s="789">
        <v>0</v>
      </c>
      <c r="F30" s="789">
        <v>0</v>
      </c>
      <c r="G30" s="789">
        <v>0</v>
      </c>
      <c r="H30" s="789">
        <v>0</v>
      </c>
      <c r="I30" s="789">
        <v>0</v>
      </c>
      <c r="J30" s="581">
        <f t="shared" si="36"/>
        <v>0</v>
      </c>
      <c r="K30" s="789">
        <v>0</v>
      </c>
      <c r="L30" s="789">
        <v>0</v>
      </c>
      <c r="M30" s="789">
        <v>0</v>
      </c>
      <c r="N30" s="789">
        <v>0</v>
      </c>
      <c r="O30" s="789">
        <v>0</v>
      </c>
      <c r="P30" s="790">
        <f t="shared" si="37"/>
        <v>0</v>
      </c>
      <c r="R30" s="257" t="s">
        <v>6178</v>
      </c>
      <c r="T30" s="258"/>
      <c r="V30" s="783"/>
      <c r="W30" s="251">
        <f t="shared" si="25"/>
        <v>0</v>
      </c>
      <c r="X30" s="783"/>
      <c r="Y30" s="252">
        <f t="shared" si="26"/>
        <v>0</v>
      </c>
      <c r="Z30" s="252">
        <f t="shared" si="27"/>
        <v>0</v>
      </c>
      <c r="AA30" s="252">
        <f t="shared" si="28"/>
        <v>0</v>
      </c>
      <c r="AB30" s="252">
        <f t="shared" si="29"/>
        <v>0</v>
      </c>
      <c r="AC30" s="252">
        <f t="shared" si="30"/>
        <v>0</v>
      </c>
      <c r="AE30" s="252">
        <f t="shared" si="31"/>
        <v>0</v>
      </c>
      <c r="AF30" s="252">
        <f t="shared" si="32"/>
        <v>0</v>
      </c>
      <c r="AG30" s="252">
        <f t="shared" si="33"/>
        <v>0</v>
      </c>
      <c r="AH30" s="252">
        <f t="shared" si="34"/>
        <v>0</v>
      </c>
      <c r="AI30" s="252">
        <f t="shared" si="35"/>
        <v>0</v>
      </c>
      <c r="AJ30" s="783"/>
    </row>
    <row r="31" spans="2:36" s="222" customFormat="1" ht="15.75" customHeight="1">
      <c r="B31" s="675" t="s">
        <v>6179</v>
      </c>
      <c r="C31" s="253" t="s">
        <v>137</v>
      </c>
      <c r="D31" s="253">
        <v>3</v>
      </c>
      <c r="E31" s="789">
        <v>0</v>
      </c>
      <c r="F31" s="789">
        <v>0</v>
      </c>
      <c r="G31" s="789">
        <v>0</v>
      </c>
      <c r="H31" s="789">
        <v>0</v>
      </c>
      <c r="I31" s="789">
        <v>0</v>
      </c>
      <c r="J31" s="581">
        <f t="shared" si="36"/>
        <v>0</v>
      </c>
      <c r="K31" s="789">
        <v>0</v>
      </c>
      <c r="L31" s="789">
        <v>0</v>
      </c>
      <c r="M31" s="789">
        <v>0</v>
      </c>
      <c r="N31" s="789">
        <v>0</v>
      </c>
      <c r="O31" s="789">
        <v>0</v>
      </c>
      <c r="P31" s="790">
        <f t="shared" si="37"/>
        <v>0</v>
      </c>
      <c r="R31" s="257" t="s">
        <v>6180</v>
      </c>
      <c r="T31" s="258"/>
      <c r="V31" s="783"/>
      <c r="W31" s="251">
        <f t="shared" si="25"/>
        <v>0</v>
      </c>
      <c r="X31" s="783"/>
      <c r="Y31" s="252">
        <f t="shared" si="26"/>
        <v>0</v>
      </c>
      <c r="Z31" s="252">
        <f t="shared" si="27"/>
        <v>0</v>
      </c>
      <c r="AA31" s="252">
        <f t="shared" si="28"/>
        <v>0</v>
      </c>
      <c r="AB31" s="252">
        <f t="shared" si="29"/>
        <v>0</v>
      </c>
      <c r="AC31" s="252">
        <f t="shared" si="30"/>
        <v>0</v>
      </c>
      <c r="AE31" s="252">
        <f t="shared" si="31"/>
        <v>0</v>
      </c>
      <c r="AF31" s="252">
        <f t="shared" si="32"/>
        <v>0</v>
      </c>
      <c r="AG31" s="252">
        <f t="shared" si="33"/>
        <v>0</v>
      </c>
      <c r="AH31" s="252">
        <f t="shared" si="34"/>
        <v>0</v>
      </c>
      <c r="AI31" s="252">
        <f t="shared" si="35"/>
        <v>0</v>
      </c>
      <c r="AJ31" s="783"/>
    </row>
    <row r="32" spans="2:36" s="222" customFormat="1" ht="15.75" customHeight="1">
      <c r="B32" s="675" t="s">
        <v>6181</v>
      </c>
      <c r="C32" s="253" t="s">
        <v>137</v>
      </c>
      <c r="D32" s="253">
        <v>3</v>
      </c>
      <c r="E32" s="789">
        <v>0</v>
      </c>
      <c r="F32" s="789">
        <v>0</v>
      </c>
      <c r="G32" s="789">
        <v>0</v>
      </c>
      <c r="H32" s="789">
        <v>0</v>
      </c>
      <c r="I32" s="789">
        <v>0</v>
      </c>
      <c r="J32" s="581">
        <f t="shared" si="36"/>
        <v>0</v>
      </c>
      <c r="K32" s="789">
        <v>0</v>
      </c>
      <c r="L32" s="789">
        <v>0</v>
      </c>
      <c r="M32" s="789">
        <v>0</v>
      </c>
      <c r="N32" s="789">
        <v>0</v>
      </c>
      <c r="O32" s="789">
        <v>0</v>
      </c>
      <c r="P32" s="790">
        <f t="shared" si="37"/>
        <v>0</v>
      </c>
      <c r="R32" s="257" t="s">
        <v>6182</v>
      </c>
      <c r="T32" s="258"/>
      <c r="V32" s="783"/>
      <c r="W32" s="251">
        <f t="shared" si="25"/>
        <v>0</v>
      </c>
      <c r="X32" s="783"/>
      <c r="Y32" s="252">
        <f t="shared" si="26"/>
        <v>0</v>
      </c>
      <c r="Z32" s="252">
        <f t="shared" si="27"/>
        <v>0</v>
      </c>
      <c r="AA32" s="252">
        <f t="shared" si="28"/>
        <v>0</v>
      </c>
      <c r="AB32" s="252">
        <f t="shared" si="29"/>
        <v>0</v>
      </c>
      <c r="AC32" s="252">
        <f t="shared" si="30"/>
        <v>0</v>
      </c>
      <c r="AE32" s="252">
        <f t="shared" si="31"/>
        <v>0</v>
      </c>
      <c r="AF32" s="252">
        <f t="shared" si="32"/>
        <v>0</v>
      </c>
      <c r="AG32" s="252">
        <f t="shared" si="33"/>
        <v>0</v>
      </c>
      <c r="AH32" s="252">
        <f t="shared" si="34"/>
        <v>0</v>
      </c>
      <c r="AI32" s="252">
        <f t="shared" si="35"/>
        <v>0</v>
      </c>
      <c r="AJ32" s="783"/>
    </row>
    <row r="33" spans="1:36" s="222" customFormat="1" ht="15.75" customHeight="1" thickBot="1">
      <c r="B33" s="425" t="s">
        <v>6183</v>
      </c>
      <c r="C33" s="319" t="s">
        <v>137</v>
      </c>
      <c r="D33" s="319">
        <v>3</v>
      </c>
      <c r="E33" s="583">
        <f>IFERROR(SUM(E23:E32), 0)</f>
        <v>0</v>
      </c>
      <c r="F33" s="583">
        <f t="shared" ref="F33" si="38">IFERROR(SUM(F23:F32), 0)</f>
        <v>0</v>
      </c>
      <c r="G33" s="583">
        <f>IFERROR(SUM(G23:G32), 0)</f>
        <v>0</v>
      </c>
      <c r="H33" s="583">
        <f t="shared" ref="H33:I33" si="39">IFERROR(SUM(H23:H32), 0)</f>
        <v>0</v>
      </c>
      <c r="I33" s="583">
        <f t="shared" si="39"/>
        <v>0</v>
      </c>
      <c r="J33" s="583">
        <f>IFERROR(SUM(E33:I33), 0)</f>
        <v>0</v>
      </c>
      <c r="K33" s="583">
        <f t="shared" ref="K33:M33" si="40">IFERROR(SUM(K23:K32), 0)</f>
        <v>0</v>
      </c>
      <c r="L33" s="583">
        <f t="shared" si="40"/>
        <v>0</v>
      </c>
      <c r="M33" s="583">
        <f t="shared" si="40"/>
        <v>0</v>
      </c>
      <c r="N33" s="583">
        <f>IFERROR(SUM(N23:N32), 0)</f>
        <v>0</v>
      </c>
      <c r="O33" s="583">
        <f>IFERROR(SUM(O23:O32), 0)</f>
        <v>0</v>
      </c>
      <c r="P33" s="379">
        <f>IFERROR(SUM(K33:O33), 0)</f>
        <v>0</v>
      </c>
      <c r="R33" s="538" t="s">
        <v>6184</v>
      </c>
      <c r="T33" s="269"/>
      <c r="V33" s="783"/>
      <c r="W33" s="2560"/>
      <c r="X33" s="783"/>
      <c r="AJ33" s="783"/>
    </row>
    <row r="34" spans="1:36" ht="33" customHeight="1" thickTop="1">
      <c r="A34" s="222"/>
      <c r="B34" s="795"/>
      <c r="C34" s="795"/>
      <c r="D34" s="795"/>
      <c r="E34" s="795"/>
      <c r="F34" s="796"/>
      <c r="G34" s="796"/>
      <c r="H34" s="796"/>
      <c r="I34" s="796"/>
      <c r="J34" s="796"/>
      <c r="K34" s="796"/>
      <c r="L34" s="797"/>
      <c r="M34" s="222"/>
      <c r="N34" s="222"/>
      <c r="O34" s="222"/>
      <c r="P34" s="222"/>
      <c r="Q34" s="222"/>
      <c r="R34" s="222"/>
      <c r="S34" s="222"/>
      <c r="T34" s="222"/>
      <c r="U34" s="222"/>
      <c r="V34" s="2560"/>
      <c r="W34" s="2560"/>
      <c r="X34" s="2560"/>
      <c r="Y34" s="222"/>
      <c r="Z34" s="222"/>
      <c r="AA34" s="222"/>
      <c r="AB34" s="222"/>
      <c r="AC34" s="222"/>
      <c r="AD34" s="222"/>
      <c r="AE34" s="222"/>
      <c r="AF34" s="222"/>
      <c r="AG34" s="222"/>
      <c r="AH34" s="222"/>
      <c r="AI34" s="222"/>
      <c r="AJ34" s="2560"/>
    </row>
    <row r="35" spans="1:36" ht="15.75" customHeight="1">
      <c r="A35" s="222"/>
      <c r="B35" s="798"/>
      <c r="C35" s="798"/>
      <c r="D35" s="798"/>
      <c r="E35" s="787"/>
      <c r="F35" s="795"/>
      <c r="G35" s="795"/>
      <c r="H35" s="795"/>
      <c r="I35" s="795"/>
      <c r="J35" s="795"/>
      <c r="K35" s="795"/>
      <c r="L35" s="795"/>
      <c r="M35" s="222"/>
      <c r="N35" s="222"/>
      <c r="O35" s="222"/>
      <c r="P35" s="222"/>
      <c r="Q35" s="222"/>
      <c r="R35" s="222"/>
      <c r="S35" s="222"/>
      <c r="T35" s="222"/>
      <c r="U35" s="222"/>
      <c r="V35" s="2560"/>
      <c r="W35" s="2560"/>
      <c r="X35" s="2560"/>
      <c r="Y35" s="222"/>
      <c r="Z35" s="222"/>
      <c r="AA35" s="222"/>
      <c r="AB35" s="222"/>
      <c r="AC35" s="222"/>
      <c r="AD35" s="222"/>
      <c r="AE35" s="222"/>
      <c r="AF35" s="222"/>
      <c r="AG35" s="222"/>
      <c r="AH35" s="222"/>
      <c r="AI35" s="222"/>
      <c r="AJ35" s="2560"/>
    </row>
    <row r="36" spans="1:36" ht="15.75" customHeight="1">
      <c r="A36" s="222"/>
      <c r="B36" s="222"/>
      <c r="C36" s="222"/>
      <c r="D36" s="222"/>
      <c r="E36" s="222"/>
      <c r="F36" s="222"/>
      <c r="G36" s="222"/>
      <c r="H36" s="222"/>
      <c r="I36" s="222"/>
      <c r="J36" s="222"/>
      <c r="K36" s="222"/>
      <c r="L36" s="222"/>
      <c r="M36" s="222"/>
      <c r="N36" s="222"/>
      <c r="O36" s="222"/>
      <c r="P36" s="222"/>
      <c r="Q36" s="222"/>
      <c r="R36" s="222"/>
      <c r="S36" s="222"/>
      <c r="T36" s="222"/>
      <c r="U36" s="222"/>
      <c r="V36" s="2560"/>
      <c r="W36" s="2560"/>
      <c r="X36" s="2560"/>
      <c r="Y36" s="222"/>
      <c r="Z36" s="222"/>
      <c r="AA36" s="222"/>
      <c r="AB36" s="222"/>
      <c r="AC36" s="222"/>
      <c r="AD36" s="222"/>
      <c r="AE36" s="222"/>
      <c r="AF36" s="222"/>
      <c r="AG36" s="222"/>
      <c r="AH36" s="222"/>
      <c r="AI36" s="222"/>
      <c r="AJ36" s="2560"/>
    </row>
    <row r="37" spans="1:36" ht="15.75" customHeight="1">
      <c r="A37" s="222"/>
      <c r="B37" s="222"/>
      <c r="C37" s="222"/>
      <c r="D37" s="222"/>
      <c r="E37" s="222"/>
      <c r="F37" s="222"/>
      <c r="G37" s="222"/>
      <c r="H37" s="222"/>
      <c r="I37" s="222"/>
      <c r="J37" s="222"/>
      <c r="K37" s="222"/>
      <c r="L37" s="222"/>
      <c r="M37" s="222"/>
      <c r="N37" s="222"/>
      <c r="O37" s="222"/>
      <c r="P37" s="222"/>
      <c r="Q37" s="222"/>
      <c r="R37" s="222"/>
      <c r="S37" s="222"/>
      <c r="T37" s="222"/>
      <c r="U37" s="222"/>
      <c r="V37" s="2560"/>
      <c r="W37" s="2560"/>
      <c r="X37" s="2560"/>
      <c r="Y37" s="2560"/>
      <c r="Z37" s="2560"/>
      <c r="AA37" s="2560"/>
      <c r="AB37" s="2560"/>
      <c r="AC37" s="2560"/>
      <c r="AD37" s="2560"/>
      <c r="AE37" s="2560"/>
      <c r="AF37" s="2560"/>
      <c r="AG37" s="2560"/>
      <c r="AH37" s="2560"/>
      <c r="AI37" s="2560"/>
      <c r="AJ37" s="2560"/>
    </row>
    <row r="38" spans="1:36" ht="15.75" customHeight="1">
      <c r="A38" s="222"/>
      <c r="B38" s="222"/>
      <c r="C38" s="222"/>
      <c r="D38" s="222"/>
      <c r="E38" s="222"/>
      <c r="F38" s="222"/>
      <c r="G38" s="222"/>
      <c r="H38" s="222"/>
      <c r="I38" s="222"/>
      <c r="J38" s="222"/>
      <c r="K38" s="222"/>
      <c r="L38" s="222"/>
      <c r="M38" s="222"/>
      <c r="N38" s="222"/>
      <c r="O38" s="222"/>
      <c r="P38" s="222"/>
      <c r="Q38" s="222"/>
      <c r="R38" s="222"/>
      <c r="S38" s="222"/>
      <c r="T38" s="222"/>
      <c r="U38" s="222"/>
      <c r="V38" s="2560"/>
      <c r="W38" s="2560"/>
      <c r="X38" s="2560"/>
      <c r="Y38" s="2560"/>
      <c r="Z38" s="2560"/>
      <c r="AA38" s="2560"/>
      <c r="AB38" s="2560"/>
      <c r="AC38" s="2560"/>
      <c r="AD38" s="2560"/>
      <c r="AE38" s="2560"/>
      <c r="AF38" s="2560"/>
      <c r="AG38" s="2560"/>
      <c r="AH38" s="2560"/>
      <c r="AI38" s="2560"/>
      <c r="AJ38" s="2560"/>
    </row>
    <row r="39" spans="1:36" ht="15.75" customHeight="1">
      <c r="A39" s="222"/>
      <c r="B39" s="222"/>
      <c r="C39" s="222"/>
      <c r="D39" s="222"/>
      <c r="E39" s="222"/>
      <c r="F39" s="222"/>
      <c r="G39" s="222"/>
      <c r="H39" s="222"/>
      <c r="I39" s="222"/>
      <c r="J39" s="222"/>
      <c r="K39" s="222"/>
      <c r="L39" s="222"/>
      <c r="M39" s="222"/>
      <c r="N39" s="222"/>
      <c r="O39" s="222"/>
      <c r="P39" s="222"/>
      <c r="Q39" s="222"/>
      <c r="R39" s="222"/>
      <c r="S39" s="222"/>
      <c r="T39" s="222"/>
      <c r="U39" s="222"/>
      <c r="V39" s="2560"/>
      <c r="W39" s="2560"/>
      <c r="X39" s="2560"/>
      <c r="Y39" s="2560"/>
      <c r="Z39" s="2560"/>
      <c r="AA39" s="2560"/>
      <c r="AB39" s="2560"/>
      <c r="AC39" s="2560"/>
      <c r="AD39" s="2560"/>
      <c r="AE39" s="2560"/>
      <c r="AF39" s="2560"/>
      <c r="AG39" s="2560"/>
      <c r="AH39" s="2560"/>
      <c r="AI39" s="2560"/>
      <c r="AJ39" s="2560"/>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32" priority="13" operator="equal">
      <formula>0</formula>
    </cfRule>
  </conditionalFormatting>
  <conditionalFormatting sqref="W23:W33">
    <cfRule type="cellIs" dxfId="131"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tabColor rgb="FF808080"/>
    <pageSetUpPr fitToPage="1"/>
  </sheetPr>
  <dimension ref="A1:BF44"/>
  <sheetViews>
    <sheetView showGridLines="0" zoomScaleNormal="100" zoomScaleSheetLayoutView="100" workbookViewId="0"/>
  </sheetViews>
  <sheetFormatPr defaultColWidth="9" defaultRowHeight="14.5"/>
  <cols>
    <col min="1" max="1" width="1.58203125" style="16" customWidth="1"/>
    <col min="2" max="2" width="43.58203125" style="16" customWidth="1"/>
    <col min="3" max="3" width="7" style="16" customWidth="1"/>
    <col min="4" max="4" width="5.5" style="16" customWidth="1"/>
    <col min="5" max="22" width="12.5" style="16" customWidth="1"/>
    <col min="23" max="23" width="1.58203125" style="16" customWidth="1"/>
    <col min="24" max="24" width="12.5" style="16" customWidth="1"/>
    <col min="25" max="25" width="1.58203125" style="16" customWidth="1"/>
    <col min="26" max="26" width="33.58203125" style="16" customWidth="1"/>
    <col min="27" max="28" width="1.58203125" style="16" customWidth="1"/>
    <col min="29" max="29" width="25" style="16" customWidth="1"/>
    <col min="30" max="30" width="1.58203125" style="16" customWidth="1"/>
    <col min="31" max="38" width="5.08203125" style="16" hidden="1" customWidth="1"/>
    <col min="39" max="39" width="1.58203125" style="16" hidden="1" customWidth="1"/>
    <col min="40" max="47" width="5.08203125" style="16" hidden="1" customWidth="1"/>
    <col min="48" max="48" width="1.58203125" style="16" hidden="1" customWidth="1"/>
    <col min="49" max="49" width="1.58203125" style="16" customWidth="1"/>
    <col min="50" max="16384" width="9" style="16"/>
  </cols>
  <sheetData>
    <row r="1" spans="1:58" ht="22.5">
      <c r="A1" s="2560"/>
      <c r="B1" s="799" t="s">
        <v>6185</v>
      </c>
      <c r="C1" s="799"/>
      <c r="D1" s="799"/>
      <c r="E1" s="2560"/>
      <c r="F1" s="2560"/>
      <c r="G1" s="2560"/>
      <c r="H1" s="2560"/>
      <c r="I1" s="2560"/>
      <c r="J1" s="2560"/>
      <c r="K1" s="2560"/>
      <c r="L1" s="2560"/>
      <c r="M1" s="2560"/>
      <c r="N1" s="2560"/>
      <c r="O1" s="2560"/>
      <c r="P1" s="2560"/>
      <c r="Q1" s="2560"/>
      <c r="R1" s="2560"/>
      <c r="S1" s="2560"/>
      <c r="T1" s="2560"/>
      <c r="U1" s="2560"/>
      <c r="V1" s="2560"/>
      <c r="W1" s="2560"/>
      <c r="X1" s="2560"/>
      <c r="Y1" s="2560"/>
      <c r="Z1" s="2560"/>
      <c r="AA1" s="2560"/>
      <c r="AB1" s="2589"/>
      <c r="AC1" s="2560"/>
      <c r="AD1" s="2589"/>
      <c r="AE1" s="2560"/>
      <c r="AF1" s="2560"/>
      <c r="AG1" s="2560"/>
      <c r="AH1" s="2560"/>
      <c r="AI1" s="2560"/>
      <c r="AJ1" s="2560"/>
      <c r="AK1" s="2560"/>
      <c r="AL1" s="2560"/>
      <c r="AM1" s="2560"/>
      <c r="AN1" s="2560"/>
      <c r="AO1" s="2560"/>
      <c r="AP1" s="2560"/>
      <c r="AQ1" s="2560"/>
      <c r="AR1" s="2560"/>
      <c r="AS1" s="2560"/>
      <c r="AT1" s="2560"/>
      <c r="AU1" s="2560"/>
      <c r="AV1" s="2589"/>
      <c r="AW1" s="2560"/>
      <c r="AX1" s="2560"/>
      <c r="AY1" s="2560"/>
      <c r="AZ1" s="2560"/>
      <c r="BA1" s="2560"/>
      <c r="BB1" s="2560"/>
      <c r="BC1" s="2560"/>
      <c r="BD1" s="2560"/>
      <c r="BE1" s="2560"/>
      <c r="BF1" s="2560"/>
    </row>
    <row r="2" spans="1:58" ht="22.5">
      <c r="A2" s="2560"/>
      <c r="B2" s="799" t="str">
        <f>SelectCompany!B4</f>
        <v>Yorkshire Water</v>
      </c>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89"/>
      <c r="AC2" s="2560"/>
      <c r="AD2" s="2589"/>
      <c r="AE2" s="2560"/>
      <c r="AF2" s="2560"/>
      <c r="AG2" s="2560"/>
      <c r="AH2" s="2560"/>
      <c r="AI2" s="2560"/>
      <c r="AJ2" s="2560"/>
      <c r="AK2" s="2560"/>
      <c r="AL2" s="2560"/>
      <c r="AM2" s="2560"/>
      <c r="AN2" s="2560"/>
      <c r="AO2" s="2560"/>
      <c r="AP2" s="2560"/>
      <c r="AQ2" s="2560"/>
      <c r="AR2" s="2560"/>
      <c r="AS2" s="2560"/>
      <c r="AT2" s="2560"/>
      <c r="AU2" s="2560"/>
      <c r="AV2" s="2589"/>
      <c r="AW2" s="2560"/>
      <c r="AX2" s="2560"/>
      <c r="AY2" s="2560"/>
      <c r="AZ2" s="2560"/>
      <c r="BA2" s="2560"/>
      <c r="BB2" s="2560"/>
      <c r="BC2" s="2560"/>
      <c r="BD2" s="2560"/>
      <c r="BE2" s="2560"/>
      <c r="BF2" s="2560"/>
    </row>
    <row r="3" spans="1:58" ht="19">
      <c r="A3" s="2560"/>
      <c r="B3" s="2806" t="s">
        <v>6186</v>
      </c>
      <c r="C3" s="2689"/>
      <c r="D3" s="2689"/>
      <c r="E3" s="2689"/>
      <c r="F3" s="2689"/>
      <c r="G3" s="2689"/>
      <c r="H3" s="2689"/>
      <c r="I3" s="2689"/>
      <c r="J3" s="2689"/>
      <c r="K3" s="2689"/>
      <c r="L3" s="2689"/>
      <c r="M3" s="2689"/>
      <c r="N3" s="2689"/>
      <c r="O3" s="2689"/>
      <c r="P3" s="2689"/>
      <c r="Q3" s="2689"/>
      <c r="R3" s="2689"/>
      <c r="S3" s="2689"/>
      <c r="T3" s="2689"/>
      <c r="U3" s="2689"/>
      <c r="V3" s="2689"/>
      <c r="W3" s="2689"/>
      <c r="X3" s="2689"/>
      <c r="Y3" s="2689"/>
      <c r="Z3" s="2689"/>
      <c r="AA3" s="2560"/>
      <c r="AB3" s="2589"/>
      <c r="AC3" s="2073" t="s">
        <v>1889</v>
      </c>
      <c r="AD3" s="2589"/>
      <c r="AE3" s="2560"/>
      <c r="AF3" s="2560"/>
      <c r="AG3" s="2560"/>
      <c r="AH3" s="2560"/>
      <c r="AI3" s="2560"/>
      <c r="AJ3" s="2560"/>
      <c r="AK3" s="2560"/>
      <c r="AL3" s="2560"/>
      <c r="AM3" s="2560"/>
      <c r="AN3" s="2560"/>
      <c r="AO3" s="2560"/>
      <c r="AP3" s="2560"/>
      <c r="AQ3" s="2560"/>
      <c r="AR3" s="2560"/>
      <c r="AS3" s="2560"/>
      <c r="AT3" s="2560"/>
      <c r="AU3" s="2560"/>
      <c r="AV3" s="2589"/>
      <c r="AW3" s="2560"/>
      <c r="AX3" s="2560"/>
      <c r="AY3" s="2560"/>
      <c r="AZ3" s="2560"/>
      <c r="BA3" s="2560"/>
      <c r="BB3" s="2560"/>
      <c r="BC3" s="2560"/>
      <c r="BD3" s="2560"/>
      <c r="BE3" s="2560"/>
      <c r="BF3" s="2560"/>
    </row>
    <row r="4" spans="1:58" ht="15" thickBot="1">
      <c r="A4" s="2560"/>
      <c r="B4" s="223"/>
      <c r="C4" s="223"/>
      <c r="D4" s="223"/>
      <c r="E4" s="781"/>
      <c r="F4" s="800"/>
      <c r="G4" s="800"/>
      <c r="H4" s="800"/>
      <c r="I4" s="800"/>
      <c r="J4" s="800"/>
      <c r="K4" s="800"/>
      <c r="L4" s="800"/>
      <c r="M4" s="800"/>
      <c r="N4" s="800"/>
      <c r="O4" s="2560"/>
      <c r="P4" s="2560"/>
      <c r="Q4" s="2560"/>
      <c r="R4" s="2560"/>
      <c r="S4" s="2560"/>
      <c r="T4" s="2560"/>
      <c r="U4" s="2560"/>
      <c r="V4" s="2560"/>
      <c r="W4" s="2560"/>
      <c r="X4" s="2560"/>
      <c r="Y4" s="2560"/>
      <c r="Z4" s="2560"/>
      <c r="AA4" s="2560"/>
      <c r="AB4" s="2589"/>
      <c r="AC4" s="2560"/>
      <c r="AD4" s="2589"/>
      <c r="AE4" s="2560"/>
      <c r="AF4" s="2560"/>
      <c r="AG4" s="2560"/>
      <c r="AH4" s="2560"/>
      <c r="AI4" s="2560"/>
      <c r="AJ4" s="2560"/>
      <c r="AK4" s="2560"/>
      <c r="AL4" s="2560"/>
      <c r="AM4" s="2560"/>
      <c r="AN4" s="2560"/>
      <c r="AO4" s="2560"/>
      <c r="AP4" s="2560"/>
      <c r="AQ4" s="2560"/>
      <c r="AR4" s="2560"/>
      <c r="AS4" s="2560"/>
      <c r="AT4" s="2560"/>
      <c r="AU4" s="2560"/>
      <c r="AV4" s="2589"/>
      <c r="AW4" s="2560"/>
      <c r="AX4" s="2560"/>
      <c r="AY4" s="2560"/>
      <c r="AZ4" s="2560"/>
      <c r="BA4" s="2560"/>
      <c r="BB4" s="2560"/>
      <c r="BC4" s="2560"/>
      <c r="BD4" s="2560"/>
      <c r="BE4" s="2560"/>
      <c r="BF4" s="2560"/>
    </row>
    <row r="5" spans="1:58" s="9" customFormat="1" ht="16" thickTop="1">
      <c r="A5" s="222"/>
      <c r="B5" s="2796" t="s">
        <v>1891</v>
      </c>
      <c r="C5" s="2807" t="s">
        <v>1892</v>
      </c>
      <c r="D5" s="2807" t="s">
        <v>136</v>
      </c>
      <c r="E5" s="2787" t="s">
        <v>6137</v>
      </c>
      <c r="F5" s="2787"/>
      <c r="G5" s="2787"/>
      <c r="H5" s="2787"/>
      <c r="I5" s="2787"/>
      <c r="J5" s="2787"/>
      <c r="K5" s="2787"/>
      <c r="L5" s="2787"/>
      <c r="M5" s="2787"/>
      <c r="N5" s="2787" t="s">
        <v>6187</v>
      </c>
      <c r="O5" s="2787"/>
      <c r="P5" s="2787"/>
      <c r="Q5" s="2787"/>
      <c r="R5" s="2787"/>
      <c r="S5" s="2787"/>
      <c r="T5" s="2787"/>
      <c r="U5" s="2787"/>
      <c r="V5" s="2788"/>
      <c r="W5" s="222"/>
      <c r="X5" s="2763" t="s">
        <v>1896</v>
      </c>
      <c r="Y5" s="222"/>
      <c r="Z5" s="2763" t="s">
        <v>1897</v>
      </c>
      <c r="AA5" s="222"/>
      <c r="AB5" s="783"/>
      <c r="AC5" s="222"/>
      <c r="AD5" s="783"/>
      <c r="AE5" s="222"/>
      <c r="AF5" s="222"/>
      <c r="AG5" s="222"/>
      <c r="AH5" s="222"/>
      <c r="AI5" s="222"/>
      <c r="AJ5" s="222"/>
      <c r="AK5" s="222"/>
      <c r="AL5" s="222"/>
      <c r="AM5" s="222"/>
      <c r="AN5" s="222"/>
      <c r="AO5" s="222"/>
      <c r="AP5" s="222"/>
      <c r="AQ5" s="222"/>
      <c r="AR5" s="222"/>
      <c r="AS5" s="222"/>
      <c r="AT5" s="222"/>
      <c r="AU5" s="222"/>
      <c r="AV5" s="783"/>
      <c r="AW5" s="222"/>
      <c r="AX5" s="222"/>
      <c r="AY5" s="222"/>
      <c r="AZ5" s="222"/>
      <c r="BA5" s="222"/>
      <c r="BB5" s="222"/>
      <c r="BC5" s="222"/>
      <c r="BD5" s="222"/>
      <c r="BE5" s="222"/>
      <c r="BF5" s="222"/>
    </row>
    <row r="6" spans="1:58" s="9" customFormat="1" ht="15.5">
      <c r="A6" s="222"/>
      <c r="B6" s="2797"/>
      <c r="C6" s="2808"/>
      <c r="D6" s="2808"/>
      <c r="E6" s="2809" t="s">
        <v>6188</v>
      </c>
      <c r="F6" s="2809"/>
      <c r="G6" s="2809"/>
      <c r="H6" s="2809"/>
      <c r="I6" s="2809"/>
      <c r="J6" s="2802" t="s">
        <v>2831</v>
      </c>
      <c r="K6" s="2802"/>
      <c r="L6" s="2802"/>
      <c r="M6" s="2802" t="s">
        <v>2112</v>
      </c>
      <c r="N6" s="2809" t="s">
        <v>6188</v>
      </c>
      <c r="O6" s="2809"/>
      <c r="P6" s="2809"/>
      <c r="Q6" s="2809"/>
      <c r="R6" s="2809"/>
      <c r="S6" s="2802" t="s">
        <v>2831</v>
      </c>
      <c r="T6" s="2802"/>
      <c r="U6" s="2802"/>
      <c r="V6" s="2804" t="s">
        <v>2112</v>
      </c>
      <c r="W6" s="222"/>
      <c r="X6" s="2764"/>
      <c r="Y6" s="222"/>
      <c r="Z6" s="2764"/>
      <c r="AA6" s="222"/>
      <c r="AB6" s="783"/>
      <c r="AC6" s="222"/>
      <c r="AD6" s="783"/>
      <c r="AE6" s="222"/>
      <c r="AF6" s="222"/>
      <c r="AG6" s="222"/>
      <c r="AH6" s="222"/>
      <c r="AI6" s="222"/>
      <c r="AJ6" s="222"/>
      <c r="AK6" s="222"/>
      <c r="AL6" s="222"/>
      <c r="AM6" s="222"/>
      <c r="AN6" s="222"/>
      <c r="AO6" s="222"/>
      <c r="AP6" s="222"/>
      <c r="AQ6" s="222"/>
      <c r="AR6" s="222"/>
      <c r="AS6" s="222"/>
      <c r="AT6" s="222"/>
      <c r="AU6" s="222"/>
      <c r="AV6" s="783"/>
      <c r="AW6" s="222"/>
      <c r="AX6" s="222"/>
      <c r="AY6" s="222"/>
      <c r="AZ6" s="222"/>
      <c r="BA6" s="222"/>
      <c r="BB6" s="222"/>
      <c r="BC6" s="222"/>
      <c r="BD6" s="222"/>
      <c r="BE6" s="222"/>
      <c r="BF6" s="222"/>
    </row>
    <row r="7" spans="1:58" s="9" customFormat="1" ht="16.5">
      <c r="A7" s="222"/>
      <c r="B7" s="2797"/>
      <c r="C7" s="2808"/>
      <c r="D7" s="2808"/>
      <c r="E7" s="2802" t="s">
        <v>6189</v>
      </c>
      <c r="F7" s="2802"/>
      <c r="G7" s="2802"/>
      <c r="H7" s="2802" t="s">
        <v>5885</v>
      </c>
      <c r="I7" s="2802" t="s">
        <v>6190</v>
      </c>
      <c r="J7" s="2802" t="s">
        <v>5887</v>
      </c>
      <c r="K7" s="2802" t="s">
        <v>5888</v>
      </c>
      <c r="L7" s="2802" t="s">
        <v>5889</v>
      </c>
      <c r="M7" s="2802"/>
      <c r="N7" s="2802" t="s">
        <v>6189</v>
      </c>
      <c r="O7" s="2802"/>
      <c r="P7" s="2802"/>
      <c r="Q7" s="2802" t="s">
        <v>5885</v>
      </c>
      <c r="R7" s="2802" t="s">
        <v>6190</v>
      </c>
      <c r="S7" s="2802" t="s">
        <v>5887</v>
      </c>
      <c r="T7" s="2802" t="s">
        <v>5888</v>
      </c>
      <c r="U7" s="2802" t="s">
        <v>5889</v>
      </c>
      <c r="V7" s="2804"/>
      <c r="W7" s="222"/>
      <c r="X7" s="2764"/>
      <c r="Y7" s="222"/>
      <c r="Z7" s="2764"/>
      <c r="AA7" s="222"/>
      <c r="AB7" s="783"/>
      <c r="AC7" s="785"/>
      <c r="AD7" s="783"/>
      <c r="AE7" s="222"/>
      <c r="AF7" s="222"/>
      <c r="AG7" s="222"/>
      <c r="AH7" s="222"/>
      <c r="AI7" s="222"/>
      <c r="AJ7" s="222"/>
      <c r="AK7" s="222"/>
      <c r="AL7" s="222"/>
      <c r="AM7" s="222"/>
      <c r="AN7" s="237"/>
      <c r="AO7" s="237"/>
      <c r="AP7" s="237"/>
      <c r="AQ7" s="237"/>
      <c r="AR7" s="237"/>
      <c r="AS7" s="237"/>
      <c r="AT7" s="237"/>
      <c r="AU7" s="237"/>
      <c r="AV7" s="783"/>
      <c r="AW7" s="222"/>
      <c r="AX7" s="222"/>
      <c r="AY7" s="222"/>
      <c r="AZ7" s="222"/>
      <c r="BA7" s="222"/>
      <c r="BB7" s="222"/>
      <c r="BC7" s="222"/>
      <c r="BD7" s="222"/>
      <c r="BE7" s="222"/>
      <c r="BF7" s="222"/>
    </row>
    <row r="8" spans="1:58" s="9" customFormat="1" ht="66" customHeight="1" thickBot="1">
      <c r="A8" s="222"/>
      <c r="B8" s="2798"/>
      <c r="C8" s="2790"/>
      <c r="D8" s="2790"/>
      <c r="E8" s="784" t="s">
        <v>5882</v>
      </c>
      <c r="F8" s="784" t="s">
        <v>5883</v>
      </c>
      <c r="G8" s="784" t="s">
        <v>5884</v>
      </c>
      <c r="H8" s="2803"/>
      <c r="I8" s="2803"/>
      <c r="J8" s="2803"/>
      <c r="K8" s="2803"/>
      <c r="L8" s="2803"/>
      <c r="M8" s="2803"/>
      <c r="N8" s="784" t="s">
        <v>5882</v>
      </c>
      <c r="O8" s="784" t="s">
        <v>5883</v>
      </c>
      <c r="P8" s="784" t="s">
        <v>5884</v>
      </c>
      <c r="Q8" s="2803"/>
      <c r="R8" s="2803"/>
      <c r="S8" s="2803"/>
      <c r="T8" s="2803"/>
      <c r="U8" s="2803"/>
      <c r="V8" s="2805"/>
      <c r="W8" s="222"/>
      <c r="X8" s="2765"/>
      <c r="Y8" s="222"/>
      <c r="Z8" s="2765"/>
      <c r="AA8" s="222"/>
      <c r="AB8" s="783"/>
      <c r="AC8" s="222"/>
      <c r="AD8" s="783"/>
      <c r="AE8" s="2662" t="s">
        <v>1890</v>
      </c>
      <c r="AF8" s="2662"/>
      <c r="AG8" s="2662"/>
      <c r="AH8" s="2795"/>
      <c r="AI8" s="2795"/>
      <c r="AJ8" s="2795"/>
      <c r="AK8" s="2795"/>
      <c r="AL8" s="2795"/>
      <c r="AM8" s="222"/>
      <c r="AN8" s="237"/>
      <c r="AO8" s="237"/>
      <c r="AP8" s="237"/>
      <c r="AQ8" s="237"/>
      <c r="AR8" s="237"/>
      <c r="AS8" s="237"/>
      <c r="AT8" s="237"/>
      <c r="AU8" s="237"/>
      <c r="AV8" s="783"/>
      <c r="AW8" s="222"/>
      <c r="AX8" s="222"/>
      <c r="AY8" s="222"/>
      <c r="AZ8" s="222"/>
      <c r="BA8" s="222"/>
      <c r="BB8" s="222"/>
      <c r="BC8" s="222"/>
      <c r="BD8" s="222"/>
      <c r="BE8" s="222"/>
      <c r="BF8" s="222"/>
    </row>
    <row r="9" spans="1:58" s="9" customFormat="1" ht="16.5" thickTop="1" thickBot="1">
      <c r="A9" s="222"/>
      <c r="B9" s="786"/>
      <c r="C9" s="786"/>
      <c r="D9" s="786"/>
      <c r="E9" s="787"/>
      <c r="F9" s="787"/>
      <c r="G9" s="787"/>
      <c r="H9" s="787"/>
      <c r="I9" s="787"/>
      <c r="J9" s="787"/>
      <c r="K9" s="787"/>
      <c r="L9" s="787"/>
      <c r="M9" s="787"/>
      <c r="N9" s="787"/>
      <c r="O9" s="787"/>
      <c r="P9" s="787"/>
      <c r="Q9" s="787"/>
      <c r="R9" s="787"/>
      <c r="S9" s="787"/>
      <c r="T9" s="787"/>
      <c r="U9" s="787"/>
      <c r="V9" s="787"/>
      <c r="W9" s="222"/>
      <c r="X9" s="721"/>
      <c r="Y9" s="222"/>
      <c r="Z9" s="222"/>
      <c r="AA9" s="222"/>
      <c r="AB9" s="783"/>
      <c r="AC9" s="222"/>
      <c r="AD9" s="783"/>
      <c r="AE9" s="236" t="s">
        <v>1898</v>
      </c>
      <c r="AF9" s="222"/>
      <c r="AG9" s="222"/>
      <c r="AH9" s="222"/>
      <c r="AI9" s="222"/>
      <c r="AJ9" s="222"/>
      <c r="AK9" s="222"/>
      <c r="AL9" s="222"/>
      <c r="AM9" s="222"/>
      <c r="AN9" s="237"/>
      <c r="AO9" s="237"/>
      <c r="AP9" s="237"/>
      <c r="AQ9" s="237"/>
      <c r="AR9" s="237"/>
      <c r="AS9" s="237"/>
      <c r="AT9" s="237"/>
      <c r="AU9" s="237"/>
      <c r="AV9" s="783"/>
      <c r="AW9" s="222"/>
      <c r="AX9" s="222"/>
      <c r="AY9" s="222"/>
      <c r="AZ9" s="222"/>
      <c r="BA9" s="222"/>
      <c r="BB9" s="222"/>
      <c r="BC9" s="222"/>
      <c r="BD9" s="222"/>
      <c r="BE9" s="222"/>
      <c r="BF9" s="222"/>
    </row>
    <row r="10" spans="1:58" s="9" customFormat="1" ht="16.5" thickTop="1" thickBot="1">
      <c r="A10" s="222"/>
      <c r="B10" s="355" t="s">
        <v>6139</v>
      </c>
      <c r="C10" s="356"/>
      <c r="D10" s="356"/>
      <c r="E10" s="787"/>
      <c r="F10" s="787"/>
      <c r="G10" s="787"/>
      <c r="H10" s="787"/>
      <c r="I10" s="787"/>
      <c r="J10" s="787"/>
      <c r="K10" s="787"/>
      <c r="L10" s="787"/>
      <c r="M10" s="787"/>
      <c r="N10" s="787"/>
      <c r="O10" s="787"/>
      <c r="P10" s="787"/>
      <c r="Q10" s="787"/>
      <c r="R10" s="787"/>
      <c r="S10" s="787"/>
      <c r="T10" s="787"/>
      <c r="U10" s="787"/>
      <c r="V10" s="787"/>
      <c r="W10" s="222"/>
      <c r="X10" s="222"/>
      <c r="Y10" s="222"/>
      <c r="Z10" s="222"/>
      <c r="AA10" s="222"/>
      <c r="AB10" s="783"/>
      <c r="AC10" s="251"/>
      <c r="AD10" s="783"/>
      <c r="AE10" s="237"/>
      <c r="AF10" s="237"/>
      <c r="AG10" s="237"/>
      <c r="AH10" s="237"/>
      <c r="AI10" s="237"/>
      <c r="AJ10" s="237"/>
      <c r="AK10" s="237"/>
      <c r="AL10" s="237"/>
      <c r="AM10" s="222"/>
      <c r="AN10" s="237"/>
      <c r="AO10" s="237"/>
      <c r="AP10" s="237"/>
      <c r="AQ10" s="237"/>
      <c r="AR10" s="237"/>
      <c r="AS10" s="237"/>
      <c r="AT10" s="237"/>
      <c r="AU10" s="237"/>
      <c r="AV10" s="783"/>
      <c r="AW10" s="222"/>
      <c r="AX10" s="222"/>
      <c r="AY10" s="222"/>
      <c r="AZ10" s="222"/>
      <c r="BA10" s="222"/>
      <c r="BB10" s="222"/>
      <c r="BC10" s="222"/>
      <c r="BD10" s="222"/>
      <c r="BE10" s="222"/>
      <c r="BF10" s="222"/>
    </row>
    <row r="11" spans="1:58" s="9" customFormat="1" ht="15.75" customHeight="1" thickTop="1">
      <c r="A11" s="222"/>
      <c r="B11" s="673" t="s">
        <v>6191</v>
      </c>
      <c r="C11" s="244" t="s">
        <v>137</v>
      </c>
      <c r="D11" s="244">
        <v>3</v>
      </c>
      <c r="E11" s="598">
        <v>0</v>
      </c>
      <c r="F11" s="598">
        <v>0</v>
      </c>
      <c r="G11" s="598">
        <v>0</v>
      </c>
      <c r="H11" s="598">
        <v>0</v>
      </c>
      <c r="I11" s="598">
        <v>0</v>
      </c>
      <c r="J11" s="598">
        <v>0</v>
      </c>
      <c r="K11" s="598">
        <v>0</v>
      </c>
      <c r="L11" s="598">
        <v>0</v>
      </c>
      <c r="M11" s="1479">
        <f>IFERROR(SUM(E11:L11), 0)</f>
        <v>0</v>
      </c>
      <c r="N11" s="598">
        <v>0</v>
      </c>
      <c r="O11" s="598">
        <v>0</v>
      </c>
      <c r="P11" s="598">
        <v>0</v>
      </c>
      <c r="Q11" s="598">
        <v>0</v>
      </c>
      <c r="R11" s="598">
        <v>0</v>
      </c>
      <c r="S11" s="598">
        <v>0</v>
      </c>
      <c r="T11" s="598">
        <v>0</v>
      </c>
      <c r="U11" s="598">
        <v>0</v>
      </c>
      <c r="V11" s="1480">
        <f>IFERROR(SUM(N11:U11), 0)</f>
        <v>0</v>
      </c>
      <c r="W11" s="222"/>
      <c r="X11" s="248" t="s">
        <v>6192</v>
      </c>
      <c r="Y11" s="222"/>
      <c r="Z11" s="250"/>
      <c r="AA11" s="222"/>
      <c r="AB11" s="783"/>
      <c r="AC11" s="251">
        <f>IF( SUM( AE11:AU11 ) = 0, 0, $AE$9 )</f>
        <v>0</v>
      </c>
      <c r="AD11" s="783"/>
      <c r="AE11" s="252">
        <f t="shared" ref="AE11" si="0" xml:space="preserve"> IF( ISNUMBER( E11 ), 0, 1 )</f>
        <v>0</v>
      </c>
      <c r="AF11" s="252">
        <f t="shared" ref="AF11" si="1" xml:space="preserve"> IF( ISNUMBER( F11 ), 0, 1 )</f>
        <v>0</v>
      </c>
      <c r="AG11" s="252">
        <f t="shared" ref="AG11" si="2" xml:space="preserve"> IF( ISNUMBER( G11 ), 0, 1 )</f>
        <v>0</v>
      </c>
      <c r="AH11" s="252">
        <f t="shared" ref="AH11" si="3" xml:space="preserve"> IF( ISNUMBER( H11 ), 0, 1 )</f>
        <v>0</v>
      </c>
      <c r="AI11" s="252">
        <f t="shared" ref="AI11" si="4" xml:space="preserve"> IF( ISNUMBER( I11 ), 0, 1 )</f>
        <v>0</v>
      </c>
      <c r="AJ11" s="252">
        <f t="shared" ref="AJ11" si="5" xml:space="preserve"> IF( ISNUMBER( J11 ), 0, 1 )</f>
        <v>0</v>
      </c>
      <c r="AK11" s="252">
        <f t="shared" ref="AK11" si="6" xml:space="preserve"> IF( ISNUMBER( K11 ), 0, 1 )</f>
        <v>0</v>
      </c>
      <c r="AL11" s="252">
        <f t="shared" ref="AL11" si="7" xml:space="preserve"> IF( ISNUMBER( L11 ), 0, 1 )</f>
        <v>0</v>
      </c>
      <c r="AM11" s="237"/>
      <c r="AN11" s="252">
        <f t="shared" ref="AN11" si="8" xml:space="preserve"> IF( ISNUMBER( N11 ), 0, 1 )</f>
        <v>0</v>
      </c>
      <c r="AO11" s="252">
        <f t="shared" ref="AO11" si="9" xml:space="preserve"> IF( ISNUMBER( O11 ), 0, 1 )</f>
        <v>0</v>
      </c>
      <c r="AP11" s="252">
        <f t="shared" ref="AP11" si="10" xml:space="preserve"> IF( ISNUMBER( P11 ), 0, 1 )</f>
        <v>0</v>
      </c>
      <c r="AQ11" s="252">
        <f t="shared" ref="AQ11" si="11" xml:space="preserve"> IF( ISNUMBER( Q11 ), 0, 1 )</f>
        <v>0</v>
      </c>
      <c r="AR11" s="252">
        <f t="shared" ref="AR11" si="12" xml:space="preserve"> IF( ISNUMBER( R11 ), 0, 1 )</f>
        <v>0</v>
      </c>
      <c r="AS11" s="252">
        <f t="shared" ref="AS11" si="13" xml:space="preserve"> IF( ISNUMBER( S11 ), 0, 1 )</f>
        <v>0</v>
      </c>
      <c r="AT11" s="252">
        <f t="shared" ref="AT11" si="14" xml:space="preserve"> IF( ISNUMBER( T11 ), 0, 1 )</f>
        <v>0</v>
      </c>
      <c r="AU11" s="252">
        <f t="shared" ref="AU11" si="15" xml:space="preserve"> IF( ISNUMBER( U11 ), 0, 1 )</f>
        <v>0</v>
      </c>
      <c r="AV11" s="783"/>
      <c r="AW11" s="222"/>
      <c r="AX11" s="222"/>
      <c r="AY11" s="222"/>
      <c r="AZ11" s="222"/>
      <c r="BA11" s="222"/>
      <c r="BB11" s="222"/>
      <c r="BC11" s="222"/>
      <c r="BD11" s="222"/>
      <c r="BE11" s="222"/>
      <c r="BF11" s="222"/>
    </row>
    <row r="12" spans="1:58" s="9" customFormat="1" ht="15.75" customHeight="1">
      <c r="A12" s="222"/>
      <c r="B12" s="675" t="s">
        <v>6193</v>
      </c>
      <c r="C12" s="253" t="s">
        <v>137</v>
      </c>
      <c r="D12" s="253">
        <v>3</v>
      </c>
      <c r="E12" s="601">
        <v>0</v>
      </c>
      <c r="F12" s="601">
        <v>0</v>
      </c>
      <c r="G12" s="601">
        <v>0</v>
      </c>
      <c r="H12" s="601">
        <v>0</v>
      </c>
      <c r="I12" s="601">
        <v>0</v>
      </c>
      <c r="J12" s="601">
        <v>0</v>
      </c>
      <c r="K12" s="601">
        <v>0</v>
      </c>
      <c r="L12" s="601">
        <v>0</v>
      </c>
      <c r="M12" s="1481">
        <f>IFERROR(SUM(E12:L12), 0)</f>
        <v>0</v>
      </c>
      <c r="N12" s="601">
        <v>0</v>
      </c>
      <c r="O12" s="601">
        <v>0</v>
      </c>
      <c r="P12" s="601">
        <v>0</v>
      </c>
      <c r="Q12" s="601">
        <v>0</v>
      </c>
      <c r="R12" s="601">
        <v>0</v>
      </c>
      <c r="S12" s="601">
        <v>0</v>
      </c>
      <c r="T12" s="601">
        <v>0</v>
      </c>
      <c r="U12" s="601">
        <v>0</v>
      </c>
      <c r="V12" s="1482">
        <f>IFERROR(SUM(N12:U12), 0)</f>
        <v>0</v>
      </c>
      <c r="W12" s="222"/>
      <c r="X12" s="257" t="s">
        <v>6194</v>
      </c>
      <c r="Y12" s="222"/>
      <c r="Z12" s="258"/>
      <c r="AA12" s="222"/>
      <c r="AB12" s="783"/>
      <c r="AC12" s="251">
        <f t="shared" ref="AC12:AC20" si="16">IF( SUM( AE12:AU12 ) = 0, 0, $AE$9 )</f>
        <v>0</v>
      </c>
      <c r="AD12" s="783"/>
      <c r="AE12" s="252">
        <f t="shared" ref="AE12:AE20" si="17" xml:space="preserve"> IF( ISNUMBER( E12 ), 0, 1 )</f>
        <v>0</v>
      </c>
      <c r="AF12" s="252">
        <f t="shared" ref="AF12:AF20" si="18" xml:space="preserve"> IF( ISNUMBER( F12 ), 0, 1 )</f>
        <v>0</v>
      </c>
      <c r="AG12" s="252">
        <f t="shared" ref="AG12:AG20" si="19" xml:space="preserve"> IF( ISNUMBER( G12 ), 0, 1 )</f>
        <v>0</v>
      </c>
      <c r="AH12" s="252">
        <f t="shared" ref="AH12:AH20" si="20" xml:space="preserve"> IF( ISNUMBER( H12 ), 0, 1 )</f>
        <v>0</v>
      </c>
      <c r="AI12" s="252">
        <f t="shared" ref="AI12:AI20" si="21" xml:space="preserve"> IF( ISNUMBER( I12 ), 0, 1 )</f>
        <v>0</v>
      </c>
      <c r="AJ12" s="252">
        <f t="shared" ref="AJ12:AJ20" si="22" xml:space="preserve"> IF( ISNUMBER( J12 ), 0, 1 )</f>
        <v>0</v>
      </c>
      <c r="AK12" s="252">
        <f t="shared" ref="AK12:AK20" si="23" xml:space="preserve"> IF( ISNUMBER( K12 ), 0, 1 )</f>
        <v>0</v>
      </c>
      <c r="AL12" s="252">
        <f t="shared" ref="AL12:AL20" si="24" xml:space="preserve"> IF( ISNUMBER( L12 ), 0, 1 )</f>
        <v>0</v>
      </c>
      <c r="AM12" s="237"/>
      <c r="AN12" s="252">
        <f t="shared" ref="AN12:AN20" si="25" xml:space="preserve"> IF( ISNUMBER( N12 ), 0, 1 )</f>
        <v>0</v>
      </c>
      <c r="AO12" s="252">
        <f t="shared" ref="AO12:AO20" si="26" xml:space="preserve"> IF( ISNUMBER( O12 ), 0, 1 )</f>
        <v>0</v>
      </c>
      <c r="AP12" s="252">
        <f t="shared" ref="AP12:AP20" si="27" xml:space="preserve"> IF( ISNUMBER( P12 ), 0, 1 )</f>
        <v>0</v>
      </c>
      <c r="AQ12" s="252">
        <f t="shared" ref="AQ12:AQ20" si="28" xml:space="preserve"> IF( ISNUMBER( Q12 ), 0, 1 )</f>
        <v>0</v>
      </c>
      <c r="AR12" s="252">
        <f t="shared" ref="AR12:AR20" si="29" xml:space="preserve"> IF( ISNUMBER( R12 ), 0, 1 )</f>
        <v>0</v>
      </c>
      <c r="AS12" s="252">
        <f t="shared" ref="AS12:AS20" si="30" xml:space="preserve"> IF( ISNUMBER( S12 ), 0, 1 )</f>
        <v>0</v>
      </c>
      <c r="AT12" s="252">
        <f t="shared" ref="AT12:AT20" si="31" xml:space="preserve"> IF( ISNUMBER( T12 ), 0, 1 )</f>
        <v>0</v>
      </c>
      <c r="AU12" s="252">
        <f t="shared" ref="AU12:AU20" si="32" xml:space="preserve"> IF( ISNUMBER( U12 ), 0, 1 )</f>
        <v>0</v>
      </c>
      <c r="AV12" s="783"/>
      <c r="AW12" s="222"/>
      <c r="AX12" s="222"/>
      <c r="AY12" s="222"/>
      <c r="AZ12" s="222"/>
      <c r="BA12" s="222"/>
      <c r="BB12" s="222"/>
      <c r="BC12" s="222"/>
      <c r="BD12" s="222"/>
      <c r="BE12" s="222"/>
      <c r="BF12" s="222"/>
    </row>
    <row r="13" spans="1:58" s="9" customFormat="1" ht="15.75" customHeight="1">
      <c r="A13" s="222"/>
      <c r="B13" s="675" t="s">
        <v>6195</v>
      </c>
      <c r="C13" s="253" t="s">
        <v>137</v>
      </c>
      <c r="D13" s="253">
        <v>3</v>
      </c>
      <c r="E13" s="601">
        <v>0</v>
      </c>
      <c r="F13" s="601">
        <v>0</v>
      </c>
      <c r="G13" s="601">
        <v>0</v>
      </c>
      <c r="H13" s="601">
        <v>0</v>
      </c>
      <c r="I13" s="601">
        <v>0</v>
      </c>
      <c r="J13" s="601">
        <v>0</v>
      </c>
      <c r="K13" s="601">
        <v>0</v>
      </c>
      <c r="L13" s="601">
        <v>0</v>
      </c>
      <c r="M13" s="1481">
        <f t="shared" ref="M13:M20" si="33">IFERROR(SUM(E13:L13), 0)</f>
        <v>0</v>
      </c>
      <c r="N13" s="601">
        <v>0</v>
      </c>
      <c r="O13" s="601">
        <v>0</v>
      </c>
      <c r="P13" s="601">
        <v>0</v>
      </c>
      <c r="Q13" s="601">
        <v>0</v>
      </c>
      <c r="R13" s="601">
        <v>0</v>
      </c>
      <c r="S13" s="601">
        <v>0</v>
      </c>
      <c r="T13" s="601">
        <v>0</v>
      </c>
      <c r="U13" s="601">
        <v>0</v>
      </c>
      <c r="V13" s="1482">
        <f t="shared" ref="V13:V20" si="34">IFERROR(SUM(N13:U13), 0)</f>
        <v>0</v>
      </c>
      <c r="W13" s="222"/>
      <c r="X13" s="257" t="s">
        <v>6196</v>
      </c>
      <c r="Y13" s="222"/>
      <c r="Z13" s="258"/>
      <c r="AA13" s="222"/>
      <c r="AB13" s="783"/>
      <c r="AC13" s="251">
        <f t="shared" si="16"/>
        <v>0</v>
      </c>
      <c r="AD13" s="783"/>
      <c r="AE13" s="252">
        <f t="shared" si="17"/>
        <v>0</v>
      </c>
      <c r="AF13" s="252">
        <f t="shared" si="18"/>
        <v>0</v>
      </c>
      <c r="AG13" s="252">
        <f t="shared" si="19"/>
        <v>0</v>
      </c>
      <c r="AH13" s="252">
        <f t="shared" si="20"/>
        <v>0</v>
      </c>
      <c r="AI13" s="252">
        <f t="shared" si="21"/>
        <v>0</v>
      </c>
      <c r="AJ13" s="252">
        <f t="shared" si="22"/>
        <v>0</v>
      </c>
      <c r="AK13" s="252">
        <f t="shared" si="23"/>
        <v>0</v>
      </c>
      <c r="AL13" s="252">
        <f t="shared" si="24"/>
        <v>0</v>
      </c>
      <c r="AM13" s="237"/>
      <c r="AN13" s="252">
        <f t="shared" si="25"/>
        <v>0</v>
      </c>
      <c r="AO13" s="252">
        <f t="shared" si="26"/>
        <v>0</v>
      </c>
      <c r="AP13" s="252">
        <f t="shared" si="27"/>
        <v>0</v>
      </c>
      <c r="AQ13" s="252">
        <f t="shared" si="28"/>
        <v>0</v>
      </c>
      <c r="AR13" s="252">
        <f t="shared" si="29"/>
        <v>0</v>
      </c>
      <c r="AS13" s="252">
        <f t="shared" si="30"/>
        <v>0</v>
      </c>
      <c r="AT13" s="252">
        <f t="shared" si="31"/>
        <v>0</v>
      </c>
      <c r="AU13" s="252">
        <f t="shared" si="32"/>
        <v>0</v>
      </c>
      <c r="AV13" s="783"/>
      <c r="AW13" s="222"/>
      <c r="AX13" s="222"/>
      <c r="AY13" s="222"/>
      <c r="AZ13" s="222"/>
      <c r="BA13" s="222"/>
      <c r="BB13" s="222"/>
      <c r="BC13" s="222"/>
      <c r="BD13" s="222"/>
      <c r="BE13" s="222"/>
      <c r="BF13" s="222"/>
    </row>
    <row r="14" spans="1:58" s="9" customFormat="1" ht="15.75" customHeight="1">
      <c r="A14" s="222"/>
      <c r="B14" s="675" t="s">
        <v>6197</v>
      </c>
      <c r="C14" s="253" t="s">
        <v>137</v>
      </c>
      <c r="D14" s="253">
        <v>3</v>
      </c>
      <c r="E14" s="601">
        <v>0</v>
      </c>
      <c r="F14" s="601">
        <v>0</v>
      </c>
      <c r="G14" s="601">
        <v>0</v>
      </c>
      <c r="H14" s="601">
        <v>0</v>
      </c>
      <c r="I14" s="601">
        <v>0</v>
      </c>
      <c r="J14" s="601">
        <v>0</v>
      </c>
      <c r="K14" s="601">
        <v>0</v>
      </c>
      <c r="L14" s="601">
        <v>0</v>
      </c>
      <c r="M14" s="1481">
        <f t="shared" si="33"/>
        <v>0</v>
      </c>
      <c r="N14" s="601">
        <v>0</v>
      </c>
      <c r="O14" s="601">
        <v>0</v>
      </c>
      <c r="P14" s="601">
        <v>0</v>
      </c>
      <c r="Q14" s="601">
        <v>0</v>
      </c>
      <c r="R14" s="601">
        <v>0</v>
      </c>
      <c r="S14" s="601">
        <v>0</v>
      </c>
      <c r="T14" s="601">
        <v>0</v>
      </c>
      <c r="U14" s="601">
        <v>0</v>
      </c>
      <c r="V14" s="1482">
        <f t="shared" si="34"/>
        <v>0</v>
      </c>
      <c r="W14" s="222"/>
      <c r="X14" s="257" t="s">
        <v>6198</v>
      </c>
      <c r="Y14" s="222"/>
      <c r="Z14" s="258"/>
      <c r="AA14" s="222"/>
      <c r="AB14" s="783"/>
      <c r="AC14" s="251">
        <f t="shared" si="16"/>
        <v>0</v>
      </c>
      <c r="AD14" s="783"/>
      <c r="AE14" s="252">
        <f t="shared" si="17"/>
        <v>0</v>
      </c>
      <c r="AF14" s="252">
        <f t="shared" si="18"/>
        <v>0</v>
      </c>
      <c r="AG14" s="252">
        <f t="shared" si="19"/>
        <v>0</v>
      </c>
      <c r="AH14" s="252">
        <f t="shared" si="20"/>
        <v>0</v>
      </c>
      <c r="AI14" s="252">
        <f t="shared" si="21"/>
        <v>0</v>
      </c>
      <c r="AJ14" s="252">
        <f t="shared" si="22"/>
        <v>0</v>
      </c>
      <c r="AK14" s="252">
        <f t="shared" si="23"/>
        <v>0</v>
      </c>
      <c r="AL14" s="252">
        <f t="shared" si="24"/>
        <v>0</v>
      </c>
      <c r="AM14" s="237"/>
      <c r="AN14" s="252">
        <f t="shared" si="25"/>
        <v>0</v>
      </c>
      <c r="AO14" s="252">
        <f t="shared" si="26"/>
        <v>0</v>
      </c>
      <c r="AP14" s="252">
        <f t="shared" si="27"/>
        <v>0</v>
      </c>
      <c r="AQ14" s="252">
        <f t="shared" si="28"/>
        <v>0</v>
      </c>
      <c r="AR14" s="252">
        <f t="shared" si="29"/>
        <v>0</v>
      </c>
      <c r="AS14" s="252">
        <f t="shared" si="30"/>
        <v>0</v>
      </c>
      <c r="AT14" s="252">
        <f t="shared" si="31"/>
        <v>0</v>
      </c>
      <c r="AU14" s="252">
        <f t="shared" si="32"/>
        <v>0</v>
      </c>
      <c r="AV14" s="783"/>
      <c r="AW14" s="222"/>
      <c r="AX14" s="222"/>
      <c r="AY14" s="222"/>
      <c r="AZ14" s="222"/>
      <c r="BA14" s="222"/>
      <c r="BB14" s="222"/>
      <c r="BC14" s="222"/>
      <c r="BD14" s="222"/>
      <c r="BE14" s="222"/>
      <c r="BF14" s="222"/>
    </row>
    <row r="15" spans="1:58" s="9" customFormat="1" ht="15.75" customHeight="1">
      <c r="A15" s="222"/>
      <c r="B15" s="675" t="s">
        <v>6199</v>
      </c>
      <c r="C15" s="253" t="s">
        <v>137</v>
      </c>
      <c r="D15" s="253">
        <v>3</v>
      </c>
      <c r="E15" s="601">
        <v>0</v>
      </c>
      <c r="F15" s="601">
        <v>0</v>
      </c>
      <c r="G15" s="601">
        <v>0</v>
      </c>
      <c r="H15" s="601">
        <v>0</v>
      </c>
      <c r="I15" s="601">
        <v>0</v>
      </c>
      <c r="J15" s="601">
        <v>0</v>
      </c>
      <c r="K15" s="601">
        <v>0</v>
      </c>
      <c r="L15" s="601">
        <v>0</v>
      </c>
      <c r="M15" s="1481">
        <f t="shared" si="33"/>
        <v>0</v>
      </c>
      <c r="N15" s="601">
        <v>0</v>
      </c>
      <c r="O15" s="601">
        <v>0</v>
      </c>
      <c r="P15" s="601">
        <v>0</v>
      </c>
      <c r="Q15" s="601">
        <v>0</v>
      </c>
      <c r="R15" s="601">
        <v>0</v>
      </c>
      <c r="S15" s="601">
        <v>0</v>
      </c>
      <c r="T15" s="601">
        <v>0</v>
      </c>
      <c r="U15" s="601">
        <v>0</v>
      </c>
      <c r="V15" s="1482">
        <f t="shared" si="34"/>
        <v>0</v>
      </c>
      <c r="W15" s="222"/>
      <c r="X15" s="257" t="s">
        <v>6200</v>
      </c>
      <c r="Y15" s="222"/>
      <c r="Z15" s="258"/>
      <c r="AA15" s="222"/>
      <c r="AB15" s="783"/>
      <c r="AC15" s="251">
        <f t="shared" si="16"/>
        <v>0</v>
      </c>
      <c r="AD15" s="783"/>
      <c r="AE15" s="252">
        <f t="shared" si="17"/>
        <v>0</v>
      </c>
      <c r="AF15" s="252">
        <f t="shared" si="18"/>
        <v>0</v>
      </c>
      <c r="AG15" s="252">
        <f t="shared" si="19"/>
        <v>0</v>
      </c>
      <c r="AH15" s="252">
        <f t="shared" si="20"/>
        <v>0</v>
      </c>
      <c r="AI15" s="252">
        <f t="shared" si="21"/>
        <v>0</v>
      </c>
      <c r="AJ15" s="252">
        <f t="shared" si="22"/>
        <v>0</v>
      </c>
      <c r="AK15" s="252">
        <f t="shared" si="23"/>
        <v>0</v>
      </c>
      <c r="AL15" s="252">
        <f t="shared" si="24"/>
        <v>0</v>
      </c>
      <c r="AM15" s="237"/>
      <c r="AN15" s="252">
        <f t="shared" si="25"/>
        <v>0</v>
      </c>
      <c r="AO15" s="252">
        <f t="shared" si="26"/>
        <v>0</v>
      </c>
      <c r="AP15" s="252">
        <f t="shared" si="27"/>
        <v>0</v>
      </c>
      <c r="AQ15" s="252">
        <f t="shared" si="28"/>
        <v>0</v>
      </c>
      <c r="AR15" s="252">
        <f t="shared" si="29"/>
        <v>0</v>
      </c>
      <c r="AS15" s="252">
        <f t="shared" si="30"/>
        <v>0</v>
      </c>
      <c r="AT15" s="252">
        <f t="shared" si="31"/>
        <v>0</v>
      </c>
      <c r="AU15" s="252">
        <f t="shared" si="32"/>
        <v>0</v>
      </c>
      <c r="AV15" s="783"/>
      <c r="AW15" s="222"/>
      <c r="AX15" s="222"/>
      <c r="AY15" s="222"/>
      <c r="AZ15" s="222"/>
      <c r="BA15" s="222"/>
      <c r="BB15" s="222"/>
      <c r="BC15" s="222"/>
      <c r="BD15" s="222"/>
      <c r="BE15" s="222"/>
      <c r="BF15" s="222"/>
    </row>
    <row r="16" spans="1:58" s="9" customFormat="1" ht="15.75" customHeight="1">
      <c r="A16" s="222"/>
      <c r="B16" s="675" t="s">
        <v>6201</v>
      </c>
      <c r="C16" s="253" t="s">
        <v>137</v>
      </c>
      <c r="D16" s="253">
        <v>3</v>
      </c>
      <c r="E16" s="601">
        <v>0</v>
      </c>
      <c r="F16" s="601">
        <v>0</v>
      </c>
      <c r="G16" s="601">
        <v>0</v>
      </c>
      <c r="H16" s="601">
        <v>0</v>
      </c>
      <c r="I16" s="601">
        <v>0</v>
      </c>
      <c r="J16" s="601">
        <v>0</v>
      </c>
      <c r="K16" s="601">
        <v>0</v>
      </c>
      <c r="L16" s="601">
        <v>0</v>
      </c>
      <c r="M16" s="1481">
        <f t="shared" si="33"/>
        <v>0</v>
      </c>
      <c r="N16" s="601">
        <v>0</v>
      </c>
      <c r="O16" s="601">
        <v>0</v>
      </c>
      <c r="P16" s="601">
        <v>0</v>
      </c>
      <c r="Q16" s="601">
        <v>0</v>
      </c>
      <c r="R16" s="601">
        <v>0</v>
      </c>
      <c r="S16" s="601">
        <v>0</v>
      </c>
      <c r="T16" s="601">
        <v>0</v>
      </c>
      <c r="U16" s="601">
        <v>0</v>
      </c>
      <c r="V16" s="1482">
        <f t="shared" si="34"/>
        <v>0</v>
      </c>
      <c r="W16" s="222"/>
      <c r="X16" s="257" t="s">
        <v>6202</v>
      </c>
      <c r="Y16" s="222"/>
      <c r="Z16" s="258"/>
      <c r="AA16" s="222"/>
      <c r="AB16" s="783"/>
      <c r="AC16" s="251">
        <f t="shared" si="16"/>
        <v>0</v>
      </c>
      <c r="AD16" s="783"/>
      <c r="AE16" s="252">
        <f t="shared" si="17"/>
        <v>0</v>
      </c>
      <c r="AF16" s="252">
        <f t="shared" si="18"/>
        <v>0</v>
      </c>
      <c r="AG16" s="252">
        <f t="shared" si="19"/>
        <v>0</v>
      </c>
      <c r="AH16" s="252">
        <f t="shared" si="20"/>
        <v>0</v>
      </c>
      <c r="AI16" s="252">
        <f t="shared" si="21"/>
        <v>0</v>
      </c>
      <c r="AJ16" s="252">
        <f t="shared" si="22"/>
        <v>0</v>
      </c>
      <c r="AK16" s="252">
        <f t="shared" si="23"/>
        <v>0</v>
      </c>
      <c r="AL16" s="252">
        <f t="shared" si="24"/>
        <v>0</v>
      </c>
      <c r="AM16" s="237"/>
      <c r="AN16" s="252">
        <f t="shared" si="25"/>
        <v>0</v>
      </c>
      <c r="AO16" s="252">
        <f t="shared" si="26"/>
        <v>0</v>
      </c>
      <c r="AP16" s="252">
        <f t="shared" si="27"/>
        <v>0</v>
      </c>
      <c r="AQ16" s="252">
        <f t="shared" si="28"/>
        <v>0</v>
      </c>
      <c r="AR16" s="252">
        <f t="shared" si="29"/>
        <v>0</v>
      </c>
      <c r="AS16" s="252">
        <f t="shared" si="30"/>
        <v>0</v>
      </c>
      <c r="AT16" s="252">
        <f t="shared" si="31"/>
        <v>0</v>
      </c>
      <c r="AU16" s="252">
        <f t="shared" si="32"/>
        <v>0</v>
      </c>
      <c r="AV16" s="783"/>
      <c r="AW16" s="222"/>
      <c r="AX16" s="222"/>
      <c r="AY16" s="222"/>
      <c r="AZ16" s="222"/>
      <c r="BA16" s="222"/>
      <c r="BB16" s="222"/>
      <c r="BC16" s="222"/>
      <c r="BD16" s="222"/>
      <c r="BE16" s="222"/>
      <c r="BF16" s="222"/>
    </row>
    <row r="17" spans="1:58" s="9" customFormat="1" ht="15.75" customHeight="1">
      <c r="A17" s="222"/>
      <c r="B17" s="675" t="s">
        <v>6203</v>
      </c>
      <c r="C17" s="253" t="s">
        <v>137</v>
      </c>
      <c r="D17" s="253">
        <v>3</v>
      </c>
      <c r="E17" s="601">
        <v>0</v>
      </c>
      <c r="F17" s="601">
        <v>0</v>
      </c>
      <c r="G17" s="601">
        <v>0</v>
      </c>
      <c r="H17" s="601">
        <v>0</v>
      </c>
      <c r="I17" s="601">
        <v>0</v>
      </c>
      <c r="J17" s="601">
        <v>0</v>
      </c>
      <c r="K17" s="601">
        <v>0</v>
      </c>
      <c r="L17" s="601">
        <v>0</v>
      </c>
      <c r="M17" s="1481">
        <f t="shared" si="33"/>
        <v>0</v>
      </c>
      <c r="N17" s="601">
        <v>0</v>
      </c>
      <c r="O17" s="601">
        <v>0</v>
      </c>
      <c r="P17" s="601">
        <v>0</v>
      </c>
      <c r="Q17" s="601">
        <v>0</v>
      </c>
      <c r="R17" s="601">
        <v>0</v>
      </c>
      <c r="S17" s="601">
        <v>0</v>
      </c>
      <c r="T17" s="601">
        <v>0</v>
      </c>
      <c r="U17" s="601">
        <v>0</v>
      </c>
      <c r="V17" s="1482">
        <f t="shared" si="34"/>
        <v>0</v>
      </c>
      <c r="W17" s="222"/>
      <c r="X17" s="257" t="s">
        <v>6204</v>
      </c>
      <c r="Y17" s="222"/>
      <c r="Z17" s="258"/>
      <c r="AA17" s="222"/>
      <c r="AB17" s="783"/>
      <c r="AC17" s="251">
        <f t="shared" si="16"/>
        <v>0</v>
      </c>
      <c r="AD17" s="783"/>
      <c r="AE17" s="252">
        <f t="shared" si="17"/>
        <v>0</v>
      </c>
      <c r="AF17" s="252">
        <f t="shared" si="18"/>
        <v>0</v>
      </c>
      <c r="AG17" s="252">
        <f t="shared" si="19"/>
        <v>0</v>
      </c>
      <c r="AH17" s="252">
        <f t="shared" si="20"/>
        <v>0</v>
      </c>
      <c r="AI17" s="252">
        <f t="shared" si="21"/>
        <v>0</v>
      </c>
      <c r="AJ17" s="252">
        <f t="shared" si="22"/>
        <v>0</v>
      </c>
      <c r="AK17" s="252">
        <f t="shared" si="23"/>
        <v>0</v>
      </c>
      <c r="AL17" s="252">
        <f t="shared" si="24"/>
        <v>0</v>
      </c>
      <c r="AM17" s="237"/>
      <c r="AN17" s="252">
        <f t="shared" si="25"/>
        <v>0</v>
      </c>
      <c r="AO17" s="252">
        <f t="shared" si="26"/>
        <v>0</v>
      </c>
      <c r="AP17" s="252">
        <f t="shared" si="27"/>
        <v>0</v>
      </c>
      <c r="AQ17" s="252">
        <f t="shared" si="28"/>
        <v>0</v>
      </c>
      <c r="AR17" s="252">
        <f t="shared" si="29"/>
        <v>0</v>
      </c>
      <c r="AS17" s="252">
        <f t="shared" si="30"/>
        <v>0</v>
      </c>
      <c r="AT17" s="252">
        <f t="shared" si="31"/>
        <v>0</v>
      </c>
      <c r="AU17" s="252">
        <f t="shared" si="32"/>
        <v>0</v>
      </c>
      <c r="AV17" s="783"/>
      <c r="AW17" s="222"/>
      <c r="AX17" s="222"/>
      <c r="AY17" s="222"/>
      <c r="AZ17" s="222"/>
      <c r="BA17" s="222"/>
      <c r="BB17" s="222"/>
      <c r="BC17" s="222"/>
      <c r="BD17" s="222"/>
      <c r="BE17" s="222"/>
      <c r="BF17" s="222"/>
    </row>
    <row r="18" spans="1:58" s="9" customFormat="1" ht="15.75" customHeight="1">
      <c r="A18" s="222"/>
      <c r="B18" s="675" t="s">
        <v>6205</v>
      </c>
      <c r="C18" s="253" t="s">
        <v>137</v>
      </c>
      <c r="D18" s="253">
        <v>3</v>
      </c>
      <c r="E18" s="601">
        <v>0</v>
      </c>
      <c r="F18" s="601">
        <v>0</v>
      </c>
      <c r="G18" s="601">
        <v>0</v>
      </c>
      <c r="H18" s="601">
        <v>0</v>
      </c>
      <c r="I18" s="601">
        <v>0</v>
      </c>
      <c r="J18" s="601">
        <v>0</v>
      </c>
      <c r="K18" s="601">
        <v>0</v>
      </c>
      <c r="L18" s="601">
        <v>0</v>
      </c>
      <c r="M18" s="1481">
        <f t="shared" si="33"/>
        <v>0</v>
      </c>
      <c r="N18" s="601">
        <v>0</v>
      </c>
      <c r="O18" s="601">
        <v>0</v>
      </c>
      <c r="P18" s="601">
        <v>0</v>
      </c>
      <c r="Q18" s="601">
        <v>0</v>
      </c>
      <c r="R18" s="601">
        <v>0</v>
      </c>
      <c r="S18" s="601">
        <v>0</v>
      </c>
      <c r="T18" s="601">
        <v>0</v>
      </c>
      <c r="U18" s="601">
        <v>0</v>
      </c>
      <c r="V18" s="1482">
        <f t="shared" si="34"/>
        <v>0</v>
      </c>
      <c r="W18" s="222"/>
      <c r="X18" s="257" t="s">
        <v>6206</v>
      </c>
      <c r="Y18" s="222"/>
      <c r="Z18" s="258"/>
      <c r="AA18" s="222"/>
      <c r="AB18" s="783"/>
      <c r="AC18" s="251">
        <f t="shared" si="16"/>
        <v>0</v>
      </c>
      <c r="AD18" s="783"/>
      <c r="AE18" s="252">
        <f t="shared" si="17"/>
        <v>0</v>
      </c>
      <c r="AF18" s="252">
        <f t="shared" si="18"/>
        <v>0</v>
      </c>
      <c r="AG18" s="252">
        <f t="shared" si="19"/>
        <v>0</v>
      </c>
      <c r="AH18" s="252">
        <f t="shared" si="20"/>
        <v>0</v>
      </c>
      <c r="AI18" s="252">
        <f t="shared" si="21"/>
        <v>0</v>
      </c>
      <c r="AJ18" s="252">
        <f t="shared" si="22"/>
        <v>0</v>
      </c>
      <c r="AK18" s="252">
        <f t="shared" si="23"/>
        <v>0</v>
      </c>
      <c r="AL18" s="252">
        <f t="shared" si="24"/>
        <v>0</v>
      </c>
      <c r="AM18" s="237"/>
      <c r="AN18" s="252">
        <f t="shared" si="25"/>
        <v>0</v>
      </c>
      <c r="AO18" s="252">
        <f t="shared" si="26"/>
        <v>0</v>
      </c>
      <c r="AP18" s="252">
        <f t="shared" si="27"/>
        <v>0</v>
      </c>
      <c r="AQ18" s="252">
        <f t="shared" si="28"/>
        <v>0</v>
      </c>
      <c r="AR18" s="252">
        <f t="shared" si="29"/>
        <v>0</v>
      </c>
      <c r="AS18" s="252">
        <f t="shared" si="30"/>
        <v>0</v>
      </c>
      <c r="AT18" s="252">
        <f t="shared" si="31"/>
        <v>0</v>
      </c>
      <c r="AU18" s="252">
        <f t="shared" si="32"/>
        <v>0</v>
      </c>
      <c r="AV18" s="783"/>
      <c r="AW18" s="222"/>
      <c r="AX18" s="222"/>
      <c r="AY18" s="222"/>
      <c r="AZ18" s="222"/>
      <c r="BA18" s="222"/>
      <c r="BB18" s="222"/>
      <c r="BC18" s="222"/>
      <c r="BD18" s="222"/>
      <c r="BE18" s="222"/>
      <c r="BF18" s="222"/>
    </row>
    <row r="19" spans="1:58" s="9" customFormat="1" ht="15.75" customHeight="1">
      <c r="A19" s="222"/>
      <c r="B19" s="675" t="s">
        <v>6207</v>
      </c>
      <c r="C19" s="253" t="s">
        <v>137</v>
      </c>
      <c r="D19" s="253">
        <v>3</v>
      </c>
      <c r="E19" s="601">
        <v>0</v>
      </c>
      <c r="F19" s="601">
        <v>0</v>
      </c>
      <c r="G19" s="601">
        <v>0</v>
      </c>
      <c r="H19" s="601">
        <v>0</v>
      </c>
      <c r="I19" s="601">
        <v>0</v>
      </c>
      <c r="J19" s="601">
        <v>0</v>
      </c>
      <c r="K19" s="601">
        <v>0</v>
      </c>
      <c r="L19" s="601">
        <v>0</v>
      </c>
      <c r="M19" s="1481">
        <f t="shared" si="33"/>
        <v>0</v>
      </c>
      <c r="N19" s="601">
        <v>0</v>
      </c>
      <c r="O19" s="601">
        <v>0</v>
      </c>
      <c r="P19" s="601">
        <v>0</v>
      </c>
      <c r="Q19" s="601">
        <v>0</v>
      </c>
      <c r="R19" s="601">
        <v>0</v>
      </c>
      <c r="S19" s="601">
        <v>0</v>
      </c>
      <c r="T19" s="601">
        <v>0</v>
      </c>
      <c r="U19" s="601">
        <v>0</v>
      </c>
      <c r="V19" s="1482">
        <f t="shared" si="34"/>
        <v>0</v>
      </c>
      <c r="W19" s="222"/>
      <c r="X19" s="257" t="s">
        <v>6208</v>
      </c>
      <c r="Y19" s="222"/>
      <c r="Z19" s="258"/>
      <c r="AA19" s="222"/>
      <c r="AB19" s="783"/>
      <c r="AC19" s="251">
        <f t="shared" si="16"/>
        <v>0</v>
      </c>
      <c r="AD19" s="783"/>
      <c r="AE19" s="252">
        <f t="shared" si="17"/>
        <v>0</v>
      </c>
      <c r="AF19" s="252">
        <f t="shared" si="18"/>
        <v>0</v>
      </c>
      <c r="AG19" s="252">
        <f t="shared" si="19"/>
        <v>0</v>
      </c>
      <c r="AH19" s="252">
        <f t="shared" si="20"/>
        <v>0</v>
      </c>
      <c r="AI19" s="252">
        <f t="shared" si="21"/>
        <v>0</v>
      </c>
      <c r="AJ19" s="252">
        <f t="shared" si="22"/>
        <v>0</v>
      </c>
      <c r="AK19" s="252">
        <f t="shared" si="23"/>
        <v>0</v>
      </c>
      <c r="AL19" s="252">
        <f t="shared" si="24"/>
        <v>0</v>
      </c>
      <c r="AM19" s="237"/>
      <c r="AN19" s="252">
        <f t="shared" si="25"/>
        <v>0</v>
      </c>
      <c r="AO19" s="252">
        <f t="shared" si="26"/>
        <v>0</v>
      </c>
      <c r="AP19" s="252">
        <f t="shared" si="27"/>
        <v>0</v>
      </c>
      <c r="AQ19" s="252">
        <f t="shared" si="28"/>
        <v>0</v>
      </c>
      <c r="AR19" s="252">
        <f t="shared" si="29"/>
        <v>0</v>
      </c>
      <c r="AS19" s="252">
        <f t="shared" si="30"/>
        <v>0</v>
      </c>
      <c r="AT19" s="252">
        <f t="shared" si="31"/>
        <v>0</v>
      </c>
      <c r="AU19" s="252">
        <f t="shared" si="32"/>
        <v>0</v>
      </c>
      <c r="AV19" s="783"/>
      <c r="AW19" s="222"/>
      <c r="AX19" s="222"/>
      <c r="AY19" s="222"/>
      <c r="AZ19" s="222"/>
      <c r="BA19" s="222"/>
      <c r="BB19" s="222"/>
      <c r="BC19" s="222"/>
      <c r="BD19" s="222"/>
      <c r="BE19" s="222"/>
      <c r="BF19" s="222"/>
    </row>
    <row r="20" spans="1:58" s="9" customFormat="1" ht="15.75" customHeight="1">
      <c r="A20" s="222"/>
      <c r="B20" s="675" t="s">
        <v>6209</v>
      </c>
      <c r="C20" s="253" t="s">
        <v>137</v>
      </c>
      <c r="D20" s="253">
        <v>3</v>
      </c>
      <c r="E20" s="601">
        <v>0</v>
      </c>
      <c r="F20" s="601">
        <v>0</v>
      </c>
      <c r="G20" s="601">
        <v>0</v>
      </c>
      <c r="H20" s="601">
        <v>0</v>
      </c>
      <c r="I20" s="601">
        <v>0</v>
      </c>
      <c r="J20" s="601">
        <v>0</v>
      </c>
      <c r="K20" s="601">
        <v>0</v>
      </c>
      <c r="L20" s="601">
        <v>0</v>
      </c>
      <c r="M20" s="1481">
        <f t="shared" si="33"/>
        <v>0</v>
      </c>
      <c r="N20" s="601">
        <v>0</v>
      </c>
      <c r="O20" s="601">
        <v>0</v>
      </c>
      <c r="P20" s="601">
        <v>0</v>
      </c>
      <c r="Q20" s="601">
        <v>0</v>
      </c>
      <c r="R20" s="601">
        <v>0</v>
      </c>
      <c r="S20" s="601">
        <v>0</v>
      </c>
      <c r="T20" s="601">
        <v>0</v>
      </c>
      <c r="U20" s="601">
        <v>0</v>
      </c>
      <c r="V20" s="1482">
        <f t="shared" si="34"/>
        <v>0</v>
      </c>
      <c r="W20" s="222"/>
      <c r="X20" s="257" t="s">
        <v>6210</v>
      </c>
      <c r="Y20" s="222"/>
      <c r="Z20" s="258"/>
      <c r="AA20" s="222"/>
      <c r="AB20" s="783"/>
      <c r="AC20" s="251">
        <f t="shared" si="16"/>
        <v>0</v>
      </c>
      <c r="AD20" s="783"/>
      <c r="AE20" s="252">
        <f t="shared" si="17"/>
        <v>0</v>
      </c>
      <c r="AF20" s="252">
        <f t="shared" si="18"/>
        <v>0</v>
      </c>
      <c r="AG20" s="252">
        <f t="shared" si="19"/>
        <v>0</v>
      </c>
      <c r="AH20" s="252">
        <f t="shared" si="20"/>
        <v>0</v>
      </c>
      <c r="AI20" s="252">
        <f t="shared" si="21"/>
        <v>0</v>
      </c>
      <c r="AJ20" s="252">
        <f t="shared" si="22"/>
        <v>0</v>
      </c>
      <c r="AK20" s="252">
        <f t="shared" si="23"/>
        <v>0</v>
      </c>
      <c r="AL20" s="252">
        <f t="shared" si="24"/>
        <v>0</v>
      </c>
      <c r="AM20" s="237"/>
      <c r="AN20" s="252">
        <f t="shared" si="25"/>
        <v>0</v>
      </c>
      <c r="AO20" s="252">
        <f t="shared" si="26"/>
        <v>0</v>
      </c>
      <c r="AP20" s="252">
        <f t="shared" si="27"/>
        <v>0</v>
      </c>
      <c r="AQ20" s="252">
        <f t="shared" si="28"/>
        <v>0</v>
      </c>
      <c r="AR20" s="252">
        <f t="shared" si="29"/>
        <v>0</v>
      </c>
      <c r="AS20" s="252">
        <f t="shared" si="30"/>
        <v>0</v>
      </c>
      <c r="AT20" s="252">
        <f t="shared" si="31"/>
        <v>0</v>
      </c>
      <c r="AU20" s="252">
        <f t="shared" si="32"/>
        <v>0</v>
      </c>
      <c r="AV20" s="783"/>
      <c r="AW20" s="222"/>
      <c r="AX20" s="222"/>
      <c r="AY20" s="222"/>
      <c r="AZ20" s="222"/>
      <c r="BA20" s="222"/>
      <c r="BB20" s="222"/>
      <c r="BC20" s="222"/>
      <c r="BD20" s="222"/>
      <c r="BE20" s="222"/>
      <c r="BF20" s="222"/>
    </row>
    <row r="21" spans="1:58" s="9" customFormat="1" ht="30" customHeight="1" thickBot="1">
      <c r="A21" s="222"/>
      <c r="B21" s="425" t="s">
        <v>6160</v>
      </c>
      <c r="C21" s="319" t="s">
        <v>137</v>
      </c>
      <c r="D21" s="319">
        <v>3</v>
      </c>
      <c r="E21" s="1473">
        <f>IFERROR(SUM(E11:E20), 0)</f>
        <v>0</v>
      </c>
      <c r="F21" s="1473">
        <f t="shared" ref="F21:L21" si="35">IFERROR(SUM(F11:F20), 0)</f>
        <v>0</v>
      </c>
      <c r="G21" s="1473">
        <f t="shared" si="35"/>
        <v>0</v>
      </c>
      <c r="H21" s="1473">
        <f t="shared" si="35"/>
        <v>0</v>
      </c>
      <c r="I21" s="1473">
        <f t="shared" si="35"/>
        <v>0</v>
      </c>
      <c r="J21" s="1473">
        <f t="shared" si="35"/>
        <v>0</v>
      </c>
      <c r="K21" s="1473">
        <f t="shared" si="35"/>
        <v>0</v>
      </c>
      <c r="L21" s="1473">
        <f t="shared" si="35"/>
        <v>0</v>
      </c>
      <c r="M21" s="1473">
        <f>IFERROR(SUM(E21:L21), 0)</f>
        <v>0</v>
      </c>
      <c r="N21" s="1473">
        <f>IFERROR(SUM(N11:N20), 0)</f>
        <v>0</v>
      </c>
      <c r="O21" s="1473">
        <f t="shared" ref="O21:U21" si="36">IFERROR(SUM(O11:O20), 0)</f>
        <v>0</v>
      </c>
      <c r="P21" s="1473">
        <f t="shared" si="36"/>
        <v>0</v>
      </c>
      <c r="Q21" s="1473">
        <f t="shared" si="36"/>
        <v>0</v>
      </c>
      <c r="R21" s="1473">
        <f t="shared" si="36"/>
        <v>0</v>
      </c>
      <c r="S21" s="1473">
        <f t="shared" si="36"/>
        <v>0</v>
      </c>
      <c r="T21" s="1473">
        <f t="shared" si="36"/>
        <v>0</v>
      </c>
      <c r="U21" s="1473">
        <f t="shared" si="36"/>
        <v>0</v>
      </c>
      <c r="V21" s="1483">
        <f>IFERROR(SUM(N21:U21), 0)</f>
        <v>0</v>
      </c>
      <c r="W21" s="222"/>
      <c r="X21" s="538" t="s">
        <v>6211</v>
      </c>
      <c r="Y21" s="222"/>
      <c r="Z21" s="269"/>
      <c r="AA21" s="222"/>
      <c r="AB21" s="783"/>
      <c r="AC21" s="222"/>
      <c r="AD21" s="783"/>
      <c r="AE21" s="237"/>
      <c r="AF21" s="237"/>
      <c r="AG21" s="237"/>
      <c r="AH21" s="237"/>
      <c r="AI21" s="237"/>
      <c r="AJ21" s="237"/>
      <c r="AK21" s="237"/>
      <c r="AL21" s="237"/>
      <c r="AM21" s="237"/>
      <c r="AN21" s="237"/>
      <c r="AO21" s="237"/>
      <c r="AP21" s="237"/>
      <c r="AQ21" s="237"/>
      <c r="AR21" s="237"/>
      <c r="AS21" s="237"/>
      <c r="AT21" s="237"/>
      <c r="AU21" s="237"/>
      <c r="AV21" s="783"/>
      <c r="AW21" s="222"/>
      <c r="AX21" s="222"/>
      <c r="AY21" s="222"/>
      <c r="AZ21" s="222"/>
      <c r="BA21" s="222"/>
      <c r="BB21" s="222"/>
      <c r="BC21" s="222"/>
      <c r="BD21" s="222"/>
      <c r="BE21" s="222"/>
      <c r="BF21" s="222"/>
    </row>
    <row r="22" spans="1:58" s="9" customFormat="1" ht="16.5" thickTop="1" thickBot="1">
      <c r="A22" s="222"/>
      <c r="B22" s="791"/>
      <c r="C22" s="791"/>
      <c r="D22" s="791"/>
      <c r="E22" s="1484"/>
      <c r="F22" s="1484"/>
      <c r="G22" s="1484"/>
      <c r="H22" s="1484"/>
      <c r="I22" s="1484"/>
      <c r="J22" s="1484"/>
      <c r="K22" s="1484"/>
      <c r="L22" s="1484"/>
      <c r="M22" s="1484"/>
      <c r="N22" s="1484"/>
      <c r="O22" s="1484"/>
      <c r="P22" s="1484"/>
      <c r="Q22" s="1484"/>
      <c r="R22" s="1484"/>
      <c r="S22" s="1484"/>
      <c r="T22" s="1484"/>
      <c r="U22" s="1484"/>
      <c r="V22" s="1484"/>
      <c r="W22" s="222"/>
      <c r="X22" s="721"/>
      <c r="Y22" s="222"/>
      <c r="Z22" s="222"/>
      <c r="AA22" s="222"/>
      <c r="AB22" s="783"/>
      <c r="AC22" s="222"/>
      <c r="AD22" s="783"/>
      <c r="AE22" s="237"/>
      <c r="AF22" s="237"/>
      <c r="AG22" s="237"/>
      <c r="AH22" s="237"/>
      <c r="AI22" s="237"/>
      <c r="AJ22" s="237"/>
      <c r="AK22" s="237"/>
      <c r="AL22" s="237"/>
      <c r="AM22" s="237"/>
      <c r="AN22" s="237"/>
      <c r="AO22" s="237"/>
      <c r="AP22" s="237"/>
      <c r="AQ22" s="237"/>
      <c r="AR22" s="237"/>
      <c r="AS22" s="237"/>
      <c r="AT22" s="237"/>
      <c r="AU22" s="237"/>
      <c r="AV22" s="783"/>
      <c r="AW22" s="222"/>
      <c r="AX22" s="222"/>
      <c r="AY22" s="222"/>
      <c r="AZ22" s="222"/>
      <c r="BA22" s="222"/>
      <c r="BB22" s="222"/>
      <c r="BC22" s="222"/>
      <c r="BD22" s="222"/>
      <c r="BE22" s="222"/>
      <c r="BF22" s="222"/>
    </row>
    <row r="23" spans="1:58" s="9" customFormat="1" ht="39.65" customHeight="1" thickTop="1" thickBot="1">
      <c r="A23" s="222"/>
      <c r="B23" s="355" t="s">
        <v>6162</v>
      </c>
      <c r="C23" s="356"/>
      <c r="D23" s="356"/>
      <c r="E23" s="1485"/>
      <c r="F23" s="1485"/>
      <c r="G23" s="1485"/>
      <c r="H23" s="1485"/>
      <c r="I23" s="1485"/>
      <c r="J23" s="1485"/>
      <c r="K23" s="1485"/>
      <c r="L23" s="1485"/>
      <c r="M23" s="1485"/>
      <c r="N23" s="1485"/>
      <c r="O23" s="1485"/>
      <c r="P23" s="1485"/>
      <c r="Q23" s="1485"/>
      <c r="R23" s="1485"/>
      <c r="S23" s="1485"/>
      <c r="T23" s="1485"/>
      <c r="U23" s="1485"/>
      <c r="V23" s="1485"/>
      <c r="W23" s="222"/>
      <c r="X23" s="222"/>
      <c r="Y23" s="222"/>
      <c r="Z23" s="222"/>
      <c r="AA23" s="222"/>
      <c r="AB23" s="783"/>
      <c r="AC23" s="222"/>
      <c r="AD23" s="783"/>
      <c r="AE23" s="237"/>
      <c r="AF23" s="237"/>
      <c r="AG23" s="237"/>
      <c r="AH23" s="237"/>
      <c r="AI23" s="237"/>
      <c r="AJ23" s="237"/>
      <c r="AK23" s="237"/>
      <c r="AL23" s="237"/>
      <c r="AM23" s="237"/>
      <c r="AN23" s="237"/>
      <c r="AO23" s="237"/>
      <c r="AP23" s="237"/>
      <c r="AQ23" s="237"/>
      <c r="AR23" s="237"/>
      <c r="AS23" s="237"/>
      <c r="AT23" s="237"/>
      <c r="AU23" s="237"/>
      <c r="AV23" s="783"/>
      <c r="AW23" s="222"/>
      <c r="AX23" s="222"/>
      <c r="AY23" s="222"/>
      <c r="AZ23" s="222"/>
      <c r="BA23" s="222"/>
      <c r="BB23" s="222"/>
      <c r="BC23" s="222"/>
      <c r="BD23" s="222"/>
      <c r="BE23" s="222"/>
      <c r="BF23" s="222"/>
    </row>
    <row r="24" spans="1:58" s="9" customFormat="1" ht="15.75" customHeight="1" thickTop="1">
      <c r="A24" s="222"/>
      <c r="B24" s="673" t="s">
        <v>6212</v>
      </c>
      <c r="C24" s="244" t="s">
        <v>137</v>
      </c>
      <c r="D24" s="244">
        <v>3</v>
      </c>
      <c r="E24" s="598">
        <v>0</v>
      </c>
      <c r="F24" s="598">
        <v>0</v>
      </c>
      <c r="G24" s="598">
        <v>0</v>
      </c>
      <c r="H24" s="598">
        <v>0</v>
      </c>
      <c r="I24" s="598">
        <v>0</v>
      </c>
      <c r="J24" s="598">
        <v>0</v>
      </c>
      <c r="K24" s="598">
        <v>0</v>
      </c>
      <c r="L24" s="598">
        <v>0</v>
      </c>
      <c r="M24" s="1479">
        <f>IFERROR(SUM(E24:L24), 0)</f>
        <v>0</v>
      </c>
      <c r="N24" s="598">
        <v>0</v>
      </c>
      <c r="O24" s="598">
        <v>0</v>
      </c>
      <c r="P24" s="598">
        <v>0</v>
      </c>
      <c r="Q24" s="598">
        <v>0</v>
      </c>
      <c r="R24" s="598">
        <v>0</v>
      </c>
      <c r="S24" s="598">
        <v>0</v>
      </c>
      <c r="T24" s="598">
        <v>0</v>
      </c>
      <c r="U24" s="598">
        <v>0</v>
      </c>
      <c r="V24" s="1480">
        <f>IFERROR(SUM(N24:U24), 0)</f>
        <v>0</v>
      </c>
      <c r="W24" s="222"/>
      <c r="X24" s="248" t="s">
        <v>6213</v>
      </c>
      <c r="Y24" s="222"/>
      <c r="Z24" s="250"/>
      <c r="AA24" s="222"/>
      <c r="AB24" s="783"/>
      <c r="AC24" s="251">
        <f t="shared" ref="AC24:AC33" si="37">IF( SUM( AE24:AU24 ) = 0, 0, $AE$9 )</f>
        <v>0</v>
      </c>
      <c r="AD24" s="783"/>
      <c r="AE24" s="252">
        <f t="shared" ref="AE24:AE33" si="38" xml:space="preserve"> IF( ISNUMBER( E24 ), 0, 1 )</f>
        <v>0</v>
      </c>
      <c r="AF24" s="252">
        <f t="shared" ref="AF24:AF33" si="39" xml:space="preserve"> IF( ISNUMBER( F24 ), 0, 1 )</f>
        <v>0</v>
      </c>
      <c r="AG24" s="252">
        <f t="shared" ref="AG24:AG33" si="40" xml:space="preserve"> IF( ISNUMBER( G24 ), 0, 1 )</f>
        <v>0</v>
      </c>
      <c r="AH24" s="252">
        <f t="shared" ref="AH24:AH33" si="41" xml:space="preserve"> IF( ISNUMBER( H24 ), 0, 1 )</f>
        <v>0</v>
      </c>
      <c r="AI24" s="252">
        <f t="shared" ref="AI24:AI33" si="42" xml:space="preserve"> IF( ISNUMBER( I24 ), 0, 1 )</f>
        <v>0</v>
      </c>
      <c r="AJ24" s="252">
        <f t="shared" ref="AJ24:AJ33" si="43" xml:space="preserve"> IF( ISNUMBER( J24 ), 0, 1 )</f>
        <v>0</v>
      </c>
      <c r="AK24" s="252">
        <f t="shared" ref="AK24:AK33" si="44" xml:space="preserve"> IF( ISNUMBER( K24 ), 0, 1 )</f>
        <v>0</v>
      </c>
      <c r="AL24" s="252">
        <f t="shared" ref="AL24:AL33" si="45" xml:space="preserve"> IF( ISNUMBER( L24 ), 0, 1 )</f>
        <v>0</v>
      </c>
      <c r="AM24" s="237"/>
      <c r="AN24" s="252">
        <f t="shared" ref="AN24:AN33" si="46" xml:space="preserve"> IF( ISNUMBER( N24 ), 0, 1 )</f>
        <v>0</v>
      </c>
      <c r="AO24" s="252">
        <f t="shared" ref="AO24:AO33" si="47" xml:space="preserve"> IF( ISNUMBER( O24 ), 0, 1 )</f>
        <v>0</v>
      </c>
      <c r="AP24" s="252">
        <f t="shared" ref="AP24:AP33" si="48" xml:space="preserve"> IF( ISNUMBER( P24 ), 0, 1 )</f>
        <v>0</v>
      </c>
      <c r="AQ24" s="252">
        <f t="shared" ref="AQ24:AQ33" si="49" xml:space="preserve"> IF( ISNUMBER( Q24 ), 0, 1 )</f>
        <v>0</v>
      </c>
      <c r="AR24" s="252">
        <f t="shared" ref="AR24:AR33" si="50" xml:space="preserve"> IF( ISNUMBER( R24 ), 0, 1 )</f>
        <v>0</v>
      </c>
      <c r="AS24" s="252">
        <f t="shared" ref="AS24:AS33" si="51" xml:space="preserve"> IF( ISNUMBER( S24 ), 0, 1 )</f>
        <v>0</v>
      </c>
      <c r="AT24" s="252">
        <f t="shared" ref="AT24:AT33" si="52" xml:space="preserve"> IF( ISNUMBER( T24 ), 0, 1 )</f>
        <v>0</v>
      </c>
      <c r="AU24" s="252">
        <f t="shared" ref="AU24:AU33" si="53" xml:space="preserve"> IF( ISNUMBER( U24 ), 0, 1 )</f>
        <v>0</v>
      </c>
      <c r="AV24" s="783"/>
      <c r="AW24" s="222"/>
      <c r="AX24" s="222"/>
      <c r="AY24" s="222"/>
      <c r="AZ24" s="222"/>
      <c r="BA24" s="222"/>
      <c r="BB24" s="222"/>
      <c r="BC24" s="222"/>
      <c r="BD24" s="222"/>
      <c r="BE24" s="222"/>
      <c r="BF24" s="222"/>
    </row>
    <row r="25" spans="1:58" s="9" customFormat="1" ht="15.75" customHeight="1">
      <c r="A25" s="222"/>
      <c r="B25" s="675" t="s">
        <v>6214</v>
      </c>
      <c r="C25" s="253" t="s">
        <v>137</v>
      </c>
      <c r="D25" s="253">
        <v>3</v>
      </c>
      <c r="E25" s="601">
        <v>0</v>
      </c>
      <c r="F25" s="601">
        <v>0</v>
      </c>
      <c r="G25" s="601">
        <v>0</v>
      </c>
      <c r="H25" s="601">
        <v>0</v>
      </c>
      <c r="I25" s="601">
        <v>0</v>
      </c>
      <c r="J25" s="601">
        <v>0</v>
      </c>
      <c r="K25" s="601">
        <v>0</v>
      </c>
      <c r="L25" s="601">
        <v>0</v>
      </c>
      <c r="M25" s="1481">
        <f>IFERROR(SUM(E25:L25), 0)</f>
        <v>0</v>
      </c>
      <c r="N25" s="601">
        <v>0</v>
      </c>
      <c r="O25" s="601">
        <v>0</v>
      </c>
      <c r="P25" s="601">
        <v>0</v>
      </c>
      <c r="Q25" s="601">
        <v>0</v>
      </c>
      <c r="R25" s="601">
        <v>0</v>
      </c>
      <c r="S25" s="601">
        <v>0</v>
      </c>
      <c r="T25" s="601">
        <v>0</v>
      </c>
      <c r="U25" s="601">
        <v>0</v>
      </c>
      <c r="V25" s="1482">
        <f>IFERROR(SUM(N25:U25), 0)</f>
        <v>0</v>
      </c>
      <c r="W25" s="222"/>
      <c r="X25" s="257" t="s">
        <v>6215</v>
      </c>
      <c r="Y25" s="222"/>
      <c r="Z25" s="258"/>
      <c r="AA25" s="222"/>
      <c r="AB25" s="783"/>
      <c r="AC25" s="251">
        <f t="shared" si="37"/>
        <v>0</v>
      </c>
      <c r="AD25" s="783"/>
      <c r="AE25" s="252">
        <f t="shared" si="38"/>
        <v>0</v>
      </c>
      <c r="AF25" s="252">
        <f t="shared" si="39"/>
        <v>0</v>
      </c>
      <c r="AG25" s="252">
        <f t="shared" si="40"/>
        <v>0</v>
      </c>
      <c r="AH25" s="252">
        <f t="shared" si="41"/>
        <v>0</v>
      </c>
      <c r="AI25" s="252">
        <f t="shared" si="42"/>
        <v>0</v>
      </c>
      <c r="AJ25" s="252">
        <f t="shared" si="43"/>
        <v>0</v>
      </c>
      <c r="AK25" s="252">
        <f t="shared" si="44"/>
        <v>0</v>
      </c>
      <c r="AL25" s="252">
        <f t="shared" si="45"/>
        <v>0</v>
      </c>
      <c r="AM25" s="237"/>
      <c r="AN25" s="252">
        <f t="shared" si="46"/>
        <v>0</v>
      </c>
      <c r="AO25" s="252">
        <f t="shared" si="47"/>
        <v>0</v>
      </c>
      <c r="AP25" s="252">
        <f t="shared" si="48"/>
        <v>0</v>
      </c>
      <c r="AQ25" s="252">
        <f t="shared" si="49"/>
        <v>0</v>
      </c>
      <c r="AR25" s="252">
        <f t="shared" si="50"/>
        <v>0</v>
      </c>
      <c r="AS25" s="252">
        <f t="shared" si="51"/>
        <v>0</v>
      </c>
      <c r="AT25" s="252">
        <f t="shared" si="52"/>
        <v>0</v>
      </c>
      <c r="AU25" s="252">
        <f t="shared" si="53"/>
        <v>0</v>
      </c>
      <c r="AV25" s="783"/>
      <c r="AW25" s="222"/>
      <c r="AX25" s="222"/>
      <c r="AY25" s="222"/>
      <c r="AZ25" s="222"/>
      <c r="BA25" s="222"/>
      <c r="BB25" s="222"/>
      <c r="BC25" s="222"/>
      <c r="BD25" s="222"/>
      <c r="BE25" s="222"/>
      <c r="BF25" s="222"/>
    </row>
    <row r="26" spans="1:58" s="9" customFormat="1" ht="15.75" customHeight="1">
      <c r="A26" s="222"/>
      <c r="B26" s="675" t="s">
        <v>6216</v>
      </c>
      <c r="C26" s="253" t="s">
        <v>137</v>
      </c>
      <c r="D26" s="253">
        <v>3</v>
      </c>
      <c r="E26" s="601">
        <v>0</v>
      </c>
      <c r="F26" s="601">
        <v>0</v>
      </c>
      <c r="G26" s="601">
        <v>0</v>
      </c>
      <c r="H26" s="601">
        <v>0</v>
      </c>
      <c r="I26" s="601">
        <v>0</v>
      </c>
      <c r="J26" s="601">
        <v>0</v>
      </c>
      <c r="K26" s="601">
        <v>0</v>
      </c>
      <c r="L26" s="601">
        <v>0</v>
      </c>
      <c r="M26" s="1481">
        <f t="shared" ref="M26:M33" si="54">IFERROR(SUM(E26:L26), 0)</f>
        <v>0</v>
      </c>
      <c r="N26" s="601">
        <v>0</v>
      </c>
      <c r="O26" s="601">
        <v>0</v>
      </c>
      <c r="P26" s="601">
        <v>0</v>
      </c>
      <c r="Q26" s="601">
        <v>0</v>
      </c>
      <c r="R26" s="601">
        <v>0</v>
      </c>
      <c r="S26" s="601">
        <v>0</v>
      </c>
      <c r="T26" s="601">
        <v>0</v>
      </c>
      <c r="U26" s="601">
        <v>0</v>
      </c>
      <c r="V26" s="1482">
        <f t="shared" ref="V26:V33" si="55">IFERROR(SUM(N26:U26), 0)</f>
        <v>0</v>
      </c>
      <c r="W26" s="222"/>
      <c r="X26" s="257" t="s">
        <v>6217</v>
      </c>
      <c r="Y26" s="222"/>
      <c r="Z26" s="258"/>
      <c r="AA26" s="222"/>
      <c r="AB26" s="783"/>
      <c r="AC26" s="251">
        <f t="shared" si="37"/>
        <v>0</v>
      </c>
      <c r="AD26" s="783"/>
      <c r="AE26" s="252">
        <f t="shared" si="38"/>
        <v>0</v>
      </c>
      <c r="AF26" s="252">
        <f t="shared" si="39"/>
        <v>0</v>
      </c>
      <c r="AG26" s="252">
        <f t="shared" si="40"/>
        <v>0</v>
      </c>
      <c r="AH26" s="252">
        <f t="shared" si="41"/>
        <v>0</v>
      </c>
      <c r="AI26" s="252">
        <f t="shared" si="42"/>
        <v>0</v>
      </c>
      <c r="AJ26" s="252">
        <f t="shared" si="43"/>
        <v>0</v>
      </c>
      <c r="AK26" s="252">
        <f t="shared" si="44"/>
        <v>0</v>
      </c>
      <c r="AL26" s="252">
        <f t="shared" si="45"/>
        <v>0</v>
      </c>
      <c r="AM26" s="237"/>
      <c r="AN26" s="252">
        <f t="shared" si="46"/>
        <v>0</v>
      </c>
      <c r="AO26" s="252">
        <f t="shared" si="47"/>
        <v>0</v>
      </c>
      <c r="AP26" s="252">
        <f t="shared" si="48"/>
        <v>0</v>
      </c>
      <c r="AQ26" s="252">
        <f t="shared" si="49"/>
        <v>0</v>
      </c>
      <c r="AR26" s="252">
        <f t="shared" si="50"/>
        <v>0</v>
      </c>
      <c r="AS26" s="252">
        <f t="shared" si="51"/>
        <v>0</v>
      </c>
      <c r="AT26" s="252">
        <f t="shared" si="52"/>
        <v>0</v>
      </c>
      <c r="AU26" s="252">
        <f t="shared" si="53"/>
        <v>0</v>
      </c>
      <c r="AV26" s="783"/>
      <c r="AW26" s="222"/>
      <c r="AX26" s="222"/>
      <c r="AY26" s="222"/>
      <c r="AZ26" s="222"/>
      <c r="BA26" s="222"/>
      <c r="BB26" s="222"/>
      <c r="BC26" s="222"/>
      <c r="BD26" s="222"/>
      <c r="BE26" s="222"/>
      <c r="BF26" s="222"/>
    </row>
    <row r="27" spans="1:58" s="9" customFormat="1" ht="15.75" customHeight="1">
      <c r="A27" s="222"/>
      <c r="B27" s="675" t="s">
        <v>6218</v>
      </c>
      <c r="C27" s="253" t="s">
        <v>137</v>
      </c>
      <c r="D27" s="253">
        <v>3</v>
      </c>
      <c r="E27" s="601">
        <v>0</v>
      </c>
      <c r="F27" s="601">
        <v>0</v>
      </c>
      <c r="G27" s="601">
        <v>0</v>
      </c>
      <c r="H27" s="601">
        <v>0</v>
      </c>
      <c r="I27" s="601">
        <v>0</v>
      </c>
      <c r="J27" s="601">
        <v>0</v>
      </c>
      <c r="K27" s="601">
        <v>0</v>
      </c>
      <c r="L27" s="601">
        <v>0</v>
      </c>
      <c r="M27" s="1481">
        <f t="shared" si="54"/>
        <v>0</v>
      </c>
      <c r="N27" s="601">
        <v>0</v>
      </c>
      <c r="O27" s="601">
        <v>0</v>
      </c>
      <c r="P27" s="601">
        <v>0</v>
      </c>
      <c r="Q27" s="601">
        <v>0</v>
      </c>
      <c r="R27" s="601">
        <v>0</v>
      </c>
      <c r="S27" s="601">
        <v>0</v>
      </c>
      <c r="T27" s="601">
        <v>0</v>
      </c>
      <c r="U27" s="601">
        <v>0</v>
      </c>
      <c r="V27" s="1482">
        <f t="shared" si="55"/>
        <v>0</v>
      </c>
      <c r="W27" s="222"/>
      <c r="X27" s="257" t="s">
        <v>6219</v>
      </c>
      <c r="Y27" s="222"/>
      <c r="Z27" s="258"/>
      <c r="AA27" s="222"/>
      <c r="AB27" s="783"/>
      <c r="AC27" s="251">
        <f t="shared" si="37"/>
        <v>0</v>
      </c>
      <c r="AD27" s="783"/>
      <c r="AE27" s="252">
        <f t="shared" si="38"/>
        <v>0</v>
      </c>
      <c r="AF27" s="252">
        <f t="shared" si="39"/>
        <v>0</v>
      </c>
      <c r="AG27" s="252">
        <f t="shared" si="40"/>
        <v>0</v>
      </c>
      <c r="AH27" s="252">
        <f t="shared" si="41"/>
        <v>0</v>
      </c>
      <c r="AI27" s="252">
        <f t="shared" si="42"/>
        <v>0</v>
      </c>
      <c r="AJ27" s="252">
        <f t="shared" si="43"/>
        <v>0</v>
      </c>
      <c r="AK27" s="252">
        <f t="shared" si="44"/>
        <v>0</v>
      </c>
      <c r="AL27" s="252">
        <f t="shared" si="45"/>
        <v>0</v>
      </c>
      <c r="AM27" s="237"/>
      <c r="AN27" s="252">
        <f t="shared" si="46"/>
        <v>0</v>
      </c>
      <c r="AO27" s="252">
        <f t="shared" si="47"/>
        <v>0</v>
      </c>
      <c r="AP27" s="252">
        <f t="shared" si="48"/>
        <v>0</v>
      </c>
      <c r="AQ27" s="252">
        <f t="shared" si="49"/>
        <v>0</v>
      </c>
      <c r="AR27" s="252">
        <f t="shared" si="50"/>
        <v>0</v>
      </c>
      <c r="AS27" s="252">
        <f t="shared" si="51"/>
        <v>0</v>
      </c>
      <c r="AT27" s="252">
        <f t="shared" si="52"/>
        <v>0</v>
      </c>
      <c r="AU27" s="252">
        <f t="shared" si="53"/>
        <v>0</v>
      </c>
      <c r="AV27" s="783"/>
      <c r="AW27" s="222"/>
      <c r="AX27" s="222"/>
      <c r="AY27" s="222"/>
      <c r="AZ27" s="222"/>
      <c r="BA27" s="222"/>
      <c r="BB27" s="222"/>
      <c r="BC27" s="222"/>
      <c r="BD27" s="222"/>
      <c r="BE27" s="222"/>
      <c r="BF27" s="222"/>
    </row>
    <row r="28" spans="1:58" s="9" customFormat="1" ht="15.75" customHeight="1">
      <c r="A28" s="222"/>
      <c r="B28" s="675" t="s">
        <v>6220</v>
      </c>
      <c r="C28" s="253" t="s">
        <v>137</v>
      </c>
      <c r="D28" s="253">
        <v>3</v>
      </c>
      <c r="E28" s="601">
        <v>0</v>
      </c>
      <c r="F28" s="601">
        <v>0</v>
      </c>
      <c r="G28" s="601">
        <v>0</v>
      </c>
      <c r="H28" s="601">
        <v>0</v>
      </c>
      <c r="I28" s="601">
        <v>0</v>
      </c>
      <c r="J28" s="601">
        <v>0</v>
      </c>
      <c r="K28" s="601">
        <v>0</v>
      </c>
      <c r="L28" s="601">
        <v>0</v>
      </c>
      <c r="M28" s="1481">
        <f t="shared" si="54"/>
        <v>0</v>
      </c>
      <c r="N28" s="601">
        <v>0</v>
      </c>
      <c r="O28" s="601">
        <v>0</v>
      </c>
      <c r="P28" s="601">
        <v>0</v>
      </c>
      <c r="Q28" s="601">
        <v>0</v>
      </c>
      <c r="R28" s="601">
        <v>0</v>
      </c>
      <c r="S28" s="601">
        <v>0</v>
      </c>
      <c r="T28" s="601">
        <v>0</v>
      </c>
      <c r="U28" s="601">
        <v>0</v>
      </c>
      <c r="V28" s="1482">
        <f t="shared" si="55"/>
        <v>0</v>
      </c>
      <c r="W28" s="222"/>
      <c r="X28" s="257" t="s">
        <v>6221</v>
      </c>
      <c r="Y28" s="222"/>
      <c r="Z28" s="258"/>
      <c r="AA28" s="222"/>
      <c r="AB28" s="783"/>
      <c r="AC28" s="251">
        <f t="shared" si="37"/>
        <v>0</v>
      </c>
      <c r="AD28" s="783"/>
      <c r="AE28" s="252">
        <f t="shared" si="38"/>
        <v>0</v>
      </c>
      <c r="AF28" s="252">
        <f t="shared" si="39"/>
        <v>0</v>
      </c>
      <c r="AG28" s="252">
        <f t="shared" si="40"/>
        <v>0</v>
      </c>
      <c r="AH28" s="252">
        <f t="shared" si="41"/>
        <v>0</v>
      </c>
      <c r="AI28" s="252">
        <f t="shared" si="42"/>
        <v>0</v>
      </c>
      <c r="AJ28" s="252">
        <f t="shared" si="43"/>
        <v>0</v>
      </c>
      <c r="AK28" s="252">
        <f t="shared" si="44"/>
        <v>0</v>
      </c>
      <c r="AL28" s="252">
        <f t="shared" si="45"/>
        <v>0</v>
      </c>
      <c r="AM28" s="237"/>
      <c r="AN28" s="252">
        <f t="shared" si="46"/>
        <v>0</v>
      </c>
      <c r="AO28" s="252">
        <f t="shared" si="47"/>
        <v>0</v>
      </c>
      <c r="AP28" s="252">
        <f t="shared" si="48"/>
        <v>0</v>
      </c>
      <c r="AQ28" s="252">
        <f t="shared" si="49"/>
        <v>0</v>
      </c>
      <c r="AR28" s="252">
        <f t="shared" si="50"/>
        <v>0</v>
      </c>
      <c r="AS28" s="252">
        <f t="shared" si="51"/>
        <v>0</v>
      </c>
      <c r="AT28" s="252">
        <f t="shared" si="52"/>
        <v>0</v>
      </c>
      <c r="AU28" s="252">
        <f t="shared" si="53"/>
        <v>0</v>
      </c>
      <c r="AV28" s="783"/>
      <c r="AW28" s="222"/>
      <c r="AX28" s="222"/>
      <c r="AY28" s="222"/>
      <c r="AZ28" s="222"/>
      <c r="BA28" s="222"/>
      <c r="BB28" s="222"/>
      <c r="BC28" s="222"/>
      <c r="BD28" s="222"/>
      <c r="BE28" s="222"/>
      <c r="BF28" s="222"/>
    </row>
    <row r="29" spans="1:58" s="9" customFormat="1" ht="15.75" customHeight="1">
      <c r="A29" s="222"/>
      <c r="B29" s="675" t="s">
        <v>6222</v>
      </c>
      <c r="C29" s="253" t="s">
        <v>137</v>
      </c>
      <c r="D29" s="253">
        <v>3</v>
      </c>
      <c r="E29" s="601">
        <v>0</v>
      </c>
      <c r="F29" s="601">
        <v>0</v>
      </c>
      <c r="G29" s="601">
        <v>0</v>
      </c>
      <c r="H29" s="601">
        <v>0</v>
      </c>
      <c r="I29" s="601">
        <v>0</v>
      </c>
      <c r="J29" s="601">
        <v>0</v>
      </c>
      <c r="K29" s="601">
        <v>0</v>
      </c>
      <c r="L29" s="601">
        <v>0</v>
      </c>
      <c r="M29" s="1481">
        <f t="shared" si="54"/>
        <v>0</v>
      </c>
      <c r="N29" s="601">
        <v>0</v>
      </c>
      <c r="O29" s="601">
        <v>0</v>
      </c>
      <c r="P29" s="601">
        <v>0</v>
      </c>
      <c r="Q29" s="601">
        <v>0</v>
      </c>
      <c r="R29" s="601">
        <v>0</v>
      </c>
      <c r="S29" s="601">
        <v>0</v>
      </c>
      <c r="T29" s="601">
        <v>0</v>
      </c>
      <c r="U29" s="601">
        <v>0</v>
      </c>
      <c r="V29" s="1482">
        <f t="shared" si="55"/>
        <v>0</v>
      </c>
      <c r="W29" s="222"/>
      <c r="X29" s="257" t="s">
        <v>6223</v>
      </c>
      <c r="Y29" s="222"/>
      <c r="Z29" s="258"/>
      <c r="AA29" s="222"/>
      <c r="AB29" s="783"/>
      <c r="AC29" s="251">
        <f t="shared" si="37"/>
        <v>0</v>
      </c>
      <c r="AD29" s="783"/>
      <c r="AE29" s="252">
        <f t="shared" si="38"/>
        <v>0</v>
      </c>
      <c r="AF29" s="252">
        <f t="shared" si="39"/>
        <v>0</v>
      </c>
      <c r="AG29" s="252">
        <f t="shared" si="40"/>
        <v>0</v>
      </c>
      <c r="AH29" s="252">
        <f t="shared" si="41"/>
        <v>0</v>
      </c>
      <c r="AI29" s="252">
        <f t="shared" si="42"/>
        <v>0</v>
      </c>
      <c r="AJ29" s="252">
        <f t="shared" si="43"/>
        <v>0</v>
      </c>
      <c r="AK29" s="252">
        <f t="shared" si="44"/>
        <v>0</v>
      </c>
      <c r="AL29" s="252">
        <f t="shared" si="45"/>
        <v>0</v>
      </c>
      <c r="AM29" s="237"/>
      <c r="AN29" s="252">
        <f t="shared" si="46"/>
        <v>0</v>
      </c>
      <c r="AO29" s="252">
        <f t="shared" si="47"/>
        <v>0</v>
      </c>
      <c r="AP29" s="252">
        <f t="shared" si="48"/>
        <v>0</v>
      </c>
      <c r="AQ29" s="252">
        <f t="shared" si="49"/>
        <v>0</v>
      </c>
      <c r="AR29" s="252">
        <f t="shared" si="50"/>
        <v>0</v>
      </c>
      <c r="AS29" s="252">
        <f t="shared" si="51"/>
        <v>0</v>
      </c>
      <c r="AT29" s="252">
        <f t="shared" si="52"/>
        <v>0</v>
      </c>
      <c r="AU29" s="252">
        <f t="shared" si="53"/>
        <v>0</v>
      </c>
      <c r="AV29" s="783"/>
      <c r="AW29" s="222"/>
      <c r="AX29" s="222"/>
      <c r="AY29" s="222"/>
      <c r="AZ29" s="222"/>
      <c r="BA29" s="222"/>
      <c r="BB29" s="222"/>
      <c r="BC29" s="222"/>
      <c r="BD29" s="222"/>
      <c r="BE29" s="222"/>
      <c r="BF29" s="222"/>
    </row>
    <row r="30" spans="1:58" s="9" customFormat="1" ht="15.75" customHeight="1">
      <c r="A30" s="222"/>
      <c r="B30" s="675" t="s">
        <v>6224</v>
      </c>
      <c r="C30" s="253" t="s">
        <v>137</v>
      </c>
      <c r="D30" s="253">
        <v>3</v>
      </c>
      <c r="E30" s="601">
        <v>0</v>
      </c>
      <c r="F30" s="601">
        <v>0</v>
      </c>
      <c r="G30" s="601">
        <v>0</v>
      </c>
      <c r="H30" s="601">
        <v>0</v>
      </c>
      <c r="I30" s="601">
        <v>0</v>
      </c>
      <c r="J30" s="601">
        <v>0</v>
      </c>
      <c r="K30" s="601">
        <v>0</v>
      </c>
      <c r="L30" s="601">
        <v>0</v>
      </c>
      <c r="M30" s="1481">
        <f t="shared" si="54"/>
        <v>0</v>
      </c>
      <c r="N30" s="601">
        <v>0</v>
      </c>
      <c r="O30" s="601">
        <v>0</v>
      </c>
      <c r="P30" s="601">
        <v>0</v>
      </c>
      <c r="Q30" s="601">
        <v>0</v>
      </c>
      <c r="R30" s="601">
        <v>0</v>
      </c>
      <c r="S30" s="601">
        <v>0</v>
      </c>
      <c r="T30" s="601">
        <v>0</v>
      </c>
      <c r="U30" s="601">
        <v>0</v>
      </c>
      <c r="V30" s="1482">
        <f t="shared" si="55"/>
        <v>0</v>
      </c>
      <c r="W30" s="222"/>
      <c r="X30" s="257" t="s">
        <v>6225</v>
      </c>
      <c r="Y30" s="222"/>
      <c r="Z30" s="258"/>
      <c r="AA30" s="222"/>
      <c r="AB30" s="783"/>
      <c r="AC30" s="251">
        <f t="shared" si="37"/>
        <v>0</v>
      </c>
      <c r="AD30" s="783"/>
      <c r="AE30" s="252">
        <f t="shared" si="38"/>
        <v>0</v>
      </c>
      <c r="AF30" s="252">
        <f t="shared" si="39"/>
        <v>0</v>
      </c>
      <c r="AG30" s="252">
        <f t="shared" si="40"/>
        <v>0</v>
      </c>
      <c r="AH30" s="252">
        <f t="shared" si="41"/>
        <v>0</v>
      </c>
      <c r="AI30" s="252">
        <f t="shared" si="42"/>
        <v>0</v>
      </c>
      <c r="AJ30" s="252">
        <f t="shared" si="43"/>
        <v>0</v>
      </c>
      <c r="AK30" s="252">
        <f t="shared" si="44"/>
        <v>0</v>
      </c>
      <c r="AL30" s="252">
        <f t="shared" si="45"/>
        <v>0</v>
      </c>
      <c r="AM30" s="237"/>
      <c r="AN30" s="252">
        <f t="shared" si="46"/>
        <v>0</v>
      </c>
      <c r="AO30" s="252">
        <f t="shared" si="47"/>
        <v>0</v>
      </c>
      <c r="AP30" s="252">
        <f t="shared" si="48"/>
        <v>0</v>
      </c>
      <c r="AQ30" s="252">
        <f t="shared" si="49"/>
        <v>0</v>
      </c>
      <c r="AR30" s="252">
        <f t="shared" si="50"/>
        <v>0</v>
      </c>
      <c r="AS30" s="252">
        <f t="shared" si="51"/>
        <v>0</v>
      </c>
      <c r="AT30" s="252">
        <f t="shared" si="52"/>
        <v>0</v>
      </c>
      <c r="AU30" s="252">
        <f t="shared" si="53"/>
        <v>0</v>
      </c>
      <c r="AV30" s="783"/>
      <c r="AW30" s="222"/>
      <c r="AX30" s="222"/>
      <c r="AY30" s="222"/>
      <c r="AZ30" s="222"/>
      <c r="BA30" s="222"/>
      <c r="BB30" s="222"/>
      <c r="BC30" s="222"/>
      <c r="BD30" s="222"/>
      <c r="BE30" s="222"/>
      <c r="BF30" s="222"/>
    </row>
    <row r="31" spans="1:58" s="9" customFormat="1" ht="15.75" customHeight="1">
      <c r="A31" s="222"/>
      <c r="B31" s="675" t="s">
        <v>6226</v>
      </c>
      <c r="C31" s="253" t="s">
        <v>137</v>
      </c>
      <c r="D31" s="253">
        <v>3</v>
      </c>
      <c r="E31" s="601">
        <v>0</v>
      </c>
      <c r="F31" s="601">
        <v>0</v>
      </c>
      <c r="G31" s="601">
        <v>0</v>
      </c>
      <c r="H31" s="601">
        <v>0</v>
      </c>
      <c r="I31" s="601">
        <v>0</v>
      </c>
      <c r="J31" s="601">
        <v>0</v>
      </c>
      <c r="K31" s="601">
        <v>0</v>
      </c>
      <c r="L31" s="601">
        <v>0</v>
      </c>
      <c r="M31" s="1481">
        <f t="shared" si="54"/>
        <v>0</v>
      </c>
      <c r="N31" s="601">
        <v>0</v>
      </c>
      <c r="O31" s="601">
        <v>0</v>
      </c>
      <c r="P31" s="601">
        <v>0</v>
      </c>
      <c r="Q31" s="601">
        <v>0</v>
      </c>
      <c r="R31" s="601">
        <v>0</v>
      </c>
      <c r="S31" s="601">
        <v>0</v>
      </c>
      <c r="T31" s="601">
        <v>0</v>
      </c>
      <c r="U31" s="601">
        <v>0</v>
      </c>
      <c r="V31" s="1482">
        <f t="shared" si="55"/>
        <v>0</v>
      </c>
      <c r="W31" s="222"/>
      <c r="X31" s="257" t="s">
        <v>6227</v>
      </c>
      <c r="Y31" s="222"/>
      <c r="Z31" s="258"/>
      <c r="AA31" s="222"/>
      <c r="AB31" s="783"/>
      <c r="AC31" s="251">
        <f t="shared" si="37"/>
        <v>0</v>
      </c>
      <c r="AD31" s="783"/>
      <c r="AE31" s="252">
        <f t="shared" si="38"/>
        <v>0</v>
      </c>
      <c r="AF31" s="252">
        <f t="shared" si="39"/>
        <v>0</v>
      </c>
      <c r="AG31" s="252">
        <f t="shared" si="40"/>
        <v>0</v>
      </c>
      <c r="AH31" s="252">
        <f t="shared" si="41"/>
        <v>0</v>
      </c>
      <c r="AI31" s="252">
        <f t="shared" si="42"/>
        <v>0</v>
      </c>
      <c r="AJ31" s="252">
        <f t="shared" si="43"/>
        <v>0</v>
      </c>
      <c r="AK31" s="252">
        <f t="shared" si="44"/>
        <v>0</v>
      </c>
      <c r="AL31" s="252">
        <f t="shared" si="45"/>
        <v>0</v>
      </c>
      <c r="AM31" s="237"/>
      <c r="AN31" s="252">
        <f t="shared" si="46"/>
        <v>0</v>
      </c>
      <c r="AO31" s="252">
        <f t="shared" si="47"/>
        <v>0</v>
      </c>
      <c r="AP31" s="252">
        <f t="shared" si="48"/>
        <v>0</v>
      </c>
      <c r="AQ31" s="252">
        <f t="shared" si="49"/>
        <v>0</v>
      </c>
      <c r="AR31" s="252">
        <f t="shared" si="50"/>
        <v>0</v>
      </c>
      <c r="AS31" s="252">
        <f t="shared" si="51"/>
        <v>0</v>
      </c>
      <c r="AT31" s="252">
        <f t="shared" si="52"/>
        <v>0</v>
      </c>
      <c r="AU31" s="252">
        <f t="shared" si="53"/>
        <v>0</v>
      </c>
      <c r="AV31" s="783"/>
      <c r="AW31" s="222"/>
      <c r="AX31" s="222"/>
      <c r="AY31" s="222"/>
      <c r="AZ31" s="222"/>
      <c r="BA31" s="222"/>
      <c r="BB31" s="222"/>
      <c r="BC31" s="222"/>
      <c r="BD31" s="222"/>
      <c r="BE31" s="222"/>
      <c r="BF31" s="222"/>
    </row>
    <row r="32" spans="1:58" s="9" customFormat="1" ht="15.75" customHeight="1">
      <c r="A32" s="222"/>
      <c r="B32" s="675" t="s">
        <v>6228</v>
      </c>
      <c r="C32" s="253" t="s">
        <v>137</v>
      </c>
      <c r="D32" s="253">
        <v>3</v>
      </c>
      <c r="E32" s="601">
        <v>0</v>
      </c>
      <c r="F32" s="601">
        <v>0</v>
      </c>
      <c r="G32" s="601">
        <v>0</v>
      </c>
      <c r="H32" s="601">
        <v>0</v>
      </c>
      <c r="I32" s="601">
        <v>0</v>
      </c>
      <c r="J32" s="601">
        <v>0</v>
      </c>
      <c r="K32" s="601">
        <v>0</v>
      </c>
      <c r="L32" s="601">
        <v>0</v>
      </c>
      <c r="M32" s="1481">
        <f t="shared" si="54"/>
        <v>0</v>
      </c>
      <c r="N32" s="601">
        <v>0</v>
      </c>
      <c r="O32" s="601">
        <v>0</v>
      </c>
      <c r="P32" s="601">
        <v>0</v>
      </c>
      <c r="Q32" s="601">
        <v>0</v>
      </c>
      <c r="R32" s="601">
        <v>0</v>
      </c>
      <c r="S32" s="601">
        <v>0</v>
      </c>
      <c r="T32" s="601">
        <v>0</v>
      </c>
      <c r="U32" s="601">
        <v>0</v>
      </c>
      <c r="V32" s="1482">
        <f t="shared" si="55"/>
        <v>0</v>
      </c>
      <c r="W32" s="222"/>
      <c r="X32" s="257" t="s">
        <v>6229</v>
      </c>
      <c r="Y32" s="222"/>
      <c r="Z32" s="258"/>
      <c r="AA32" s="222"/>
      <c r="AB32" s="783"/>
      <c r="AC32" s="251">
        <f t="shared" si="37"/>
        <v>0</v>
      </c>
      <c r="AD32" s="783"/>
      <c r="AE32" s="252">
        <f t="shared" si="38"/>
        <v>0</v>
      </c>
      <c r="AF32" s="252">
        <f t="shared" si="39"/>
        <v>0</v>
      </c>
      <c r="AG32" s="252">
        <f t="shared" si="40"/>
        <v>0</v>
      </c>
      <c r="AH32" s="252">
        <f t="shared" si="41"/>
        <v>0</v>
      </c>
      <c r="AI32" s="252">
        <f t="shared" si="42"/>
        <v>0</v>
      </c>
      <c r="AJ32" s="252">
        <f t="shared" si="43"/>
        <v>0</v>
      </c>
      <c r="AK32" s="252">
        <f t="shared" si="44"/>
        <v>0</v>
      </c>
      <c r="AL32" s="252">
        <f t="shared" si="45"/>
        <v>0</v>
      </c>
      <c r="AM32" s="237"/>
      <c r="AN32" s="252">
        <f t="shared" si="46"/>
        <v>0</v>
      </c>
      <c r="AO32" s="252">
        <f t="shared" si="47"/>
        <v>0</v>
      </c>
      <c r="AP32" s="252">
        <f t="shared" si="48"/>
        <v>0</v>
      </c>
      <c r="AQ32" s="252">
        <f t="shared" si="49"/>
        <v>0</v>
      </c>
      <c r="AR32" s="252">
        <f t="shared" si="50"/>
        <v>0</v>
      </c>
      <c r="AS32" s="252">
        <f t="shared" si="51"/>
        <v>0</v>
      </c>
      <c r="AT32" s="252">
        <f t="shared" si="52"/>
        <v>0</v>
      </c>
      <c r="AU32" s="252">
        <f t="shared" si="53"/>
        <v>0</v>
      </c>
      <c r="AV32" s="783"/>
      <c r="AW32" s="222"/>
      <c r="AX32" s="222"/>
      <c r="AY32" s="222"/>
      <c r="AZ32" s="222"/>
      <c r="BA32" s="222"/>
      <c r="BB32" s="222"/>
      <c r="BC32" s="222"/>
      <c r="BD32" s="222"/>
      <c r="BE32" s="222"/>
      <c r="BF32" s="222"/>
    </row>
    <row r="33" spans="1:58" s="9" customFormat="1" ht="15.75" customHeight="1">
      <c r="A33" s="222"/>
      <c r="B33" s="675" t="s">
        <v>6230</v>
      </c>
      <c r="C33" s="253" t="s">
        <v>137</v>
      </c>
      <c r="D33" s="253">
        <v>3</v>
      </c>
      <c r="E33" s="601">
        <v>0</v>
      </c>
      <c r="F33" s="601">
        <v>0</v>
      </c>
      <c r="G33" s="601">
        <v>0</v>
      </c>
      <c r="H33" s="601">
        <v>0</v>
      </c>
      <c r="I33" s="601">
        <v>0</v>
      </c>
      <c r="J33" s="601">
        <v>0</v>
      </c>
      <c r="K33" s="601">
        <v>0</v>
      </c>
      <c r="L33" s="601">
        <v>0</v>
      </c>
      <c r="M33" s="1481">
        <f t="shared" si="54"/>
        <v>0</v>
      </c>
      <c r="N33" s="601">
        <v>0</v>
      </c>
      <c r="O33" s="601">
        <v>0</v>
      </c>
      <c r="P33" s="601">
        <v>0</v>
      </c>
      <c r="Q33" s="601">
        <v>0</v>
      </c>
      <c r="R33" s="601">
        <v>0</v>
      </c>
      <c r="S33" s="601">
        <v>0</v>
      </c>
      <c r="T33" s="601">
        <v>0</v>
      </c>
      <c r="U33" s="601">
        <v>0</v>
      </c>
      <c r="V33" s="1482">
        <f t="shared" si="55"/>
        <v>0</v>
      </c>
      <c r="W33" s="222"/>
      <c r="X33" s="257" t="s">
        <v>6231</v>
      </c>
      <c r="Y33" s="222"/>
      <c r="Z33" s="258"/>
      <c r="AA33" s="222"/>
      <c r="AB33" s="783"/>
      <c r="AC33" s="251">
        <f t="shared" si="37"/>
        <v>0</v>
      </c>
      <c r="AD33" s="783"/>
      <c r="AE33" s="252">
        <f t="shared" si="38"/>
        <v>0</v>
      </c>
      <c r="AF33" s="252">
        <f t="shared" si="39"/>
        <v>0</v>
      </c>
      <c r="AG33" s="252">
        <f t="shared" si="40"/>
        <v>0</v>
      </c>
      <c r="AH33" s="252">
        <f t="shared" si="41"/>
        <v>0</v>
      </c>
      <c r="AI33" s="252">
        <f t="shared" si="42"/>
        <v>0</v>
      </c>
      <c r="AJ33" s="252">
        <f t="shared" si="43"/>
        <v>0</v>
      </c>
      <c r="AK33" s="252">
        <f t="shared" si="44"/>
        <v>0</v>
      </c>
      <c r="AL33" s="252">
        <f t="shared" si="45"/>
        <v>0</v>
      </c>
      <c r="AM33" s="237"/>
      <c r="AN33" s="252">
        <f t="shared" si="46"/>
        <v>0</v>
      </c>
      <c r="AO33" s="252">
        <f t="shared" si="47"/>
        <v>0</v>
      </c>
      <c r="AP33" s="252">
        <f t="shared" si="48"/>
        <v>0</v>
      </c>
      <c r="AQ33" s="252">
        <f t="shared" si="49"/>
        <v>0</v>
      </c>
      <c r="AR33" s="252">
        <f t="shared" si="50"/>
        <v>0</v>
      </c>
      <c r="AS33" s="252">
        <f t="shared" si="51"/>
        <v>0</v>
      </c>
      <c r="AT33" s="252">
        <f t="shared" si="52"/>
        <v>0</v>
      </c>
      <c r="AU33" s="252">
        <f t="shared" si="53"/>
        <v>0</v>
      </c>
      <c r="AV33" s="783"/>
      <c r="AW33" s="222"/>
      <c r="AX33" s="222"/>
      <c r="AY33" s="222"/>
      <c r="AZ33" s="222"/>
      <c r="BA33" s="222"/>
      <c r="BB33" s="222"/>
      <c r="BC33" s="222"/>
      <c r="BD33" s="222"/>
      <c r="BE33" s="222"/>
      <c r="BF33" s="222"/>
    </row>
    <row r="34" spans="1:58" s="9" customFormat="1" ht="28.5" customHeight="1" thickBot="1">
      <c r="A34" s="222"/>
      <c r="B34" s="425" t="s">
        <v>6183</v>
      </c>
      <c r="C34" s="319" t="s">
        <v>137</v>
      </c>
      <c r="D34" s="319">
        <v>3</v>
      </c>
      <c r="E34" s="1473">
        <f>IFERROR(SUM(E24:E33), 0)</f>
        <v>0</v>
      </c>
      <c r="F34" s="1473">
        <f t="shared" ref="F34:L34" si="56">IFERROR(SUM(F24:F33), 0)</f>
        <v>0</v>
      </c>
      <c r="G34" s="1473">
        <f t="shared" si="56"/>
        <v>0</v>
      </c>
      <c r="H34" s="1473">
        <f t="shared" si="56"/>
        <v>0</v>
      </c>
      <c r="I34" s="1473">
        <f t="shared" si="56"/>
        <v>0</v>
      </c>
      <c r="J34" s="1473">
        <f t="shared" si="56"/>
        <v>0</v>
      </c>
      <c r="K34" s="1473">
        <f t="shared" si="56"/>
        <v>0</v>
      </c>
      <c r="L34" s="1473">
        <f t="shared" si="56"/>
        <v>0</v>
      </c>
      <c r="M34" s="1473">
        <f>IFERROR(SUM(E34:L34), 0)</f>
        <v>0</v>
      </c>
      <c r="N34" s="1473">
        <f>IFERROR(SUM(N24:N33), 0)</f>
        <v>0</v>
      </c>
      <c r="O34" s="1473">
        <f t="shared" ref="O34" si="57">IFERROR(SUM(O24:O33), 0)</f>
        <v>0</v>
      </c>
      <c r="P34" s="1473">
        <f>IFERROR(SUM(P24:P33), 0)</f>
        <v>0</v>
      </c>
      <c r="Q34" s="1473">
        <f t="shared" ref="Q34:R34" si="58">IFERROR(SUM(Q24:Q33), 0)</f>
        <v>0</v>
      </c>
      <c r="R34" s="1473">
        <f t="shared" si="58"/>
        <v>0</v>
      </c>
      <c r="S34" s="1473">
        <f>IFERROR(SUM(S24:S33), 0)</f>
        <v>0</v>
      </c>
      <c r="T34" s="1473">
        <f t="shared" ref="T34:U34" si="59">IFERROR(SUM(T24:T33), 0)</f>
        <v>0</v>
      </c>
      <c r="U34" s="1473">
        <f t="shared" si="59"/>
        <v>0</v>
      </c>
      <c r="V34" s="1483">
        <f>IFERROR(SUM(N34:U34), 0)</f>
        <v>0</v>
      </c>
      <c r="W34" s="222"/>
      <c r="X34" s="538" t="s">
        <v>6232</v>
      </c>
      <c r="Y34" s="222"/>
      <c r="Z34" s="269"/>
      <c r="AA34" s="222"/>
      <c r="AB34" s="2589"/>
      <c r="AC34" s="222"/>
      <c r="AD34" s="2589"/>
      <c r="AE34" s="237"/>
      <c r="AF34" s="237"/>
      <c r="AG34" s="237"/>
      <c r="AH34" s="237"/>
      <c r="AI34" s="237"/>
      <c r="AJ34" s="237"/>
      <c r="AK34" s="237"/>
      <c r="AL34" s="237"/>
      <c r="AM34" s="237"/>
      <c r="AN34" s="237"/>
      <c r="AO34" s="237"/>
      <c r="AP34" s="237"/>
      <c r="AQ34" s="237"/>
      <c r="AR34" s="237"/>
      <c r="AS34" s="237"/>
      <c r="AT34" s="237"/>
      <c r="AU34" s="237"/>
      <c r="AV34" s="2589"/>
      <c r="AW34" s="222"/>
      <c r="AX34" s="222"/>
      <c r="AY34" s="222"/>
      <c r="AZ34" s="222"/>
      <c r="BA34" s="222"/>
      <c r="BB34" s="222"/>
      <c r="BC34" s="222"/>
      <c r="BD34" s="222"/>
      <c r="BE34" s="222"/>
      <c r="BF34" s="222"/>
    </row>
    <row r="35" spans="1:58" ht="16" thickTop="1">
      <c r="A35" s="222"/>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560"/>
      <c r="AC35" s="222"/>
      <c r="AD35" s="2560"/>
      <c r="AE35" s="237"/>
      <c r="AF35" s="237"/>
      <c r="AG35" s="237"/>
      <c r="AH35" s="237"/>
      <c r="AI35" s="237"/>
      <c r="AJ35" s="237"/>
      <c r="AK35" s="237"/>
      <c r="AL35" s="237"/>
      <c r="AM35" s="237"/>
      <c r="AN35" s="237"/>
      <c r="AO35" s="237"/>
      <c r="AP35" s="237"/>
      <c r="AQ35" s="237"/>
      <c r="AR35" s="237"/>
      <c r="AS35" s="237"/>
      <c r="AT35" s="237"/>
      <c r="AU35" s="237"/>
      <c r="AV35" s="2560"/>
      <c r="AW35" s="2560"/>
      <c r="AX35" s="2560"/>
      <c r="AY35" s="2560"/>
      <c r="AZ35" s="2560"/>
      <c r="BA35" s="2560"/>
      <c r="BB35" s="2560"/>
      <c r="BC35" s="2560"/>
      <c r="BD35" s="2560"/>
      <c r="BE35" s="2560"/>
      <c r="BF35" s="2560"/>
    </row>
    <row r="36" spans="1:58" ht="15.5">
      <c r="A36" s="222"/>
      <c r="B36" s="222"/>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560"/>
      <c r="AC36" s="222"/>
      <c r="AD36" s="2560"/>
      <c r="AE36" s="237"/>
      <c r="AF36" s="237"/>
      <c r="AG36" s="237"/>
      <c r="AH36" s="237"/>
      <c r="AI36" s="237"/>
      <c r="AJ36" s="237"/>
      <c r="AK36" s="237"/>
      <c r="AL36" s="237"/>
      <c r="AM36" s="237"/>
      <c r="AN36" s="237"/>
      <c r="AO36" s="237"/>
      <c r="AP36" s="237"/>
      <c r="AQ36" s="237"/>
      <c r="AR36" s="237"/>
      <c r="AS36" s="237"/>
      <c r="AT36" s="237"/>
      <c r="AU36" s="237"/>
      <c r="AV36" s="2560"/>
      <c r="AW36" s="2560"/>
      <c r="AX36" s="2560"/>
      <c r="AY36" s="2560"/>
      <c r="AZ36" s="2560"/>
      <c r="BA36" s="2560"/>
      <c r="BB36" s="2560"/>
      <c r="BC36" s="2560"/>
      <c r="BD36" s="2560"/>
      <c r="BE36" s="2560"/>
      <c r="BF36" s="2560"/>
    </row>
    <row r="37" spans="1:58" ht="15.5">
      <c r="A37" s="222"/>
      <c r="B37" s="222"/>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560"/>
      <c r="AC37" s="222"/>
      <c r="AD37" s="2560"/>
      <c r="AE37" s="237"/>
      <c r="AF37" s="237"/>
      <c r="AG37" s="237"/>
      <c r="AH37" s="237"/>
      <c r="AI37" s="237"/>
      <c r="AJ37" s="237"/>
      <c r="AK37" s="237"/>
      <c r="AL37" s="237"/>
      <c r="AM37" s="237"/>
      <c r="AN37" s="237"/>
      <c r="AO37" s="237"/>
      <c r="AP37" s="237"/>
      <c r="AQ37" s="237"/>
      <c r="AR37" s="237"/>
      <c r="AS37" s="237"/>
      <c r="AT37" s="237"/>
      <c r="AU37" s="237"/>
      <c r="AV37" s="2560"/>
      <c r="AW37" s="2560"/>
      <c r="AX37" s="2560"/>
      <c r="AY37" s="2560"/>
      <c r="AZ37" s="2560"/>
      <c r="BA37" s="2560"/>
      <c r="BB37" s="2560"/>
      <c r="BC37" s="2560"/>
      <c r="BD37" s="2560"/>
      <c r="BE37" s="2560"/>
      <c r="BF37" s="2560"/>
    </row>
    <row r="38" spans="1:58" ht="15.5">
      <c r="A38" s="222"/>
      <c r="B38" s="222"/>
      <c r="C38" s="222"/>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560"/>
      <c r="AC38" s="222"/>
      <c r="AD38" s="2560"/>
      <c r="AE38" s="237"/>
      <c r="AF38" s="237"/>
      <c r="AG38" s="237"/>
      <c r="AH38" s="237"/>
      <c r="AI38" s="237"/>
      <c r="AJ38" s="237"/>
      <c r="AK38" s="237"/>
      <c r="AL38" s="237"/>
      <c r="AM38" s="237"/>
      <c r="AN38" s="237"/>
      <c r="AO38" s="237"/>
      <c r="AP38" s="237"/>
      <c r="AQ38" s="237"/>
      <c r="AR38" s="237"/>
      <c r="AS38" s="237"/>
      <c r="AT38" s="237"/>
      <c r="AU38" s="237"/>
      <c r="AV38" s="2560"/>
      <c r="AW38" s="2560"/>
      <c r="AX38" s="2560"/>
      <c r="AY38" s="2560"/>
      <c r="AZ38" s="2560"/>
      <c r="BA38" s="2560"/>
      <c r="BB38" s="2560"/>
      <c r="BC38" s="2560"/>
      <c r="BD38" s="2560"/>
      <c r="BE38" s="2560"/>
      <c r="BF38" s="2560"/>
    </row>
    <row r="39" spans="1:58" ht="15.5">
      <c r="A39" s="222"/>
      <c r="B39" s="222"/>
      <c r="C39" s="22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560"/>
      <c r="AC39" s="222"/>
      <c r="AD39" s="2560"/>
      <c r="AE39" s="237"/>
      <c r="AF39" s="237"/>
      <c r="AG39" s="237"/>
      <c r="AH39" s="237"/>
      <c r="AI39" s="237"/>
      <c r="AJ39" s="237"/>
      <c r="AK39" s="237"/>
      <c r="AL39" s="237"/>
      <c r="AM39" s="237"/>
      <c r="AN39" s="237"/>
      <c r="AO39" s="237"/>
      <c r="AP39" s="237"/>
      <c r="AQ39" s="237"/>
      <c r="AR39" s="237"/>
      <c r="AS39" s="237"/>
      <c r="AT39" s="237"/>
      <c r="AU39" s="237"/>
      <c r="AV39" s="2560"/>
      <c r="AW39" s="2560"/>
      <c r="AX39" s="2560"/>
      <c r="AY39" s="2560"/>
      <c r="AZ39" s="2560"/>
      <c r="BA39" s="2560"/>
      <c r="BB39" s="2560"/>
      <c r="BC39" s="2560"/>
      <c r="BD39" s="2560"/>
      <c r="BE39" s="2560"/>
      <c r="BF39" s="2560"/>
    </row>
    <row r="40" spans="1:58" ht="15.5">
      <c r="A40" s="222"/>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560"/>
      <c r="AC40" s="222"/>
      <c r="AD40" s="2560"/>
      <c r="AE40" s="237"/>
      <c r="AF40" s="237"/>
      <c r="AG40" s="237"/>
      <c r="AH40" s="237"/>
      <c r="AI40" s="237"/>
      <c r="AJ40" s="237"/>
      <c r="AK40" s="237"/>
      <c r="AL40" s="237"/>
      <c r="AM40" s="237"/>
      <c r="AN40" s="237"/>
      <c r="AO40" s="237"/>
      <c r="AP40" s="237"/>
      <c r="AQ40" s="237"/>
      <c r="AR40" s="237"/>
      <c r="AS40" s="237"/>
      <c r="AT40" s="237"/>
      <c r="AU40" s="237"/>
      <c r="AV40" s="2560"/>
      <c r="AW40" s="2560"/>
      <c r="AX40" s="2560"/>
      <c r="AY40" s="2560"/>
      <c r="AZ40" s="2560"/>
      <c r="BA40" s="2560"/>
      <c r="BB40" s="2560"/>
      <c r="BC40" s="2560"/>
      <c r="BD40" s="2560"/>
      <c r="BE40" s="2560"/>
      <c r="BF40" s="2560"/>
    </row>
    <row r="41" spans="1:58" ht="15.5">
      <c r="A41" s="222"/>
      <c r="B41" s="222"/>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560"/>
      <c r="AC41" s="222"/>
      <c r="AD41" s="2560"/>
      <c r="AE41" s="237"/>
      <c r="AF41" s="237"/>
      <c r="AG41" s="237"/>
      <c r="AH41" s="237"/>
      <c r="AI41" s="237"/>
      <c r="AJ41" s="237"/>
      <c r="AK41" s="237"/>
      <c r="AL41" s="237"/>
      <c r="AM41" s="237"/>
      <c r="AN41" s="237"/>
      <c r="AO41" s="237"/>
      <c r="AP41" s="237"/>
      <c r="AQ41" s="237"/>
      <c r="AR41" s="237"/>
      <c r="AS41" s="237"/>
      <c r="AT41" s="237"/>
      <c r="AU41" s="237"/>
      <c r="AV41" s="2560"/>
      <c r="AW41" s="2560"/>
      <c r="AX41" s="2560"/>
      <c r="AY41" s="2560"/>
      <c r="AZ41" s="2560"/>
      <c r="BA41" s="2560"/>
      <c r="BB41" s="2560"/>
      <c r="BC41" s="2560"/>
      <c r="BD41" s="2560"/>
      <c r="BE41" s="2560"/>
      <c r="BF41" s="2560"/>
    </row>
    <row r="42" spans="1:58" ht="15.5">
      <c r="A42" s="222"/>
      <c r="B42" s="222"/>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560"/>
      <c r="AC42" s="222"/>
      <c r="AD42" s="2560"/>
      <c r="AE42" s="2560"/>
      <c r="AF42" s="2560"/>
      <c r="AG42" s="2560"/>
      <c r="AH42" s="2560"/>
      <c r="AI42" s="2560"/>
      <c r="AJ42" s="2560"/>
      <c r="AK42" s="2560"/>
      <c r="AL42" s="2560"/>
      <c r="AM42" s="2560"/>
      <c r="AN42" s="2560"/>
      <c r="AO42" s="2560"/>
      <c r="AP42" s="2560"/>
      <c r="AQ42" s="2560"/>
      <c r="AR42" s="2560"/>
      <c r="AS42" s="2560"/>
      <c r="AT42" s="2560"/>
      <c r="AU42" s="2560"/>
      <c r="AV42" s="2560"/>
      <c r="AW42" s="2560"/>
      <c r="AX42" s="2560"/>
      <c r="AY42" s="2560"/>
      <c r="AZ42" s="2560"/>
      <c r="BA42" s="2560"/>
      <c r="BB42" s="2560"/>
      <c r="BC42" s="2560"/>
      <c r="BD42" s="2560"/>
      <c r="BE42" s="2560"/>
      <c r="BF42" s="2560"/>
    </row>
    <row r="43" spans="1:58" ht="15.5">
      <c r="A43" s="222"/>
      <c r="B43" s="222"/>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2"/>
      <c r="AB43" s="2560"/>
      <c r="AC43" s="222"/>
      <c r="AD43" s="2560"/>
      <c r="AE43" s="2560"/>
      <c r="AF43" s="2560"/>
      <c r="AG43" s="2560"/>
      <c r="AH43" s="2560"/>
      <c r="AI43" s="2560"/>
      <c r="AJ43" s="2560"/>
      <c r="AK43" s="2560"/>
      <c r="AL43" s="2560"/>
      <c r="AM43" s="2560"/>
      <c r="AN43" s="2560"/>
      <c r="AO43" s="2560"/>
      <c r="AP43" s="2560"/>
      <c r="AQ43" s="2560"/>
      <c r="AR43" s="2560"/>
      <c r="AS43" s="2560"/>
      <c r="AT43" s="2560"/>
      <c r="AU43" s="2560"/>
      <c r="AV43" s="2560"/>
      <c r="AW43" s="2560"/>
      <c r="AX43" s="2560"/>
      <c r="AY43" s="2560"/>
      <c r="AZ43" s="2560"/>
      <c r="BA43" s="2560"/>
      <c r="BB43" s="2560"/>
      <c r="BC43" s="2560"/>
      <c r="BD43" s="2560"/>
      <c r="BE43" s="2560"/>
      <c r="BF43" s="2560"/>
    </row>
    <row r="44" spans="1:58" ht="15.5">
      <c r="A44" s="222"/>
      <c r="B44" s="222"/>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560"/>
      <c r="AC44" s="222"/>
      <c r="AD44" s="2560"/>
      <c r="AE44" s="2560"/>
      <c r="AF44" s="2560"/>
      <c r="AG44" s="2560"/>
      <c r="AH44" s="2560"/>
      <c r="AI44" s="2560"/>
      <c r="AJ44" s="2560"/>
      <c r="AK44" s="2560"/>
      <c r="AL44" s="2560"/>
      <c r="AM44" s="2560"/>
      <c r="AN44" s="2560"/>
      <c r="AO44" s="2560"/>
      <c r="AP44" s="2560"/>
      <c r="AQ44" s="2560"/>
      <c r="AR44" s="2560"/>
      <c r="AS44" s="2560"/>
      <c r="AT44" s="2560"/>
      <c r="AU44" s="2560"/>
      <c r="AV44" s="2560"/>
      <c r="AW44" s="2560"/>
      <c r="AX44" s="2560"/>
      <c r="AY44" s="2560"/>
      <c r="AZ44" s="2560"/>
      <c r="BA44" s="2560"/>
      <c r="BB44" s="2560"/>
      <c r="BC44" s="2560"/>
      <c r="BD44" s="2560"/>
      <c r="BE44" s="2560"/>
      <c r="BF44" s="2560"/>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30" priority="2" operator="equal">
      <formula>0</formula>
    </cfRule>
  </conditionalFormatting>
  <conditionalFormatting sqref="AC24:AC33">
    <cfRule type="cellIs" dxfId="12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Normal="100" zoomScaleSheetLayoutView="100" workbookViewId="0">
      <selection activeCell="J34" sqref="J34"/>
    </sheetView>
  </sheetViews>
  <sheetFormatPr defaultColWidth="9.08203125" defaultRowHeight="15.5"/>
  <cols>
    <col min="1" max="1" width="1.58203125" style="220" customWidth="1"/>
    <col min="2" max="2" width="48.5" style="220" customWidth="1"/>
    <col min="3" max="3" width="7" style="220" customWidth="1"/>
    <col min="4" max="4" width="5.5" style="220" customWidth="1"/>
    <col min="5" max="5" width="16" style="220" customWidth="1"/>
    <col min="6" max="6" width="12.5" style="220" customWidth="1"/>
    <col min="7" max="7" width="1.58203125" style="220" customWidth="1"/>
    <col min="8" max="8" width="12.5" style="229" customWidth="1"/>
    <col min="9" max="9" width="1.58203125" style="220" customWidth="1"/>
    <col min="10" max="10" width="33.58203125" style="220" customWidth="1"/>
    <col min="11" max="12" width="1.58203125" style="220" customWidth="1"/>
    <col min="13" max="13" width="25" style="220" customWidth="1"/>
    <col min="14" max="14" width="1.58203125" style="220" customWidth="1"/>
    <col min="15" max="16" width="12.58203125" style="220" hidden="1" customWidth="1"/>
    <col min="17" max="17" width="1.58203125" style="220" hidden="1" customWidth="1"/>
    <col min="18" max="18" width="1.58203125" style="220" customWidth="1"/>
    <col min="19" max="19" width="36.08203125" style="220" customWidth="1"/>
    <col min="20" max="21" width="12.5" style="220" customWidth="1"/>
    <col min="22" max="22" width="1.58203125" style="220" customWidth="1"/>
    <col min="23" max="16384" width="9.08203125" style="220"/>
  </cols>
  <sheetData>
    <row r="1" spans="1:22" s="553" customFormat="1" ht="22.5">
      <c r="B1" s="799" t="s">
        <v>6233</v>
      </c>
      <c r="C1" s="799"/>
      <c r="D1" s="799"/>
      <c r="E1" s="2560"/>
      <c r="F1" s="2560"/>
      <c r="H1" s="229"/>
      <c r="L1" s="803"/>
      <c r="N1" s="803"/>
      <c r="Q1" s="803"/>
      <c r="S1" s="799" t="s">
        <v>1887</v>
      </c>
      <c r="T1" s="2560"/>
      <c r="U1" s="2560"/>
      <c r="V1" s="229"/>
    </row>
    <row r="2" spans="1:22" s="553" customFormat="1" ht="22.5">
      <c r="B2" s="799" t="str">
        <f>SelectCompany!B4</f>
        <v>Yorkshire Water</v>
      </c>
      <c r="C2" s="2560"/>
      <c r="D2" s="2560"/>
      <c r="E2" s="2560"/>
      <c r="F2" s="2560"/>
      <c r="H2" s="229"/>
      <c r="L2" s="803"/>
      <c r="N2" s="803"/>
      <c r="Q2" s="803"/>
      <c r="S2" s="799"/>
      <c r="T2" s="2560"/>
      <c r="U2" s="2560"/>
      <c r="V2" s="229"/>
    </row>
    <row r="3" spans="1:22" s="555" customFormat="1" ht="19">
      <c r="B3" s="2810" t="s">
        <v>6234</v>
      </c>
      <c r="C3" s="2675"/>
      <c r="D3" s="2675"/>
      <c r="E3" s="2675"/>
      <c r="F3" s="2675"/>
      <c r="G3" s="2675"/>
      <c r="H3" s="2675"/>
      <c r="I3" s="2675"/>
      <c r="J3" s="2675"/>
      <c r="L3" s="804"/>
      <c r="M3" s="554" t="s">
        <v>1889</v>
      </c>
      <c r="N3" s="804"/>
      <c r="Q3" s="804"/>
      <c r="S3" s="2810" t="s">
        <v>6234</v>
      </c>
      <c r="T3" s="2675"/>
      <c r="U3" s="2675"/>
      <c r="V3" s="229"/>
    </row>
    <row r="4" spans="1:22" s="555" customFormat="1" ht="23" thickBot="1">
      <c r="B4" s="594"/>
      <c r="C4" s="594"/>
      <c r="D4" s="594"/>
      <c r="E4" s="594"/>
      <c r="F4" s="2590"/>
      <c r="H4" s="229"/>
      <c r="L4" s="804"/>
      <c r="M4" s="251"/>
      <c r="N4" s="804"/>
      <c r="Q4" s="804"/>
      <c r="S4" s="594"/>
      <c r="T4" s="594"/>
      <c r="U4" s="2590"/>
      <c r="V4" s="229"/>
    </row>
    <row r="5" spans="1:22" ht="47.5" thickTop="1" thickBot="1">
      <c r="A5" s="197"/>
      <c r="B5" s="805" t="s">
        <v>1891</v>
      </c>
      <c r="C5" s="120" t="s">
        <v>1892</v>
      </c>
      <c r="D5" s="120" t="s">
        <v>136</v>
      </c>
      <c r="E5" s="120" t="s">
        <v>2008</v>
      </c>
      <c r="F5" s="121" t="s">
        <v>6235</v>
      </c>
      <c r="G5" s="197"/>
      <c r="H5" s="806" t="s">
        <v>1896</v>
      </c>
      <c r="I5" s="197"/>
      <c r="J5" s="806" t="s">
        <v>1897</v>
      </c>
      <c r="K5" s="197"/>
      <c r="L5" s="2578"/>
      <c r="M5" s="251"/>
      <c r="N5" s="2578"/>
      <c r="O5" s="2562"/>
      <c r="P5" s="2562"/>
      <c r="Q5" s="2578"/>
      <c r="R5" s="2562"/>
      <c r="S5" s="805" t="s">
        <v>1891</v>
      </c>
      <c r="T5" s="120" t="s">
        <v>2008</v>
      </c>
      <c r="U5" s="121" t="s">
        <v>6235</v>
      </c>
      <c r="V5" s="282"/>
    </row>
    <row r="6" spans="1:22" ht="15.75" customHeight="1" thickTop="1" thickBot="1">
      <c r="A6" s="197"/>
      <c r="B6" s="807"/>
      <c r="C6" s="807"/>
      <c r="D6" s="807"/>
      <c r="E6" s="808"/>
      <c r="F6" s="808"/>
      <c r="G6" s="197"/>
      <c r="H6" s="228"/>
      <c r="I6" s="197"/>
      <c r="J6" s="311"/>
      <c r="K6" s="197"/>
      <c r="L6" s="2578"/>
      <c r="M6" s="251"/>
      <c r="N6" s="2578"/>
      <c r="O6" s="2662" t="s">
        <v>1890</v>
      </c>
      <c r="P6" s="2662"/>
      <c r="Q6" s="809"/>
      <c r="R6" s="810"/>
      <c r="S6" s="807"/>
      <c r="T6" s="808"/>
      <c r="U6" s="808"/>
      <c r="V6" s="229"/>
    </row>
    <row r="7" spans="1:22" ht="15.75" customHeight="1" thickTop="1" thickBot="1">
      <c r="A7" s="197"/>
      <c r="B7" s="33" t="s">
        <v>6236</v>
      </c>
      <c r="C7" s="356"/>
      <c r="D7" s="356"/>
      <c r="E7" s="444"/>
      <c r="F7" s="146"/>
      <c r="G7" s="197"/>
      <c r="I7" s="197"/>
      <c r="J7" s="197"/>
      <c r="K7" s="197"/>
      <c r="L7" s="2578"/>
      <c r="M7" s="251"/>
      <c r="N7" s="2578"/>
      <c r="O7" s="236" t="s">
        <v>1898</v>
      </c>
      <c r="P7" s="222"/>
      <c r="Q7" s="783"/>
      <c r="R7" s="222"/>
      <c r="S7" s="33" t="s">
        <v>6236</v>
      </c>
      <c r="T7" s="444"/>
      <c r="U7" s="146"/>
      <c r="V7" s="229"/>
    </row>
    <row r="8" spans="1:22" s="197" customFormat="1" ht="15.75" customHeight="1" thickTop="1">
      <c r="B8" s="811" t="s">
        <v>6237</v>
      </c>
      <c r="C8" s="812" t="s">
        <v>137</v>
      </c>
      <c r="D8" s="812">
        <v>3</v>
      </c>
      <c r="E8" s="813">
        <v>6117.683</v>
      </c>
      <c r="F8" s="814"/>
      <c r="G8" s="229"/>
      <c r="H8" s="815" t="s">
        <v>6238</v>
      </c>
      <c r="J8" s="816"/>
      <c r="L8" s="725"/>
      <c r="M8" s="251"/>
      <c r="N8" s="725"/>
      <c r="O8" s="237"/>
      <c r="P8" s="237"/>
      <c r="Q8" s="725"/>
      <c r="S8" s="811" t="s">
        <v>6237</v>
      </c>
      <c r="T8" s="813" t="s">
        <v>2492</v>
      </c>
      <c r="U8" s="814"/>
      <c r="V8" s="817"/>
    </row>
    <row r="9" spans="1:22" s="197" customFormat="1" ht="15.75" customHeight="1">
      <c r="B9" s="818" t="s">
        <v>6239</v>
      </c>
      <c r="C9" s="819" t="s">
        <v>137</v>
      </c>
      <c r="D9" s="819">
        <v>3</v>
      </c>
      <c r="E9" s="1486">
        <v>2596.8849999999993</v>
      </c>
      <c r="F9" s="821"/>
      <c r="G9" s="229"/>
      <c r="H9" s="822" t="s">
        <v>6240</v>
      </c>
      <c r="J9" s="823"/>
      <c r="L9" s="725"/>
      <c r="M9" s="251"/>
      <c r="N9" s="725"/>
      <c r="O9" s="237"/>
      <c r="P9" s="237"/>
      <c r="Q9" s="725"/>
      <c r="S9" s="818" t="s">
        <v>6239</v>
      </c>
      <c r="T9" s="820" t="s">
        <v>6241</v>
      </c>
      <c r="U9" s="821"/>
      <c r="V9" s="817"/>
    </row>
    <row r="10" spans="1:22" s="197" customFormat="1" ht="15.75" customHeight="1">
      <c r="B10" s="818" t="s">
        <v>6242</v>
      </c>
      <c r="C10" s="819" t="s">
        <v>1344</v>
      </c>
      <c r="D10" s="819">
        <v>2</v>
      </c>
      <c r="E10" s="824">
        <v>0.70200645631544789</v>
      </c>
      <c r="F10" s="825"/>
      <c r="G10" s="229"/>
      <c r="H10" s="822" t="s">
        <v>6243</v>
      </c>
      <c r="J10" s="823"/>
      <c r="L10" s="725"/>
      <c r="M10" s="251"/>
      <c r="N10" s="725"/>
      <c r="O10" s="237"/>
      <c r="P10" s="237"/>
      <c r="Q10" s="725"/>
      <c r="S10" s="818" t="s">
        <v>6242</v>
      </c>
      <c r="T10" s="824" t="s">
        <v>2495</v>
      </c>
      <c r="U10" s="825"/>
      <c r="V10" s="817"/>
    </row>
    <row r="11" spans="1:22" s="197" customFormat="1" ht="15.75" customHeight="1">
      <c r="B11" s="818" t="s">
        <v>6244</v>
      </c>
      <c r="C11" s="819" t="s">
        <v>1344</v>
      </c>
      <c r="D11" s="819">
        <v>2</v>
      </c>
      <c r="E11" s="826">
        <v>-5.11E-2</v>
      </c>
      <c r="F11" s="825"/>
      <c r="G11" s="229"/>
      <c r="H11" s="822" t="s">
        <v>6245</v>
      </c>
      <c r="J11" s="823"/>
      <c r="L11" s="725"/>
      <c r="M11" s="251">
        <f t="shared" ref="M11:M23" si="0">IF( SUM( O11:P11 ) = 0, 0, $O$7 )</f>
        <v>0</v>
      </c>
      <c r="N11" s="725"/>
      <c r="O11" s="252">
        <f t="shared" ref="O11:O23" si="1" xml:space="preserve"> IF( ISNUMBER(E11), 0, 1 )</f>
        <v>0</v>
      </c>
      <c r="P11" s="237"/>
      <c r="Q11" s="725"/>
      <c r="S11" s="818" t="s">
        <v>6244</v>
      </c>
      <c r="T11" s="826" t="s">
        <v>6246</v>
      </c>
      <c r="U11" s="825"/>
      <c r="V11" s="817"/>
    </row>
    <row r="12" spans="1:22" s="197" customFormat="1" ht="15.75" customHeight="1">
      <c r="B12" s="818" t="s">
        <v>6247</v>
      </c>
      <c r="C12" s="819" t="s">
        <v>1344</v>
      </c>
      <c r="D12" s="819">
        <v>2</v>
      </c>
      <c r="E12" s="827">
        <v>3.8077943185200414E-2</v>
      </c>
      <c r="F12" s="828">
        <v>2.1295197389235961E-2</v>
      </c>
      <c r="G12" s="229"/>
      <c r="H12" s="822" t="s">
        <v>6248</v>
      </c>
      <c r="J12" s="823"/>
      <c r="L12" s="725"/>
      <c r="M12" s="251"/>
      <c r="N12" s="725"/>
      <c r="O12" s="237"/>
      <c r="P12" s="237"/>
      <c r="Q12" s="725"/>
      <c r="S12" s="818" t="s">
        <v>6247</v>
      </c>
      <c r="T12" s="827" t="s">
        <v>6249</v>
      </c>
      <c r="U12" s="828" t="s">
        <v>6250</v>
      </c>
      <c r="V12" s="817"/>
    </row>
    <row r="13" spans="1:22" s="197" customFormat="1" ht="15.75" customHeight="1">
      <c r="B13" s="818" t="s">
        <v>6251</v>
      </c>
      <c r="C13" s="819" t="s">
        <v>1344</v>
      </c>
      <c r="D13" s="819">
        <v>2</v>
      </c>
      <c r="E13" s="824">
        <v>2.4004528502417327E-2</v>
      </c>
      <c r="F13" s="825"/>
      <c r="G13" s="829"/>
      <c r="H13" s="822" t="s">
        <v>6252</v>
      </c>
      <c r="J13" s="823"/>
      <c r="L13" s="725"/>
      <c r="M13" s="251"/>
      <c r="N13" s="725"/>
      <c r="O13" s="237"/>
      <c r="P13" s="237"/>
      <c r="Q13" s="725"/>
      <c r="S13" s="818" t="s">
        <v>6251</v>
      </c>
      <c r="T13" s="824" t="s">
        <v>6253</v>
      </c>
      <c r="U13" s="825"/>
      <c r="V13" s="817"/>
    </row>
    <row r="14" spans="1:22" s="197" customFormat="1" ht="15.75" customHeight="1">
      <c r="B14" s="818" t="s">
        <v>6254</v>
      </c>
      <c r="C14" s="819" t="s">
        <v>1344</v>
      </c>
      <c r="D14" s="819">
        <v>2</v>
      </c>
      <c r="E14" s="824">
        <v>-5.7874635013541904E-3</v>
      </c>
      <c r="F14" s="825"/>
      <c r="G14" s="229"/>
      <c r="H14" s="822" t="s">
        <v>6255</v>
      </c>
      <c r="J14" s="823"/>
      <c r="L14" s="725"/>
      <c r="M14" s="251"/>
      <c r="N14" s="725"/>
      <c r="O14" s="237"/>
      <c r="P14" s="237"/>
      <c r="Q14" s="725"/>
      <c r="S14" s="818" t="s">
        <v>6254</v>
      </c>
      <c r="T14" s="824" t="s">
        <v>6256</v>
      </c>
      <c r="U14" s="825"/>
      <c r="V14" s="817"/>
    </row>
    <row r="15" spans="1:22" s="197" customFormat="1" ht="15.75" customHeight="1">
      <c r="B15" s="818" t="s">
        <v>6257</v>
      </c>
      <c r="C15" s="819" t="s">
        <v>1344</v>
      </c>
      <c r="D15" s="819">
        <v>2</v>
      </c>
      <c r="E15" s="824">
        <v>2.1412586737075976E-3</v>
      </c>
      <c r="F15" s="825"/>
      <c r="G15" s="229"/>
      <c r="H15" s="822" t="s">
        <v>6258</v>
      </c>
      <c r="J15" s="823"/>
      <c r="L15" s="725"/>
      <c r="M15" s="251"/>
      <c r="N15" s="725"/>
      <c r="O15" s="237"/>
      <c r="P15" s="237"/>
      <c r="Q15" s="725"/>
      <c r="S15" s="818" t="s">
        <v>6257</v>
      </c>
      <c r="T15" s="824" t="s">
        <v>6259</v>
      </c>
      <c r="U15" s="825"/>
      <c r="V15" s="817"/>
    </row>
    <row r="16" spans="1:22" s="197" customFormat="1" ht="15.75" customHeight="1">
      <c r="B16" s="818" t="s">
        <v>6260</v>
      </c>
      <c r="C16" s="819" t="s">
        <v>4420</v>
      </c>
      <c r="D16" s="819" t="s">
        <v>6261</v>
      </c>
      <c r="E16" s="830" t="s">
        <v>6261</v>
      </c>
      <c r="F16" s="821"/>
      <c r="G16" s="229"/>
      <c r="H16" s="822" t="s">
        <v>6262</v>
      </c>
      <c r="J16" s="823"/>
      <c r="L16" s="725"/>
      <c r="M16" s="237"/>
      <c r="N16" s="725"/>
      <c r="O16" s="237"/>
      <c r="P16" s="237"/>
      <c r="Q16" s="725"/>
      <c r="S16" s="818" t="s">
        <v>6260</v>
      </c>
      <c r="T16" s="830" t="s">
        <v>6263</v>
      </c>
      <c r="U16" s="821"/>
      <c r="V16" s="817"/>
    </row>
    <row r="17" spans="2:22" s="200" customFormat="1" ht="15.75" customHeight="1">
      <c r="B17" s="818" t="s">
        <v>6264</v>
      </c>
      <c r="C17" s="819" t="s">
        <v>4420</v>
      </c>
      <c r="D17" s="819" t="s">
        <v>6261</v>
      </c>
      <c r="E17" s="830" t="s">
        <v>6265</v>
      </c>
      <c r="F17" s="821"/>
      <c r="G17" s="829"/>
      <c r="H17" s="822" t="s">
        <v>6266</v>
      </c>
      <c r="J17" s="823"/>
      <c r="L17" s="831"/>
      <c r="M17" s="237"/>
      <c r="N17" s="831"/>
      <c r="O17" s="237"/>
      <c r="P17" s="237"/>
      <c r="Q17" s="831"/>
      <c r="S17" s="818" t="s">
        <v>6264</v>
      </c>
      <c r="T17" s="830" t="s">
        <v>6267</v>
      </c>
      <c r="U17" s="821"/>
      <c r="V17" s="817"/>
    </row>
    <row r="18" spans="2:22" s="200" customFormat="1" ht="15.75" customHeight="1">
      <c r="B18" s="818" t="s">
        <v>6268</v>
      </c>
      <c r="C18" s="819" t="s">
        <v>4420</v>
      </c>
      <c r="D18" s="819" t="s">
        <v>6261</v>
      </c>
      <c r="E18" s="830" t="s">
        <v>6269</v>
      </c>
      <c r="F18" s="821"/>
      <c r="G18" s="829"/>
      <c r="H18" s="822" t="s">
        <v>6270</v>
      </c>
      <c r="J18" s="823"/>
      <c r="L18" s="831"/>
      <c r="M18" s="237"/>
      <c r="N18" s="831"/>
      <c r="O18" s="237"/>
      <c r="P18" s="237"/>
      <c r="Q18" s="831"/>
      <c r="S18" s="818" t="s">
        <v>6268</v>
      </c>
      <c r="T18" s="830" t="s">
        <v>6271</v>
      </c>
      <c r="U18" s="821"/>
      <c r="V18" s="817"/>
    </row>
    <row r="19" spans="2:22" s="197" customFormat="1" ht="15.75" customHeight="1">
      <c r="B19" s="818" t="s">
        <v>6272</v>
      </c>
      <c r="C19" s="819" t="s">
        <v>1344</v>
      </c>
      <c r="D19" s="819">
        <v>2</v>
      </c>
      <c r="E19" s="826">
        <v>2.8799999999999999E-2</v>
      </c>
      <c r="F19" s="821"/>
      <c r="G19" s="229"/>
      <c r="H19" s="822" t="s">
        <v>6273</v>
      </c>
      <c r="J19" s="823"/>
      <c r="L19" s="725"/>
      <c r="M19" s="251">
        <f t="shared" si="0"/>
        <v>0</v>
      </c>
      <c r="N19" s="725"/>
      <c r="O19" s="252">
        <f t="shared" si="1"/>
        <v>0</v>
      </c>
      <c r="P19" s="237"/>
      <c r="Q19" s="725"/>
      <c r="S19" s="818" t="s">
        <v>6272</v>
      </c>
      <c r="T19" s="826" t="s">
        <v>6274</v>
      </c>
      <c r="U19" s="821"/>
      <c r="V19" s="817"/>
    </row>
    <row r="20" spans="2:22" s="197" customFormat="1" ht="15.75" customHeight="1">
      <c r="B20" s="818" t="s">
        <v>6275</v>
      </c>
      <c r="C20" s="819" t="s">
        <v>6276</v>
      </c>
      <c r="D20" s="819">
        <v>2</v>
      </c>
      <c r="E20" s="820">
        <v>8.1498788841298069</v>
      </c>
      <c r="F20" s="821"/>
      <c r="G20" s="829"/>
      <c r="H20" s="822" t="s">
        <v>6277</v>
      </c>
      <c r="J20" s="823"/>
      <c r="L20" s="725"/>
      <c r="M20" s="251"/>
      <c r="N20" s="725"/>
      <c r="O20" s="237"/>
      <c r="P20" s="237"/>
      <c r="Q20" s="725"/>
      <c r="S20" s="818" t="s">
        <v>6275</v>
      </c>
      <c r="T20" s="820" t="s">
        <v>6278</v>
      </c>
      <c r="U20" s="821"/>
      <c r="V20" s="817"/>
    </row>
    <row r="21" spans="2:22" s="197" customFormat="1" ht="15.75" customHeight="1">
      <c r="B21" s="818" t="s">
        <v>6279</v>
      </c>
      <c r="C21" s="819" t="s">
        <v>137</v>
      </c>
      <c r="D21" s="819">
        <v>3</v>
      </c>
      <c r="E21" s="1486">
        <v>423.00999999999993</v>
      </c>
      <c r="F21" s="821"/>
      <c r="G21" s="229"/>
      <c r="H21" s="822" t="s">
        <v>6280</v>
      </c>
      <c r="J21" s="823"/>
      <c r="L21" s="725"/>
      <c r="M21" s="251"/>
      <c r="N21" s="725"/>
      <c r="O21" s="237"/>
      <c r="P21" s="237"/>
      <c r="Q21" s="725"/>
      <c r="S21" s="818" t="s">
        <v>6279</v>
      </c>
      <c r="T21" s="820" t="s">
        <v>6281</v>
      </c>
      <c r="U21" s="821"/>
      <c r="V21" s="817"/>
    </row>
    <row r="22" spans="2:22" s="197" customFormat="1" ht="15.75" customHeight="1">
      <c r="B22" s="818" t="s">
        <v>6282</v>
      </c>
      <c r="C22" s="819" t="s">
        <v>6276</v>
      </c>
      <c r="D22" s="819">
        <v>2</v>
      </c>
      <c r="E22" s="832">
        <v>3.56</v>
      </c>
      <c r="F22" s="821"/>
      <c r="G22" s="229"/>
      <c r="H22" s="822" t="s">
        <v>6283</v>
      </c>
      <c r="J22" s="823"/>
      <c r="L22" s="725"/>
      <c r="M22" s="251">
        <f t="shared" si="0"/>
        <v>0</v>
      </c>
      <c r="N22" s="725"/>
      <c r="O22" s="252">
        <f t="shared" si="1"/>
        <v>0</v>
      </c>
      <c r="P22" s="237"/>
      <c r="Q22" s="725"/>
      <c r="S22" s="818" t="s">
        <v>6282</v>
      </c>
      <c r="T22" s="832" t="s">
        <v>6284</v>
      </c>
      <c r="U22" s="821"/>
      <c r="V22" s="817"/>
    </row>
    <row r="23" spans="2:22" s="197" customFormat="1" ht="15.75" customHeight="1">
      <c r="B23" s="818" t="s">
        <v>6285</v>
      </c>
      <c r="C23" s="819" t="s">
        <v>6276</v>
      </c>
      <c r="D23" s="819">
        <v>2</v>
      </c>
      <c r="E23" s="832">
        <v>1.56</v>
      </c>
      <c r="F23" s="821"/>
      <c r="G23" s="229"/>
      <c r="H23" s="822" t="s">
        <v>6286</v>
      </c>
      <c r="J23" s="823"/>
      <c r="L23" s="725"/>
      <c r="M23" s="251">
        <f t="shared" si="0"/>
        <v>0</v>
      </c>
      <c r="N23" s="725"/>
      <c r="O23" s="252">
        <f t="shared" si="1"/>
        <v>0</v>
      </c>
      <c r="P23" s="237"/>
      <c r="Q23" s="725"/>
      <c r="S23" s="818" t="s">
        <v>6287</v>
      </c>
      <c r="T23" s="832" t="s">
        <v>6288</v>
      </c>
      <c r="U23" s="821"/>
      <c r="V23" s="817"/>
    </row>
    <row r="24" spans="2:22" s="197" customFormat="1" ht="15.75" customHeight="1">
      <c r="B24" s="818" t="s">
        <v>6289</v>
      </c>
      <c r="C24" s="819" t="s">
        <v>6276</v>
      </c>
      <c r="D24" s="819">
        <v>2</v>
      </c>
      <c r="E24" s="820">
        <v>6.9145459155042832E-2</v>
      </c>
      <c r="F24" s="821"/>
      <c r="G24" s="229"/>
      <c r="H24" s="822" t="s">
        <v>6290</v>
      </c>
      <c r="J24" s="823"/>
      <c r="L24" s="725"/>
      <c r="M24" s="251"/>
      <c r="N24" s="725"/>
      <c r="O24" s="237"/>
      <c r="P24" s="237"/>
      <c r="Q24" s="725"/>
      <c r="S24" s="818" t="s">
        <v>6291</v>
      </c>
      <c r="T24" s="820" t="s">
        <v>6292</v>
      </c>
      <c r="U24" s="821"/>
      <c r="V24" s="817"/>
    </row>
    <row r="25" spans="2:22" s="197" customFormat="1" ht="15.75" customHeight="1">
      <c r="B25" s="818" t="s">
        <v>6293</v>
      </c>
      <c r="C25" s="819" t="s">
        <v>1344</v>
      </c>
      <c r="D25" s="819">
        <v>2</v>
      </c>
      <c r="E25" s="824">
        <v>1.5961561952848229E-3</v>
      </c>
      <c r="F25" s="821"/>
      <c r="G25" s="229"/>
      <c r="H25" s="822" t="s">
        <v>6294</v>
      </c>
      <c r="J25" s="823"/>
      <c r="L25" s="725"/>
      <c r="M25" s="251"/>
      <c r="N25" s="725"/>
      <c r="O25" s="237"/>
      <c r="P25" s="237"/>
      <c r="Q25" s="725"/>
      <c r="S25" s="818" t="s">
        <v>6293</v>
      </c>
      <c r="T25" s="824" t="s">
        <v>6295</v>
      </c>
      <c r="U25" s="821"/>
      <c r="V25" s="817"/>
    </row>
    <row r="26" spans="2:22" s="197" customFormat="1" ht="15.75" customHeight="1">
      <c r="B26" s="818" t="s">
        <v>6296</v>
      </c>
      <c r="C26" s="819" t="s">
        <v>137</v>
      </c>
      <c r="D26" s="819">
        <v>3</v>
      </c>
      <c r="E26" s="1486">
        <v>360.67299999999994</v>
      </c>
      <c r="F26" s="821"/>
      <c r="G26" s="229"/>
      <c r="H26" s="822" t="s">
        <v>6297</v>
      </c>
      <c r="J26" s="823"/>
      <c r="L26" s="725"/>
      <c r="M26" s="251"/>
      <c r="N26" s="725"/>
      <c r="O26" s="237"/>
      <c r="P26" s="237"/>
      <c r="Q26" s="725"/>
      <c r="S26" s="818" t="s">
        <v>4715</v>
      </c>
      <c r="T26" s="820" t="s">
        <v>6298</v>
      </c>
      <c r="U26" s="821"/>
      <c r="V26" s="817"/>
    </row>
    <row r="27" spans="2:22" s="197" customFormat="1" ht="15.75" customHeight="1" thickBot="1">
      <c r="B27" s="833" t="s">
        <v>6299</v>
      </c>
      <c r="C27" s="834" t="s">
        <v>6276</v>
      </c>
      <c r="D27" s="834">
        <v>2</v>
      </c>
      <c r="E27" s="835">
        <v>5.8955817096113014E-2</v>
      </c>
      <c r="F27" s="836"/>
      <c r="G27" s="229"/>
      <c r="H27" s="837" t="s">
        <v>6300</v>
      </c>
      <c r="J27" s="838"/>
      <c r="L27" s="725"/>
      <c r="M27" s="251"/>
      <c r="N27" s="725"/>
      <c r="O27" s="237"/>
      <c r="P27" s="237"/>
      <c r="Q27" s="725"/>
      <c r="S27" s="833" t="s">
        <v>6299</v>
      </c>
      <c r="T27" s="835" t="s">
        <v>6301</v>
      </c>
      <c r="U27" s="836"/>
      <c r="V27" s="817"/>
    </row>
    <row r="28" spans="2:22" s="197" customFormat="1" ht="15.75" customHeight="1" thickTop="1" thickBot="1">
      <c r="B28" s="206"/>
      <c r="C28" s="206"/>
      <c r="D28" s="206"/>
      <c r="E28" s="83"/>
      <c r="F28" s="83"/>
      <c r="G28" s="229"/>
      <c r="H28" s="106"/>
      <c r="J28" s="839"/>
      <c r="L28" s="725"/>
      <c r="M28" s="251"/>
      <c r="N28" s="725"/>
      <c r="O28" s="237"/>
      <c r="P28" s="237"/>
      <c r="Q28" s="725"/>
      <c r="S28" s="206"/>
      <c r="T28" s="83"/>
      <c r="U28" s="83"/>
      <c r="V28" s="106"/>
    </row>
    <row r="29" spans="2:22" s="197" customFormat="1" ht="15.75" customHeight="1" thickTop="1" thickBot="1">
      <c r="B29" s="33" t="s">
        <v>2169</v>
      </c>
      <c r="C29" s="356"/>
      <c r="D29" s="356"/>
      <c r="E29" s="444"/>
      <c r="F29" s="146"/>
      <c r="G29" s="229"/>
      <c r="H29" s="840"/>
      <c r="J29" s="839"/>
      <c r="L29" s="725"/>
      <c r="M29" s="251"/>
      <c r="N29" s="725"/>
      <c r="O29" s="237"/>
      <c r="P29" s="237"/>
      <c r="Q29" s="725"/>
      <c r="S29" s="33" t="s">
        <v>2169</v>
      </c>
      <c r="T29" s="444"/>
      <c r="U29" s="146"/>
      <c r="V29" s="840"/>
    </row>
    <row r="30" spans="2:22" s="197" customFormat="1" ht="15.75" customHeight="1" thickTop="1">
      <c r="B30" s="841" t="s">
        <v>6302</v>
      </c>
      <c r="C30" s="94" t="s">
        <v>1344</v>
      </c>
      <c r="D30" s="94">
        <v>2</v>
      </c>
      <c r="E30" s="842">
        <v>0.46128215738059092</v>
      </c>
      <c r="F30" s="843"/>
      <c r="G30" s="229"/>
      <c r="H30" s="815" t="s">
        <v>6303</v>
      </c>
      <c r="J30" s="816"/>
      <c r="L30" s="725"/>
      <c r="M30" s="251"/>
      <c r="N30" s="725"/>
      <c r="O30" s="237"/>
      <c r="P30" s="237"/>
      <c r="Q30" s="725"/>
      <c r="S30" s="841" t="s">
        <v>6302</v>
      </c>
      <c r="T30" s="842" t="s">
        <v>6304</v>
      </c>
      <c r="U30" s="843"/>
      <c r="V30" s="817"/>
    </row>
    <row r="31" spans="2:22" s="197" customFormat="1" ht="15.75" customHeight="1">
      <c r="B31" s="844" t="s">
        <v>6305</v>
      </c>
      <c r="C31" s="97" t="s">
        <v>1344</v>
      </c>
      <c r="D31" s="97">
        <v>2</v>
      </c>
      <c r="E31" s="824">
        <v>-3.8969653686088221E-2</v>
      </c>
      <c r="F31" s="845"/>
      <c r="G31" s="229"/>
      <c r="H31" s="822" t="s">
        <v>6306</v>
      </c>
      <c r="J31" s="823"/>
      <c r="L31" s="725"/>
      <c r="M31" s="251"/>
      <c r="N31" s="725"/>
      <c r="O31" s="237"/>
      <c r="P31" s="237"/>
      <c r="Q31" s="725"/>
      <c r="S31" s="844" t="s">
        <v>6305</v>
      </c>
      <c r="T31" s="824" t="s">
        <v>6307</v>
      </c>
      <c r="U31" s="845"/>
      <c r="V31" s="817"/>
    </row>
    <row r="32" spans="2:22" s="197" customFormat="1" ht="15.75" customHeight="1">
      <c r="B32" s="844" t="s">
        <v>6308</v>
      </c>
      <c r="C32" s="97" t="s">
        <v>1344</v>
      </c>
      <c r="D32" s="97">
        <v>2</v>
      </c>
      <c r="E32" s="824">
        <v>0.57768749630549721</v>
      </c>
      <c r="F32" s="845"/>
      <c r="G32" s="229"/>
      <c r="H32" s="822" t="s">
        <v>6309</v>
      </c>
      <c r="J32" s="823"/>
      <c r="L32" s="725"/>
      <c r="M32" s="251"/>
      <c r="N32" s="725"/>
      <c r="O32" s="237"/>
      <c r="P32" s="237"/>
      <c r="Q32" s="725"/>
      <c r="S32" s="844" t="s">
        <v>6308</v>
      </c>
      <c r="T32" s="824" t="s">
        <v>6310</v>
      </c>
      <c r="U32" s="845"/>
      <c r="V32" s="817"/>
    </row>
    <row r="33" spans="1:22" s="197" customFormat="1" ht="15.75" customHeight="1">
      <c r="B33" s="844" t="s">
        <v>6311</v>
      </c>
      <c r="C33" s="97" t="s">
        <v>1344</v>
      </c>
      <c r="D33" s="97">
        <v>2</v>
      </c>
      <c r="E33" s="826">
        <v>2.29E-2</v>
      </c>
      <c r="F33" s="845"/>
      <c r="G33" s="229"/>
      <c r="H33" s="822" t="s">
        <v>6312</v>
      </c>
      <c r="J33" s="823"/>
      <c r="L33" s="725"/>
      <c r="M33" s="251">
        <f t="shared" ref="M33:M37" si="2">IF( SUM( O33:P33 ) = 0, 0, $O$7 )</f>
        <v>0</v>
      </c>
      <c r="N33" s="725"/>
      <c r="O33" s="252">
        <f t="shared" ref="O33:O37" si="3" xml:space="preserve"> IF( ISNUMBER(E33), 0, 1 )</f>
        <v>0</v>
      </c>
      <c r="P33" s="237"/>
      <c r="Q33" s="725"/>
      <c r="S33" s="844" t="s">
        <v>6311</v>
      </c>
      <c r="T33" s="826" t="s">
        <v>6313</v>
      </c>
      <c r="U33" s="845"/>
      <c r="V33" s="817"/>
    </row>
    <row r="34" spans="1:22" s="197" customFormat="1" ht="31">
      <c r="B34" s="844" t="s">
        <v>6314</v>
      </c>
      <c r="C34" s="97" t="s">
        <v>1344</v>
      </c>
      <c r="D34" s="97">
        <v>2</v>
      </c>
      <c r="E34" s="826">
        <v>0</v>
      </c>
      <c r="F34" s="845"/>
      <c r="G34" s="229"/>
      <c r="H34" s="822" t="s">
        <v>6315</v>
      </c>
      <c r="J34" s="823"/>
      <c r="L34" s="725"/>
      <c r="M34" s="251">
        <f t="shared" si="2"/>
        <v>0</v>
      </c>
      <c r="N34" s="725"/>
      <c r="O34" s="252">
        <f t="shared" si="3"/>
        <v>0</v>
      </c>
      <c r="P34" s="237"/>
      <c r="Q34" s="725"/>
      <c r="S34" s="844" t="s">
        <v>6314</v>
      </c>
      <c r="T34" s="826" t="s">
        <v>6316</v>
      </c>
      <c r="U34" s="845"/>
      <c r="V34" s="817"/>
    </row>
    <row r="35" spans="1:22" s="197" customFormat="1" ht="31.5" customHeight="1">
      <c r="B35" s="844" t="s">
        <v>6317</v>
      </c>
      <c r="C35" s="97" t="s">
        <v>1344</v>
      </c>
      <c r="D35" s="97">
        <v>2</v>
      </c>
      <c r="E35" s="826">
        <v>0.15989999999999999</v>
      </c>
      <c r="F35" s="845"/>
      <c r="G35" s="229"/>
      <c r="H35" s="822" t="s">
        <v>6318</v>
      </c>
      <c r="J35" s="823"/>
      <c r="L35" s="725"/>
      <c r="M35" s="251">
        <f t="shared" si="2"/>
        <v>0</v>
      </c>
      <c r="N35" s="725"/>
      <c r="O35" s="252">
        <f t="shared" si="3"/>
        <v>0</v>
      </c>
      <c r="P35" s="237"/>
      <c r="Q35" s="725"/>
      <c r="S35" s="844" t="s">
        <v>6319</v>
      </c>
      <c r="T35" s="826" t="s">
        <v>6320</v>
      </c>
      <c r="U35" s="845"/>
      <c r="V35" s="817"/>
    </row>
    <row r="36" spans="1:22" s="197" customFormat="1" ht="33" customHeight="1">
      <c r="B36" s="844" t="s">
        <v>6321</v>
      </c>
      <c r="C36" s="97" t="s">
        <v>1344</v>
      </c>
      <c r="D36" s="97">
        <v>2</v>
      </c>
      <c r="E36" s="826">
        <v>0.67259999999999998</v>
      </c>
      <c r="F36" s="845"/>
      <c r="G36" s="229"/>
      <c r="H36" s="822" t="s">
        <v>6322</v>
      </c>
      <c r="J36" s="823"/>
      <c r="L36" s="725"/>
      <c r="M36" s="251">
        <f t="shared" si="2"/>
        <v>0</v>
      </c>
      <c r="N36" s="725"/>
      <c r="O36" s="252">
        <f t="shared" si="3"/>
        <v>0</v>
      </c>
      <c r="P36" s="237"/>
      <c r="Q36" s="725"/>
      <c r="S36" s="844" t="s">
        <v>6321</v>
      </c>
      <c r="T36" s="826" t="s">
        <v>6323</v>
      </c>
      <c r="U36" s="845"/>
      <c r="V36" s="817"/>
    </row>
    <row r="37" spans="1:22" s="197" customFormat="1" ht="15.75" customHeight="1" thickBot="1">
      <c r="B37" s="846" t="s">
        <v>6324</v>
      </c>
      <c r="C37" s="101" t="s">
        <v>1344</v>
      </c>
      <c r="D37" s="101">
        <v>2</v>
      </c>
      <c r="E37" s="847">
        <v>0.14460000000000001</v>
      </c>
      <c r="F37" s="848"/>
      <c r="H37" s="837" t="s">
        <v>6325</v>
      </c>
      <c r="J37" s="838"/>
      <c r="L37" s="725"/>
      <c r="M37" s="251">
        <f t="shared" si="2"/>
        <v>0</v>
      </c>
      <c r="N37" s="725"/>
      <c r="O37" s="252">
        <f t="shared" si="3"/>
        <v>0</v>
      </c>
      <c r="P37" s="237"/>
      <c r="Q37" s="725"/>
      <c r="S37" s="846" t="s">
        <v>6324</v>
      </c>
      <c r="T37" s="847" t="s">
        <v>6326</v>
      </c>
      <c r="U37" s="848"/>
      <c r="V37" s="817"/>
    </row>
    <row r="38" spans="1:22" s="197" customFormat="1" ht="15.75" customHeight="1" thickTop="1">
      <c r="B38" s="849" t="s">
        <v>6327</v>
      </c>
      <c r="H38" s="229"/>
      <c r="M38" s="251"/>
      <c r="O38" s="237"/>
      <c r="P38" s="237"/>
    </row>
    <row r="39" spans="1:22" s="197" customFormat="1" ht="15.75" customHeight="1">
      <c r="H39" s="229"/>
      <c r="M39" s="251"/>
      <c r="O39" s="237"/>
      <c r="P39" s="237"/>
    </row>
    <row r="40" spans="1:22">
      <c r="A40" s="197"/>
      <c r="B40" s="197"/>
      <c r="C40" s="197"/>
      <c r="D40" s="197"/>
      <c r="E40" s="197"/>
      <c r="F40" s="197"/>
      <c r="G40" s="197"/>
      <c r="I40" s="197"/>
      <c r="J40" s="197"/>
      <c r="K40" s="197"/>
      <c r="L40" s="2562"/>
      <c r="M40" s="251"/>
      <c r="N40" s="2562"/>
      <c r="O40" s="237"/>
      <c r="P40" s="237"/>
      <c r="Q40" s="2562"/>
      <c r="R40" s="2562"/>
      <c r="S40" s="2562"/>
      <c r="T40" s="2562"/>
      <c r="U40" s="2562"/>
      <c r="V40" s="2562"/>
    </row>
    <row r="41" spans="1:22">
      <c r="A41" s="197"/>
      <c r="B41" s="197"/>
      <c r="C41" s="197"/>
      <c r="D41" s="197"/>
      <c r="E41" s="197"/>
      <c r="F41" s="197"/>
      <c r="G41" s="197"/>
      <c r="I41" s="197"/>
      <c r="J41" s="197"/>
      <c r="K41" s="197"/>
      <c r="L41" s="2562"/>
      <c r="M41" s="251"/>
      <c r="N41" s="2562"/>
      <c r="O41" s="237"/>
      <c r="P41" s="237"/>
      <c r="Q41" s="2562"/>
      <c r="R41" s="2562"/>
      <c r="S41" s="2562"/>
      <c r="T41" s="2562"/>
      <c r="U41" s="2562"/>
      <c r="V41" s="2562"/>
    </row>
    <row r="42" spans="1:22">
      <c r="A42" s="197"/>
      <c r="B42" s="197"/>
      <c r="C42" s="197"/>
      <c r="D42" s="197"/>
      <c r="E42" s="197"/>
      <c r="F42" s="197"/>
      <c r="G42" s="197"/>
      <c r="I42" s="197"/>
      <c r="J42" s="197"/>
      <c r="K42" s="197"/>
      <c r="L42" s="2562"/>
      <c r="M42" s="251"/>
      <c r="N42" s="2562"/>
      <c r="O42" s="237"/>
      <c r="P42" s="237"/>
      <c r="Q42" s="2562"/>
      <c r="R42" s="2562"/>
      <c r="S42" s="2562"/>
      <c r="T42" s="2562"/>
      <c r="U42" s="2562"/>
      <c r="V42" s="2562"/>
    </row>
    <row r="43" spans="1:22">
      <c r="A43" s="197"/>
      <c r="B43" s="197"/>
      <c r="C43" s="197"/>
      <c r="D43" s="197"/>
      <c r="E43" s="197"/>
      <c r="F43" s="197"/>
      <c r="G43" s="197"/>
      <c r="I43" s="197"/>
      <c r="J43" s="197"/>
      <c r="K43" s="197"/>
      <c r="L43" s="2562"/>
      <c r="M43" s="251"/>
      <c r="N43" s="2562"/>
      <c r="O43" s="237"/>
      <c r="P43" s="237"/>
      <c r="Q43" s="2562"/>
      <c r="R43" s="2562"/>
      <c r="S43" s="2562"/>
      <c r="T43" s="2562"/>
      <c r="U43" s="2562"/>
      <c r="V43" s="2562"/>
    </row>
    <row r="44" spans="1:22">
      <c r="A44" s="197"/>
      <c r="B44" s="197"/>
      <c r="C44" s="197"/>
      <c r="D44" s="197"/>
      <c r="E44" s="197"/>
      <c r="F44" s="197"/>
      <c r="G44" s="197"/>
      <c r="I44" s="197"/>
      <c r="J44" s="197"/>
      <c r="K44" s="197"/>
      <c r="L44" s="2562"/>
      <c r="M44" s="251"/>
      <c r="N44" s="2562"/>
      <c r="O44" s="237"/>
      <c r="P44" s="237"/>
      <c r="Q44" s="2562"/>
      <c r="R44" s="2562"/>
      <c r="S44" s="2562"/>
      <c r="T44" s="2562"/>
      <c r="U44" s="2562"/>
      <c r="V44" s="2562"/>
    </row>
    <row r="45" spans="1:22">
      <c r="A45" s="197"/>
      <c r="B45" s="197"/>
      <c r="C45" s="197"/>
      <c r="D45" s="197"/>
      <c r="E45" s="197"/>
      <c r="F45" s="197"/>
      <c r="G45" s="197"/>
      <c r="I45" s="197"/>
      <c r="J45" s="197"/>
      <c r="K45" s="197"/>
      <c r="L45" s="2562"/>
      <c r="M45" s="251"/>
      <c r="N45" s="2562"/>
      <c r="O45" s="237"/>
      <c r="P45" s="237"/>
      <c r="Q45" s="2562"/>
      <c r="R45" s="2562"/>
      <c r="S45" s="2562"/>
      <c r="T45" s="2562"/>
      <c r="U45" s="2562"/>
      <c r="V45" s="2562"/>
    </row>
  </sheetData>
  <sheetProtection formatColumns="0" formatRows="0"/>
  <mergeCells count="3">
    <mergeCell ref="B3:J3"/>
    <mergeCell ref="S3:U3"/>
    <mergeCell ref="O6:P6"/>
  </mergeCells>
  <conditionalFormatting sqref="M4:M15">
    <cfRule type="cellIs" dxfId="128" priority="5" operator="equal">
      <formula>0</formula>
    </cfRule>
  </conditionalFormatting>
  <conditionalFormatting sqref="M19:M45">
    <cfRule type="cellIs" dxfId="127"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A40" zoomScaleNormal="100" zoomScaleSheetLayoutView="100" workbookViewId="0">
      <selection activeCell="C9" sqref="C9"/>
    </sheetView>
  </sheetViews>
  <sheetFormatPr defaultColWidth="9.08203125" defaultRowHeight="15.5"/>
  <cols>
    <col min="1" max="1" width="1.58203125" style="17" customWidth="1"/>
    <col min="2" max="2" width="36.08203125" style="17" customWidth="1"/>
    <col min="3" max="3" width="9" style="17" bestFit="1" customWidth="1"/>
    <col min="4" max="5" width="12.5" style="17" customWidth="1"/>
    <col min="6" max="6" width="12.5" style="2" customWidth="1"/>
    <col min="7" max="11" width="12.5" style="17" customWidth="1"/>
    <col min="12" max="12" width="1.58203125" style="17" customWidth="1"/>
    <col min="13" max="13" width="12.5" style="17" customWidth="1"/>
    <col min="14" max="14" width="2.58203125" style="17" customWidth="1"/>
    <col min="15" max="15" width="33.58203125" style="17" customWidth="1"/>
    <col min="16" max="17" width="1.58203125" style="17" customWidth="1"/>
    <col min="18" max="18" width="21.08203125" style="17" bestFit="1" customWidth="1"/>
    <col min="19" max="19" width="1.58203125" style="17" customWidth="1"/>
    <col min="20" max="27" width="6.08203125" style="17" hidden="1" customWidth="1"/>
    <col min="28" max="29" width="1.58203125" style="17" hidden="1" customWidth="1"/>
    <col min="30" max="30" width="1.58203125" style="17" customWidth="1"/>
    <col min="31" max="31" width="36.08203125" style="17" customWidth="1"/>
    <col min="32" max="32" width="20.58203125" style="17" bestFit="1" customWidth="1"/>
    <col min="33" max="34" width="12.5" style="17" customWidth="1"/>
    <col min="35" max="35" width="12.5" style="2" customWidth="1"/>
    <col min="36" max="40" width="12.5" style="17" customWidth="1"/>
    <col min="41" max="41" width="1.58203125" style="17" customWidth="1"/>
    <col min="42" max="16384" width="9.08203125" style="17"/>
  </cols>
  <sheetData>
    <row r="1" spans="1:45" s="12" customFormat="1" ht="22.5">
      <c r="A1" s="227"/>
      <c r="B1" s="799" t="s">
        <v>6328</v>
      </c>
      <c r="C1" s="799"/>
      <c r="D1" s="2560"/>
      <c r="E1" s="2560"/>
      <c r="F1" s="850"/>
      <c r="G1" s="2560"/>
      <c r="H1" s="2560"/>
      <c r="I1" s="850"/>
      <c r="J1" s="2560"/>
      <c r="K1" s="2560"/>
      <c r="L1" s="227"/>
      <c r="M1" s="227"/>
      <c r="N1" s="227"/>
      <c r="O1" s="227"/>
      <c r="P1" s="227"/>
      <c r="Q1" s="803"/>
      <c r="R1" s="227"/>
      <c r="S1" s="803"/>
      <c r="T1" s="227"/>
      <c r="U1" s="227"/>
      <c r="V1" s="227"/>
      <c r="W1" s="227"/>
      <c r="X1" s="227"/>
      <c r="Y1" s="227"/>
      <c r="Z1" s="227"/>
      <c r="AA1" s="227"/>
      <c r="AB1" s="553"/>
      <c r="AC1" s="803"/>
      <c r="AD1" s="553"/>
      <c r="AE1" s="799" t="s">
        <v>1887</v>
      </c>
      <c r="AF1" s="799"/>
      <c r="AG1" s="2560"/>
      <c r="AH1" s="2560"/>
      <c r="AI1" s="850"/>
      <c r="AJ1" s="2560"/>
      <c r="AK1" s="2560"/>
      <c r="AL1" s="850"/>
      <c r="AM1" s="2560"/>
      <c r="AN1" s="2560"/>
      <c r="AO1" s="553"/>
      <c r="AP1" s="227"/>
      <c r="AQ1" s="227"/>
      <c r="AR1" s="227"/>
      <c r="AS1" s="227"/>
    </row>
    <row r="2" spans="1:45" s="12" customFormat="1" ht="22.5">
      <c r="A2" s="227"/>
      <c r="B2" s="799" t="str">
        <f>SelectCompany!B4</f>
        <v>Yorkshire Water</v>
      </c>
      <c r="C2" s="799"/>
      <c r="D2" s="2560"/>
      <c r="E2" s="2560"/>
      <c r="F2" s="2560"/>
      <c r="G2" s="2560"/>
      <c r="H2" s="2560"/>
      <c r="I2" s="2560"/>
      <c r="J2" s="2560"/>
      <c r="K2" s="2560"/>
      <c r="L2" s="227"/>
      <c r="M2" s="227"/>
      <c r="N2" s="227"/>
      <c r="O2" s="227"/>
      <c r="P2" s="227"/>
      <c r="Q2" s="803"/>
      <c r="R2" s="227"/>
      <c r="S2" s="803"/>
      <c r="T2" s="227"/>
      <c r="U2" s="227"/>
      <c r="V2" s="227"/>
      <c r="W2" s="227"/>
      <c r="X2" s="227"/>
      <c r="Y2" s="227"/>
      <c r="Z2" s="227"/>
      <c r="AA2" s="227"/>
      <c r="AB2" s="553"/>
      <c r="AC2" s="803"/>
      <c r="AD2" s="553"/>
      <c r="AE2" s="2560"/>
      <c r="AF2" s="2560"/>
      <c r="AG2" s="2560"/>
      <c r="AH2" s="2560"/>
      <c r="AI2" s="2560"/>
      <c r="AJ2" s="2560"/>
      <c r="AK2" s="2560"/>
      <c r="AL2" s="2560"/>
      <c r="AM2" s="2560"/>
      <c r="AN2" s="2560"/>
      <c r="AO2" s="553"/>
      <c r="AP2" s="227"/>
      <c r="AQ2" s="227"/>
      <c r="AR2" s="227"/>
      <c r="AS2" s="227"/>
    </row>
    <row r="3" spans="1:45" s="6" customFormat="1" ht="19">
      <c r="A3" s="231"/>
      <c r="B3" s="2810" t="s">
        <v>6329</v>
      </c>
      <c r="C3" s="2675"/>
      <c r="D3" s="2675"/>
      <c r="E3" s="2675"/>
      <c r="F3" s="2675"/>
      <c r="G3" s="2675"/>
      <c r="H3" s="2675"/>
      <c r="I3" s="2675"/>
      <c r="J3" s="2675"/>
      <c r="K3" s="2675"/>
      <c r="L3" s="2810"/>
      <c r="M3" s="2675"/>
      <c r="N3" s="2675"/>
      <c r="O3" s="2675"/>
      <c r="P3" s="231"/>
      <c r="Q3" s="804"/>
      <c r="R3" s="2073" t="s">
        <v>1889</v>
      </c>
      <c r="S3" s="804"/>
      <c r="T3" s="231"/>
      <c r="U3" s="231"/>
      <c r="V3" s="231"/>
      <c r="W3" s="231"/>
      <c r="X3" s="231"/>
      <c r="Y3" s="231"/>
      <c r="Z3" s="231"/>
      <c r="AA3" s="231"/>
      <c r="AB3" s="555"/>
      <c r="AC3" s="804"/>
      <c r="AD3" s="555"/>
      <c r="AE3" s="2810" t="s">
        <v>6329</v>
      </c>
      <c r="AF3" s="2675"/>
      <c r="AG3" s="2675"/>
      <c r="AH3" s="2675"/>
      <c r="AI3" s="2675"/>
      <c r="AJ3" s="2675"/>
      <c r="AK3" s="2675"/>
      <c r="AL3" s="2675"/>
      <c r="AM3" s="2675"/>
      <c r="AN3" s="2675"/>
      <c r="AO3" s="229"/>
      <c r="AP3" s="231"/>
      <c r="AQ3" s="231"/>
      <c r="AR3" s="231"/>
      <c r="AS3" s="231"/>
    </row>
    <row r="4" spans="1:45" s="7" customFormat="1" ht="19.5" thickBot="1">
      <c r="A4" s="555"/>
      <c r="B4" s="851"/>
      <c r="C4" s="851"/>
      <c r="D4" s="851"/>
      <c r="E4" s="851"/>
      <c r="F4" s="851"/>
      <c r="G4" s="851"/>
      <c r="H4" s="851"/>
      <c r="I4" s="851"/>
      <c r="J4" s="851"/>
      <c r="K4" s="851"/>
      <c r="L4" s="555"/>
      <c r="M4" s="229"/>
      <c r="N4" s="555"/>
      <c r="O4" s="555"/>
      <c r="P4" s="555"/>
      <c r="Q4" s="804"/>
      <c r="R4" s="251"/>
      <c r="S4" s="804"/>
      <c r="T4" s="555"/>
      <c r="U4" s="555"/>
      <c r="V4" s="555"/>
      <c r="W4" s="555"/>
      <c r="X4" s="555"/>
      <c r="Y4" s="555"/>
      <c r="Z4" s="555"/>
      <c r="AA4" s="555"/>
      <c r="AB4" s="555"/>
      <c r="AC4" s="804"/>
      <c r="AD4" s="555"/>
      <c r="AE4" s="851"/>
      <c r="AF4" s="851"/>
      <c r="AG4" s="851"/>
      <c r="AH4" s="851"/>
      <c r="AI4" s="851"/>
      <c r="AJ4" s="851"/>
      <c r="AK4" s="851"/>
      <c r="AL4" s="851"/>
      <c r="AM4" s="851"/>
      <c r="AN4" s="851"/>
      <c r="AO4" s="229"/>
      <c r="AP4" s="555"/>
      <c r="AQ4" s="555"/>
      <c r="AR4" s="555"/>
      <c r="AS4" s="555"/>
    </row>
    <row r="5" spans="1:45" s="7" customFormat="1" ht="20.149999999999999" customHeight="1" thickTop="1">
      <c r="A5" s="555"/>
      <c r="B5" s="2686" t="s">
        <v>1891</v>
      </c>
      <c r="C5" s="2667" t="s">
        <v>6330</v>
      </c>
      <c r="D5" s="2667"/>
      <c r="E5" s="2667"/>
      <c r="F5" s="2667"/>
      <c r="G5" s="2667"/>
      <c r="H5" s="2667"/>
      <c r="I5" s="2667"/>
      <c r="J5" s="2667"/>
      <c r="K5" s="2669"/>
      <c r="L5" s="555"/>
      <c r="M5" s="2812" t="s">
        <v>1896</v>
      </c>
      <c r="N5" s="555"/>
      <c r="O5" s="2812" t="s">
        <v>1897</v>
      </c>
      <c r="P5" s="555"/>
      <c r="Q5" s="804"/>
      <c r="R5" s="251"/>
      <c r="S5" s="804"/>
      <c r="T5" s="555"/>
      <c r="U5" s="555"/>
      <c r="V5" s="555"/>
      <c r="W5" s="555"/>
      <c r="X5" s="555"/>
      <c r="Y5" s="555"/>
      <c r="Z5" s="555"/>
      <c r="AA5" s="555"/>
      <c r="AB5" s="555"/>
      <c r="AC5" s="804"/>
      <c r="AD5" s="555"/>
      <c r="AE5" s="2686" t="s">
        <v>1891</v>
      </c>
      <c r="AF5" s="2667" t="s">
        <v>6330</v>
      </c>
      <c r="AG5" s="2667"/>
      <c r="AH5" s="2667"/>
      <c r="AI5" s="2667"/>
      <c r="AJ5" s="2667"/>
      <c r="AK5" s="2667"/>
      <c r="AL5" s="2667"/>
      <c r="AM5" s="2667"/>
      <c r="AN5" s="2669"/>
      <c r="AO5" s="229"/>
      <c r="AP5" s="555"/>
      <c r="AQ5" s="555"/>
      <c r="AR5" s="555"/>
      <c r="AS5" s="555"/>
    </row>
    <row r="6" spans="1:45" s="4" customFormat="1" ht="16.399999999999999" customHeight="1">
      <c r="A6" s="197"/>
      <c r="B6" s="2769"/>
      <c r="C6" s="2770" t="s">
        <v>6331</v>
      </c>
      <c r="D6" s="2770"/>
      <c r="E6" s="2770"/>
      <c r="F6" s="2770"/>
      <c r="G6" s="2770" t="s">
        <v>6332</v>
      </c>
      <c r="H6" s="2770"/>
      <c r="I6" s="2770" t="s">
        <v>6333</v>
      </c>
      <c r="J6" s="2770" t="s">
        <v>6334</v>
      </c>
      <c r="K6" s="2811"/>
      <c r="L6" s="197"/>
      <c r="M6" s="2813"/>
      <c r="N6" s="197"/>
      <c r="O6" s="2813"/>
      <c r="P6" s="197"/>
      <c r="Q6" s="725"/>
      <c r="R6" s="251"/>
      <c r="S6" s="725"/>
      <c r="T6" s="197"/>
      <c r="U6" s="197"/>
      <c r="V6" s="197"/>
      <c r="W6" s="197"/>
      <c r="X6" s="197"/>
      <c r="Y6" s="197"/>
      <c r="Z6" s="197"/>
      <c r="AA6" s="197"/>
      <c r="AB6" s="197"/>
      <c r="AC6" s="725"/>
      <c r="AD6" s="197"/>
      <c r="AE6" s="2769"/>
      <c r="AF6" s="2770" t="s">
        <v>6331</v>
      </c>
      <c r="AG6" s="2770"/>
      <c r="AH6" s="2770"/>
      <c r="AI6" s="2770"/>
      <c r="AJ6" s="2770" t="s">
        <v>6332</v>
      </c>
      <c r="AK6" s="2770"/>
      <c r="AL6" s="2770" t="s">
        <v>6333</v>
      </c>
      <c r="AM6" s="2770" t="s">
        <v>6334</v>
      </c>
      <c r="AN6" s="2811"/>
      <c r="AO6" s="282"/>
      <c r="AP6" s="197"/>
      <c r="AQ6" s="197"/>
      <c r="AR6" s="197"/>
      <c r="AS6" s="197"/>
    </row>
    <row r="7" spans="1:45" s="4" customFormat="1" ht="31">
      <c r="A7" s="197"/>
      <c r="B7" s="2769"/>
      <c r="C7" s="389" t="s">
        <v>6335</v>
      </c>
      <c r="D7" s="389" t="s">
        <v>6336</v>
      </c>
      <c r="E7" s="389" t="s">
        <v>6337</v>
      </c>
      <c r="F7" s="389" t="s">
        <v>6338</v>
      </c>
      <c r="G7" s="389" t="s">
        <v>6339</v>
      </c>
      <c r="H7" s="389" t="s">
        <v>6340</v>
      </c>
      <c r="I7" s="2770"/>
      <c r="J7" s="389" t="s">
        <v>6341</v>
      </c>
      <c r="K7" s="390" t="s">
        <v>6342</v>
      </c>
      <c r="L7" s="197"/>
      <c r="M7" s="2813"/>
      <c r="N7" s="197"/>
      <c r="O7" s="2813"/>
      <c r="P7" s="197"/>
      <c r="Q7" s="725"/>
      <c r="R7" s="251"/>
      <c r="S7" s="725"/>
      <c r="T7" s="197"/>
      <c r="U7" s="197"/>
      <c r="V7" s="197"/>
      <c r="W7" s="197"/>
      <c r="X7" s="197"/>
      <c r="Y7" s="197"/>
      <c r="Z7" s="197"/>
      <c r="AA7" s="197"/>
      <c r="AB7" s="197"/>
      <c r="AC7" s="725"/>
      <c r="AD7" s="197"/>
      <c r="AE7" s="2769"/>
      <c r="AF7" s="389" t="s">
        <v>6335</v>
      </c>
      <c r="AG7" s="389" t="s">
        <v>6336</v>
      </c>
      <c r="AH7" s="389" t="s">
        <v>6337</v>
      </c>
      <c r="AI7" s="389" t="s">
        <v>6338</v>
      </c>
      <c r="AJ7" s="389" t="s">
        <v>6339</v>
      </c>
      <c r="AK7" s="389" t="s">
        <v>6340</v>
      </c>
      <c r="AL7" s="2770"/>
      <c r="AM7" s="389" t="s">
        <v>6341</v>
      </c>
      <c r="AN7" s="390" t="s">
        <v>6342</v>
      </c>
      <c r="AO7" s="282"/>
      <c r="AP7" s="197"/>
      <c r="AQ7" s="197"/>
      <c r="AR7" s="197"/>
      <c r="AS7" s="197"/>
    </row>
    <row r="8" spans="1:45" s="4" customFormat="1">
      <c r="A8" s="197"/>
      <c r="B8" s="391" t="s">
        <v>1892</v>
      </c>
      <c r="C8" s="389" t="s">
        <v>137</v>
      </c>
      <c r="D8" s="389" t="s">
        <v>137</v>
      </c>
      <c r="E8" s="389" t="s">
        <v>137</v>
      </c>
      <c r="F8" s="389" t="s">
        <v>137</v>
      </c>
      <c r="G8" s="389" t="s">
        <v>137</v>
      </c>
      <c r="H8" s="389" t="s">
        <v>137</v>
      </c>
      <c r="I8" s="389" t="s">
        <v>137</v>
      </c>
      <c r="J8" s="389" t="s">
        <v>1344</v>
      </c>
      <c r="K8" s="390" t="s">
        <v>1344</v>
      </c>
      <c r="L8" s="197"/>
      <c r="M8" s="2813"/>
      <c r="N8" s="197"/>
      <c r="O8" s="2813"/>
      <c r="P8" s="197"/>
      <c r="Q8" s="725"/>
      <c r="R8" s="251"/>
      <c r="S8" s="725"/>
      <c r="T8" s="197"/>
      <c r="U8" s="197"/>
      <c r="V8" s="197"/>
      <c r="W8" s="197"/>
      <c r="X8" s="197"/>
      <c r="Y8" s="197"/>
      <c r="Z8" s="197"/>
      <c r="AA8" s="197"/>
      <c r="AB8" s="197"/>
      <c r="AC8" s="725"/>
      <c r="AD8" s="197"/>
      <c r="AE8" s="391" t="s">
        <v>1892</v>
      </c>
      <c r="AF8" s="389" t="s">
        <v>137</v>
      </c>
      <c r="AG8" s="389" t="s">
        <v>137</v>
      </c>
      <c r="AH8" s="389" t="s">
        <v>137</v>
      </c>
      <c r="AI8" s="389" t="s">
        <v>137</v>
      </c>
      <c r="AJ8" s="389" t="s">
        <v>137</v>
      </c>
      <c r="AK8" s="389" t="s">
        <v>137</v>
      </c>
      <c r="AL8" s="389" t="s">
        <v>137</v>
      </c>
      <c r="AM8" s="389" t="s">
        <v>1344</v>
      </c>
      <c r="AN8" s="390" t="s">
        <v>1344</v>
      </c>
      <c r="AO8" s="282"/>
      <c r="AP8" s="197"/>
      <c r="AQ8" s="197"/>
      <c r="AR8" s="197"/>
      <c r="AS8" s="197"/>
    </row>
    <row r="9" spans="1:45" s="4" customFormat="1" ht="16" thickBot="1">
      <c r="A9" s="197"/>
      <c r="B9" s="392" t="s">
        <v>136</v>
      </c>
      <c r="C9" s="238">
        <v>3</v>
      </c>
      <c r="D9" s="238">
        <v>3</v>
      </c>
      <c r="E9" s="238">
        <v>3</v>
      </c>
      <c r="F9" s="238">
        <v>3</v>
      </c>
      <c r="G9" s="238">
        <v>3</v>
      </c>
      <c r="H9" s="238">
        <v>3</v>
      </c>
      <c r="I9" s="238">
        <v>3</v>
      </c>
      <c r="J9" s="238">
        <v>3</v>
      </c>
      <c r="K9" s="576">
        <v>3</v>
      </c>
      <c r="L9" s="197"/>
      <c r="M9" s="2814"/>
      <c r="N9" s="197"/>
      <c r="O9" s="2814"/>
      <c r="P9" s="197"/>
      <c r="Q9" s="725"/>
      <c r="R9" s="251"/>
      <c r="S9" s="725"/>
      <c r="T9" s="2662" t="s">
        <v>1890</v>
      </c>
      <c r="U9" s="2662"/>
      <c r="V9" s="2795"/>
      <c r="W9" s="2795"/>
      <c r="X9" s="2795"/>
      <c r="Y9" s="2795"/>
      <c r="Z9" s="2795"/>
      <c r="AA9" s="2795"/>
      <c r="AB9" s="2579"/>
      <c r="AC9" s="725"/>
      <c r="AD9" s="197"/>
      <c r="AE9" s="392" t="s">
        <v>136</v>
      </c>
      <c r="AF9" s="238">
        <v>3</v>
      </c>
      <c r="AG9" s="238">
        <v>3</v>
      </c>
      <c r="AH9" s="238">
        <v>3</v>
      </c>
      <c r="AI9" s="238">
        <v>3</v>
      </c>
      <c r="AJ9" s="238">
        <v>3</v>
      </c>
      <c r="AK9" s="238">
        <v>3</v>
      </c>
      <c r="AL9" s="238">
        <v>3</v>
      </c>
      <c r="AM9" s="238">
        <v>3</v>
      </c>
      <c r="AN9" s="576">
        <v>3</v>
      </c>
      <c r="AO9" s="282"/>
      <c r="AP9" s="197"/>
      <c r="AQ9" s="197"/>
      <c r="AR9" s="197"/>
      <c r="AS9" s="197"/>
    </row>
    <row r="10" spans="1:45" s="4" customFormat="1" ht="16.5" thickTop="1" thickBot="1">
      <c r="A10" s="197"/>
      <c r="B10" s="852"/>
      <c r="C10" s="852"/>
      <c r="D10" s="853"/>
      <c r="E10" s="853"/>
      <c r="F10" s="853"/>
      <c r="G10" s="853"/>
      <c r="H10" s="853"/>
      <c r="I10" s="853"/>
      <c r="J10" s="853"/>
      <c r="K10" s="853"/>
      <c r="L10" s="197"/>
      <c r="M10" s="197"/>
      <c r="N10" s="197"/>
      <c r="O10" s="197"/>
      <c r="P10" s="197"/>
      <c r="Q10" s="725"/>
      <c r="R10" s="251"/>
      <c r="S10" s="725"/>
      <c r="T10" s="236" t="s">
        <v>1898</v>
      </c>
      <c r="U10" s="222"/>
      <c r="V10" s="197"/>
      <c r="W10" s="197"/>
      <c r="X10" s="197"/>
      <c r="Y10" s="197"/>
      <c r="Z10" s="197"/>
      <c r="AA10" s="197"/>
      <c r="AB10" s="197"/>
      <c r="AC10" s="725"/>
      <c r="AD10" s="197"/>
      <c r="AE10" s="852"/>
      <c r="AF10" s="852"/>
      <c r="AG10" s="853"/>
      <c r="AH10" s="853"/>
      <c r="AI10" s="853"/>
      <c r="AJ10" s="853"/>
      <c r="AK10" s="853"/>
      <c r="AL10" s="853"/>
      <c r="AM10" s="853"/>
      <c r="AN10" s="853"/>
      <c r="AO10" s="197"/>
      <c r="AP10" s="197"/>
      <c r="AQ10" s="197"/>
      <c r="AR10" s="197"/>
      <c r="AS10" s="197"/>
    </row>
    <row r="11" spans="1:45" s="4" customFormat="1" ht="15.75" customHeight="1" thickTop="1" thickBot="1">
      <c r="A11" s="197"/>
      <c r="B11" s="355" t="s">
        <v>6343</v>
      </c>
      <c r="C11" s="356"/>
      <c r="D11" s="444"/>
      <c r="E11" s="146"/>
      <c r="F11" s="853"/>
      <c r="G11" s="853"/>
      <c r="H11" s="853"/>
      <c r="I11" s="853"/>
      <c r="J11" s="853"/>
      <c r="K11" s="853"/>
      <c r="L11" s="197"/>
      <c r="M11" s="197"/>
      <c r="N11" s="197"/>
      <c r="O11" s="197"/>
      <c r="P11" s="197"/>
      <c r="Q11" s="725"/>
      <c r="R11" s="251"/>
      <c r="S11" s="725"/>
      <c r="T11" s="197"/>
      <c r="U11" s="197"/>
      <c r="V11" s="197"/>
      <c r="W11" s="197"/>
      <c r="X11" s="197"/>
      <c r="Y11" s="197"/>
      <c r="Z11" s="197"/>
      <c r="AA11" s="197"/>
      <c r="AB11" s="197"/>
      <c r="AC11" s="725"/>
      <c r="AD11" s="197"/>
      <c r="AE11" s="355" t="s">
        <v>6343</v>
      </c>
      <c r="AF11" s="356"/>
      <c r="AG11" s="444"/>
      <c r="AH11" s="146"/>
      <c r="AI11" s="853"/>
      <c r="AJ11" s="853"/>
      <c r="AK11" s="853"/>
      <c r="AL11" s="853"/>
      <c r="AM11" s="853"/>
      <c r="AN11" s="853"/>
      <c r="AO11" s="197"/>
      <c r="AP11" s="197"/>
      <c r="AQ11" s="197"/>
      <c r="AR11" s="197"/>
      <c r="AS11" s="197"/>
    </row>
    <row r="12" spans="1:45" s="4" customFormat="1" ht="15.75" customHeight="1" thickTop="1">
      <c r="A12" s="197"/>
      <c r="B12" s="358" t="s">
        <v>6344</v>
      </c>
      <c r="C12" s="1956">
        <v>0</v>
      </c>
      <c r="D12" s="598">
        <v>0</v>
      </c>
      <c r="E12" s="598">
        <v>0</v>
      </c>
      <c r="F12" s="598">
        <v>45</v>
      </c>
      <c r="G12" s="1479">
        <f>IFERROR(SUM(C12:F12),0)</f>
        <v>45</v>
      </c>
      <c r="H12" s="1956">
        <v>6.9889999999999999</v>
      </c>
      <c r="I12" s="598">
        <v>0</v>
      </c>
      <c r="J12" s="1493">
        <v>6.0333333333333336E-2</v>
      </c>
      <c r="K12" s="1494">
        <v>2.649E-2</v>
      </c>
      <c r="L12" s="197"/>
      <c r="M12" s="248" t="s">
        <v>6345</v>
      </c>
      <c r="N12" s="197"/>
      <c r="O12" s="250"/>
      <c r="P12" s="197"/>
      <c r="Q12" s="725"/>
      <c r="R12" s="251">
        <f t="shared" ref="R12:R18" si="0">IF( SUM( T12:AA12 ) = 0, 0, $T$10 )</f>
        <v>0</v>
      </c>
      <c r="S12" s="725"/>
      <c r="T12" s="252">
        <f xml:space="preserve"> IF( ISNUMBER(C12), 0, 1 )</f>
        <v>0</v>
      </c>
      <c r="U12" s="252">
        <f t="shared" ref="U12:U18" si="1" xml:space="preserve"> IF( ISNUMBER(D12), 0, 1 )</f>
        <v>0</v>
      </c>
      <c r="V12" s="252">
        <f t="shared" ref="V12:V18" si="2" xml:space="preserve"> IF( ISNUMBER(E12), 0, 1 )</f>
        <v>0</v>
      </c>
      <c r="W12" s="252">
        <f t="shared" ref="W12:W18" si="3" xml:space="preserve"> IF( ISNUMBER(F12), 0, 1 )</f>
        <v>0</v>
      </c>
      <c r="X12" s="197"/>
      <c r="Y12" s="252">
        <f t="shared" ref="Y12:Y18" si="4" xml:space="preserve"> IF( ISNUMBER(H12), 0, 1 )</f>
        <v>0</v>
      </c>
      <c r="Z12" s="252">
        <f t="shared" ref="Z12:Z18" si="5" xml:space="preserve"> IF( ISNUMBER(I12), 0, 1 )</f>
        <v>0</v>
      </c>
      <c r="AA12" s="252">
        <f t="shared" ref="AA12:AA18" si="6" xml:space="preserve"> IF( ISNUMBER(J12), 0, 1 )</f>
        <v>0</v>
      </c>
      <c r="AB12" s="252">
        <f t="shared" ref="AB12:AB18" si="7" xml:space="preserve"> IF( ISNUMBER(K12), 0, 1 )</f>
        <v>0</v>
      </c>
      <c r="AC12" s="725"/>
      <c r="AD12" s="197"/>
      <c r="AE12" s="358" t="s">
        <v>6344</v>
      </c>
      <c r="AF12" s="854" t="s">
        <v>6346</v>
      </c>
      <c r="AG12" s="801" t="s">
        <v>6347</v>
      </c>
      <c r="AH12" s="801" t="s">
        <v>6348</v>
      </c>
      <c r="AI12" s="801" t="s">
        <v>6349</v>
      </c>
      <c r="AJ12" s="855" t="s">
        <v>6350</v>
      </c>
      <c r="AK12" s="854" t="s">
        <v>6351</v>
      </c>
      <c r="AL12" s="801" t="s">
        <v>6352</v>
      </c>
      <c r="AM12" s="801" t="s">
        <v>6353</v>
      </c>
      <c r="AN12" s="856" t="s">
        <v>6354</v>
      </c>
      <c r="AO12" s="857"/>
      <c r="AP12" s="197"/>
      <c r="AQ12" s="197"/>
      <c r="AR12" s="197"/>
      <c r="AS12" s="197"/>
    </row>
    <row r="13" spans="1:45" s="4" customFormat="1" ht="15.75" customHeight="1">
      <c r="A13" s="197"/>
      <c r="B13" s="365" t="s">
        <v>6355</v>
      </c>
      <c r="C13" s="1957">
        <v>0</v>
      </c>
      <c r="D13" s="601">
        <v>0</v>
      </c>
      <c r="E13" s="601">
        <v>0</v>
      </c>
      <c r="F13" s="601">
        <v>430</v>
      </c>
      <c r="G13" s="1481">
        <f t="shared" ref="G13:G18" si="8">IFERROR(SUM(C13:F13),0)</f>
        <v>430</v>
      </c>
      <c r="H13" s="1957">
        <v>32.042000000000002</v>
      </c>
      <c r="I13" s="601">
        <v>0</v>
      </c>
      <c r="J13" s="1495">
        <v>4.9119999999999997E-2</v>
      </c>
      <c r="K13" s="1496">
        <v>3.8878837209302325E-2</v>
      </c>
      <c r="L13" s="197"/>
      <c r="M13" s="257" t="s">
        <v>6356</v>
      </c>
      <c r="N13" s="197"/>
      <c r="O13" s="258"/>
      <c r="P13" s="197"/>
      <c r="Q13" s="725"/>
      <c r="R13" s="251">
        <f t="shared" si="0"/>
        <v>0</v>
      </c>
      <c r="S13" s="725"/>
      <c r="T13" s="252">
        <f t="shared" ref="T13:T18" si="9" xml:space="preserve"> IF( ISNUMBER(C13), 0, 1 )</f>
        <v>0</v>
      </c>
      <c r="U13" s="252">
        <f t="shared" si="1"/>
        <v>0</v>
      </c>
      <c r="V13" s="252">
        <f t="shared" si="2"/>
        <v>0</v>
      </c>
      <c r="W13" s="252">
        <f t="shared" si="3"/>
        <v>0</v>
      </c>
      <c r="X13" s="197"/>
      <c r="Y13" s="252">
        <f t="shared" si="4"/>
        <v>0</v>
      </c>
      <c r="Z13" s="252">
        <f t="shared" si="5"/>
        <v>0</v>
      </c>
      <c r="AA13" s="252">
        <f t="shared" si="6"/>
        <v>0</v>
      </c>
      <c r="AB13" s="252">
        <f t="shared" si="7"/>
        <v>0</v>
      </c>
      <c r="AC13" s="725"/>
      <c r="AD13" s="197"/>
      <c r="AE13" s="365" t="s">
        <v>6355</v>
      </c>
      <c r="AF13" s="858" t="s">
        <v>6357</v>
      </c>
      <c r="AG13" s="802" t="s">
        <v>6358</v>
      </c>
      <c r="AH13" s="802" t="s">
        <v>6359</v>
      </c>
      <c r="AI13" s="802" t="s">
        <v>6360</v>
      </c>
      <c r="AJ13" s="859" t="s">
        <v>6361</v>
      </c>
      <c r="AK13" s="858" t="s">
        <v>6362</v>
      </c>
      <c r="AL13" s="802" t="s">
        <v>6363</v>
      </c>
      <c r="AM13" s="802" t="s">
        <v>6364</v>
      </c>
      <c r="AN13" s="860" t="s">
        <v>6365</v>
      </c>
      <c r="AO13" s="857"/>
      <c r="AP13" s="197"/>
      <c r="AQ13" s="197"/>
      <c r="AR13" s="197"/>
      <c r="AS13" s="197"/>
    </row>
    <row r="14" spans="1:45" s="4" customFormat="1" ht="15.75" customHeight="1">
      <c r="A14" s="197"/>
      <c r="B14" s="365" t="s">
        <v>6366</v>
      </c>
      <c r="C14" s="1957">
        <v>0</v>
      </c>
      <c r="D14" s="601">
        <v>0</v>
      </c>
      <c r="E14" s="601">
        <v>0</v>
      </c>
      <c r="F14" s="601">
        <v>0</v>
      </c>
      <c r="G14" s="1481">
        <f t="shared" si="8"/>
        <v>0</v>
      </c>
      <c r="H14" s="1957">
        <v>0</v>
      </c>
      <c r="I14" s="601">
        <v>0</v>
      </c>
      <c r="J14" s="1495">
        <v>0</v>
      </c>
      <c r="K14" s="1496">
        <v>0</v>
      </c>
      <c r="L14" s="197"/>
      <c r="M14" s="257" t="s">
        <v>6367</v>
      </c>
      <c r="N14" s="197"/>
      <c r="O14" s="258"/>
      <c r="P14" s="197"/>
      <c r="Q14" s="725"/>
      <c r="R14" s="251">
        <f t="shared" si="0"/>
        <v>0</v>
      </c>
      <c r="S14" s="725"/>
      <c r="T14" s="252">
        <f t="shared" si="9"/>
        <v>0</v>
      </c>
      <c r="U14" s="252">
        <f t="shared" si="1"/>
        <v>0</v>
      </c>
      <c r="V14" s="252">
        <f t="shared" si="2"/>
        <v>0</v>
      </c>
      <c r="W14" s="252">
        <f t="shared" si="3"/>
        <v>0</v>
      </c>
      <c r="X14" s="197"/>
      <c r="Y14" s="252">
        <f t="shared" si="4"/>
        <v>0</v>
      </c>
      <c r="Z14" s="252">
        <f t="shared" si="5"/>
        <v>0</v>
      </c>
      <c r="AA14" s="252">
        <f t="shared" si="6"/>
        <v>0</v>
      </c>
      <c r="AB14" s="252">
        <f t="shared" si="7"/>
        <v>0</v>
      </c>
      <c r="AC14" s="725"/>
      <c r="AD14" s="197"/>
      <c r="AE14" s="365" t="s">
        <v>6366</v>
      </c>
      <c r="AF14" s="858" t="s">
        <v>6368</v>
      </c>
      <c r="AG14" s="802" t="s">
        <v>6369</v>
      </c>
      <c r="AH14" s="802" t="s">
        <v>6370</v>
      </c>
      <c r="AI14" s="802" t="s">
        <v>6371</v>
      </c>
      <c r="AJ14" s="859" t="s">
        <v>6372</v>
      </c>
      <c r="AK14" s="858" t="s">
        <v>6373</v>
      </c>
      <c r="AL14" s="802" t="s">
        <v>6374</v>
      </c>
      <c r="AM14" s="802" t="s">
        <v>6375</v>
      </c>
      <c r="AN14" s="860" t="s">
        <v>6376</v>
      </c>
      <c r="AO14" s="857"/>
      <c r="AP14" s="197"/>
      <c r="AQ14" s="197"/>
      <c r="AR14" s="197"/>
      <c r="AS14" s="197"/>
    </row>
    <row r="15" spans="1:45" s="4" customFormat="1" ht="15.75" customHeight="1">
      <c r="A15" s="197"/>
      <c r="B15" s="365" t="s">
        <v>6377</v>
      </c>
      <c r="C15" s="1957">
        <v>0</v>
      </c>
      <c r="D15" s="601">
        <v>23.405000000000001</v>
      </c>
      <c r="E15" s="601">
        <v>287.14999999999998</v>
      </c>
      <c r="F15" s="601">
        <v>978.44500000000005</v>
      </c>
      <c r="G15" s="1481">
        <f t="shared" si="8"/>
        <v>1289</v>
      </c>
      <c r="H15" s="1957">
        <v>1995.2</v>
      </c>
      <c r="I15" s="601">
        <v>300.72399999999999</v>
      </c>
      <c r="J15" s="1495">
        <v>3.007518169413342E-2</v>
      </c>
      <c r="K15" s="1496">
        <v>7.8298275131849379E-2</v>
      </c>
      <c r="L15" s="197"/>
      <c r="M15" s="257" t="s">
        <v>6378</v>
      </c>
      <c r="N15" s="197"/>
      <c r="O15" s="258"/>
      <c r="P15" s="197"/>
      <c r="Q15" s="725"/>
      <c r="R15" s="251">
        <f t="shared" si="0"/>
        <v>0</v>
      </c>
      <c r="S15" s="725"/>
      <c r="T15" s="252">
        <f t="shared" si="9"/>
        <v>0</v>
      </c>
      <c r="U15" s="252">
        <f t="shared" si="1"/>
        <v>0</v>
      </c>
      <c r="V15" s="252">
        <f t="shared" si="2"/>
        <v>0</v>
      </c>
      <c r="W15" s="252">
        <f t="shared" si="3"/>
        <v>0</v>
      </c>
      <c r="X15" s="197"/>
      <c r="Y15" s="252">
        <f t="shared" si="4"/>
        <v>0</v>
      </c>
      <c r="Z15" s="252">
        <f t="shared" si="5"/>
        <v>0</v>
      </c>
      <c r="AA15" s="252">
        <f t="shared" si="6"/>
        <v>0</v>
      </c>
      <c r="AB15" s="252">
        <f t="shared" si="7"/>
        <v>0</v>
      </c>
      <c r="AC15" s="725"/>
      <c r="AD15" s="197"/>
      <c r="AE15" s="365" t="s">
        <v>6377</v>
      </c>
      <c r="AF15" s="858" t="s">
        <v>6379</v>
      </c>
      <c r="AG15" s="802" t="s">
        <v>6380</v>
      </c>
      <c r="AH15" s="802" t="s">
        <v>6381</v>
      </c>
      <c r="AI15" s="802" t="s">
        <v>6382</v>
      </c>
      <c r="AJ15" s="859" t="s">
        <v>6383</v>
      </c>
      <c r="AK15" s="858" t="s">
        <v>6384</v>
      </c>
      <c r="AL15" s="802" t="s">
        <v>6385</v>
      </c>
      <c r="AM15" s="802" t="s">
        <v>6386</v>
      </c>
      <c r="AN15" s="860" t="s">
        <v>6387</v>
      </c>
      <c r="AO15" s="857"/>
      <c r="AP15" s="197"/>
      <c r="AQ15" s="197"/>
      <c r="AR15" s="197"/>
      <c r="AS15" s="197"/>
    </row>
    <row r="16" spans="1:45" s="4" customFormat="1" ht="15.75" customHeight="1">
      <c r="A16" s="197"/>
      <c r="B16" s="365" t="s">
        <v>6388</v>
      </c>
      <c r="C16" s="1957">
        <v>0</v>
      </c>
      <c r="D16" s="601">
        <v>0</v>
      </c>
      <c r="E16" s="601">
        <v>0</v>
      </c>
      <c r="F16" s="601">
        <v>0</v>
      </c>
      <c r="G16" s="1481">
        <f t="shared" si="8"/>
        <v>0</v>
      </c>
      <c r="H16" s="1957">
        <v>0</v>
      </c>
      <c r="I16" s="601">
        <v>0</v>
      </c>
      <c r="J16" s="1495">
        <v>0</v>
      </c>
      <c r="K16" s="1496">
        <v>0</v>
      </c>
      <c r="L16" s="197"/>
      <c r="M16" s="257" t="s">
        <v>6389</v>
      </c>
      <c r="N16" s="197"/>
      <c r="O16" s="258"/>
      <c r="P16" s="197"/>
      <c r="Q16" s="725"/>
      <c r="R16" s="251">
        <f t="shared" si="0"/>
        <v>0</v>
      </c>
      <c r="S16" s="725"/>
      <c r="T16" s="252">
        <f t="shared" si="9"/>
        <v>0</v>
      </c>
      <c r="U16" s="252">
        <f t="shared" si="1"/>
        <v>0</v>
      </c>
      <c r="V16" s="252">
        <f t="shared" si="2"/>
        <v>0</v>
      </c>
      <c r="W16" s="252">
        <f t="shared" si="3"/>
        <v>0</v>
      </c>
      <c r="X16" s="197"/>
      <c r="Y16" s="252">
        <f t="shared" si="4"/>
        <v>0</v>
      </c>
      <c r="Z16" s="252">
        <f t="shared" si="5"/>
        <v>0</v>
      </c>
      <c r="AA16" s="252">
        <f t="shared" si="6"/>
        <v>0</v>
      </c>
      <c r="AB16" s="252">
        <f t="shared" si="7"/>
        <v>0</v>
      </c>
      <c r="AC16" s="725"/>
      <c r="AD16" s="197"/>
      <c r="AE16" s="365" t="s">
        <v>6388</v>
      </c>
      <c r="AF16" s="858" t="s">
        <v>6390</v>
      </c>
      <c r="AG16" s="802" t="s">
        <v>6391</v>
      </c>
      <c r="AH16" s="802" t="s">
        <v>6392</v>
      </c>
      <c r="AI16" s="802" t="s">
        <v>6393</v>
      </c>
      <c r="AJ16" s="859" t="s">
        <v>6394</v>
      </c>
      <c r="AK16" s="858" t="s">
        <v>6395</v>
      </c>
      <c r="AL16" s="802" t="s">
        <v>6396</v>
      </c>
      <c r="AM16" s="802" t="s">
        <v>6397</v>
      </c>
      <c r="AN16" s="860" t="s">
        <v>6398</v>
      </c>
      <c r="AO16" s="857"/>
      <c r="AP16" s="197"/>
      <c r="AQ16" s="197"/>
      <c r="AR16" s="197"/>
      <c r="AS16" s="197"/>
    </row>
    <row r="17" spans="1:45" s="4" customFormat="1" ht="15.75" customHeight="1">
      <c r="A17" s="197"/>
      <c r="B17" s="365" t="s">
        <v>6399</v>
      </c>
      <c r="C17" s="1957">
        <v>0</v>
      </c>
      <c r="D17" s="601">
        <v>0</v>
      </c>
      <c r="E17" s="601">
        <v>0</v>
      </c>
      <c r="F17" s="601">
        <v>0</v>
      </c>
      <c r="G17" s="1481">
        <f t="shared" si="8"/>
        <v>0</v>
      </c>
      <c r="H17" s="1957">
        <v>0</v>
      </c>
      <c r="I17" s="601">
        <v>0</v>
      </c>
      <c r="J17" s="1495">
        <v>0</v>
      </c>
      <c r="K17" s="1496">
        <v>0</v>
      </c>
      <c r="L17" s="197"/>
      <c r="M17" s="257" t="s">
        <v>6400</v>
      </c>
      <c r="N17" s="197"/>
      <c r="O17" s="258"/>
      <c r="P17" s="197"/>
      <c r="Q17" s="725"/>
      <c r="R17" s="251">
        <f>IF( SUM( T17:AA17 ) = 0, 0, $T$10 )</f>
        <v>0</v>
      </c>
      <c r="S17" s="725"/>
      <c r="T17" s="252">
        <f t="shared" si="9"/>
        <v>0</v>
      </c>
      <c r="U17" s="252">
        <f t="shared" si="1"/>
        <v>0</v>
      </c>
      <c r="V17" s="252">
        <f t="shared" si="2"/>
        <v>0</v>
      </c>
      <c r="W17" s="252">
        <f t="shared" si="3"/>
        <v>0</v>
      </c>
      <c r="X17" s="197"/>
      <c r="Y17" s="252">
        <f t="shared" si="4"/>
        <v>0</v>
      </c>
      <c r="Z17" s="252">
        <f t="shared" si="5"/>
        <v>0</v>
      </c>
      <c r="AA17" s="252">
        <f t="shared" si="6"/>
        <v>0</v>
      </c>
      <c r="AB17" s="252">
        <f t="shared" si="7"/>
        <v>0</v>
      </c>
      <c r="AC17" s="725"/>
      <c r="AD17" s="197"/>
      <c r="AE17" s="365" t="s">
        <v>6399</v>
      </c>
      <c r="AF17" s="858" t="s">
        <v>6401</v>
      </c>
      <c r="AG17" s="802" t="s">
        <v>6402</v>
      </c>
      <c r="AH17" s="802" t="s">
        <v>6403</v>
      </c>
      <c r="AI17" s="802" t="s">
        <v>6404</v>
      </c>
      <c r="AJ17" s="859" t="s">
        <v>6405</v>
      </c>
      <c r="AK17" s="858" t="s">
        <v>6406</v>
      </c>
      <c r="AL17" s="802" t="s">
        <v>6407</v>
      </c>
      <c r="AM17" s="802" t="s">
        <v>6408</v>
      </c>
      <c r="AN17" s="860" t="s">
        <v>6409</v>
      </c>
      <c r="AO17" s="857"/>
      <c r="AP17" s="197"/>
      <c r="AQ17" s="197"/>
      <c r="AR17" s="197"/>
      <c r="AS17" s="197"/>
    </row>
    <row r="18" spans="1:45" s="4" customFormat="1" ht="15.75" customHeight="1">
      <c r="A18" s="197"/>
      <c r="B18" s="365" t="s">
        <v>6410</v>
      </c>
      <c r="C18" s="1957">
        <v>0</v>
      </c>
      <c r="D18" s="601">
        <v>0</v>
      </c>
      <c r="E18" s="601">
        <v>0</v>
      </c>
      <c r="F18" s="601">
        <v>0</v>
      </c>
      <c r="G18" s="1481">
        <f t="shared" si="8"/>
        <v>0</v>
      </c>
      <c r="H18" s="1957">
        <v>0</v>
      </c>
      <c r="I18" s="601">
        <v>0</v>
      </c>
      <c r="J18" s="1495">
        <v>0</v>
      </c>
      <c r="K18" s="1496">
        <v>0</v>
      </c>
      <c r="L18" s="197"/>
      <c r="M18" s="257" t="s">
        <v>6411</v>
      </c>
      <c r="N18" s="197"/>
      <c r="O18" s="258"/>
      <c r="P18" s="197"/>
      <c r="Q18" s="725"/>
      <c r="R18" s="251">
        <f t="shared" si="0"/>
        <v>0</v>
      </c>
      <c r="S18" s="725"/>
      <c r="T18" s="252">
        <f t="shared" si="9"/>
        <v>0</v>
      </c>
      <c r="U18" s="252">
        <f t="shared" si="1"/>
        <v>0</v>
      </c>
      <c r="V18" s="252">
        <f t="shared" si="2"/>
        <v>0</v>
      </c>
      <c r="W18" s="252">
        <f t="shared" si="3"/>
        <v>0</v>
      </c>
      <c r="X18" s="197"/>
      <c r="Y18" s="252">
        <f t="shared" si="4"/>
        <v>0</v>
      </c>
      <c r="Z18" s="252">
        <f t="shared" si="5"/>
        <v>0</v>
      </c>
      <c r="AA18" s="252">
        <f t="shared" si="6"/>
        <v>0</v>
      </c>
      <c r="AB18" s="252">
        <f t="shared" si="7"/>
        <v>0</v>
      </c>
      <c r="AC18" s="725"/>
      <c r="AD18" s="197"/>
      <c r="AE18" s="365" t="s">
        <v>6410</v>
      </c>
      <c r="AF18" s="858" t="s">
        <v>6412</v>
      </c>
      <c r="AG18" s="802" t="s">
        <v>6413</v>
      </c>
      <c r="AH18" s="802" t="s">
        <v>6414</v>
      </c>
      <c r="AI18" s="802" t="s">
        <v>6415</v>
      </c>
      <c r="AJ18" s="859" t="s">
        <v>6416</v>
      </c>
      <c r="AK18" s="858" t="s">
        <v>6417</v>
      </c>
      <c r="AL18" s="802" t="s">
        <v>6418</v>
      </c>
      <c r="AM18" s="802" t="s">
        <v>6419</v>
      </c>
      <c r="AN18" s="860" t="s">
        <v>6420</v>
      </c>
      <c r="AO18" s="857"/>
      <c r="AP18" s="197"/>
      <c r="AQ18" s="197"/>
      <c r="AR18" s="197"/>
      <c r="AS18" s="197"/>
    </row>
    <row r="19" spans="1:45" s="4" customFormat="1" ht="15.75" customHeight="1" thickBot="1">
      <c r="A19" s="197"/>
      <c r="B19" s="368" t="s">
        <v>2112</v>
      </c>
      <c r="C19" s="1902">
        <f>IFERROR(SUM(C12:C18), 0)</f>
        <v>0</v>
      </c>
      <c r="D19" s="1473">
        <f t="shared" ref="D19:F19" si="10">IFERROR(SUM(D12:D18), 0)</f>
        <v>23.405000000000001</v>
      </c>
      <c r="E19" s="1473">
        <f t="shared" si="10"/>
        <v>287.14999999999998</v>
      </c>
      <c r="F19" s="1473">
        <f t="shared" si="10"/>
        <v>1453.4450000000002</v>
      </c>
      <c r="G19" s="1473">
        <f>IFERROR(SUM(C19:F19),0)</f>
        <v>1764</v>
      </c>
      <c r="H19" s="1473">
        <f>IFERROR(SUM(H12:H18), 0)</f>
        <v>2034.231</v>
      </c>
      <c r="I19" s="1473">
        <f>IFERROR(SUM(I12:I18), 0)</f>
        <v>300.72399999999999</v>
      </c>
      <c r="J19" s="1497"/>
      <c r="K19" s="1498"/>
      <c r="L19" s="197"/>
      <c r="M19" s="538" t="s">
        <v>6421</v>
      </c>
      <c r="N19" s="197"/>
      <c r="O19" s="269"/>
      <c r="P19" s="197"/>
      <c r="Q19" s="725"/>
      <c r="R19" s="251"/>
      <c r="S19" s="725"/>
      <c r="T19" s="197"/>
      <c r="U19" s="197"/>
      <c r="V19" s="197"/>
      <c r="W19" s="197"/>
      <c r="X19" s="197"/>
      <c r="Y19" s="197"/>
      <c r="Z19" s="197"/>
      <c r="AA19" s="197"/>
      <c r="AB19" s="197"/>
      <c r="AC19" s="725"/>
      <c r="AD19" s="197"/>
      <c r="AE19" s="368" t="s">
        <v>2112</v>
      </c>
      <c r="AF19" s="861" t="s">
        <v>6422</v>
      </c>
      <c r="AG19" s="583" t="s">
        <v>6423</v>
      </c>
      <c r="AH19" s="583" t="s">
        <v>6424</v>
      </c>
      <c r="AI19" s="583" t="s">
        <v>6425</v>
      </c>
      <c r="AJ19" s="583" t="s">
        <v>6426</v>
      </c>
      <c r="AK19" s="583" t="s">
        <v>6427</v>
      </c>
      <c r="AL19" s="583" t="s">
        <v>6428</v>
      </c>
      <c r="AM19" s="862"/>
      <c r="AN19" s="863"/>
      <c r="AO19" s="864"/>
      <c r="AP19" s="197"/>
      <c r="AQ19" s="197"/>
      <c r="AR19" s="197"/>
      <c r="AS19" s="197"/>
    </row>
    <row r="20" spans="1:45" s="4" customFormat="1" ht="15.75" customHeight="1" thickTop="1" thickBot="1">
      <c r="A20" s="197"/>
      <c r="B20" s="865"/>
      <c r="C20" s="1487"/>
      <c r="D20" s="1488"/>
      <c r="E20" s="1488"/>
      <c r="F20" s="1488"/>
      <c r="G20" s="1488"/>
      <c r="H20" s="1487"/>
      <c r="I20" s="1487"/>
      <c r="J20" s="1499"/>
      <c r="K20" s="1499"/>
      <c r="L20" s="197"/>
      <c r="M20" s="222"/>
      <c r="N20" s="197"/>
      <c r="O20" s="197"/>
      <c r="P20" s="197"/>
      <c r="Q20" s="725"/>
      <c r="R20" s="251"/>
      <c r="S20" s="725"/>
      <c r="T20" s="197"/>
      <c r="U20" s="197"/>
      <c r="V20" s="197"/>
      <c r="W20" s="197"/>
      <c r="X20" s="197"/>
      <c r="Y20" s="197"/>
      <c r="Z20" s="197"/>
      <c r="AA20" s="197"/>
      <c r="AB20" s="197"/>
      <c r="AC20" s="725"/>
      <c r="AD20" s="197"/>
      <c r="AE20" s="865"/>
      <c r="AF20" s="865"/>
      <c r="AG20" s="866"/>
      <c r="AH20" s="866"/>
      <c r="AI20" s="866"/>
      <c r="AJ20" s="866"/>
      <c r="AK20" s="867"/>
      <c r="AL20" s="867"/>
      <c r="AM20" s="868"/>
      <c r="AN20" s="868"/>
      <c r="AO20" s="2560"/>
      <c r="AP20" s="197"/>
      <c r="AQ20" s="197"/>
      <c r="AR20" s="197"/>
      <c r="AS20" s="197"/>
    </row>
    <row r="21" spans="1:45" s="4" customFormat="1" ht="15.75" customHeight="1" thickTop="1" thickBot="1">
      <c r="A21" s="197"/>
      <c r="B21" s="355" t="s">
        <v>6429</v>
      </c>
      <c r="C21" s="633"/>
      <c r="D21" s="1487"/>
      <c r="E21" s="1487"/>
      <c r="F21" s="1487"/>
      <c r="G21" s="1487"/>
      <c r="H21" s="1487"/>
      <c r="I21" s="1487"/>
      <c r="J21" s="1499"/>
      <c r="K21" s="1499"/>
      <c r="L21" s="197"/>
      <c r="M21" s="222"/>
      <c r="N21" s="197"/>
      <c r="O21" s="197"/>
      <c r="P21" s="197"/>
      <c r="Q21" s="725"/>
      <c r="R21" s="251"/>
      <c r="S21" s="725"/>
      <c r="T21" s="197"/>
      <c r="U21" s="197"/>
      <c r="V21" s="197"/>
      <c r="W21" s="197"/>
      <c r="X21" s="197"/>
      <c r="Y21" s="197"/>
      <c r="Z21" s="197"/>
      <c r="AA21" s="197"/>
      <c r="AB21" s="197"/>
      <c r="AC21" s="725"/>
      <c r="AD21" s="197"/>
      <c r="AE21" s="355" t="s">
        <v>6429</v>
      </c>
      <c r="AF21" s="356"/>
      <c r="AG21" s="867"/>
      <c r="AH21" s="867"/>
      <c r="AI21" s="867"/>
      <c r="AJ21" s="867"/>
      <c r="AK21" s="867"/>
      <c r="AL21" s="867"/>
      <c r="AM21" s="868"/>
      <c r="AN21" s="868"/>
      <c r="AO21" s="2560"/>
      <c r="AP21" s="197"/>
      <c r="AQ21" s="197"/>
      <c r="AR21" s="197"/>
      <c r="AS21" s="197"/>
    </row>
    <row r="22" spans="1:45" s="4" customFormat="1" ht="15.75" customHeight="1" thickTop="1">
      <c r="A22" s="197"/>
      <c r="B22" s="358" t="s">
        <v>6430</v>
      </c>
      <c r="C22" s="1956">
        <v>113.11199999999999</v>
      </c>
      <c r="D22" s="598">
        <v>0</v>
      </c>
      <c r="E22" s="598">
        <v>0</v>
      </c>
      <c r="F22" s="598">
        <v>0</v>
      </c>
      <c r="G22" s="1479">
        <f t="shared" ref="G22:G26" si="11">IFERROR(SUM(C22:F22),0)</f>
        <v>113.11199999999999</v>
      </c>
      <c r="H22" s="598">
        <v>-30.126999999999999</v>
      </c>
      <c r="I22" s="598">
        <v>0</v>
      </c>
      <c r="J22" s="1500"/>
      <c r="K22" s="1501"/>
      <c r="L22" s="197"/>
      <c r="M22" s="248" t="s">
        <v>6431</v>
      </c>
      <c r="N22" s="197"/>
      <c r="O22" s="250"/>
      <c r="P22" s="197"/>
      <c r="Q22" s="725"/>
      <c r="R22" s="251">
        <f t="shared" ref="R22:R25" si="12">IF( SUM( T22:AA22 ) = 0, 0, $T$10 )</f>
        <v>0</v>
      </c>
      <c r="S22" s="725"/>
      <c r="T22" s="252">
        <f t="shared" ref="T22:T25" si="13" xml:space="preserve"> IF( ISNUMBER(C22), 0, 1 )</f>
        <v>0</v>
      </c>
      <c r="U22" s="252">
        <f t="shared" ref="U22:U25" si="14" xml:space="preserve"> IF( ISNUMBER(D22), 0, 1 )</f>
        <v>0</v>
      </c>
      <c r="V22" s="252">
        <f t="shared" ref="V22:V25" si="15" xml:space="preserve"> IF( ISNUMBER(E22), 0, 1 )</f>
        <v>0</v>
      </c>
      <c r="W22" s="252">
        <f t="shared" ref="W22:W25" si="16" xml:space="preserve"> IF( ISNUMBER(F22), 0, 1 )</f>
        <v>0</v>
      </c>
      <c r="X22" s="197"/>
      <c r="Y22" s="252">
        <f t="shared" ref="Y22:Y25" si="17" xml:space="preserve"> IF( ISNUMBER(H22), 0, 1 )</f>
        <v>0</v>
      </c>
      <c r="Z22" s="252">
        <f t="shared" ref="Z22:Z25" si="18" xml:space="preserve"> IF( ISNUMBER(I22), 0, 1 )</f>
        <v>0</v>
      </c>
      <c r="AA22" s="197"/>
      <c r="AB22" s="197"/>
      <c r="AC22" s="725"/>
      <c r="AD22" s="197"/>
      <c r="AE22" s="358" t="s">
        <v>6430</v>
      </c>
      <c r="AF22" s="854" t="s">
        <v>6432</v>
      </c>
      <c r="AG22" s="801" t="s">
        <v>6433</v>
      </c>
      <c r="AH22" s="801" t="s">
        <v>6434</v>
      </c>
      <c r="AI22" s="801" t="s">
        <v>6435</v>
      </c>
      <c r="AJ22" s="855" t="s">
        <v>6436</v>
      </c>
      <c r="AK22" s="801" t="s">
        <v>6437</v>
      </c>
      <c r="AL22" s="801" t="s">
        <v>6438</v>
      </c>
      <c r="AM22" s="869"/>
      <c r="AN22" s="870"/>
      <c r="AO22" s="857"/>
      <c r="AP22" s="197"/>
      <c r="AQ22" s="197"/>
      <c r="AR22" s="197"/>
      <c r="AS22" s="197"/>
    </row>
    <row r="23" spans="1:45" s="4" customFormat="1" ht="15.75" customHeight="1">
      <c r="A23" s="197"/>
      <c r="B23" s="365" t="s">
        <v>6439</v>
      </c>
      <c r="C23" s="1957">
        <v>0</v>
      </c>
      <c r="D23" s="601">
        <v>0</v>
      </c>
      <c r="E23" s="601">
        <v>0</v>
      </c>
      <c r="F23" s="601">
        <v>0</v>
      </c>
      <c r="G23" s="1481">
        <f t="shared" si="11"/>
        <v>0</v>
      </c>
      <c r="H23" s="601">
        <v>0</v>
      </c>
      <c r="I23" s="601">
        <v>0</v>
      </c>
      <c r="J23" s="1502"/>
      <c r="K23" s="1503"/>
      <c r="L23" s="197"/>
      <c r="M23" s="257" t="s">
        <v>6440</v>
      </c>
      <c r="N23" s="197"/>
      <c r="O23" s="258"/>
      <c r="P23" s="197"/>
      <c r="Q23" s="725"/>
      <c r="R23" s="251">
        <f t="shared" si="12"/>
        <v>0</v>
      </c>
      <c r="S23" s="725"/>
      <c r="T23" s="252">
        <f t="shared" si="13"/>
        <v>0</v>
      </c>
      <c r="U23" s="252">
        <f t="shared" si="14"/>
        <v>0</v>
      </c>
      <c r="V23" s="252">
        <f t="shared" si="15"/>
        <v>0</v>
      </c>
      <c r="W23" s="252">
        <f t="shared" si="16"/>
        <v>0</v>
      </c>
      <c r="X23" s="197"/>
      <c r="Y23" s="252">
        <f t="shared" si="17"/>
        <v>0</v>
      </c>
      <c r="Z23" s="252">
        <f t="shared" si="18"/>
        <v>0</v>
      </c>
      <c r="AA23" s="197"/>
      <c r="AB23" s="197"/>
      <c r="AC23" s="725"/>
      <c r="AD23" s="197"/>
      <c r="AE23" s="365" t="s">
        <v>6439</v>
      </c>
      <c r="AF23" s="858" t="s">
        <v>6441</v>
      </c>
      <c r="AG23" s="802" t="s">
        <v>6442</v>
      </c>
      <c r="AH23" s="802" t="s">
        <v>6443</v>
      </c>
      <c r="AI23" s="802" t="s">
        <v>6444</v>
      </c>
      <c r="AJ23" s="859" t="s">
        <v>6445</v>
      </c>
      <c r="AK23" s="802" t="s">
        <v>6446</v>
      </c>
      <c r="AL23" s="802" t="s">
        <v>6447</v>
      </c>
      <c r="AM23" s="871"/>
      <c r="AN23" s="872"/>
      <c r="AO23" s="857"/>
      <c r="AP23" s="197"/>
      <c r="AQ23" s="197"/>
      <c r="AR23" s="197"/>
      <c r="AS23" s="197"/>
    </row>
    <row r="24" spans="1:45" s="4" customFormat="1" ht="15.75" customHeight="1">
      <c r="A24" s="197"/>
      <c r="B24" s="365" t="s">
        <v>6448</v>
      </c>
      <c r="C24" s="1957">
        <v>0</v>
      </c>
      <c r="D24" s="601">
        <v>0</v>
      </c>
      <c r="E24" s="601">
        <v>0</v>
      </c>
      <c r="F24" s="601">
        <v>0</v>
      </c>
      <c r="G24" s="1481">
        <f t="shared" si="11"/>
        <v>0</v>
      </c>
      <c r="H24" s="601">
        <v>0</v>
      </c>
      <c r="I24" s="601">
        <v>0</v>
      </c>
      <c r="J24" s="1502"/>
      <c r="K24" s="1503"/>
      <c r="L24" s="197"/>
      <c r="M24" s="257" t="s">
        <v>6449</v>
      </c>
      <c r="N24" s="197"/>
      <c r="O24" s="258"/>
      <c r="P24" s="197"/>
      <c r="Q24" s="725"/>
      <c r="R24" s="251">
        <f t="shared" si="12"/>
        <v>0</v>
      </c>
      <c r="S24" s="725"/>
      <c r="T24" s="252">
        <f t="shared" si="13"/>
        <v>0</v>
      </c>
      <c r="U24" s="252">
        <f t="shared" si="14"/>
        <v>0</v>
      </c>
      <c r="V24" s="252">
        <f t="shared" si="15"/>
        <v>0</v>
      </c>
      <c r="W24" s="252">
        <f t="shared" si="16"/>
        <v>0</v>
      </c>
      <c r="X24" s="197"/>
      <c r="Y24" s="252">
        <f t="shared" si="17"/>
        <v>0</v>
      </c>
      <c r="Z24" s="252">
        <f t="shared" si="18"/>
        <v>0</v>
      </c>
      <c r="AA24" s="197"/>
      <c r="AB24" s="197"/>
      <c r="AC24" s="725"/>
      <c r="AD24" s="197"/>
      <c r="AE24" s="365" t="s">
        <v>6448</v>
      </c>
      <c r="AF24" s="858" t="s">
        <v>6450</v>
      </c>
      <c r="AG24" s="802" t="s">
        <v>6451</v>
      </c>
      <c r="AH24" s="802" t="s">
        <v>6452</v>
      </c>
      <c r="AI24" s="802" t="s">
        <v>6453</v>
      </c>
      <c r="AJ24" s="859" t="s">
        <v>6454</v>
      </c>
      <c r="AK24" s="802" t="s">
        <v>6455</v>
      </c>
      <c r="AL24" s="802" t="s">
        <v>6456</v>
      </c>
      <c r="AM24" s="871"/>
      <c r="AN24" s="872"/>
      <c r="AO24" s="857"/>
      <c r="AP24" s="197"/>
      <c r="AQ24" s="197"/>
      <c r="AR24" s="197"/>
      <c r="AS24" s="197"/>
    </row>
    <row r="25" spans="1:45" s="4" customFormat="1" ht="15.75" customHeight="1">
      <c r="A25" s="197"/>
      <c r="B25" s="365" t="s">
        <v>6457</v>
      </c>
      <c r="C25" s="1957">
        <v>33.799999999999997</v>
      </c>
      <c r="D25" s="601">
        <v>0</v>
      </c>
      <c r="E25" s="601">
        <v>0</v>
      </c>
      <c r="F25" s="601">
        <v>0</v>
      </c>
      <c r="G25" s="1481">
        <f t="shared" si="11"/>
        <v>33.799999999999997</v>
      </c>
      <c r="H25" s="601">
        <v>6.6929999999999996</v>
      </c>
      <c r="I25" s="601">
        <v>0</v>
      </c>
      <c r="J25" s="1502"/>
      <c r="K25" s="1503"/>
      <c r="L25" s="197"/>
      <c r="M25" s="257" t="s">
        <v>6458</v>
      </c>
      <c r="N25" s="197"/>
      <c r="O25" s="258"/>
      <c r="P25" s="197"/>
      <c r="Q25" s="725"/>
      <c r="R25" s="251">
        <f t="shared" si="12"/>
        <v>0</v>
      </c>
      <c r="S25" s="725"/>
      <c r="T25" s="252">
        <f t="shared" si="13"/>
        <v>0</v>
      </c>
      <c r="U25" s="252">
        <f t="shared" si="14"/>
        <v>0</v>
      </c>
      <c r="V25" s="252">
        <f t="shared" si="15"/>
        <v>0</v>
      </c>
      <c r="W25" s="252">
        <f t="shared" si="16"/>
        <v>0</v>
      </c>
      <c r="X25" s="197"/>
      <c r="Y25" s="252">
        <f t="shared" si="17"/>
        <v>0</v>
      </c>
      <c r="Z25" s="252">
        <f t="shared" si="18"/>
        <v>0</v>
      </c>
      <c r="AA25" s="197"/>
      <c r="AB25" s="197"/>
      <c r="AC25" s="725"/>
      <c r="AD25" s="197"/>
      <c r="AE25" s="365" t="s">
        <v>6457</v>
      </c>
      <c r="AF25" s="858" t="s">
        <v>6459</v>
      </c>
      <c r="AG25" s="802" t="s">
        <v>6460</v>
      </c>
      <c r="AH25" s="802" t="s">
        <v>6461</v>
      </c>
      <c r="AI25" s="802" t="s">
        <v>6462</v>
      </c>
      <c r="AJ25" s="859" t="s">
        <v>6463</v>
      </c>
      <c r="AK25" s="802" t="s">
        <v>6464</v>
      </c>
      <c r="AL25" s="802" t="s">
        <v>6465</v>
      </c>
      <c r="AM25" s="871"/>
      <c r="AN25" s="872"/>
      <c r="AO25" s="857"/>
      <c r="AP25" s="197"/>
      <c r="AQ25" s="197"/>
      <c r="AR25" s="197"/>
      <c r="AS25" s="197"/>
    </row>
    <row r="26" spans="1:45" s="4" customFormat="1" ht="15.75" customHeight="1" thickBot="1">
      <c r="A26" s="197"/>
      <c r="B26" s="368" t="s">
        <v>2112</v>
      </c>
      <c r="C26" s="1902">
        <f>IFERROR(SUM(C22:C25), 0)</f>
        <v>146.91199999999998</v>
      </c>
      <c r="D26" s="1473">
        <f>IFERROR(SUM(D22:D25), 0)</f>
        <v>0</v>
      </c>
      <c r="E26" s="1473">
        <f>IFERROR(SUM(E22:E25), 0)</f>
        <v>0</v>
      </c>
      <c r="F26" s="1473">
        <f>IFERROR(SUM(F22:F25), 0)</f>
        <v>0</v>
      </c>
      <c r="G26" s="1473">
        <f t="shared" si="11"/>
        <v>146.91199999999998</v>
      </c>
      <c r="H26" s="1473">
        <f>IFERROR(SUM(H22:H25), 0)</f>
        <v>-23.433999999999997</v>
      </c>
      <c r="I26" s="1473">
        <f>IFERROR(SUM(I22:I25), 0)</f>
        <v>0</v>
      </c>
      <c r="J26" s="1497"/>
      <c r="K26" s="1498"/>
      <c r="L26" s="197"/>
      <c r="M26" s="320" t="s">
        <v>6466</v>
      </c>
      <c r="N26" s="197"/>
      <c r="O26" s="269"/>
      <c r="P26" s="197"/>
      <c r="Q26" s="725"/>
      <c r="R26" s="251"/>
      <c r="S26" s="725"/>
      <c r="T26" s="197"/>
      <c r="U26" s="197"/>
      <c r="V26" s="197"/>
      <c r="W26" s="197"/>
      <c r="X26" s="197"/>
      <c r="Y26" s="197"/>
      <c r="Z26" s="197"/>
      <c r="AA26" s="197"/>
      <c r="AB26" s="197"/>
      <c r="AC26" s="725"/>
      <c r="AD26" s="197"/>
      <c r="AE26" s="368" t="s">
        <v>2112</v>
      </c>
      <c r="AF26" s="861" t="s">
        <v>6467</v>
      </c>
      <c r="AG26" s="583" t="s">
        <v>6468</v>
      </c>
      <c r="AH26" s="583" t="s">
        <v>6469</v>
      </c>
      <c r="AI26" s="583" t="s">
        <v>6470</v>
      </c>
      <c r="AJ26" s="583" t="s">
        <v>6471</v>
      </c>
      <c r="AK26" s="583" t="s">
        <v>6472</v>
      </c>
      <c r="AL26" s="583" t="s">
        <v>6473</v>
      </c>
      <c r="AM26" s="862"/>
      <c r="AN26" s="863"/>
      <c r="AO26" s="857"/>
      <c r="AP26" s="197"/>
      <c r="AQ26" s="197"/>
      <c r="AR26" s="197"/>
      <c r="AS26" s="197"/>
    </row>
    <row r="27" spans="1:45" s="4" customFormat="1" ht="15.75" customHeight="1" thickTop="1" thickBot="1">
      <c r="A27" s="197"/>
      <c r="B27" s="852"/>
      <c r="C27" s="1489"/>
      <c r="D27" s="1487"/>
      <c r="E27" s="1487"/>
      <c r="F27" s="1487"/>
      <c r="G27" s="1487"/>
      <c r="H27" s="1487"/>
      <c r="I27" s="1487"/>
      <c r="J27" s="1499"/>
      <c r="K27" s="1499"/>
      <c r="L27" s="197"/>
      <c r="M27" s="197"/>
      <c r="N27" s="197"/>
      <c r="O27" s="197"/>
      <c r="P27" s="197"/>
      <c r="Q27" s="725"/>
      <c r="R27" s="251"/>
      <c r="S27" s="725"/>
      <c r="T27" s="197"/>
      <c r="U27" s="197"/>
      <c r="V27" s="197"/>
      <c r="W27" s="197"/>
      <c r="X27" s="197"/>
      <c r="Y27" s="197"/>
      <c r="Z27" s="197"/>
      <c r="AA27" s="197"/>
      <c r="AB27" s="197"/>
      <c r="AC27" s="725"/>
      <c r="AD27" s="197"/>
      <c r="AE27" s="852"/>
      <c r="AF27" s="852"/>
      <c r="AG27" s="867"/>
      <c r="AH27" s="867"/>
      <c r="AI27" s="867"/>
      <c r="AJ27" s="867"/>
      <c r="AK27" s="867"/>
      <c r="AL27" s="867"/>
      <c r="AM27" s="868"/>
      <c r="AN27" s="868"/>
      <c r="AO27" s="197"/>
      <c r="AP27" s="197"/>
      <c r="AQ27" s="197"/>
      <c r="AR27" s="197"/>
      <c r="AS27" s="197"/>
    </row>
    <row r="28" spans="1:45" s="4" customFormat="1" ht="15.75" customHeight="1" thickTop="1" thickBot="1">
      <c r="A28" s="197"/>
      <c r="B28" s="355" t="s">
        <v>6474</v>
      </c>
      <c r="C28" s="633"/>
      <c r="D28" s="1487"/>
      <c r="E28" s="1487"/>
      <c r="F28" s="1487"/>
      <c r="G28" s="1487"/>
      <c r="H28" s="1487"/>
      <c r="I28" s="1487"/>
      <c r="J28" s="1499"/>
      <c r="K28" s="1499"/>
      <c r="L28" s="197"/>
      <c r="M28" s="222"/>
      <c r="N28" s="197"/>
      <c r="O28" s="197"/>
      <c r="P28" s="197"/>
      <c r="Q28" s="725"/>
      <c r="R28" s="251"/>
      <c r="S28" s="725"/>
      <c r="T28" s="197"/>
      <c r="U28" s="197"/>
      <c r="V28" s="197"/>
      <c r="W28" s="197"/>
      <c r="X28" s="197"/>
      <c r="Y28" s="197"/>
      <c r="Z28" s="197"/>
      <c r="AA28" s="197"/>
      <c r="AB28" s="197"/>
      <c r="AC28" s="725"/>
      <c r="AD28" s="197"/>
      <c r="AE28" s="355" t="s">
        <v>6474</v>
      </c>
      <c r="AF28" s="356"/>
      <c r="AG28" s="867"/>
      <c r="AH28" s="867"/>
      <c r="AI28" s="867"/>
      <c r="AJ28" s="867"/>
      <c r="AK28" s="867"/>
      <c r="AL28" s="867"/>
      <c r="AM28" s="868"/>
      <c r="AN28" s="868"/>
      <c r="AO28" s="2560"/>
      <c r="AP28" s="197"/>
      <c r="AQ28" s="197"/>
      <c r="AR28" s="197"/>
      <c r="AS28" s="197"/>
    </row>
    <row r="29" spans="1:45" s="4" customFormat="1" ht="15.75" customHeight="1" thickTop="1">
      <c r="A29" s="197"/>
      <c r="B29" s="358" t="s">
        <v>6475</v>
      </c>
      <c r="C29" s="1956">
        <v>0</v>
      </c>
      <c r="D29" s="598">
        <v>0</v>
      </c>
      <c r="E29" s="598">
        <v>0</v>
      </c>
      <c r="F29" s="598">
        <v>0</v>
      </c>
      <c r="G29" s="1479">
        <f t="shared" ref="G29:G33" si="19">IFERROR(SUM(C29:F29),0)</f>
        <v>0</v>
      </c>
      <c r="H29" s="598">
        <v>0</v>
      </c>
      <c r="I29" s="598">
        <v>0</v>
      </c>
      <c r="J29" s="1500"/>
      <c r="K29" s="1501"/>
      <c r="L29" s="197"/>
      <c r="M29" s="248" t="s">
        <v>6476</v>
      </c>
      <c r="N29" s="197"/>
      <c r="O29" s="250"/>
      <c r="P29" s="197"/>
      <c r="Q29" s="725"/>
      <c r="R29" s="251">
        <f t="shared" ref="R29:R32" si="20">IF( SUM( T29:AA29 ) = 0, 0, $T$10 )</f>
        <v>0</v>
      </c>
      <c r="S29" s="725"/>
      <c r="T29" s="252">
        <f t="shared" ref="T29:T32" si="21" xml:space="preserve"> IF( ISNUMBER(C29), 0, 1 )</f>
        <v>0</v>
      </c>
      <c r="U29" s="252">
        <f t="shared" ref="U29:U32" si="22" xml:space="preserve"> IF( ISNUMBER(D29), 0, 1 )</f>
        <v>0</v>
      </c>
      <c r="V29" s="252">
        <f t="shared" ref="V29:V32" si="23" xml:space="preserve"> IF( ISNUMBER(E29), 0, 1 )</f>
        <v>0</v>
      </c>
      <c r="W29" s="252">
        <f t="shared" ref="W29:W32" si="24" xml:space="preserve"> IF( ISNUMBER(F29), 0, 1 )</f>
        <v>0</v>
      </c>
      <c r="X29" s="197"/>
      <c r="Y29" s="252">
        <f t="shared" ref="Y29:Y32" si="25" xml:space="preserve"> IF( ISNUMBER(H29), 0, 1 )</f>
        <v>0</v>
      </c>
      <c r="Z29" s="252">
        <f t="shared" ref="Z29:Z32" si="26" xml:space="preserve"> IF( ISNUMBER(I29), 0, 1 )</f>
        <v>0</v>
      </c>
      <c r="AA29" s="197"/>
      <c r="AB29" s="197"/>
      <c r="AC29" s="725"/>
      <c r="AD29" s="197"/>
      <c r="AE29" s="358" t="s">
        <v>6475</v>
      </c>
      <c r="AF29" s="854" t="s">
        <v>6477</v>
      </c>
      <c r="AG29" s="801" t="s">
        <v>6478</v>
      </c>
      <c r="AH29" s="801" t="s">
        <v>6479</v>
      </c>
      <c r="AI29" s="801" t="s">
        <v>6480</v>
      </c>
      <c r="AJ29" s="855" t="s">
        <v>6481</v>
      </c>
      <c r="AK29" s="801" t="s">
        <v>6482</v>
      </c>
      <c r="AL29" s="801" t="s">
        <v>6483</v>
      </c>
      <c r="AM29" s="869"/>
      <c r="AN29" s="870"/>
      <c r="AO29" s="857"/>
      <c r="AP29" s="197"/>
      <c r="AQ29" s="197"/>
      <c r="AR29" s="197"/>
      <c r="AS29" s="197"/>
    </row>
    <row r="30" spans="1:45" s="4" customFormat="1" ht="15.75" customHeight="1">
      <c r="A30" s="197"/>
      <c r="B30" s="365" t="s">
        <v>6484</v>
      </c>
      <c r="C30" s="1957">
        <v>0</v>
      </c>
      <c r="D30" s="601">
        <v>0</v>
      </c>
      <c r="E30" s="601">
        <v>0</v>
      </c>
      <c r="F30" s="601">
        <v>0</v>
      </c>
      <c r="G30" s="1481">
        <f t="shared" si="19"/>
        <v>0</v>
      </c>
      <c r="H30" s="601">
        <v>0</v>
      </c>
      <c r="I30" s="601">
        <v>0</v>
      </c>
      <c r="J30" s="1502"/>
      <c r="K30" s="1503"/>
      <c r="L30" s="197"/>
      <c r="M30" s="257" t="s">
        <v>6485</v>
      </c>
      <c r="N30" s="197"/>
      <c r="O30" s="258"/>
      <c r="P30" s="197"/>
      <c r="Q30" s="725"/>
      <c r="R30" s="251">
        <f t="shared" si="20"/>
        <v>0</v>
      </c>
      <c r="S30" s="725"/>
      <c r="T30" s="252">
        <f t="shared" si="21"/>
        <v>0</v>
      </c>
      <c r="U30" s="252">
        <f t="shared" si="22"/>
        <v>0</v>
      </c>
      <c r="V30" s="252">
        <f t="shared" si="23"/>
        <v>0</v>
      </c>
      <c r="W30" s="252">
        <f t="shared" si="24"/>
        <v>0</v>
      </c>
      <c r="X30" s="197"/>
      <c r="Y30" s="252">
        <f t="shared" si="25"/>
        <v>0</v>
      </c>
      <c r="Z30" s="252">
        <f t="shared" si="26"/>
        <v>0</v>
      </c>
      <c r="AA30" s="197"/>
      <c r="AB30" s="197"/>
      <c r="AC30" s="725"/>
      <c r="AD30" s="197"/>
      <c r="AE30" s="365" t="s">
        <v>6484</v>
      </c>
      <c r="AF30" s="858" t="s">
        <v>6486</v>
      </c>
      <c r="AG30" s="802" t="s">
        <v>6487</v>
      </c>
      <c r="AH30" s="802" t="s">
        <v>6488</v>
      </c>
      <c r="AI30" s="802" t="s">
        <v>6489</v>
      </c>
      <c r="AJ30" s="859" t="s">
        <v>6490</v>
      </c>
      <c r="AK30" s="802" t="s">
        <v>6491</v>
      </c>
      <c r="AL30" s="802" t="s">
        <v>6492</v>
      </c>
      <c r="AM30" s="871"/>
      <c r="AN30" s="872"/>
      <c r="AO30" s="857"/>
      <c r="AP30" s="197"/>
      <c r="AQ30" s="197"/>
      <c r="AR30" s="197"/>
      <c r="AS30" s="197"/>
    </row>
    <row r="31" spans="1:45" s="4" customFormat="1" ht="15.75" customHeight="1">
      <c r="A31" s="197"/>
      <c r="B31" s="365" t="s">
        <v>6493</v>
      </c>
      <c r="C31" s="1957">
        <v>0</v>
      </c>
      <c r="D31" s="601">
        <v>0</v>
      </c>
      <c r="E31" s="601">
        <v>0</v>
      </c>
      <c r="F31" s="601">
        <v>0</v>
      </c>
      <c r="G31" s="1481">
        <f t="shared" si="19"/>
        <v>0</v>
      </c>
      <c r="H31" s="601">
        <v>0</v>
      </c>
      <c r="I31" s="601">
        <v>0</v>
      </c>
      <c r="J31" s="1502"/>
      <c r="K31" s="1503"/>
      <c r="L31" s="197"/>
      <c r="M31" s="257" t="s">
        <v>6494</v>
      </c>
      <c r="N31" s="197"/>
      <c r="O31" s="258"/>
      <c r="P31" s="197"/>
      <c r="Q31" s="725"/>
      <c r="R31" s="251">
        <f t="shared" si="20"/>
        <v>0</v>
      </c>
      <c r="S31" s="725"/>
      <c r="T31" s="252">
        <f t="shared" si="21"/>
        <v>0</v>
      </c>
      <c r="U31" s="252">
        <f t="shared" si="22"/>
        <v>0</v>
      </c>
      <c r="V31" s="252">
        <f t="shared" si="23"/>
        <v>0</v>
      </c>
      <c r="W31" s="252">
        <f t="shared" si="24"/>
        <v>0</v>
      </c>
      <c r="X31" s="197"/>
      <c r="Y31" s="252">
        <f t="shared" si="25"/>
        <v>0</v>
      </c>
      <c r="Z31" s="252">
        <f t="shared" si="26"/>
        <v>0</v>
      </c>
      <c r="AA31" s="197"/>
      <c r="AB31" s="197"/>
      <c r="AC31" s="725"/>
      <c r="AD31" s="197"/>
      <c r="AE31" s="365" t="s">
        <v>6493</v>
      </c>
      <c r="AF31" s="858" t="s">
        <v>6495</v>
      </c>
      <c r="AG31" s="802" t="s">
        <v>6496</v>
      </c>
      <c r="AH31" s="802" t="s">
        <v>6497</v>
      </c>
      <c r="AI31" s="802" t="s">
        <v>6498</v>
      </c>
      <c r="AJ31" s="859" t="s">
        <v>6499</v>
      </c>
      <c r="AK31" s="802" t="s">
        <v>6500</v>
      </c>
      <c r="AL31" s="802" t="s">
        <v>6501</v>
      </c>
      <c r="AM31" s="871"/>
      <c r="AN31" s="872"/>
      <c r="AO31" s="857"/>
      <c r="AP31" s="197"/>
      <c r="AQ31" s="197"/>
      <c r="AR31" s="197"/>
      <c r="AS31" s="197"/>
    </row>
    <row r="32" spans="1:45" s="4" customFormat="1" ht="15.75" customHeight="1">
      <c r="A32" s="197"/>
      <c r="B32" s="365" t="s">
        <v>6502</v>
      </c>
      <c r="C32" s="1957">
        <v>0</v>
      </c>
      <c r="D32" s="601">
        <v>0</v>
      </c>
      <c r="E32" s="601">
        <v>0</v>
      </c>
      <c r="F32" s="601">
        <v>0</v>
      </c>
      <c r="G32" s="1481">
        <f t="shared" si="19"/>
        <v>0</v>
      </c>
      <c r="H32" s="601">
        <v>0</v>
      </c>
      <c r="I32" s="601">
        <v>0</v>
      </c>
      <c r="J32" s="1502"/>
      <c r="K32" s="1503"/>
      <c r="L32" s="197"/>
      <c r="M32" s="257" t="s">
        <v>6503</v>
      </c>
      <c r="N32" s="197"/>
      <c r="O32" s="258"/>
      <c r="P32" s="197"/>
      <c r="Q32" s="725"/>
      <c r="R32" s="251">
        <f t="shared" si="20"/>
        <v>0</v>
      </c>
      <c r="S32" s="725"/>
      <c r="T32" s="252">
        <f t="shared" si="21"/>
        <v>0</v>
      </c>
      <c r="U32" s="252">
        <f t="shared" si="22"/>
        <v>0</v>
      </c>
      <c r="V32" s="252">
        <f t="shared" si="23"/>
        <v>0</v>
      </c>
      <c r="W32" s="252">
        <f t="shared" si="24"/>
        <v>0</v>
      </c>
      <c r="X32" s="197"/>
      <c r="Y32" s="252">
        <f t="shared" si="25"/>
        <v>0</v>
      </c>
      <c r="Z32" s="252">
        <f t="shared" si="26"/>
        <v>0</v>
      </c>
      <c r="AA32" s="197"/>
      <c r="AB32" s="197"/>
      <c r="AC32" s="725"/>
      <c r="AD32" s="197"/>
      <c r="AE32" s="365" t="s">
        <v>6502</v>
      </c>
      <c r="AF32" s="858" t="s">
        <v>6504</v>
      </c>
      <c r="AG32" s="802" t="s">
        <v>6505</v>
      </c>
      <c r="AH32" s="802" t="s">
        <v>6506</v>
      </c>
      <c r="AI32" s="802" t="s">
        <v>6507</v>
      </c>
      <c r="AJ32" s="859" t="s">
        <v>6508</v>
      </c>
      <c r="AK32" s="802" t="s">
        <v>6509</v>
      </c>
      <c r="AL32" s="802" t="s">
        <v>6510</v>
      </c>
      <c r="AM32" s="871"/>
      <c r="AN32" s="872"/>
      <c r="AO32" s="857"/>
      <c r="AP32" s="197"/>
      <c r="AQ32" s="197"/>
      <c r="AR32" s="197"/>
      <c r="AS32" s="197"/>
    </row>
    <row r="33" spans="1:45" s="4" customFormat="1" ht="15.75" customHeight="1" thickBot="1">
      <c r="A33" s="197"/>
      <c r="B33" s="368" t="s">
        <v>2112</v>
      </c>
      <c r="C33" s="1902">
        <f>IFERROR(SUM(C29:C32), 0)</f>
        <v>0</v>
      </c>
      <c r="D33" s="1473">
        <f>IFERROR(SUM(D29:D32), 0)</f>
        <v>0</v>
      </c>
      <c r="E33" s="1473">
        <f>IFERROR(SUM(E29:E32), 0)</f>
        <v>0</v>
      </c>
      <c r="F33" s="1473">
        <f>IFERROR(SUM(F29:F32), 0)</f>
        <v>0</v>
      </c>
      <c r="G33" s="1473">
        <f t="shared" si="19"/>
        <v>0</v>
      </c>
      <c r="H33" s="1473">
        <f>IFERROR(SUM(H29:H32), 0)</f>
        <v>0</v>
      </c>
      <c r="I33" s="1473">
        <f>IFERROR(SUM(I29:I32), 0)</f>
        <v>0</v>
      </c>
      <c r="J33" s="1497"/>
      <c r="K33" s="1498"/>
      <c r="L33" s="197"/>
      <c r="M33" s="320" t="s">
        <v>6511</v>
      </c>
      <c r="N33" s="197"/>
      <c r="O33" s="269"/>
      <c r="P33" s="197"/>
      <c r="Q33" s="725"/>
      <c r="R33" s="251"/>
      <c r="S33" s="725"/>
      <c r="T33" s="197"/>
      <c r="U33" s="197"/>
      <c r="V33" s="197"/>
      <c r="W33" s="197"/>
      <c r="X33" s="197"/>
      <c r="Y33" s="197"/>
      <c r="Z33" s="197"/>
      <c r="AA33" s="197"/>
      <c r="AB33" s="197"/>
      <c r="AC33" s="725"/>
      <c r="AD33" s="197"/>
      <c r="AE33" s="368" t="s">
        <v>2112</v>
      </c>
      <c r="AF33" s="861" t="s">
        <v>6512</v>
      </c>
      <c r="AG33" s="583" t="s">
        <v>6513</v>
      </c>
      <c r="AH33" s="583" t="s">
        <v>6514</v>
      </c>
      <c r="AI33" s="583" t="s">
        <v>6515</v>
      </c>
      <c r="AJ33" s="583" t="s">
        <v>6516</v>
      </c>
      <c r="AK33" s="583" t="s">
        <v>6517</v>
      </c>
      <c r="AL33" s="583" t="s">
        <v>6518</v>
      </c>
      <c r="AM33" s="862"/>
      <c r="AN33" s="863"/>
      <c r="AO33" s="857"/>
      <c r="AP33" s="197"/>
      <c r="AQ33" s="197"/>
      <c r="AR33" s="197"/>
      <c r="AS33" s="197"/>
    </row>
    <row r="34" spans="1:45" s="4" customFormat="1" ht="15.75" customHeight="1" thickTop="1" thickBot="1">
      <c r="A34" s="197"/>
      <c r="B34" s="852"/>
      <c r="C34" s="1490"/>
      <c r="D34" s="1487"/>
      <c r="E34" s="1487"/>
      <c r="F34" s="1487"/>
      <c r="G34" s="1487"/>
      <c r="H34" s="1487"/>
      <c r="I34" s="1487"/>
      <c r="J34" s="1499"/>
      <c r="K34" s="1499"/>
      <c r="L34" s="197"/>
      <c r="M34" s="197"/>
      <c r="N34" s="197"/>
      <c r="O34" s="197"/>
      <c r="P34" s="197"/>
      <c r="Q34" s="725"/>
      <c r="R34" s="251"/>
      <c r="S34" s="725"/>
      <c r="T34" s="197"/>
      <c r="U34" s="197"/>
      <c r="V34" s="197"/>
      <c r="W34" s="197"/>
      <c r="X34" s="197"/>
      <c r="Y34" s="197"/>
      <c r="Z34" s="197"/>
      <c r="AA34" s="197"/>
      <c r="AB34" s="197"/>
      <c r="AC34" s="725"/>
      <c r="AD34" s="197"/>
      <c r="AE34" s="852"/>
      <c r="AF34" s="393"/>
      <c r="AG34" s="867"/>
      <c r="AH34" s="867"/>
      <c r="AI34" s="867"/>
      <c r="AJ34" s="867"/>
      <c r="AK34" s="867"/>
      <c r="AL34" s="867"/>
      <c r="AM34" s="868"/>
      <c r="AN34" s="868"/>
      <c r="AO34" s="197"/>
      <c r="AP34" s="197"/>
      <c r="AQ34" s="197"/>
      <c r="AR34" s="197"/>
      <c r="AS34" s="197"/>
    </row>
    <row r="35" spans="1:45" s="4" customFormat="1" ht="15.75" customHeight="1" thickTop="1" thickBot="1">
      <c r="A35" s="197"/>
      <c r="B35" s="355" t="s">
        <v>6519</v>
      </c>
      <c r="C35" s="633"/>
      <c r="D35" s="1487"/>
      <c r="E35" s="1487"/>
      <c r="F35" s="1487"/>
      <c r="G35" s="1487"/>
      <c r="H35" s="1487"/>
      <c r="I35" s="1487"/>
      <c r="J35" s="1499"/>
      <c r="K35" s="1499"/>
      <c r="L35" s="197"/>
      <c r="M35" s="222"/>
      <c r="N35" s="197"/>
      <c r="O35" s="197"/>
      <c r="P35" s="197"/>
      <c r="Q35" s="725"/>
      <c r="R35" s="251"/>
      <c r="S35" s="725"/>
      <c r="T35" s="197"/>
      <c r="U35" s="197"/>
      <c r="V35" s="197"/>
      <c r="W35" s="197"/>
      <c r="X35" s="197"/>
      <c r="Y35" s="197"/>
      <c r="Z35" s="197"/>
      <c r="AA35" s="197"/>
      <c r="AB35" s="197"/>
      <c r="AC35" s="725"/>
      <c r="AD35" s="197"/>
      <c r="AE35" s="355" t="s">
        <v>6519</v>
      </c>
      <c r="AF35" s="356"/>
      <c r="AG35" s="867"/>
      <c r="AH35" s="867"/>
      <c r="AI35" s="867"/>
      <c r="AJ35" s="867"/>
      <c r="AK35" s="867"/>
      <c r="AL35" s="867"/>
      <c r="AM35" s="868"/>
      <c r="AN35" s="868"/>
      <c r="AO35" s="2560"/>
      <c r="AP35" s="197"/>
      <c r="AQ35" s="197"/>
      <c r="AR35" s="197"/>
      <c r="AS35" s="197"/>
    </row>
    <row r="36" spans="1:45" s="4" customFormat="1" ht="15.75" customHeight="1" thickTop="1">
      <c r="A36" s="197"/>
      <c r="B36" s="358" t="s">
        <v>6520</v>
      </c>
      <c r="C36" s="1956">
        <v>0</v>
      </c>
      <c r="D36" s="598">
        <v>0</v>
      </c>
      <c r="E36" s="598">
        <v>0</v>
      </c>
      <c r="F36" s="598">
        <v>0</v>
      </c>
      <c r="G36" s="1479">
        <f t="shared" ref="G36:G43" si="27">IFERROR(SUM(C36:F36),0)</f>
        <v>0</v>
      </c>
      <c r="H36" s="598">
        <v>0</v>
      </c>
      <c r="I36" s="598">
        <v>0</v>
      </c>
      <c r="J36" s="1500"/>
      <c r="K36" s="1501"/>
      <c r="L36" s="197"/>
      <c r="M36" s="248" t="s">
        <v>6521</v>
      </c>
      <c r="N36" s="197"/>
      <c r="O36" s="250"/>
      <c r="P36" s="197"/>
      <c r="Q36" s="725"/>
      <c r="R36" s="251">
        <f t="shared" ref="R36:R42" si="28">IF( SUM( T36:AA36 ) = 0, 0, $T$10 )</f>
        <v>0</v>
      </c>
      <c r="S36" s="725"/>
      <c r="T36" s="252">
        <f t="shared" ref="T36:T42" si="29" xml:space="preserve"> IF( ISNUMBER(C36), 0, 1 )</f>
        <v>0</v>
      </c>
      <c r="U36" s="252">
        <f t="shared" ref="U36:U42" si="30" xml:space="preserve"> IF( ISNUMBER(D36), 0, 1 )</f>
        <v>0</v>
      </c>
      <c r="V36" s="252">
        <f t="shared" ref="V36:V42" si="31" xml:space="preserve"> IF( ISNUMBER(E36), 0, 1 )</f>
        <v>0</v>
      </c>
      <c r="W36" s="252">
        <f t="shared" ref="W36:W42" si="32" xml:space="preserve"> IF( ISNUMBER(F36), 0, 1 )</f>
        <v>0</v>
      </c>
      <c r="X36" s="197"/>
      <c r="Y36" s="252">
        <f t="shared" ref="Y36:Y42" si="33" xml:space="preserve"> IF( ISNUMBER(H36), 0, 1 )</f>
        <v>0</v>
      </c>
      <c r="Z36" s="252">
        <f t="shared" ref="Z36:Z42" si="34" xml:space="preserve"> IF( ISNUMBER(I36), 0, 1 )</f>
        <v>0</v>
      </c>
      <c r="AA36" s="197"/>
      <c r="AB36" s="197"/>
      <c r="AC36" s="725"/>
      <c r="AD36" s="197"/>
      <c r="AE36" s="358" t="s">
        <v>6520</v>
      </c>
      <c r="AF36" s="854" t="s">
        <v>6522</v>
      </c>
      <c r="AG36" s="801" t="s">
        <v>6523</v>
      </c>
      <c r="AH36" s="801" t="s">
        <v>6524</v>
      </c>
      <c r="AI36" s="801" t="s">
        <v>6525</v>
      </c>
      <c r="AJ36" s="855" t="s">
        <v>6526</v>
      </c>
      <c r="AK36" s="801" t="s">
        <v>6527</v>
      </c>
      <c r="AL36" s="801" t="s">
        <v>6528</v>
      </c>
      <c r="AM36" s="869"/>
      <c r="AN36" s="870"/>
      <c r="AO36" s="857"/>
      <c r="AP36" s="197"/>
      <c r="AQ36" s="197"/>
      <c r="AR36" s="197"/>
      <c r="AS36" s="197"/>
    </row>
    <row r="37" spans="1:45" s="4" customFormat="1" ht="15.75" customHeight="1">
      <c r="A37" s="197"/>
      <c r="B37" s="365" t="s">
        <v>6529</v>
      </c>
      <c r="C37" s="1957">
        <v>0</v>
      </c>
      <c r="D37" s="601">
        <v>0</v>
      </c>
      <c r="E37" s="601">
        <v>0</v>
      </c>
      <c r="F37" s="601">
        <v>0</v>
      </c>
      <c r="G37" s="1481">
        <f t="shared" si="27"/>
        <v>0</v>
      </c>
      <c r="H37" s="601">
        <v>0</v>
      </c>
      <c r="I37" s="601">
        <v>0</v>
      </c>
      <c r="J37" s="1502"/>
      <c r="K37" s="1503"/>
      <c r="L37" s="197"/>
      <c r="M37" s="257" t="s">
        <v>6530</v>
      </c>
      <c r="N37" s="197"/>
      <c r="O37" s="258"/>
      <c r="P37" s="197"/>
      <c r="Q37" s="725"/>
      <c r="R37" s="251">
        <f t="shared" si="28"/>
        <v>0</v>
      </c>
      <c r="S37" s="725"/>
      <c r="T37" s="252">
        <f t="shared" si="29"/>
        <v>0</v>
      </c>
      <c r="U37" s="252">
        <f t="shared" si="30"/>
        <v>0</v>
      </c>
      <c r="V37" s="252">
        <f t="shared" si="31"/>
        <v>0</v>
      </c>
      <c r="W37" s="252">
        <f t="shared" si="32"/>
        <v>0</v>
      </c>
      <c r="X37" s="197"/>
      <c r="Y37" s="252">
        <f t="shared" si="33"/>
        <v>0</v>
      </c>
      <c r="Z37" s="252">
        <f t="shared" si="34"/>
        <v>0</v>
      </c>
      <c r="AA37" s="197"/>
      <c r="AB37" s="197"/>
      <c r="AC37" s="725"/>
      <c r="AD37" s="197"/>
      <c r="AE37" s="365" t="s">
        <v>6529</v>
      </c>
      <c r="AF37" s="858" t="s">
        <v>6531</v>
      </c>
      <c r="AG37" s="802" t="s">
        <v>6532</v>
      </c>
      <c r="AH37" s="802" t="s">
        <v>6533</v>
      </c>
      <c r="AI37" s="802" t="s">
        <v>6534</v>
      </c>
      <c r="AJ37" s="859" t="s">
        <v>6535</v>
      </c>
      <c r="AK37" s="802" t="s">
        <v>6536</v>
      </c>
      <c r="AL37" s="802" t="s">
        <v>6537</v>
      </c>
      <c r="AM37" s="871"/>
      <c r="AN37" s="872"/>
      <c r="AO37" s="857"/>
      <c r="AP37" s="197"/>
      <c r="AQ37" s="197"/>
      <c r="AR37" s="197"/>
      <c r="AS37" s="197"/>
    </row>
    <row r="38" spans="1:45" s="4" customFormat="1" ht="15.75" customHeight="1">
      <c r="A38" s="197"/>
      <c r="B38" s="365" t="s">
        <v>6538</v>
      </c>
      <c r="C38" s="1957">
        <v>0</v>
      </c>
      <c r="D38" s="601">
        <v>0</v>
      </c>
      <c r="E38" s="601">
        <v>0</v>
      </c>
      <c r="F38" s="601">
        <v>0</v>
      </c>
      <c r="G38" s="1481">
        <f t="shared" si="27"/>
        <v>0</v>
      </c>
      <c r="H38" s="601">
        <v>0</v>
      </c>
      <c r="I38" s="601">
        <v>0</v>
      </c>
      <c r="J38" s="1502"/>
      <c r="K38" s="1503"/>
      <c r="L38" s="197"/>
      <c r="M38" s="257" t="s">
        <v>6539</v>
      </c>
      <c r="N38" s="197"/>
      <c r="O38" s="258"/>
      <c r="P38" s="197"/>
      <c r="Q38" s="725"/>
      <c r="R38" s="251">
        <f t="shared" si="28"/>
        <v>0</v>
      </c>
      <c r="S38" s="725"/>
      <c r="T38" s="252">
        <f t="shared" si="29"/>
        <v>0</v>
      </c>
      <c r="U38" s="252">
        <f t="shared" si="30"/>
        <v>0</v>
      </c>
      <c r="V38" s="252">
        <f t="shared" si="31"/>
        <v>0</v>
      </c>
      <c r="W38" s="252">
        <f t="shared" si="32"/>
        <v>0</v>
      </c>
      <c r="X38" s="197"/>
      <c r="Y38" s="252">
        <f t="shared" si="33"/>
        <v>0</v>
      </c>
      <c r="Z38" s="252">
        <f t="shared" si="34"/>
        <v>0</v>
      </c>
      <c r="AA38" s="197"/>
      <c r="AB38" s="197"/>
      <c r="AC38" s="725"/>
      <c r="AD38" s="197"/>
      <c r="AE38" s="365" t="s">
        <v>6538</v>
      </c>
      <c r="AF38" s="858" t="s">
        <v>6540</v>
      </c>
      <c r="AG38" s="802" t="s">
        <v>6541</v>
      </c>
      <c r="AH38" s="802" t="s">
        <v>6542</v>
      </c>
      <c r="AI38" s="802" t="s">
        <v>6543</v>
      </c>
      <c r="AJ38" s="859" t="s">
        <v>6544</v>
      </c>
      <c r="AK38" s="802" t="s">
        <v>6545</v>
      </c>
      <c r="AL38" s="802" t="s">
        <v>6546</v>
      </c>
      <c r="AM38" s="871"/>
      <c r="AN38" s="872"/>
      <c r="AO38" s="857"/>
      <c r="AP38" s="197"/>
      <c r="AQ38" s="197"/>
      <c r="AR38" s="197"/>
      <c r="AS38" s="197"/>
    </row>
    <row r="39" spans="1:45" s="4" customFormat="1" ht="15.75" customHeight="1">
      <c r="A39" s="197"/>
      <c r="B39" s="365" t="s">
        <v>6547</v>
      </c>
      <c r="C39" s="1957">
        <v>0</v>
      </c>
      <c r="D39" s="601">
        <v>0</v>
      </c>
      <c r="E39" s="601">
        <v>0</v>
      </c>
      <c r="F39" s="601">
        <v>0</v>
      </c>
      <c r="G39" s="1481">
        <f t="shared" si="27"/>
        <v>0</v>
      </c>
      <c r="H39" s="601">
        <v>0</v>
      </c>
      <c r="I39" s="601">
        <v>0</v>
      </c>
      <c r="J39" s="1502"/>
      <c r="K39" s="1503"/>
      <c r="L39" s="197"/>
      <c r="M39" s="257" t="s">
        <v>6548</v>
      </c>
      <c r="N39" s="200"/>
      <c r="O39" s="258"/>
      <c r="P39" s="200"/>
      <c r="Q39" s="831"/>
      <c r="R39" s="251">
        <f t="shared" si="28"/>
        <v>0</v>
      </c>
      <c r="S39" s="725"/>
      <c r="T39" s="252">
        <f t="shared" si="29"/>
        <v>0</v>
      </c>
      <c r="U39" s="252">
        <f t="shared" si="30"/>
        <v>0</v>
      </c>
      <c r="V39" s="252">
        <f t="shared" si="31"/>
        <v>0</v>
      </c>
      <c r="W39" s="252">
        <f t="shared" si="32"/>
        <v>0</v>
      </c>
      <c r="X39" s="197"/>
      <c r="Y39" s="252">
        <f t="shared" si="33"/>
        <v>0</v>
      </c>
      <c r="Z39" s="252">
        <f t="shared" si="34"/>
        <v>0</v>
      </c>
      <c r="AA39" s="197"/>
      <c r="AB39" s="197"/>
      <c r="AC39" s="725"/>
      <c r="AD39" s="197"/>
      <c r="AE39" s="365" t="s">
        <v>6547</v>
      </c>
      <c r="AF39" s="858" t="s">
        <v>6549</v>
      </c>
      <c r="AG39" s="802" t="s">
        <v>6550</v>
      </c>
      <c r="AH39" s="802" t="s">
        <v>6551</v>
      </c>
      <c r="AI39" s="802" t="s">
        <v>6552</v>
      </c>
      <c r="AJ39" s="859" t="s">
        <v>6553</v>
      </c>
      <c r="AK39" s="802" t="s">
        <v>6554</v>
      </c>
      <c r="AL39" s="802" t="s">
        <v>6555</v>
      </c>
      <c r="AM39" s="871"/>
      <c r="AN39" s="872"/>
      <c r="AO39" s="857"/>
      <c r="AP39" s="197"/>
      <c r="AQ39" s="197"/>
      <c r="AR39" s="197"/>
      <c r="AS39" s="197"/>
    </row>
    <row r="40" spans="1:45" s="4" customFormat="1" ht="15.75" customHeight="1">
      <c r="A40" s="197"/>
      <c r="B40" s="365" t="s">
        <v>6556</v>
      </c>
      <c r="C40" s="1957">
        <v>0</v>
      </c>
      <c r="D40" s="601">
        <v>0</v>
      </c>
      <c r="E40" s="601">
        <v>0</v>
      </c>
      <c r="F40" s="601">
        <v>0</v>
      </c>
      <c r="G40" s="1481">
        <f t="shared" si="27"/>
        <v>0</v>
      </c>
      <c r="H40" s="601">
        <v>0</v>
      </c>
      <c r="I40" s="601">
        <v>0</v>
      </c>
      <c r="J40" s="1502"/>
      <c r="K40" s="1503"/>
      <c r="L40" s="197"/>
      <c r="M40" s="257" t="s">
        <v>6557</v>
      </c>
      <c r="N40" s="200"/>
      <c r="O40" s="258"/>
      <c r="P40" s="200"/>
      <c r="Q40" s="831"/>
      <c r="R40" s="251">
        <f t="shared" si="28"/>
        <v>0</v>
      </c>
      <c r="S40" s="725"/>
      <c r="T40" s="252">
        <f t="shared" si="29"/>
        <v>0</v>
      </c>
      <c r="U40" s="252">
        <f t="shared" si="30"/>
        <v>0</v>
      </c>
      <c r="V40" s="252">
        <f t="shared" si="31"/>
        <v>0</v>
      </c>
      <c r="W40" s="252">
        <f t="shared" si="32"/>
        <v>0</v>
      </c>
      <c r="X40" s="197"/>
      <c r="Y40" s="252">
        <f t="shared" si="33"/>
        <v>0</v>
      </c>
      <c r="Z40" s="252">
        <f t="shared" si="34"/>
        <v>0</v>
      </c>
      <c r="AA40" s="197"/>
      <c r="AB40" s="197"/>
      <c r="AC40" s="725"/>
      <c r="AD40" s="197"/>
      <c r="AE40" s="365" t="s">
        <v>6556</v>
      </c>
      <c r="AF40" s="858" t="s">
        <v>6558</v>
      </c>
      <c r="AG40" s="802" t="s">
        <v>6559</v>
      </c>
      <c r="AH40" s="802" t="s">
        <v>6560</v>
      </c>
      <c r="AI40" s="802" t="s">
        <v>6561</v>
      </c>
      <c r="AJ40" s="859" t="s">
        <v>6562</v>
      </c>
      <c r="AK40" s="802" t="s">
        <v>6563</v>
      </c>
      <c r="AL40" s="802" t="s">
        <v>6564</v>
      </c>
      <c r="AM40" s="871"/>
      <c r="AN40" s="872"/>
      <c r="AO40" s="857"/>
      <c r="AP40" s="197"/>
      <c r="AQ40" s="197"/>
      <c r="AR40" s="197"/>
      <c r="AS40" s="197"/>
    </row>
    <row r="41" spans="1:45" s="4" customFormat="1" ht="15.75" customHeight="1">
      <c r="A41" s="197"/>
      <c r="B41" s="365" t="s">
        <v>6565</v>
      </c>
      <c r="C41" s="1957">
        <v>0</v>
      </c>
      <c r="D41" s="601">
        <v>0</v>
      </c>
      <c r="E41" s="601">
        <v>0</v>
      </c>
      <c r="F41" s="601">
        <v>0</v>
      </c>
      <c r="G41" s="1481">
        <f t="shared" si="27"/>
        <v>0</v>
      </c>
      <c r="H41" s="601">
        <v>0</v>
      </c>
      <c r="I41" s="601">
        <v>0</v>
      </c>
      <c r="J41" s="1502"/>
      <c r="K41" s="1503"/>
      <c r="L41" s="197"/>
      <c r="M41" s="257" t="s">
        <v>6566</v>
      </c>
      <c r="N41" s="200"/>
      <c r="O41" s="258"/>
      <c r="P41" s="200"/>
      <c r="Q41" s="831"/>
      <c r="R41" s="251">
        <f t="shared" si="28"/>
        <v>0</v>
      </c>
      <c r="S41" s="725"/>
      <c r="T41" s="252">
        <f t="shared" si="29"/>
        <v>0</v>
      </c>
      <c r="U41" s="252">
        <f t="shared" si="30"/>
        <v>0</v>
      </c>
      <c r="V41" s="252">
        <f t="shared" si="31"/>
        <v>0</v>
      </c>
      <c r="W41" s="252">
        <f t="shared" si="32"/>
        <v>0</v>
      </c>
      <c r="X41" s="197"/>
      <c r="Y41" s="252">
        <f t="shared" si="33"/>
        <v>0</v>
      </c>
      <c r="Z41" s="252">
        <f t="shared" si="34"/>
        <v>0</v>
      </c>
      <c r="AA41" s="197"/>
      <c r="AB41" s="197"/>
      <c r="AC41" s="725"/>
      <c r="AD41" s="197"/>
      <c r="AE41" s="365" t="s">
        <v>6565</v>
      </c>
      <c r="AF41" s="858" t="s">
        <v>6567</v>
      </c>
      <c r="AG41" s="802" t="s">
        <v>6568</v>
      </c>
      <c r="AH41" s="802" t="s">
        <v>6569</v>
      </c>
      <c r="AI41" s="802" t="s">
        <v>6570</v>
      </c>
      <c r="AJ41" s="859" t="s">
        <v>6571</v>
      </c>
      <c r="AK41" s="802" t="s">
        <v>6572</v>
      </c>
      <c r="AL41" s="802" t="s">
        <v>6573</v>
      </c>
      <c r="AM41" s="871"/>
      <c r="AN41" s="872"/>
      <c r="AO41" s="857"/>
      <c r="AP41" s="197"/>
      <c r="AQ41" s="197"/>
      <c r="AR41" s="197"/>
      <c r="AS41" s="197"/>
    </row>
    <row r="42" spans="1:45" s="4" customFormat="1" ht="15.75" customHeight="1">
      <c r="A42" s="197"/>
      <c r="B42" s="365" t="s">
        <v>6574</v>
      </c>
      <c r="C42" s="1957">
        <v>0</v>
      </c>
      <c r="D42" s="601">
        <v>0</v>
      </c>
      <c r="E42" s="601">
        <v>0</v>
      </c>
      <c r="F42" s="601">
        <v>0</v>
      </c>
      <c r="G42" s="1481">
        <f t="shared" si="27"/>
        <v>0</v>
      </c>
      <c r="H42" s="601">
        <v>0</v>
      </c>
      <c r="I42" s="601">
        <v>0</v>
      </c>
      <c r="J42" s="1502"/>
      <c r="K42" s="1503"/>
      <c r="L42" s="197"/>
      <c r="M42" s="257" t="s">
        <v>6575</v>
      </c>
      <c r="N42" s="197"/>
      <c r="O42" s="258"/>
      <c r="P42" s="197"/>
      <c r="Q42" s="725"/>
      <c r="R42" s="251">
        <f t="shared" si="28"/>
        <v>0</v>
      </c>
      <c r="S42" s="725"/>
      <c r="T42" s="252">
        <f t="shared" si="29"/>
        <v>0</v>
      </c>
      <c r="U42" s="252">
        <f t="shared" si="30"/>
        <v>0</v>
      </c>
      <c r="V42" s="252">
        <f t="shared" si="31"/>
        <v>0</v>
      </c>
      <c r="W42" s="252">
        <f t="shared" si="32"/>
        <v>0</v>
      </c>
      <c r="X42" s="197"/>
      <c r="Y42" s="252">
        <f t="shared" si="33"/>
        <v>0</v>
      </c>
      <c r="Z42" s="252">
        <f t="shared" si="34"/>
        <v>0</v>
      </c>
      <c r="AA42" s="197"/>
      <c r="AB42" s="197"/>
      <c r="AC42" s="725"/>
      <c r="AD42" s="197"/>
      <c r="AE42" s="365" t="s">
        <v>6574</v>
      </c>
      <c r="AF42" s="858" t="s">
        <v>6576</v>
      </c>
      <c r="AG42" s="802" t="s">
        <v>6577</v>
      </c>
      <c r="AH42" s="802" t="s">
        <v>6578</v>
      </c>
      <c r="AI42" s="802" t="s">
        <v>6579</v>
      </c>
      <c r="AJ42" s="859" t="s">
        <v>6580</v>
      </c>
      <c r="AK42" s="802" t="s">
        <v>6581</v>
      </c>
      <c r="AL42" s="802" t="s">
        <v>6582</v>
      </c>
      <c r="AM42" s="871"/>
      <c r="AN42" s="872"/>
      <c r="AO42" s="857"/>
      <c r="AP42" s="197"/>
      <c r="AQ42" s="197"/>
      <c r="AR42" s="197"/>
      <c r="AS42" s="197"/>
    </row>
    <row r="43" spans="1:45" s="4" customFormat="1" ht="15.75" customHeight="1" thickBot="1">
      <c r="A43" s="197"/>
      <c r="B43" s="368" t="s">
        <v>2112</v>
      </c>
      <c r="C43" s="1902">
        <f>IFERROR(SUM(C36:C42), 0)</f>
        <v>0</v>
      </c>
      <c r="D43" s="1473">
        <f>IFERROR(SUM(D36:D42), 0)</f>
        <v>0</v>
      </c>
      <c r="E43" s="1473">
        <f>IFERROR(SUM(E36:E42), 0)</f>
        <v>0</v>
      </c>
      <c r="F43" s="1473">
        <f>IFERROR(SUM(F36:F42), 0)</f>
        <v>0</v>
      </c>
      <c r="G43" s="1473">
        <f t="shared" si="27"/>
        <v>0</v>
      </c>
      <c r="H43" s="1473">
        <f>IFERROR(SUM(H36:H42), 0)</f>
        <v>0</v>
      </c>
      <c r="I43" s="1473">
        <f>IFERROR(SUM(I36:I42), 0)</f>
        <v>0</v>
      </c>
      <c r="J43" s="1497"/>
      <c r="K43" s="1498"/>
      <c r="L43" s="197"/>
      <c r="M43" s="320" t="s">
        <v>6583</v>
      </c>
      <c r="N43" s="197"/>
      <c r="O43" s="269"/>
      <c r="P43" s="197"/>
      <c r="Q43" s="725"/>
      <c r="R43" s="251"/>
      <c r="S43" s="725"/>
      <c r="T43" s="197"/>
      <c r="U43" s="197"/>
      <c r="V43" s="197"/>
      <c r="W43" s="197"/>
      <c r="X43" s="197"/>
      <c r="Y43" s="197"/>
      <c r="Z43" s="197"/>
      <c r="AA43" s="197"/>
      <c r="AB43" s="197"/>
      <c r="AC43" s="725"/>
      <c r="AD43" s="197"/>
      <c r="AE43" s="368" t="s">
        <v>2112</v>
      </c>
      <c r="AF43" s="861" t="s">
        <v>6584</v>
      </c>
      <c r="AG43" s="583" t="s">
        <v>6585</v>
      </c>
      <c r="AH43" s="583" t="s">
        <v>6586</v>
      </c>
      <c r="AI43" s="583" t="s">
        <v>6587</v>
      </c>
      <c r="AJ43" s="583" t="s">
        <v>6588</v>
      </c>
      <c r="AK43" s="583" t="s">
        <v>6589</v>
      </c>
      <c r="AL43" s="583" t="s">
        <v>6590</v>
      </c>
      <c r="AM43" s="862"/>
      <c r="AN43" s="863"/>
      <c r="AO43" s="857"/>
      <c r="AP43" s="197"/>
      <c r="AQ43" s="197"/>
      <c r="AR43" s="197"/>
      <c r="AS43" s="197"/>
    </row>
    <row r="44" spans="1:45" s="4" customFormat="1" ht="15.75" customHeight="1" thickTop="1" thickBot="1">
      <c r="A44" s="197"/>
      <c r="B44" s="852"/>
      <c r="C44" s="1489"/>
      <c r="D44" s="1491"/>
      <c r="E44" s="1491"/>
      <c r="F44" s="1491"/>
      <c r="G44" s="1901"/>
      <c r="H44" s="1491"/>
      <c r="I44" s="1491"/>
      <c r="J44" s="1499"/>
      <c r="K44" s="1499"/>
      <c r="L44" s="197"/>
      <c r="M44" s="228"/>
      <c r="N44" s="197"/>
      <c r="O44" s="197"/>
      <c r="P44" s="197"/>
      <c r="Q44" s="725"/>
      <c r="R44" s="251"/>
      <c r="S44" s="725"/>
      <c r="T44" s="197"/>
      <c r="U44" s="197"/>
      <c r="V44" s="197"/>
      <c r="W44" s="197"/>
      <c r="X44" s="197"/>
      <c r="Y44" s="197"/>
      <c r="Z44" s="197"/>
      <c r="AA44" s="197"/>
      <c r="AB44" s="197"/>
      <c r="AC44" s="725"/>
      <c r="AD44" s="197"/>
      <c r="AE44" s="852"/>
      <c r="AF44" s="852"/>
      <c r="AG44" s="873"/>
      <c r="AH44" s="873"/>
      <c r="AI44" s="873"/>
      <c r="AJ44" s="873"/>
      <c r="AK44" s="873"/>
      <c r="AL44" s="873"/>
      <c r="AM44" s="868"/>
      <c r="AN44" s="868"/>
      <c r="AO44" s="229"/>
      <c r="AP44" s="197"/>
      <c r="AQ44" s="197"/>
      <c r="AR44" s="197"/>
      <c r="AS44" s="197"/>
    </row>
    <row r="45" spans="1:45" s="4" customFormat="1" ht="15.75" customHeight="1" thickTop="1" thickBot="1">
      <c r="A45" s="197"/>
      <c r="B45" s="355" t="s">
        <v>6591</v>
      </c>
      <c r="C45" s="633"/>
      <c r="D45" s="1487"/>
      <c r="E45" s="1487"/>
      <c r="F45" s="1487"/>
      <c r="G45" s="1487"/>
      <c r="H45" s="1487"/>
      <c r="I45" s="1487"/>
      <c r="J45" s="1499"/>
      <c r="K45" s="1499"/>
      <c r="L45" s="197"/>
      <c r="M45" s="228"/>
      <c r="N45" s="197"/>
      <c r="O45" s="197"/>
      <c r="P45" s="197"/>
      <c r="Q45" s="725"/>
      <c r="R45" s="251"/>
      <c r="S45" s="725"/>
      <c r="T45" s="197"/>
      <c r="U45" s="197"/>
      <c r="V45" s="197"/>
      <c r="W45" s="197"/>
      <c r="X45" s="197"/>
      <c r="Y45" s="197"/>
      <c r="Z45" s="197"/>
      <c r="AA45" s="197"/>
      <c r="AB45" s="197"/>
      <c r="AC45" s="725"/>
      <c r="AD45" s="197"/>
      <c r="AE45" s="355" t="s">
        <v>6591</v>
      </c>
      <c r="AF45" s="356"/>
      <c r="AG45" s="867"/>
      <c r="AH45" s="867"/>
      <c r="AI45" s="867"/>
      <c r="AJ45" s="867"/>
      <c r="AK45" s="867"/>
      <c r="AL45" s="867"/>
      <c r="AM45" s="868"/>
      <c r="AN45" s="868"/>
      <c r="AO45" s="229"/>
      <c r="AP45" s="197"/>
      <c r="AQ45" s="197"/>
      <c r="AR45" s="197"/>
      <c r="AS45" s="197"/>
    </row>
    <row r="46" spans="1:45" s="8" customFormat="1" ht="15.75" customHeight="1" thickTop="1" thickBot="1">
      <c r="A46" s="351"/>
      <c r="B46" s="382" t="s">
        <v>6591</v>
      </c>
      <c r="C46" s="605">
        <v>0</v>
      </c>
      <c r="D46" s="605">
        <v>0</v>
      </c>
      <c r="E46" s="605">
        <v>0</v>
      </c>
      <c r="F46" s="605">
        <v>0</v>
      </c>
      <c r="G46" s="1470">
        <f>IFERROR(SUM(C46:F46),0)</f>
        <v>0</v>
      </c>
      <c r="H46" s="605">
        <v>-4.6379999999999999</v>
      </c>
      <c r="I46" s="605">
        <v>0</v>
      </c>
      <c r="J46" s="1504"/>
      <c r="K46" s="1505"/>
      <c r="L46" s="197"/>
      <c r="M46" s="336" t="s">
        <v>6592</v>
      </c>
      <c r="N46" s="351"/>
      <c r="O46" s="878"/>
      <c r="P46" s="351"/>
      <c r="Q46" s="722"/>
      <c r="R46" s="251">
        <f t="shared" ref="R46" si="35">IF( SUM( T46:AA46 ) = 0, 0, $T$10 )</f>
        <v>0</v>
      </c>
      <c r="S46" s="722"/>
      <c r="T46" s="252">
        <f t="shared" ref="T46" si="36" xml:space="preserve"> IF( ISNUMBER(C46), 0, 1 )</f>
        <v>0</v>
      </c>
      <c r="U46" s="252">
        <f t="shared" ref="U46" si="37" xml:space="preserve"> IF( ISNUMBER(D46), 0, 1 )</f>
        <v>0</v>
      </c>
      <c r="V46" s="252">
        <f t="shared" ref="V46" si="38" xml:space="preserve"> IF( ISNUMBER(E46), 0, 1 )</f>
        <v>0</v>
      </c>
      <c r="W46" s="252">
        <f t="shared" ref="W46" si="39" xml:space="preserve"> IF( ISNUMBER(F46), 0, 1 )</f>
        <v>0</v>
      </c>
      <c r="X46" s="197"/>
      <c r="Y46" s="252">
        <f t="shared" ref="Y46" si="40" xml:space="preserve"> IF( ISNUMBER(H46), 0, 1 )</f>
        <v>0</v>
      </c>
      <c r="Z46" s="252">
        <f t="shared" ref="Z46" si="41" xml:space="preserve"> IF( ISNUMBER(I46), 0, 1 )</f>
        <v>0</v>
      </c>
      <c r="AA46" s="197"/>
      <c r="AB46" s="197"/>
      <c r="AC46" s="722"/>
      <c r="AD46" s="351"/>
      <c r="AE46" s="382" t="s">
        <v>6591</v>
      </c>
      <c r="AF46" s="874" t="s">
        <v>6593</v>
      </c>
      <c r="AG46" s="874" t="s">
        <v>6594</v>
      </c>
      <c r="AH46" s="874" t="s">
        <v>6595</v>
      </c>
      <c r="AI46" s="874" t="s">
        <v>6596</v>
      </c>
      <c r="AJ46" s="875" t="s">
        <v>6597</v>
      </c>
      <c r="AK46" s="874" t="s">
        <v>6598</v>
      </c>
      <c r="AL46" s="874" t="s">
        <v>6599</v>
      </c>
      <c r="AM46" s="876"/>
      <c r="AN46" s="877"/>
      <c r="AO46" s="857"/>
      <c r="AP46" s="351"/>
      <c r="AQ46" s="351"/>
      <c r="AR46" s="351"/>
      <c r="AS46" s="351"/>
    </row>
    <row r="47" spans="1:45" s="4" customFormat="1" ht="15.75" customHeight="1" thickTop="1" thickBot="1">
      <c r="A47" s="197"/>
      <c r="B47" s="879"/>
      <c r="C47" s="1958"/>
      <c r="D47" s="1959"/>
      <c r="E47" s="1959"/>
      <c r="F47" s="1959"/>
      <c r="G47" s="1492"/>
      <c r="H47" s="1492"/>
      <c r="I47" s="1492"/>
      <c r="J47" s="1499"/>
      <c r="K47" s="1499"/>
      <c r="L47" s="197"/>
      <c r="M47" s="228"/>
      <c r="N47" s="197"/>
      <c r="O47" s="197"/>
      <c r="P47" s="197"/>
      <c r="Q47" s="725"/>
      <c r="R47" s="251"/>
      <c r="S47" s="725"/>
      <c r="T47" s="197"/>
      <c r="U47" s="197"/>
      <c r="V47" s="197"/>
      <c r="W47" s="197"/>
      <c r="X47" s="197"/>
      <c r="Y47" s="197"/>
      <c r="Z47" s="197"/>
      <c r="AA47" s="197"/>
      <c r="AB47" s="197"/>
      <c r="AC47" s="725"/>
      <c r="AD47" s="197"/>
      <c r="AE47" s="879"/>
      <c r="AF47" s="879"/>
      <c r="AG47" s="880"/>
      <c r="AH47" s="880"/>
      <c r="AI47" s="880"/>
      <c r="AJ47" s="880"/>
      <c r="AK47" s="880"/>
      <c r="AL47" s="880"/>
      <c r="AM47" s="868"/>
      <c r="AN47" s="868"/>
      <c r="AO47" s="229"/>
      <c r="AP47" s="197"/>
      <c r="AQ47" s="197"/>
      <c r="AR47" s="197"/>
      <c r="AS47" s="197"/>
    </row>
    <row r="48" spans="1:45" s="8" customFormat="1" ht="15.75" customHeight="1" thickTop="1" thickBot="1">
      <c r="A48" s="351"/>
      <c r="B48" s="382" t="s">
        <v>6600</v>
      </c>
      <c r="C48" s="1903">
        <f t="shared" ref="C48:I48" si="42">IFERROR(SUM(C19,C26,C33,C43,C46), 0)</f>
        <v>146.91199999999998</v>
      </c>
      <c r="D48" s="1470">
        <f t="shared" si="42"/>
        <v>23.405000000000001</v>
      </c>
      <c r="E48" s="1470">
        <f t="shared" si="42"/>
        <v>287.14999999999998</v>
      </c>
      <c r="F48" s="1470">
        <f t="shared" si="42"/>
        <v>1453.4450000000002</v>
      </c>
      <c r="G48" s="1470">
        <f>IFERROR(SUM(C48:F48),0)</f>
        <v>1910.9120000000003</v>
      </c>
      <c r="H48" s="1470">
        <f t="shared" si="42"/>
        <v>2006.1590000000001</v>
      </c>
      <c r="I48" s="1470">
        <f t="shared" si="42"/>
        <v>300.72399999999999</v>
      </c>
      <c r="J48" s="1506"/>
      <c r="K48" s="1507"/>
      <c r="L48" s="351"/>
      <c r="M48" s="336" t="s">
        <v>6601</v>
      </c>
      <c r="N48" s="351"/>
      <c r="O48" s="878"/>
      <c r="P48" s="351"/>
      <c r="Q48" s="722"/>
      <c r="R48" s="251"/>
      <c r="S48" s="722"/>
      <c r="T48" s="197"/>
      <c r="U48" s="197"/>
      <c r="V48" s="197"/>
      <c r="W48" s="197"/>
      <c r="X48" s="197"/>
      <c r="Y48" s="197"/>
      <c r="Z48" s="197"/>
      <c r="AA48" s="197"/>
      <c r="AB48" s="197"/>
      <c r="AC48" s="722"/>
      <c r="AD48" s="351"/>
      <c r="AE48" s="382" t="s">
        <v>6600</v>
      </c>
      <c r="AF48" s="881" t="s">
        <v>6602</v>
      </c>
      <c r="AG48" s="334" t="s">
        <v>6603</v>
      </c>
      <c r="AH48" s="334" t="s">
        <v>6604</v>
      </c>
      <c r="AI48" s="334" t="s">
        <v>6605</v>
      </c>
      <c r="AJ48" s="334" t="s">
        <v>6606</v>
      </c>
      <c r="AK48" s="334" t="s">
        <v>6607</v>
      </c>
      <c r="AL48" s="334" t="s">
        <v>6608</v>
      </c>
      <c r="AM48" s="882"/>
      <c r="AN48" s="883"/>
      <c r="AO48" s="857"/>
      <c r="AP48" s="351"/>
      <c r="AQ48" s="351"/>
      <c r="AR48" s="351"/>
      <c r="AS48" s="351"/>
    </row>
    <row r="49" spans="1:45" s="4" customFormat="1" ht="16.5" thickTop="1" thickBot="1">
      <c r="A49" s="197"/>
      <c r="B49" s="884"/>
      <c r="C49" s="884"/>
      <c r="D49" s="197"/>
      <c r="E49" s="197"/>
      <c r="F49" s="197"/>
      <c r="G49" s="197"/>
      <c r="H49" s="197"/>
      <c r="I49" s="197"/>
      <c r="J49" s="197"/>
      <c r="K49" s="197"/>
      <c r="L49" s="197"/>
      <c r="M49" s="641"/>
      <c r="N49" s="197"/>
      <c r="O49" s="197"/>
      <c r="P49" s="197"/>
      <c r="Q49" s="197"/>
      <c r="R49" s="251"/>
      <c r="S49" s="197"/>
      <c r="T49" s="197"/>
      <c r="U49" s="197"/>
      <c r="V49" s="197"/>
      <c r="W49" s="197"/>
      <c r="X49" s="197"/>
      <c r="Y49" s="197"/>
      <c r="Z49" s="197"/>
      <c r="AA49" s="197"/>
      <c r="AB49" s="197"/>
      <c r="AC49" s="197"/>
      <c r="AD49" s="197"/>
      <c r="AE49" s="884"/>
      <c r="AF49" s="884"/>
      <c r="AG49" s="197"/>
      <c r="AH49" s="197"/>
      <c r="AI49" s="197"/>
      <c r="AJ49" s="197"/>
      <c r="AK49" s="197"/>
      <c r="AL49" s="197"/>
      <c r="AM49" s="197"/>
      <c r="AN49" s="197"/>
      <c r="AO49" s="829"/>
      <c r="AP49" s="197"/>
      <c r="AQ49" s="197"/>
      <c r="AR49" s="197"/>
      <c r="AS49" s="197"/>
    </row>
    <row r="50" spans="1:45" s="4" customFormat="1" ht="16.399999999999999" customHeight="1" thickTop="1">
      <c r="A50" s="197"/>
      <c r="B50" s="2686" t="s">
        <v>1891</v>
      </c>
      <c r="C50" s="2667" t="s">
        <v>6609</v>
      </c>
      <c r="D50" s="2667"/>
      <c r="E50" s="2667"/>
      <c r="F50" s="2667"/>
      <c r="G50" s="2667"/>
      <c r="H50" s="2667"/>
      <c r="I50" s="2667"/>
      <c r="J50" s="2667"/>
      <c r="K50" s="2669"/>
      <c r="L50" s="555"/>
      <c r="M50" s="197"/>
      <c r="N50" s="197"/>
      <c r="O50" s="197"/>
      <c r="P50" s="555"/>
      <c r="Q50" s="804"/>
      <c r="R50" s="251"/>
      <c r="S50" s="804"/>
      <c r="T50" s="555"/>
      <c r="U50" s="555"/>
      <c r="V50" s="555"/>
      <c r="W50" s="555"/>
      <c r="X50" s="555"/>
      <c r="Y50" s="555"/>
      <c r="Z50" s="555"/>
      <c r="AA50" s="555"/>
      <c r="AB50" s="555"/>
      <c r="AC50" s="804"/>
      <c r="AD50" s="555"/>
      <c r="AE50" s="2686" t="s">
        <v>1891</v>
      </c>
      <c r="AF50" s="2667" t="s">
        <v>6609</v>
      </c>
      <c r="AG50" s="2667"/>
      <c r="AH50" s="2667"/>
      <c r="AI50" s="2667"/>
      <c r="AJ50" s="2667"/>
      <c r="AK50" s="2667"/>
      <c r="AL50" s="2667"/>
      <c r="AM50" s="2667"/>
      <c r="AN50" s="2669"/>
      <c r="AO50" s="282"/>
      <c r="AP50" s="197"/>
      <c r="AQ50" s="197"/>
      <c r="AR50" s="197"/>
      <c r="AS50" s="197"/>
    </row>
    <row r="51" spans="1:45" s="4" customFormat="1">
      <c r="A51" s="197"/>
      <c r="B51" s="2769"/>
      <c r="C51" s="2770" t="s">
        <v>6331</v>
      </c>
      <c r="D51" s="2770"/>
      <c r="E51" s="2770"/>
      <c r="F51" s="2770"/>
      <c r="G51" s="2770" t="s">
        <v>6332</v>
      </c>
      <c r="H51" s="2770"/>
      <c r="I51" s="2770" t="s">
        <v>6333</v>
      </c>
      <c r="J51" s="2770" t="s">
        <v>6334</v>
      </c>
      <c r="K51" s="2811"/>
      <c r="L51" s="197"/>
      <c r="M51" s="197"/>
      <c r="N51" s="197"/>
      <c r="O51" s="197"/>
      <c r="P51" s="197"/>
      <c r="Q51" s="725"/>
      <c r="R51" s="251"/>
      <c r="S51" s="725"/>
      <c r="T51" s="197"/>
      <c r="U51" s="197"/>
      <c r="V51" s="197"/>
      <c r="W51" s="197"/>
      <c r="X51" s="197"/>
      <c r="Y51" s="197"/>
      <c r="Z51" s="197"/>
      <c r="AA51" s="197"/>
      <c r="AB51" s="197"/>
      <c r="AC51" s="725"/>
      <c r="AD51" s="197"/>
      <c r="AE51" s="2769"/>
      <c r="AF51" s="2770" t="s">
        <v>6331</v>
      </c>
      <c r="AG51" s="2770"/>
      <c r="AH51" s="2770"/>
      <c r="AI51" s="2770"/>
      <c r="AJ51" s="2770" t="s">
        <v>6332</v>
      </c>
      <c r="AK51" s="2770"/>
      <c r="AL51" s="2770" t="s">
        <v>6333</v>
      </c>
      <c r="AM51" s="2770" t="s">
        <v>6334</v>
      </c>
      <c r="AN51" s="2811"/>
      <c r="AO51" s="282"/>
      <c r="AP51" s="197"/>
      <c r="AQ51" s="197"/>
      <c r="AR51" s="197"/>
      <c r="AS51" s="197"/>
    </row>
    <row r="52" spans="1:45" s="4" customFormat="1" ht="31">
      <c r="A52" s="197"/>
      <c r="B52" s="2769"/>
      <c r="C52" s="389" t="s">
        <v>6335</v>
      </c>
      <c r="D52" s="389" t="s">
        <v>6336</v>
      </c>
      <c r="E52" s="389" t="s">
        <v>6337</v>
      </c>
      <c r="F52" s="389" t="s">
        <v>6338</v>
      </c>
      <c r="G52" s="389" t="s">
        <v>6339</v>
      </c>
      <c r="H52" s="389" t="s">
        <v>6340</v>
      </c>
      <c r="I52" s="2770"/>
      <c r="J52" s="389" t="s">
        <v>6341</v>
      </c>
      <c r="K52" s="390" t="s">
        <v>6342</v>
      </c>
      <c r="L52" s="197"/>
      <c r="M52" s="197"/>
      <c r="N52" s="197"/>
      <c r="O52" s="197"/>
      <c r="P52" s="197"/>
      <c r="Q52" s="725"/>
      <c r="R52" s="251"/>
      <c r="S52" s="725"/>
      <c r="T52" s="197"/>
      <c r="U52" s="197"/>
      <c r="V52" s="197"/>
      <c r="W52" s="197"/>
      <c r="X52" s="197"/>
      <c r="Y52" s="197"/>
      <c r="Z52" s="197"/>
      <c r="AA52" s="197"/>
      <c r="AB52" s="197"/>
      <c r="AC52" s="725"/>
      <c r="AD52" s="197"/>
      <c r="AE52" s="2769"/>
      <c r="AF52" s="389" t="s">
        <v>6335</v>
      </c>
      <c r="AG52" s="389" t="s">
        <v>6336</v>
      </c>
      <c r="AH52" s="389" t="s">
        <v>6337</v>
      </c>
      <c r="AI52" s="389" t="s">
        <v>6338</v>
      </c>
      <c r="AJ52" s="389" t="s">
        <v>6339</v>
      </c>
      <c r="AK52" s="389" t="s">
        <v>6340</v>
      </c>
      <c r="AL52" s="2770"/>
      <c r="AM52" s="389" t="s">
        <v>6341</v>
      </c>
      <c r="AN52" s="390" t="s">
        <v>6342</v>
      </c>
      <c r="AO52" s="282"/>
      <c r="AP52" s="197"/>
      <c r="AQ52" s="197"/>
      <c r="AR52" s="197"/>
      <c r="AS52" s="197"/>
    </row>
    <row r="53" spans="1:45" s="4" customFormat="1" ht="16.399999999999999" customHeight="1">
      <c r="A53" s="197"/>
      <c r="B53" s="391" t="s">
        <v>1892</v>
      </c>
      <c r="C53" s="389" t="s">
        <v>137</v>
      </c>
      <c r="D53" s="389" t="s">
        <v>137</v>
      </c>
      <c r="E53" s="389" t="s">
        <v>137</v>
      </c>
      <c r="F53" s="389" t="s">
        <v>137</v>
      </c>
      <c r="G53" s="389" t="s">
        <v>137</v>
      </c>
      <c r="H53" s="389" t="s">
        <v>137</v>
      </c>
      <c r="I53" s="389" t="s">
        <v>137</v>
      </c>
      <c r="J53" s="389" t="s">
        <v>1344</v>
      </c>
      <c r="K53" s="390" t="s">
        <v>1344</v>
      </c>
      <c r="L53" s="197"/>
      <c r="M53" s="197"/>
      <c r="N53" s="197"/>
      <c r="O53" s="197"/>
      <c r="P53" s="197"/>
      <c r="Q53" s="725"/>
      <c r="R53" s="251"/>
      <c r="S53" s="725"/>
      <c r="T53" s="197"/>
      <c r="U53" s="197"/>
      <c r="V53" s="197"/>
      <c r="W53" s="197"/>
      <c r="X53" s="197"/>
      <c r="Y53" s="197"/>
      <c r="Z53" s="197"/>
      <c r="AA53" s="197"/>
      <c r="AB53" s="197"/>
      <c r="AC53" s="725"/>
      <c r="AD53" s="197"/>
      <c r="AE53" s="391" t="s">
        <v>1892</v>
      </c>
      <c r="AF53" s="389" t="s">
        <v>137</v>
      </c>
      <c r="AG53" s="389" t="s">
        <v>137</v>
      </c>
      <c r="AH53" s="389" t="s">
        <v>137</v>
      </c>
      <c r="AI53" s="389" t="s">
        <v>137</v>
      </c>
      <c r="AJ53" s="389" t="s">
        <v>137</v>
      </c>
      <c r="AK53" s="389" t="s">
        <v>137</v>
      </c>
      <c r="AL53" s="389" t="s">
        <v>137</v>
      </c>
      <c r="AM53" s="389" t="s">
        <v>1344</v>
      </c>
      <c r="AN53" s="390" t="s">
        <v>1344</v>
      </c>
      <c r="AO53" s="282"/>
      <c r="AP53" s="197"/>
      <c r="AQ53" s="197"/>
      <c r="AR53" s="197"/>
      <c r="AS53" s="197"/>
    </row>
    <row r="54" spans="1:45" s="4" customFormat="1" ht="16" thickBot="1">
      <c r="A54" s="197"/>
      <c r="B54" s="392" t="s">
        <v>136</v>
      </c>
      <c r="C54" s="238">
        <v>3</v>
      </c>
      <c r="D54" s="238">
        <v>3</v>
      </c>
      <c r="E54" s="238">
        <v>3</v>
      </c>
      <c r="F54" s="238">
        <v>3</v>
      </c>
      <c r="G54" s="238">
        <v>3</v>
      </c>
      <c r="H54" s="238">
        <v>3</v>
      </c>
      <c r="I54" s="238">
        <v>3</v>
      </c>
      <c r="J54" s="238">
        <v>3</v>
      </c>
      <c r="K54" s="576">
        <v>3</v>
      </c>
      <c r="L54" s="197"/>
      <c r="M54" s="197"/>
      <c r="N54" s="197"/>
      <c r="O54" s="197"/>
      <c r="P54" s="197"/>
      <c r="Q54" s="725"/>
      <c r="R54" s="251"/>
      <c r="S54" s="725"/>
      <c r="T54" s="2662" t="s">
        <v>1890</v>
      </c>
      <c r="U54" s="2662"/>
      <c r="V54" s="2795"/>
      <c r="W54" s="2795"/>
      <c r="X54" s="2795"/>
      <c r="Y54" s="2795"/>
      <c r="Z54" s="2795"/>
      <c r="AA54" s="2795"/>
      <c r="AB54" s="2579"/>
      <c r="AC54" s="725"/>
      <c r="AD54" s="197"/>
      <c r="AE54" s="392" t="s">
        <v>136</v>
      </c>
      <c r="AF54" s="238">
        <v>3</v>
      </c>
      <c r="AG54" s="238">
        <v>3</v>
      </c>
      <c r="AH54" s="238">
        <v>3</v>
      </c>
      <c r="AI54" s="238">
        <v>3</v>
      </c>
      <c r="AJ54" s="238">
        <v>3</v>
      </c>
      <c r="AK54" s="238">
        <v>3</v>
      </c>
      <c r="AL54" s="238">
        <v>3</v>
      </c>
      <c r="AM54" s="238">
        <v>3</v>
      </c>
      <c r="AN54" s="576">
        <v>3</v>
      </c>
      <c r="AO54" s="197"/>
      <c r="AP54" s="197"/>
      <c r="AQ54" s="197"/>
      <c r="AR54" s="197"/>
      <c r="AS54" s="197"/>
    </row>
    <row r="55" spans="1:45" s="4" customFormat="1" ht="16.5" thickTop="1" thickBot="1">
      <c r="A55" s="197"/>
      <c r="B55" s="852"/>
      <c r="C55" s="852"/>
      <c r="D55" s="853"/>
      <c r="E55" s="853"/>
      <c r="F55" s="853"/>
      <c r="G55" s="853"/>
      <c r="H55" s="853"/>
      <c r="I55" s="853"/>
      <c r="J55" s="853"/>
      <c r="K55" s="853"/>
      <c r="L55" s="197"/>
      <c r="M55" s="197"/>
      <c r="N55" s="197"/>
      <c r="O55" s="197"/>
      <c r="P55" s="197"/>
      <c r="Q55" s="725"/>
      <c r="R55" s="251"/>
      <c r="S55" s="725"/>
      <c r="T55" s="236"/>
      <c r="U55" s="222"/>
      <c r="V55" s="197"/>
      <c r="W55" s="197"/>
      <c r="X55" s="197"/>
      <c r="Y55" s="197"/>
      <c r="Z55" s="197"/>
      <c r="AA55" s="197"/>
      <c r="AB55" s="197"/>
      <c r="AC55" s="725"/>
      <c r="AD55" s="197"/>
      <c r="AE55" s="852"/>
      <c r="AF55" s="852"/>
      <c r="AG55" s="853"/>
      <c r="AH55" s="853"/>
      <c r="AI55" s="853"/>
      <c r="AJ55" s="853"/>
      <c r="AK55" s="853"/>
      <c r="AL55" s="853"/>
      <c r="AM55" s="853"/>
      <c r="AN55" s="853"/>
      <c r="AO55" s="197"/>
      <c r="AP55" s="197"/>
      <c r="AQ55" s="197"/>
      <c r="AR55" s="197"/>
      <c r="AS55" s="197"/>
    </row>
    <row r="56" spans="1:45" s="4" customFormat="1" ht="15.75" customHeight="1" thickTop="1" thickBot="1">
      <c r="A56" s="197"/>
      <c r="B56" s="355" t="s">
        <v>6343</v>
      </c>
      <c r="C56" s="356"/>
      <c r="D56" s="444"/>
      <c r="E56" s="146"/>
      <c r="F56" s="853"/>
      <c r="G56" s="853"/>
      <c r="H56" s="853"/>
      <c r="I56" s="853"/>
      <c r="J56" s="853"/>
      <c r="K56" s="853"/>
      <c r="L56" s="197"/>
      <c r="M56" s="197"/>
      <c r="N56" s="197"/>
      <c r="O56" s="197"/>
      <c r="P56" s="197"/>
      <c r="Q56" s="725"/>
      <c r="R56" s="251"/>
      <c r="S56" s="725"/>
      <c r="T56" s="197"/>
      <c r="U56" s="197"/>
      <c r="V56" s="197"/>
      <c r="W56" s="197"/>
      <c r="X56" s="197"/>
      <c r="Y56" s="197"/>
      <c r="Z56" s="197"/>
      <c r="AA56" s="197"/>
      <c r="AB56" s="197"/>
      <c r="AC56" s="725"/>
      <c r="AD56" s="197"/>
      <c r="AE56" s="355" t="s">
        <v>6343</v>
      </c>
      <c r="AF56" s="356"/>
      <c r="AG56" s="444"/>
      <c r="AH56" s="146"/>
      <c r="AI56" s="853"/>
      <c r="AJ56" s="853"/>
      <c r="AK56" s="853"/>
      <c r="AL56" s="853"/>
      <c r="AM56" s="853"/>
      <c r="AN56" s="853"/>
      <c r="AO56" s="197"/>
      <c r="AP56" s="197"/>
      <c r="AQ56" s="197"/>
      <c r="AR56" s="197"/>
      <c r="AS56" s="197"/>
    </row>
    <row r="57" spans="1:45" s="4" customFormat="1" ht="15.75" customHeight="1" thickTop="1">
      <c r="A57" s="197"/>
      <c r="B57" s="358" t="s">
        <v>6344</v>
      </c>
      <c r="C57" s="1956">
        <v>0</v>
      </c>
      <c r="D57" s="598">
        <v>0</v>
      </c>
      <c r="E57" s="598">
        <v>0</v>
      </c>
      <c r="F57" s="598">
        <v>0</v>
      </c>
      <c r="G57" s="1479">
        <f t="shared" ref="G57:G64" si="43">IFERROR(SUM(C57:F57),0)</f>
        <v>0</v>
      </c>
      <c r="H57" s="1956">
        <v>0</v>
      </c>
      <c r="I57" s="598">
        <v>0</v>
      </c>
      <c r="J57" s="1493">
        <v>0</v>
      </c>
      <c r="K57" s="1494">
        <v>0</v>
      </c>
      <c r="L57" s="197"/>
      <c r="M57" s="248" t="s">
        <v>6610</v>
      </c>
      <c r="N57" s="197"/>
      <c r="O57" s="250"/>
      <c r="P57" s="197"/>
      <c r="Q57" s="725"/>
      <c r="R57" s="251">
        <f t="shared" ref="R57:R63" si="44">IF( SUM( T57:AA57 ) = 0, 0, $T$10 )</f>
        <v>0</v>
      </c>
      <c r="S57" s="725"/>
      <c r="T57" s="252">
        <f t="shared" ref="T57:W63" si="45" xml:space="preserve"> IF( ISNUMBER(C57), 0, 1 )</f>
        <v>0</v>
      </c>
      <c r="U57" s="252">
        <f t="shared" si="45"/>
        <v>0</v>
      </c>
      <c r="V57" s="252">
        <f t="shared" si="45"/>
        <v>0</v>
      </c>
      <c r="W57" s="252">
        <f t="shared" si="45"/>
        <v>0</v>
      </c>
      <c r="X57" s="197"/>
      <c r="Y57" s="252">
        <f t="shared" ref="Y57:AB63" si="46" xml:space="preserve"> IF( ISNUMBER(H57), 0, 1 )</f>
        <v>0</v>
      </c>
      <c r="Z57" s="252">
        <f t="shared" si="46"/>
        <v>0</v>
      </c>
      <c r="AA57" s="252">
        <f t="shared" si="46"/>
        <v>0</v>
      </c>
      <c r="AB57" s="252">
        <f t="shared" si="46"/>
        <v>0</v>
      </c>
      <c r="AC57" s="725"/>
      <c r="AD57" s="197"/>
      <c r="AE57" s="358" t="s">
        <v>6344</v>
      </c>
      <c r="AF57" s="854" t="s">
        <v>139</v>
      </c>
      <c r="AG57" s="801" t="s">
        <v>167</v>
      </c>
      <c r="AH57" s="801" t="s">
        <v>195</v>
      </c>
      <c r="AI57" s="801" t="s">
        <v>223</v>
      </c>
      <c r="AJ57" s="855" t="s">
        <v>251</v>
      </c>
      <c r="AK57" s="854" t="s">
        <v>279</v>
      </c>
      <c r="AL57" s="801" t="s">
        <v>307</v>
      </c>
      <c r="AM57" s="801" t="s">
        <v>335</v>
      </c>
      <c r="AN57" s="856" t="s">
        <v>342</v>
      </c>
      <c r="AO57" s="857"/>
      <c r="AP57" s="197"/>
      <c r="AQ57" s="197"/>
      <c r="AR57" s="197"/>
      <c r="AS57" s="197"/>
    </row>
    <row r="58" spans="1:45" s="4" customFormat="1" ht="15.75" customHeight="1">
      <c r="A58" s="197"/>
      <c r="B58" s="365" t="s">
        <v>6355</v>
      </c>
      <c r="C58" s="1957">
        <v>0</v>
      </c>
      <c r="D58" s="601">
        <v>0</v>
      </c>
      <c r="E58" s="601">
        <v>0</v>
      </c>
      <c r="F58" s="601">
        <v>0</v>
      </c>
      <c r="G58" s="1481">
        <f t="shared" si="43"/>
        <v>0</v>
      </c>
      <c r="H58" s="1957">
        <v>0</v>
      </c>
      <c r="I58" s="601">
        <v>0</v>
      </c>
      <c r="J58" s="1495">
        <v>0</v>
      </c>
      <c r="K58" s="1496">
        <v>0</v>
      </c>
      <c r="L58" s="197"/>
      <c r="M58" s="257" t="s">
        <v>6611</v>
      </c>
      <c r="N58" s="197"/>
      <c r="O58" s="258"/>
      <c r="P58" s="197"/>
      <c r="Q58" s="725"/>
      <c r="R58" s="251">
        <f t="shared" si="44"/>
        <v>0</v>
      </c>
      <c r="S58" s="725"/>
      <c r="T58" s="252">
        <f t="shared" si="45"/>
        <v>0</v>
      </c>
      <c r="U58" s="252">
        <f t="shared" si="45"/>
        <v>0</v>
      </c>
      <c r="V58" s="252">
        <f t="shared" si="45"/>
        <v>0</v>
      </c>
      <c r="W58" s="252">
        <f t="shared" si="45"/>
        <v>0</v>
      </c>
      <c r="X58" s="197"/>
      <c r="Y58" s="252">
        <f t="shared" si="46"/>
        <v>0</v>
      </c>
      <c r="Z58" s="252">
        <f t="shared" si="46"/>
        <v>0</v>
      </c>
      <c r="AA58" s="252">
        <f t="shared" si="46"/>
        <v>0</v>
      </c>
      <c r="AB58" s="252">
        <f t="shared" si="46"/>
        <v>0</v>
      </c>
      <c r="AC58" s="725"/>
      <c r="AD58" s="197"/>
      <c r="AE58" s="365" t="s">
        <v>6355</v>
      </c>
      <c r="AF58" s="858" t="s">
        <v>140</v>
      </c>
      <c r="AG58" s="802" t="s">
        <v>168</v>
      </c>
      <c r="AH58" s="802" t="s">
        <v>196</v>
      </c>
      <c r="AI58" s="802" t="s">
        <v>224</v>
      </c>
      <c r="AJ58" s="859" t="s">
        <v>252</v>
      </c>
      <c r="AK58" s="858" t="s">
        <v>280</v>
      </c>
      <c r="AL58" s="802" t="s">
        <v>308</v>
      </c>
      <c r="AM58" s="802" t="s">
        <v>336</v>
      </c>
      <c r="AN58" s="860" t="s">
        <v>343</v>
      </c>
      <c r="AO58" s="857"/>
      <c r="AP58" s="197"/>
      <c r="AQ58" s="197"/>
      <c r="AR58" s="197"/>
      <c r="AS58" s="197"/>
    </row>
    <row r="59" spans="1:45" s="4" customFormat="1" ht="15.75" customHeight="1">
      <c r="A59" s="197"/>
      <c r="B59" s="365" t="s">
        <v>6366</v>
      </c>
      <c r="C59" s="1957">
        <v>0</v>
      </c>
      <c r="D59" s="601">
        <v>0</v>
      </c>
      <c r="E59" s="601">
        <v>0</v>
      </c>
      <c r="F59" s="601">
        <v>0</v>
      </c>
      <c r="G59" s="1481">
        <f t="shared" si="43"/>
        <v>0</v>
      </c>
      <c r="H59" s="1957">
        <v>0</v>
      </c>
      <c r="I59" s="601">
        <v>0</v>
      </c>
      <c r="J59" s="1495">
        <v>0</v>
      </c>
      <c r="K59" s="1496">
        <v>0</v>
      </c>
      <c r="L59" s="197"/>
      <c r="M59" s="257" t="s">
        <v>6612</v>
      </c>
      <c r="N59" s="197"/>
      <c r="O59" s="258"/>
      <c r="P59" s="197"/>
      <c r="Q59" s="725"/>
      <c r="R59" s="251">
        <f t="shared" si="44"/>
        <v>0</v>
      </c>
      <c r="S59" s="725"/>
      <c r="T59" s="252">
        <f t="shared" si="45"/>
        <v>0</v>
      </c>
      <c r="U59" s="252">
        <f t="shared" si="45"/>
        <v>0</v>
      </c>
      <c r="V59" s="252">
        <f t="shared" si="45"/>
        <v>0</v>
      </c>
      <c r="W59" s="252">
        <f t="shared" si="45"/>
        <v>0</v>
      </c>
      <c r="X59" s="197"/>
      <c r="Y59" s="252">
        <f t="shared" si="46"/>
        <v>0</v>
      </c>
      <c r="Z59" s="252">
        <f t="shared" si="46"/>
        <v>0</v>
      </c>
      <c r="AA59" s="252">
        <f t="shared" si="46"/>
        <v>0</v>
      </c>
      <c r="AB59" s="252">
        <f t="shared" si="46"/>
        <v>0</v>
      </c>
      <c r="AC59" s="725"/>
      <c r="AD59" s="197"/>
      <c r="AE59" s="365" t="s">
        <v>6366</v>
      </c>
      <c r="AF59" s="858" t="s">
        <v>141</v>
      </c>
      <c r="AG59" s="802" t="s">
        <v>169</v>
      </c>
      <c r="AH59" s="802" t="s">
        <v>197</v>
      </c>
      <c r="AI59" s="802" t="s">
        <v>225</v>
      </c>
      <c r="AJ59" s="859" t="s">
        <v>253</v>
      </c>
      <c r="AK59" s="858" t="s">
        <v>281</v>
      </c>
      <c r="AL59" s="802" t="s">
        <v>309</v>
      </c>
      <c r="AM59" s="802" t="s">
        <v>337</v>
      </c>
      <c r="AN59" s="860" t="s">
        <v>344</v>
      </c>
      <c r="AO59" s="857"/>
      <c r="AP59" s="197"/>
      <c r="AQ59" s="197"/>
      <c r="AR59" s="197"/>
      <c r="AS59" s="197"/>
    </row>
    <row r="60" spans="1:45" s="4" customFormat="1" ht="15.75" customHeight="1">
      <c r="A60" s="197"/>
      <c r="B60" s="365" t="s">
        <v>6377</v>
      </c>
      <c r="C60" s="1957">
        <v>0</v>
      </c>
      <c r="D60" s="601">
        <v>23.405000000000001</v>
      </c>
      <c r="E60" s="601">
        <v>188.17856699999999</v>
      </c>
      <c r="F60" s="601">
        <v>978.44500000000005</v>
      </c>
      <c r="G60" s="1481">
        <f t="shared" si="43"/>
        <v>1190.0285670000001</v>
      </c>
      <c r="H60" s="1957">
        <v>1902.297</v>
      </c>
      <c r="I60" s="601">
        <v>239.55799999999999</v>
      </c>
      <c r="J60" s="1495">
        <v>2.895867613927456E-2</v>
      </c>
      <c r="K60" s="1496">
        <v>8.1908423083749252E-2</v>
      </c>
      <c r="L60" s="197"/>
      <c r="M60" s="257" t="s">
        <v>6613</v>
      </c>
      <c r="N60" s="197"/>
      <c r="O60" s="258"/>
      <c r="P60" s="197"/>
      <c r="Q60" s="725"/>
      <c r="R60" s="251">
        <f t="shared" si="44"/>
        <v>0</v>
      </c>
      <c r="S60" s="725"/>
      <c r="T60" s="252">
        <f t="shared" si="45"/>
        <v>0</v>
      </c>
      <c r="U60" s="252">
        <f t="shared" si="45"/>
        <v>0</v>
      </c>
      <c r="V60" s="252">
        <f t="shared" si="45"/>
        <v>0</v>
      </c>
      <c r="W60" s="252">
        <f t="shared" si="45"/>
        <v>0</v>
      </c>
      <c r="X60" s="197"/>
      <c r="Y60" s="252">
        <f t="shared" si="46"/>
        <v>0</v>
      </c>
      <c r="Z60" s="252">
        <f t="shared" si="46"/>
        <v>0</v>
      </c>
      <c r="AA60" s="252">
        <f t="shared" si="46"/>
        <v>0</v>
      </c>
      <c r="AB60" s="252">
        <f t="shared" si="46"/>
        <v>0</v>
      </c>
      <c r="AC60" s="725"/>
      <c r="AD60" s="197"/>
      <c r="AE60" s="365" t="s">
        <v>6377</v>
      </c>
      <c r="AF60" s="858" t="s">
        <v>142</v>
      </c>
      <c r="AG60" s="802" t="s">
        <v>170</v>
      </c>
      <c r="AH60" s="802" t="s">
        <v>198</v>
      </c>
      <c r="AI60" s="802" t="s">
        <v>226</v>
      </c>
      <c r="AJ60" s="859" t="s">
        <v>254</v>
      </c>
      <c r="AK60" s="858" t="s">
        <v>282</v>
      </c>
      <c r="AL60" s="802" t="s">
        <v>310</v>
      </c>
      <c r="AM60" s="802" t="s">
        <v>338</v>
      </c>
      <c r="AN60" s="860" t="s">
        <v>345</v>
      </c>
      <c r="AO60" s="857"/>
      <c r="AP60" s="197"/>
      <c r="AQ60" s="197"/>
      <c r="AR60" s="197"/>
      <c r="AS60" s="197"/>
    </row>
    <row r="61" spans="1:45" s="4" customFormat="1" ht="15.75" customHeight="1">
      <c r="A61" s="197"/>
      <c r="B61" s="365" t="s">
        <v>6388</v>
      </c>
      <c r="C61" s="1957">
        <v>0</v>
      </c>
      <c r="D61" s="601">
        <v>0</v>
      </c>
      <c r="E61" s="601">
        <v>0</v>
      </c>
      <c r="F61" s="601">
        <v>0</v>
      </c>
      <c r="G61" s="1481">
        <f t="shared" si="43"/>
        <v>0</v>
      </c>
      <c r="H61" s="1957">
        <v>0</v>
      </c>
      <c r="I61" s="601">
        <v>0</v>
      </c>
      <c r="J61" s="1495">
        <v>0</v>
      </c>
      <c r="K61" s="1496">
        <v>0</v>
      </c>
      <c r="L61" s="197"/>
      <c r="M61" s="257" t="s">
        <v>6614</v>
      </c>
      <c r="N61" s="197"/>
      <c r="O61" s="258"/>
      <c r="P61" s="197"/>
      <c r="Q61" s="725"/>
      <c r="R61" s="251">
        <f t="shared" si="44"/>
        <v>0</v>
      </c>
      <c r="S61" s="725"/>
      <c r="T61" s="252">
        <f t="shared" si="45"/>
        <v>0</v>
      </c>
      <c r="U61" s="252">
        <f t="shared" si="45"/>
        <v>0</v>
      </c>
      <c r="V61" s="252">
        <f t="shared" si="45"/>
        <v>0</v>
      </c>
      <c r="W61" s="252">
        <f t="shared" si="45"/>
        <v>0</v>
      </c>
      <c r="X61" s="197"/>
      <c r="Y61" s="252">
        <f t="shared" si="46"/>
        <v>0</v>
      </c>
      <c r="Z61" s="252">
        <f t="shared" si="46"/>
        <v>0</v>
      </c>
      <c r="AA61" s="252">
        <f t="shared" si="46"/>
        <v>0</v>
      </c>
      <c r="AB61" s="252">
        <f t="shared" si="46"/>
        <v>0</v>
      </c>
      <c r="AC61" s="725"/>
      <c r="AD61" s="197"/>
      <c r="AE61" s="365" t="s">
        <v>6388</v>
      </c>
      <c r="AF61" s="858" t="s">
        <v>143</v>
      </c>
      <c r="AG61" s="802" t="s">
        <v>171</v>
      </c>
      <c r="AH61" s="802" t="s">
        <v>199</v>
      </c>
      <c r="AI61" s="802" t="s">
        <v>227</v>
      </c>
      <c r="AJ61" s="859" t="s">
        <v>255</v>
      </c>
      <c r="AK61" s="858" t="s">
        <v>283</v>
      </c>
      <c r="AL61" s="802" t="s">
        <v>311</v>
      </c>
      <c r="AM61" s="802" t="s">
        <v>339</v>
      </c>
      <c r="AN61" s="860" t="s">
        <v>346</v>
      </c>
      <c r="AO61" s="857"/>
      <c r="AP61" s="197"/>
      <c r="AQ61" s="197"/>
      <c r="AR61" s="197"/>
      <c r="AS61" s="197"/>
    </row>
    <row r="62" spans="1:45" s="4" customFormat="1" ht="15.75" customHeight="1">
      <c r="A62" s="197"/>
      <c r="B62" s="365" t="s">
        <v>6399</v>
      </c>
      <c r="C62" s="1957">
        <v>0</v>
      </c>
      <c r="D62" s="601">
        <v>0</v>
      </c>
      <c r="E62" s="601">
        <v>0</v>
      </c>
      <c r="F62" s="601">
        <v>0</v>
      </c>
      <c r="G62" s="1481">
        <f t="shared" si="43"/>
        <v>0</v>
      </c>
      <c r="H62" s="1957">
        <v>0</v>
      </c>
      <c r="I62" s="601">
        <v>0</v>
      </c>
      <c r="J62" s="1495">
        <v>0</v>
      </c>
      <c r="K62" s="1496">
        <v>0</v>
      </c>
      <c r="L62" s="197"/>
      <c r="M62" s="257" t="s">
        <v>6615</v>
      </c>
      <c r="N62" s="197"/>
      <c r="O62" s="258"/>
      <c r="P62" s="197"/>
      <c r="Q62" s="725"/>
      <c r="R62" s="251">
        <f t="shared" si="44"/>
        <v>0</v>
      </c>
      <c r="S62" s="725"/>
      <c r="T62" s="252">
        <f t="shared" si="45"/>
        <v>0</v>
      </c>
      <c r="U62" s="252">
        <f t="shared" si="45"/>
        <v>0</v>
      </c>
      <c r="V62" s="252">
        <f t="shared" si="45"/>
        <v>0</v>
      </c>
      <c r="W62" s="252">
        <f t="shared" si="45"/>
        <v>0</v>
      </c>
      <c r="X62" s="197"/>
      <c r="Y62" s="252">
        <f t="shared" si="46"/>
        <v>0</v>
      </c>
      <c r="Z62" s="252">
        <f t="shared" si="46"/>
        <v>0</v>
      </c>
      <c r="AA62" s="252">
        <f t="shared" si="46"/>
        <v>0</v>
      </c>
      <c r="AB62" s="252">
        <f t="shared" si="46"/>
        <v>0</v>
      </c>
      <c r="AC62" s="725"/>
      <c r="AD62" s="197"/>
      <c r="AE62" s="365" t="s">
        <v>6399</v>
      </c>
      <c r="AF62" s="858" t="s">
        <v>144</v>
      </c>
      <c r="AG62" s="802" t="s">
        <v>172</v>
      </c>
      <c r="AH62" s="802" t="s">
        <v>200</v>
      </c>
      <c r="AI62" s="802" t="s">
        <v>228</v>
      </c>
      <c r="AJ62" s="859" t="s">
        <v>256</v>
      </c>
      <c r="AK62" s="858" t="s">
        <v>284</v>
      </c>
      <c r="AL62" s="802" t="s">
        <v>312</v>
      </c>
      <c r="AM62" s="802" t="s">
        <v>340</v>
      </c>
      <c r="AN62" s="860" t="s">
        <v>347</v>
      </c>
      <c r="AO62" s="857"/>
      <c r="AP62" s="197"/>
      <c r="AQ62" s="197"/>
      <c r="AR62" s="197"/>
      <c r="AS62" s="197"/>
    </row>
    <row r="63" spans="1:45" s="4" customFormat="1" ht="15.75" customHeight="1">
      <c r="A63" s="197"/>
      <c r="B63" s="365" t="s">
        <v>6410</v>
      </c>
      <c r="C63" s="1957">
        <v>0</v>
      </c>
      <c r="D63" s="601">
        <v>0</v>
      </c>
      <c r="E63" s="601">
        <v>0</v>
      </c>
      <c r="F63" s="601">
        <v>0</v>
      </c>
      <c r="G63" s="1481">
        <f t="shared" si="43"/>
        <v>0</v>
      </c>
      <c r="H63" s="1957">
        <v>0</v>
      </c>
      <c r="I63" s="601">
        <v>0</v>
      </c>
      <c r="J63" s="1495">
        <v>0</v>
      </c>
      <c r="K63" s="1496">
        <v>0</v>
      </c>
      <c r="L63" s="197"/>
      <c r="M63" s="257" t="s">
        <v>6616</v>
      </c>
      <c r="N63" s="197"/>
      <c r="O63" s="258"/>
      <c r="P63" s="197"/>
      <c r="Q63" s="725"/>
      <c r="R63" s="251">
        <f t="shared" si="44"/>
        <v>0</v>
      </c>
      <c r="S63" s="725"/>
      <c r="T63" s="252">
        <f t="shared" si="45"/>
        <v>0</v>
      </c>
      <c r="U63" s="252">
        <f t="shared" si="45"/>
        <v>0</v>
      </c>
      <c r="V63" s="252">
        <f t="shared" si="45"/>
        <v>0</v>
      </c>
      <c r="W63" s="252">
        <f t="shared" si="45"/>
        <v>0</v>
      </c>
      <c r="X63" s="197"/>
      <c r="Y63" s="252">
        <f t="shared" si="46"/>
        <v>0</v>
      </c>
      <c r="Z63" s="252">
        <f t="shared" si="46"/>
        <v>0</v>
      </c>
      <c r="AA63" s="252">
        <f t="shared" si="46"/>
        <v>0</v>
      </c>
      <c r="AB63" s="252">
        <f t="shared" si="46"/>
        <v>0</v>
      </c>
      <c r="AC63" s="725"/>
      <c r="AD63" s="197"/>
      <c r="AE63" s="365" t="s">
        <v>6410</v>
      </c>
      <c r="AF63" s="858" t="s">
        <v>145</v>
      </c>
      <c r="AG63" s="802" t="s">
        <v>173</v>
      </c>
      <c r="AH63" s="802" t="s">
        <v>201</v>
      </c>
      <c r="AI63" s="802" t="s">
        <v>229</v>
      </c>
      <c r="AJ63" s="859" t="s">
        <v>257</v>
      </c>
      <c r="AK63" s="858" t="s">
        <v>285</v>
      </c>
      <c r="AL63" s="802" t="s">
        <v>313</v>
      </c>
      <c r="AM63" s="802" t="s">
        <v>341</v>
      </c>
      <c r="AN63" s="860" t="s">
        <v>348</v>
      </c>
      <c r="AO63" s="857"/>
      <c r="AP63" s="197"/>
      <c r="AQ63" s="197"/>
      <c r="AR63" s="197"/>
      <c r="AS63" s="197"/>
    </row>
    <row r="64" spans="1:45" s="4" customFormat="1" ht="15.75" customHeight="1" thickBot="1">
      <c r="A64" s="197"/>
      <c r="B64" s="368" t="s">
        <v>2112</v>
      </c>
      <c r="C64" s="1902">
        <f>IFERROR(SUM(C57:C63), 0)</f>
        <v>0</v>
      </c>
      <c r="D64" s="1473">
        <f>IFERROR(SUM(D57:D63), 0)</f>
        <v>23.405000000000001</v>
      </c>
      <c r="E64" s="1473">
        <f>IFERROR(SUM(E57:E63), 0)</f>
        <v>188.17856699999999</v>
      </c>
      <c r="F64" s="1473">
        <f>IFERROR(SUM(F57:F63), 0)</f>
        <v>978.44500000000005</v>
      </c>
      <c r="G64" s="1473">
        <f t="shared" si="43"/>
        <v>1190.0285670000001</v>
      </c>
      <c r="H64" s="1473">
        <f>IFERROR(SUM(H57:H63), 0)</f>
        <v>1902.297</v>
      </c>
      <c r="I64" s="1473">
        <f>IFERROR(SUM(I57:I63), 0)</f>
        <v>239.55799999999999</v>
      </c>
      <c r="J64" s="1497"/>
      <c r="K64" s="1498"/>
      <c r="L64" s="197"/>
      <c r="M64" s="538" t="s">
        <v>6617</v>
      </c>
      <c r="N64" s="197"/>
      <c r="O64" s="269"/>
      <c r="P64" s="197"/>
      <c r="Q64" s="725"/>
      <c r="R64" s="251"/>
      <c r="S64" s="725"/>
      <c r="T64" s="197"/>
      <c r="U64" s="197"/>
      <c r="V64" s="197"/>
      <c r="W64" s="197"/>
      <c r="X64" s="197"/>
      <c r="Y64" s="197"/>
      <c r="Z64" s="197"/>
      <c r="AA64" s="197"/>
      <c r="AB64" s="197"/>
      <c r="AC64" s="725"/>
      <c r="AD64" s="197"/>
      <c r="AE64" s="368" t="s">
        <v>2112</v>
      </c>
      <c r="AF64" s="861" t="s">
        <v>146</v>
      </c>
      <c r="AG64" s="583" t="s">
        <v>174</v>
      </c>
      <c r="AH64" s="583" t="s">
        <v>202</v>
      </c>
      <c r="AI64" s="583" t="s">
        <v>230</v>
      </c>
      <c r="AJ64" s="583" t="s">
        <v>258</v>
      </c>
      <c r="AK64" s="583" t="s">
        <v>286</v>
      </c>
      <c r="AL64" s="583" t="s">
        <v>314</v>
      </c>
      <c r="AM64" s="862"/>
      <c r="AN64" s="863"/>
      <c r="AO64" s="864"/>
      <c r="AP64" s="197"/>
      <c r="AQ64" s="197"/>
      <c r="AR64" s="197"/>
      <c r="AS64" s="197"/>
    </row>
    <row r="65" spans="1:45" s="4" customFormat="1" ht="15.75" customHeight="1" thickTop="1" thickBot="1">
      <c r="A65" s="197"/>
      <c r="B65" s="865"/>
      <c r="C65" s="1487"/>
      <c r="D65" s="1488"/>
      <c r="E65" s="1488"/>
      <c r="F65" s="1488"/>
      <c r="G65" s="1488"/>
      <c r="H65" s="1487"/>
      <c r="I65" s="1487"/>
      <c r="J65" s="1499"/>
      <c r="K65" s="1499"/>
      <c r="L65" s="197"/>
      <c r="M65" s="222" t="s">
        <v>4435</v>
      </c>
      <c r="N65" s="197"/>
      <c r="O65" s="197"/>
      <c r="P65" s="197"/>
      <c r="Q65" s="725"/>
      <c r="R65" s="251"/>
      <c r="S65" s="725"/>
      <c r="T65" s="197"/>
      <c r="U65" s="197"/>
      <c r="V65" s="197"/>
      <c r="W65" s="197"/>
      <c r="X65" s="197"/>
      <c r="Y65" s="197"/>
      <c r="Z65" s="197"/>
      <c r="AA65" s="197"/>
      <c r="AB65" s="197"/>
      <c r="AC65" s="725"/>
      <c r="AD65" s="197"/>
      <c r="AE65" s="865"/>
      <c r="AF65" s="865"/>
      <c r="AG65" s="866"/>
      <c r="AH65" s="866"/>
      <c r="AI65" s="866"/>
      <c r="AJ65" s="866"/>
      <c r="AK65" s="867"/>
      <c r="AL65" s="867"/>
      <c r="AM65" s="868"/>
      <c r="AN65" s="868"/>
      <c r="AO65" s="2560"/>
      <c r="AP65" s="197"/>
      <c r="AQ65" s="197"/>
      <c r="AR65" s="197"/>
      <c r="AS65" s="197"/>
    </row>
    <row r="66" spans="1:45" s="4" customFormat="1" ht="15.75" customHeight="1" thickTop="1" thickBot="1">
      <c r="A66" s="197"/>
      <c r="B66" s="355" t="s">
        <v>6429</v>
      </c>
      <c r="C66" s="633"/>
      <c r="D66" s="1487"/>
      <c r="E66" s="1487"/>
      <c r="F66" s="1487"/>
      <c r="G66" s="1487"/>
      <c r="H66" s="1487"/>
      <c r="I66" s="1487"/>
      <c r="J66" s="1499"/>
      <c r="K66" s="1499"/>
      <c r="L66" s="197"/>
      <c r="M66" s="222" t="s">
        <v>4435</v>
      </c>
      <c r="N66" s="197"/>
      <c r="O66" s="197"/>
      <c r="P66" s="197"/>
      <c r="Q66" s="725"/>
      <c r="R66" s="251"/>
      <c r="S66" s="725"/>
      <c r="T66" s="197"/>
      <c r="U66" s="197"/>
      <c r="V66" s="197"/>
      <c r="W66" s="197"/>
      <c r="X66" s="197"/>
      <c r="Y66" s="197"/>
      <c r="Z66" s="197"/>
      <c r="AA66" s="197"/>
      <c r="AB66" s="197"/>
      <c r="AC66" s="725"/>
      <c r="AD66" s="197"/>
      <c r="AE66" s="355" t="s">
        <v>6429</v>
      </c>
      <c r="AF66" s="356"/>
      <c r="AG66" s="867"/>
      <c r="AH66" s="867"/>
      <c r="AI66" s="867"/>
      <c r="AJ66" s="867"/>
      <c r="AK66" s="867"/>
      <c r="AL66" s="867"/>
      <c r="AM66" s="868"/>
      <c r="AN66" s="868"/>
      <c r="AO66" s="2560"/>
      <c r="AP66" s="197"/>
      <c r="AQ66" s="197"/>
      <c r="AR66" s="197"/>
      <c r="AS66" s="197"/>
    </row>
    <row r="67" spans="1:45" s="4" customFormat="1" ht="15.75" customHeight="1" thickTop="1">
      <c r="A67" s="197"/>
      <c r="B67" s="358" t="s">
        <v>6430</v>
      </c>
      <c r="C67" s="1956">
        <v>0</v>
      </c>
      <c r="D67" s="598">
        <v>0</v>
      </c>
      <c r="E67" s="598">
        <v>0</v>
      </c>
      <c r="F67" s="598">
        <v>0</v>
      </c>
      <c r="G67" s="1479">
        <f>IFERROR(SUM(C67:F67),0)</f>
        <v>0</v>
      </c>
      <c r="H67" s="598">
        <v>0</v>
      </c>
      <c r="I67" s="598">
        <v>0</v>
      </c>
      <c r="J67" s="1500"/>
      <c r="K67" s="1501"/>
      <c r="L67" s="197"/>
      <c r="M67" s="248" t="s">
        <v>6618</v>
      </c>
      <c r="N67" s="197"/>
      <c r="O67" s="250"/>
      <c r="P67" s="197"/>
      <c r="Q67" s="725"/>
      <c r="R67" s="251">
        <f>IF( SUM( T67:AA67 ) = 0, 0, $T$10 )</f>
        <v>0</v>
      </c>
      <c r="S67" s="725"/>
      <c r="T67" s="252">
        <f t="shared" ref="T67:W70" si="47" xml:space="preserve"> IF( ISNUMBER(C67), 0, 1 )</f>
        <v>0</v>
      </c>
      <c r="U67" s="252">
        <f t="shared" si="47"/>
        <v>0</v>
      </c>
      <c r="V67" s="252">
        <f t="shared" si="47"/>
        <v>0</v>
      </c>
      <c r="W67" s="252">
        <f t="shared" si="47"/>
        <v>0</v>
      </c>
      <c r="X67" s="197"/>
      <c r="Y67" s="252">
        <f t="shared" ref="Y67:Z70" si="48" xml:space="preserve"> IF( ISNUMBER(H67), 0, 1 )</f>
        <v>0</v>
      </c>
      <c r="Z67" s="252">
        <f t="shared" si="48"/>
        <v>0</v>
      </c>
      <c r="AA67" s="197"/>
      <c r="AB67" s="197"/>
      <c r="AC67" s="725"/>
      <c r="AD67" s="197"/>
      <c r="AE67" s="358" t="s">
        <v>6430</v>
      </c>
      <c r="AF67" s="854" t="s">
        <v>147</v>
      </c>
      <c r="AG67" s="801" t="s">
        <v>175</v>
      </c>
      <c r="AH67" s="801" t="s">
        <v>203</v>
      </c>
      <c r="AI67" s="801" t="s">
        <v>231</v>
      </c>
      <c r="AJ67" s="855" t="s">
        <v>259</v>
      </c>
      <c r="AK67" s="801" t="s">
        <v>287</v>
      </c>
      <c r="AL67" s="801" t="s">
        <v>315</v>
      </c>
      <c r="AM67" s="869"/>
      <c r="AN67" s="870"/>
      <c r="AO67" s="857"/>
      <c r="AP67" s="197"/>
      <c r="AQ67" s="197"/>
      <c r="AR67" s="197"/>
      <c r="AS67" s="197"/>
    </row>
    <row r="68" spans="1:45" s="4" customFormat="1" ht="15.75" customHeight="1">
      <c r="A68" s="197"/>
      <c r="B68" s="365" t="s">
        <v>6439</v>
      </c>
      <c r="C68" s="1957">
        <v>0</v>
      </c>
      <c r="D68" s="601">
        <v>0</v>
      </c>
      <c r="E68" s="601">
        <v>0</v>
      </c>
      <c r="F68" s="601">
        <v>0</v>
      </c>
      <c r="G68" s="1481">
        <f>IFERROR(SUM(C68:F68),0)</f>
        <v>0</v>
      </c>
      <c r="H68" s="601">
        <v>0</v>
      </c>
      <c r="I68" s="601">
        <v>0</v>
      </c>
      <c r="J68" s="1502"/>
      <c r="K68" s="1503"/>
      <c r="L68" s="197"/>
      <c r="M68" s="257" t="s">
        <v>6619</v>
      </c>
      <c r="N68" s="197"/>
      <c r="O68" s="258"/>
      <c r="P68" s="197"/>
      <c r="Q68" s="725"/>
      <c r="R68" s="251">
        <f>IF( SUM( T68:AA68 ) = 0, 0, $T$10 )</f>
        <v>0</v>
      </c>
      <c r="S68" s="725"/>
      <c r="T68" s="252">
        <f t="shared" si="47"/>
        <v>0</v>
      </c>
      <c r="U68" s="252">
        <f t="shared" si="47"/>
        <v>0</v>
      </c>
      <c r="V68" s="252">
        <f t="shared" si="47"/>
        <v>0</v>
      </c>
      <c r="W68" s="252">
        <f t="shared" si="47"/>
        <v>0</v>
      </c>
      <c r="X68" s="197"/>
      <c r="Y68" s="252">
        <f t="shared" si="48"/>
        <v>0</v>
      </c>
      <c r="Z68" s="252">
        <f t="shared" si="48"/>
        <v>0</v>
      </c>
      <c r="AA68" s="197"/>
      <c r="AB68" s="197"/>
      <c r="AC68" s="725"/>
      <c r="AD68" s="197"/>
      <c r="AE68" s="365" t="s">
        <v>6439</v>
      </c>
      <c r="AF68" s="858" t="s">
        <v>148</v>
      </c>
      <c r="AG68" s="802" t="s">
        <v>176</v>
      </c>
      <c r="AH68" s="802" t="s">
        <v>204</v>
      </c>
      <c r="AI68" s="802" t="s">
        <v>232</v>
      </c>
      <c r="AJ68" s="859" t="s">
        <v>260</v>
      </c>
      <c r="AK68" s="802" t="s">
        <v>288</v>
      </c>
      <c r="AL68" s="802" t="s">
        <v>316</v>
      </c>
      <c r="AM68" s="871"/>
      <c r="AN68" s="872"/>
      <c r="AO68" s="857"/>
      <c r="AP68" s="197"/>
      <c r="AQ68" s="197"/>
      <c r="AR68" s="197"/>
      <c r="AS68" s="197"/>
    </row>
    <row r="69" spans="1:45" s="4" customFormat="1" ht="15.75" customHeight="1">
      <c r="A69" s="197"/>
      <c r="B69" s="365" t="s">
        <v>6448</v>
      </c>
      <c r="C69" s="1957">
        <v>0</v>
      </c>
      <c r="D69" s="601">
        <v>0</v>
      </c>
      <c r="E69" s="601">
        <v>0</v>
      </c>
      <c r="F69" s="601">
        <v>0</v>
      </c>
      <c r="G69" s="1481">
        <f>IFERROR(SUM(C69:F69),0)</f>
        <v>0</v>
      </c>
      <c r="H69" s="601">
        <v>0</v>
      </c>
      <c r="I69" s="601">
        <v>0</v>
      </c>
      <c r="J69" s="1502"/>
      <c r="K69" s="1503"/>
      <c r="L69" s="197"/>
      <c r="M69" s="257" t="s">
        <v>6620</v>
      </c>
      <c r="N69" s="197"/>
      <c r="O69" s="258"/>
      <c r="P69" s="197"/>
      <c r="Q69" s="725"/>
      <c r="R69" s="251">
        <f>IF( SUM( T69:AA69 ) = 0, 0, $T$10 )</f>
        <v>0</v>
      </c>
      <c r="S69" s="725"/>
      <c r="T69" s="252">
        <f t="shared" si="47"/>
        <v>0</v>
      </c>
      <c r="U69" s="252">
        <f t="shared" si="47"/>
        <v>0</v>
      </c>
      <c r="V69" s="252">
        <f t="shared" si="47"/>
        <v>0</v>
      </c>
      <c r="W69" s="252">
        <f t="shared" si="47"/>
        <v>0</v>
      </c>
      <c r="X69" s="197"/>
      <c r="Y69" s="252">
        <f t="shared" si="48"/>
        <v>0</v>
      </c>
      <c r="Z69" s="252">
        <f t="shared" si="48"/>
        <v>0</v>
      </c>
      <c r="AA69" s="197"/>
      <c r="AB69" s="197"/>
      <c r="AC69" s="725"/>
      <c r="AD69" s="197"/>
      <c r="AE69" s="365" t="s">
        <v>6448</v>
      </c>
      <c r="AF69" s="858" t="s">
        <v>149</v>
      </c>
      <c r="AG69" s="802" t="s">
        <v>177</v>
      </c>
      <c r="AH69" s="802" t="s">
        <v>205</v>
      </c>
      <c r="AI69" s="802" t="s">
        <v>233</v>
      </c>
      <c r="AJ69" s="859" t="s">
        <v>261</v>
      </c>
      <c r="AK69" s="802" t="s">
        <v>289</v>
      </c>
      <c r="AL69" s="802" t="s">
        <v>317</v>
      </c>
      <c r="AM69" s="871"/>
      <c r="AN69" s="872"/>
      <c r="AO69" s="857"/>
      <c r="AP69" s="197"/>
      <c r="AQ69" s="197"/>
      <c r="AR69" s="197"/>
      <c r="AS69" s="197"/>
    </row>
    <row r="70" spans="1:45" s="4" customFormat="1" ht="15.75" customHeight="1">
      <c r="A70" s="197"/>
      <c r="B70" s="365" t="s">
        <v>6457</v>
      </c>
      <c r="C70" s="1957">
        <v>0</v>
      </c>
      <c r="D70" s="601">
        <v>0</v>
      </c>
      <c r="E70" s="601">
        <v>0</v>
      </c>
      <c r="F70" s="601">
        <v>0</v>
      </c>
      <c r="G70" s="1481">
        <f>IFERROR(SUM(C70:F70),0)</f>
        <v>0</v>
      </c>
      <c r="H70" s="601">
        <v>0</v>
      </c>
      <c r="I70" s="601">
        <v>0</v>
      </c>
      <c r="J70" s="1502"/>
      <c r="K70" s="1503"/>
      <c r="L70" s="197"/>
      <c r="M70" s="257" t="s">
        <v>6621</v>
      </c>
      <c r="N70" s="197"/>
      <c r="O70" s="258"/>
      <c r="P70" s="197"/>
      <c r="Q70" s="725"/>
      <c r="R70" s="251">
        <f>IF( SUM( T70:AA70 ) = 0, 0, $T$10 )</f>
        <v>0</v>
      </c>
      <c r="S70" s="725"/>
      <c r="T70" s="252">
        <f t="shared" si="47"/>
        <v>0</v>
      </c>
      <c r="U70" s="252">
        <f t="shared" si="47"/>
        <v>0</v>
      </c>
      <c r="V70" s="252">
        <f t="shared" si="47"/>
        <v>0</v>
      </c>
      <c r="W70" s="252">
        <f t="shared" si="47"/>
        <v>0</v>
      </c>
      <c r="X70" s="197"/>
      <c r="Y70" s="252">
        <f t="shared" si="48"/>
        <v>0</v>
      </c>
      <c r="Z70" s="252">
        <f t="shared" si="48"/>
        <v>0</v>
      </c>
      <c r="AA70" s="197"/>
      <c r="AB70" s="197"/>
      <c r="AC70" s="725"/>
      <c r="AD70" s="197"/>
      <c r="AE70" s="365" t="s">
        <v>6457</v>
      </c>
      <c r="AF70" s="858" t="s">
        <v>150</v>
      </c>
      <c r="AG70" s="802" t="s">
        <v>178</v>
      </c>
      <c r="AH70" s="802" t="s">
        <v>206</v>
      </c>
      <c r="AI70" s="802" t="s">
        <v>234</v>
      </c>
      <c r="AJ70" s="859" t="s">
        <v>262</v>
      </c>
      <c r="AK70" s="802" t="s">
        <v>290</v>
      </c>
      <c r="AL70" s="802" t="s">
        <v>318</v>
      </c>
      <c r="AM70" s="871"/>
      <c r="AN70" s="872"/>
      <c r="AO70" s="857"/>
      <c r="AP70" s="197"/>
      <c r="AQ70" s="197"/>
      <c r="AR70" s="197"/>
      <c r="AS70" s="197"/>
    </row>
    <row r="71" spans="1:45" s="4" customFormat="1" ht="15.75" customHeight="1" thickBot="1">
      <c r="A71" s="197"/>
      <c r="B71" s="368" t="s">
        <v>2112</v>
      </c>
      <c r="C71" s="1902">
        <f>IFERROR(SUM(C67:C70), 0)</f>
        <v>0</v>
      </c>
      <c r="D71" s="1473">
        <f>IFERROR(SUM(D67:D70), 0)</f>
        <v>0</v>
      </c>
      <c r="E71" s="1473">
        <f>IFERROR(SUM(E67:E70), 0)</f>
        <v>0</v>
      </c>
      <c r="F71" s="1473">
        <f>IFERROR(SUM(F67:F70), 0)</f>
        <v>0</v>
      </c>
      <c r="G71" s="1473">
        <f>IFERROR(SUM(C71:F71),0)</f>
        <v>0</v>
      </c>
      <c r="H71" s="1473">
        <f>IFERROR(SUM(H67:H70), 0)</f>
        <v>0</v>
      </c>
      <c r="I71" s="1473">
        <f>IFERROR(SUM(I67:I70), 0)</f>
        <v>0</v>
      </c>
      <c r="J71" s="1497"/>
      <c r="K71" s="1498"/>
      <c r="L71" s="197"/>
      <c r="M71" s="320" t="s">
        <v>6622</v>
      </c>
      <c r="N71" s="197"/>
      <c r="O71" s="269"/>
      <c r="P71" s="197"/>
      <c r="Q71" s="725"/>
      <c r="R71" s="251"/>
      <c r="S71" s="725"/>
      <c r="T71" s="197"/>
      <c r="U71" s="197"/>
      <c r="V71" s="197"/>
      <c r="W71" s="197"/>
      <c r="X71" s="197"/>
      <c r="Y71" s="197"/>
      <c r="Z71" s="197"/>
      <c r="AA71" s="197"/>
      <c r="AB71" s="197"/>
      <c r="AC71" s="725"/>
      <c r="AD71" s="197"/>
      <c r="AE71" s="368" t="s">
        <v>2112</v>
      </c>
      <c r="AF71" s="861" t="s">
        <v>151</v>
      </c>
      <c r="AG71" s="583" t="s">
        <v>179</v>
      </c>
      <c r="AH71" s="583" t="s">
        <v>207</v>
      </c>
      <c r="AI71" s="583" t="s">
        <v>235</v>
      </c>
      <c r="AJ71" s="583" t="s">
        <v>263</v>
      </c>
      <c r="AK71" s="583" t="s">
        <v>291</v>
      </c>
      <c r="AL71" s="583" t="s">
        <v>319</v>
      </c>
      <c r="AM71" s="862"/>
      <c r="AN71" s="863"/>
      <c r="AO71" s="857"/>
      <c r="AP71" s="197"/>
      <c r="AQ71" s="197"/>
      <c r="AR71" s="197"/>
      <c r="AS71" s="197"/>
    </row>
    <row r="72" spans="1:45" s="4" customFormat="1" ht="15.75" customHeight="1" thickTop="1" thickBot="1">
      <c r="A72" s="197"/>
      <c r="B72" s="852"/>
      <c r="C72" s="1489"/>
      <c r="D72" s="1487"/>
      <c r="E72" s="1487"/>
      <c r="F72" s="1487"/>
      <c r="G72" s="1487"/>
      <c r="H72" s="1487"/>
      <c r="I72" s="1487"/>
      <c r="J72" s="1499"/>
      <c r="K72" s="1499"/>
      <c r="L72" s="197"/>
      <c r="M72" s="197" t="s">
        <v>4435</v>
      </c>
      <c r="N72" s="197"/>
      <c r="O72" s="197"/>
      <c r="P72" s="197"/>
      <c r="Q72" s="725"/>
      <c r="R72" s="251"/>
      <c r="S72" s="725"/>
      <c r="T72" s="197"/>
      <c r="U72" s="197"/>
      <c r="V72" s="197"/>
      <c r="W72" s="197"/>
      <c r="X72" s="197"/>
      <c r="Y72" s="197"/>
      <c r="Z72" s="197"/>
      <c r="AA72" s="197"/>
      <c r="AB72" s="197"/>
      <c r="AC72" s="725"/>
      <c r="AD72" s="197"/>
      <c r="AE72" s="852"/>
      <c r="AF72" s="852"/>
      <c r="AG72" s="867"/>
      <c r="AH72" s="867"/>
      <c r="AI72" s="867"/>
      <c r="AJ72" s="867"/>
      <c r="AK72" s="867"/>
      <c r="AL72" s="867"/>
      <c r="AM72" s="868"/>
      <c r="AN72" s="868"/>
      <c r="AO72" s="197"/>
      <c r="AP72" s="197"/>
      <c r="AQ72" s="197"/>
      <c r="AR72" s="197"/>
      <c r="AS72" s="197"/>
    </row>
    <row r="73" spans="1:45" s="4" customFormat="1" ht="15.75" customHeight="1" thickTop="1" thickBot="1">
      <c r="A73" s="197"/>
      <c r="B73" s="355" t="s">
        <v>6474</v>
      </c>
      <c r="C73" s="633"/>
      <c r="D73" s="1487"/>
      <c r="E73" s="1487"/>
      <c r="F73" s="1487"/>
      <c r="G73" s="1487"/>
      <c r="H73" s="1487"/>
      <c r="I73" s="1487"/>
      <c r="J73" s="1499"/>
      <c r="K73" s="1499"/>
      <c r="L73" s="197"/>
      <c r="M73" s="222" t="s">
        <v>4435</v>
      </c>
      <c r="N73" s="197"/>
      <c r="O73" s="197"/>
      <c r="P73" s="197"/>
      <c r="Q73" s="725"/>
      <c r="R73" s="251"/>
      <c r="S73" s="725"/>
      <c r="T73" s="197"/>
      <c r="U73" s="197"/>
      <c r="V73" s="197"/>
      <c r="W73" s="197"/>
      <c r="X73" s="197"/>
      <c r="Y73" s="197"/>
      <c r="Z73" s="197"/>
      <c r="AA73" s="197"/>
      <c r="AB73" s="197"/>
      <c r="AC73" s="725"/>
      <c r="AD73" s="197"/>
      <c r="AE73" s="355" t="s">
        <v>6474</v>
      </c>
      <c r="AF73" s="356"/>
      <c r="AG73" s="867"/>
      <c r="AH73" s="867"/>
      <c r="AI73" s="867"/>
      <c r="AJ73" s="867"/>
      <c r="AK73" s="867"/>
      <c r="AL73" s="867"/>
      <c r="AM73" s="868"/>
      <c r="AN73" s="868"/>
      <c r="AO73" s="2560"/>
      <c r="AP73" s="197"/>
      <c r="AQ73" s="197"/>
      <c r="AR73" s="197"/>
      <c r="AS73" s="197"/>
    </row>
    <row r="74" spans="1:45" s="4" customFormat="1" ht="15.75" customHeight="1" thickTop="1">
      <c r="A74" s="197"/>
      <c r="B74" s="358" t="s">
        <v>6475</v>
      </c>
      <c r="C74" s="1956">
        <v>0</v>
      </c>
      <c r="D74" s="598">
        <v>0</v>
      </c>
      <c r="E74" s="598">
        <v>0</v>
      </c>
      <c r="F74" s="598">
        <v>0</v>
      </c>
      <c r="G74" s="1479">
        <f>IFERROR(SUM(C74:F74),0)</f>
        <v>0</v>
      </c>
      <c r="H74" s="598">
        <v>0</v>
      </c>
      <c r="I74" s="598">
        <v>0</v>
      </c>
      <c r="J74" s="1500"/>
      <c r="K74" s="1501"/>
      <c r="L74" s="197"/>
      <c r="M74" s="248" t="s">
        <v>6623</v>
      </c>
      <c r="N74" s="197"/>
      <c r="O74" s="250"/>
      <c r="P74" s="197"/>
      <c r="Q74" s="725"/>
      <c r="R74" s="251">
        <f>IF( SUM( T74:AA74 ) = 0, 0, $T$10 )</f>
        <v>0</v>
      </c>
      <c r="S74" s="725"/>
      <c r="T74" s="252">
        <f t="shared" ref="T74:W77" si="49" xml:space="preserve"> IF( ISNUMBER(C74), 0, 1 )</f>
        <v>0</v>
      </c>
      <c r="U74" s="252">
        <f t="shared" si="49"/>
        <v>0</v>
      </c>
      <c r="V74" s="252">
        <f t="shared" si="49"/>
        <v>0</v>
      </c>
      <c r="W74" s="252">
        <f t="shared" si="49"/>
        <v>0</v>
      </c>
      <c r="X74" s="197"/>
      <c r="Y74" s="252">
        <f t="shared" ref="Y74:Z77" si="50" xml:space="preserve"> IF( ISNUMBER(H74), 0, 1 )</f>
        <v>0</v>
      </c>
      <c r="Z74" s="252">
        <f t="shared" si="50"/>
        <v>0</v>
      </c>
      <c r="AA74" s="197"/>
      <c r="AB74" s="197"/>
      <c r="AC74" s="725"/>
      <c r="AD74" s="197"/>
      <c r="AE74" s="358" t="s">
        <v>6475</v>
      </c>
      <c r="AF74" s="854" t="s">
        <v>152</v>
      </c>
      <c r="AG74" s="801" t="s">
        <v>180</v>
      </c>
      <c r="AH74" s="801" t="s">
        <v>208</v>
      </c>
      <c r="AI74" s="801" t="s">
        <v>236</v>
      </c>
      <c r="AJ74" s="855" t="s">
        <v>264</v>
      </c>
      <c r="AK74" s="801" t="s">
        <v>292</v>
      </c>
      <c r="AL74" s="801" t="s">
        <v>320</v>
      </c>
      <c r="AM74" s="869"/>
      <c r="AN74" s="870"/>
      <c r="AO74" s="857"/>
      <c r="AP74" s="197"/>
      <c r="AQ74" s="197"/>
      <c r="AR74" s="197"/>
      <c r="AS74" s="197"/>
    </row>
    <row r="75" spans="1:45" s="4" customFormat="1" ht="15.75" customHeight="1">
      <c r="A75" s="197"/>
      <c r="B75" s="365" t="s">
        <v>6484</v>
      </c>
      <c r="C75" s="1957">
        <v>0</v>
      </c>
      <c r="D75" s="601">
        <v>0</v>
      </c>
      <c r="E75" s="601">
        <v>0</v>
      </c>
      <c r="F75" s="601">
        <v>0</v>
      </c>
      <c r="G75" s="1481">
        <f>IFERROR(SUM(C75:F75),0)</f>
        <v>0</v>
      </c>
      <c r="H75" s="601">
        <v>0</v>
      </c>
      <c r="I75" s="601">
        <v>0</v>
      </c>
      <c r="J75" s="1502"/>
      <c r="K75" s="1503"/>
      <c r="L75" s="197"/>
      <c r="M75" s="257" t="s">
        <v>6624</v>
      </c>
      <c r="N75" s="197"/>
      <c r="O75" s="258"/>
      <c r="P75" s="197"/>
      <c r="Q75" s="725"/>
      <c r="R75" s="251">
        <f>IF( SUM( T75:AA75 ) = 0, 0, $T$10 )</f>
        <v>0</v>
      </c>
      <c r="S75" s="725"/>
      <c r="T75" s="252">
        <f t="shared" si="49"/>
        <v>0</v>
      </c>
      <c r="U75" s="252">
        <f t="shared" si="49"/>
        <v>0</v>
      </c>
      <c r="V75" s="252">
        <f t="shared" si="49"/>
        <v>0</v>
      </c>
      <c r="W75" s="252">
        <f t="shared" si="49"/>
        <v>0</v>
      </c>
      <c r="X75" s="197"/>
      <c r="Y75" s="252">
        <f t="shared" si="50"/>
        <v>0</v>
      </c>
      <c r="Z75" s="252">
        <f t="shared" si="50"/>
        <v>0</v>
      </c>
      <c r="AA75" s="197"/>
      <c r="AB75" s="197"/>
      <c r="AC75" s="725"/>
      <c r="AD75" s="197"/>
      <c r="AE75" s="365" t="s">
        <v>6484</v>
      </c>
      <c r="AF75" s="858" t="s">
        <v>153</v>
      </c>
      <c r="AG75" s="802" t="s">
        <v>181</v>
      </c>
      <c r="AH75" s="802" t="s">
        <v>209</v>
      </c>
      <c r="AI75" s="802" t="s">
        <v>237</v>
      </c>
      <c r="AJ75" s="859" t="s">
        <v>265</v>
      </c>
      <c r="AK75" s="802" t="s">
        <v>293</v>
      </c>
      <c r="AL75" s="802" t="s">
        <v>321</v>
      </c>
      <c r="AM75" s="871"/>
      <c r="AN75" s="872"/>
      <c r="AO75" s="857"/>
      <c r="AP75" s="197"/>
      <c r="AQ75" s="197"/>
      <c r="AR75" s="197"/>
      <c r="AS75" s="197"/>
    </row>
    <row r="76" spans="1:45" s="4" customFormat="1" ht="15.75" customHeight="1">
      <c r="A76" s="197"/>
      <c r="B76" s="365" t="s">
        <v>6493</v>
      </c>
      <c r="C76" s="1957">
        <v>0</v>
      </c>
      <c r="D76" s="601">
        <v>0</v>
      </c>
      <c r="E76" s="601">
        <v>0</v>
      </c>
      <c r="F76" s="601">
        <v>0</v>
      </c>
      <c r="G76" s="1481">
        <f>IFERROR(SUM(C76:F76),0)</f>
        <v>0</v>
      </c>
      <c r="H76" s="601">
        <v>0</v>
      </c>
      <c r="I76" s="601">
        <v>0</v>
      </c>
      <c r="J76" s="1502"/>
      <c r="K76" s="1503"/>
      <c r="L76" s="197"/>
      <c r="M76" s="257" t="s">
        <v>6625</v>
      </c>
      <c r="N76" s="197"/>
      <c r="O76" s="258"/>
      <c r="P76" s="197"/>
      <c r="Q76" s="725"/>
      <c r="R76" s="251">
        <f>IF( SUM( T76:AA76 ) = 0, 0, $T$10 )</f>
        <v>0</v>
      </c>
      <c r="S76" s="725"/>
      <c r="T76" s="252">
        <f t="shared" si="49"/>
        <v>0</v>
      </c>
      <c r="U76" s="252">
        <f t="shared" si="49"/>
        <v>0</v>
      </c>
      <c r="V76" s="252">
        <f t="shared" si="49"/>
        <v>0</v>
      </c>
      <c r="W76" s="252">
        <f t="shared" si="49"/>
        <v>0</v>
      </c>
      <c r="X76" s="197"/>
      <c r="Y76" s="252">
        <f t="shared" si="50"/>
        <v>0</v>
      </c>
      <c r="Z76" s="252">
        <f t="shared" si="50"/>
        <v>0</v>
      </c>
      <c r="AA76" s="197"/>
      <c r="AB76" s="197"/>
      <c r="AC76" s="725"/>
      <c r="AD76" s="197"/>
      <c r="AE76" s="365" t="s">
        <v>6493</v>
      </c>
      <c r="AF76" s="858" t="s">
        <v>154</v>
      </c>
      <c r="AG76" s="802" t="s">
        <v>182</v>
      </c>
      <c r="AH76" s="802" t="s">
        <v>210</v>
      </c>
      <c r="AI76" s="802" t="s">
        <v>238</v>
      </c>
      <c r="AJ76" s="859" t="s">
        <v>266</v>
      </c>
      <c r="AK76" s="802" t="s">
        <v>294</v>
      </c>
      <c r="AL76" s="802" t="s">
        <v>322</v>
      </c>
      <c r="AM76" s="871"/>
      <c r="AN76" s="872"/>
      <c r="AO76" s="857"/>
      <c r="AP76" s="197"/>
      <c r="AQ76" s="197"/>
      <c r="AR76" s="197"/>
      <c r="AS76" s="197"/>
    </row>
    <row r="77" spans="1:45" s="4" customFormat="1" ht="15.75" customHeight="1">
      <c r="A77" s="197"/>
      <c r="B77" s="365" t="s">
        <v>6502</v>
      </c>
      <c r="C77" s="1957">
        <v>0</v>
      </c>
      <c r="D77" s="601">
        <v>0</v>
      </c>
      <c r="E77" s="601">
        <v>0</v>
      </c>
      <c r="F77" s="601">
        <v>0</v>
      </c>
      <c r="G77" s="1481">
        <f>IFERROR(SUM(C77:F77),0)</f>
        <v>0</v>
      </c>
      <c r="H77" s="601">
        <v>0</v>
      </c>
      <c r="I77" s="601">
        <v>0</v>
      </c>
      <c r="J77" s="1502"/>
      <c r="K77" s="1503"/>
      <c r="L77" s="197"/>
      <c r="M77" s="257" t="s">
        <v>6626</v>
      </c>
      <c r="N77" s="197"/>
      <c r="O77" s="258"/>
      <c r="P77" s="197"/>
      <c r="Q77" s="725"/>
      <c r="R77" s="251">
        <f>IF( SUM( T77:AA77 ) = 0, 0, $T$10 )</f>
        <v>0</v>
      </c>
      <c r="S77" s="725"/>
      <c r="T77" s="252">
        <f t="shared" si="49"/>
        <v>0</v>
      </c>
      <c r="U77" s="252">
        <f t="shared" si="49"/>
        <v>0</v>
      </c>
      <c r="V77" s="252">
        <f t="shared" si="49"/>
        <v>0</v>
      </c>
      <c r="W77" s="252">
        <f t="shared" si="49"/>
        <v>0</v>
      </c>
      <c r="X77" s="197"/>
      <c r="Y77" s="252">
        <f t="shared" si="50"/>
        <v>0</v>
      </c>
      <c r="Z77" s="252">
        <f t="shared" si="50"/>
        <v>0</v>
      </c>
      <c r="AA77" s="197"/>
      <c r="AB77" s="197"/>
      <c r="AC77" s="725"/>
      <c r="AD77" s="197"/>
      <c r="AE77" s="365" t="s">
        <v>6502</v>
      </c>
      <c r="AF77" s="858" t="s">
        <v>155</v>
      </c>
      <c r="AG77" s="802" t="s">
        <v>183</v>
      </c>
      <c r="AH77" s="802" t="s">
        <v>211</v>
      </c>
      <c r="AI77" s="802" t="s">
        <v>239</v>
      </c>
      <c r="AJ77" s="859" t="s">
        <v>267</v>
      </c>
      <c r="AK77" s="802" t="s">
        <v>295</v>
      </c>
      <c r="AL77" s="802" t="s">
        <v>323</v>
      </c>
      <c r="AM77" s="871"/>
      <c r="AN77" s="872"/>
      <c r="AO77" s="857"/>
      <c r="AP77" s="197"/>
      <c r="AQ77" s="197"/>
      <c r="AR77" s="197"/>
      <c r="AS77" s="197"/>
    </row>
    <row r="78" spans="1:45" s="4" customFormat="1" ht="15.75" customHeight="1" thickBot="1">
      <c r="A78" s="197"/>
      <c r="B78" s="368" t="s">
        <v>2112</v>
      </c>
      <c r="C78" s="1902">
        <f>IFERROR(SUM(C74:C77), 0)</f>
        <v>0</v>
      </c>
      <c r="D78" s="1473">
        <f>IFERROR(SUM(D74:D77), 0)</f>
        <v>0</v>
      </c>
      <c r="E78" s="1473">
        <f>IFERROR(SUM(E74:E77), 0)</f>
        <v>0</v>
      </c>
      <c r="F78" s="1473">
        <f>IFERROR(SUM(F74:F77), 0)</f>
        <v>0</v>
      </c>
      <c r="G78" s="1473">
        <f>IFERROR(SUM(C78:F78),0)</f>
        <v>0</v>
      </c>
      <c r="H78" s="1473">
        <f>IFERROR(SUM(H74:H77), 0)</f>
        <v>0</v>
      </c>
      <c r="I78" s="1473">
        <f>IFERROR(SUM(I74:I77), 0)</f>
        <v>0</v>
      </c>
      <c r="J78" s="1497"/>
      <c r="K78" s="1498"/>
      <c r="L78" s="197"/>
      <c r="M78" s="320" t="s">
        <v>6627</v>
      </c>
      <c r="N78" s="197"/>
      <c r="O78" s="269"/>
      <c r="P78" s="197"/>
      <c r="Q78" s="725"/>
      <c r="R78" s="251"/>
      <c r="S78" s="725"/>
      <c r="T78" s="197"/>
      <c r="U78" s="197"/>
      <c r="V78" s="197"/>
      <c r="W78" s="197"/>
      <c r="X78" s="197"/>
      <c r="Y78" s="197"/>
      <c r="Z78" s="197"/>
      <c r="AA78" s="197"/>
      <c r="AB78" s="197"/>
      <c r="AC78" s="725"/>
      <c r="AD78" s="197"/>
      <c r="AE78" s="368" t="s">
        <v>2112</v>
      </c>
      <c r="AF78" s="861" t="s">
        <v>156</v>
      </c>
      <c r="AG78" s="583" t="s">
        <v>184</v>
      </c>
      <c r="AH78" s="583" t="s">
        <v>212</v>
      </c>
      <c r="AI78" s="583" t="s">
        <v>240</v>
      </c>
      <c r="AJ78" s="583" t="s">
        <v>268</v>
      </c>
      <c r="AK78" s="583" t="s">
        <v>296</v>
      </c>
      <c r="AL78" s="583" t="s">
        <v>324</v>
      </c>
      <c r="AM78" s="862"/>
      <c r="AN78" s="863"/>
      <c r="AO78" s="857"/>
      <c r="AP78" s="197"/>
      <c r="AQ78" s="197"/>
      <c r="AR78" s="197"/>
      <c r="AS78" s="197"/>
    </row>
    <row r="79" spans="1:45" s="4" customFormat="1" ht="15.75" customHeight="1" thickTop="1" thickBot="1">
      <c r="A79" s="197"/>
      <c r="B79" s="852"/>
      <c r="C79" s="1490"/>
      <c r="D79" s="1487"/>
      <c r="E79" s="1487"/>
      <c r="F79" s="1487"/>
      <c r="G79" s="1487"/>
      <c r="H79" s="1487"/>
      <c r="I79" s="1487"/>
      <c r="J79" s="1499"/>
      <c r="K79" s="1499"/>
      <c r="L79" s="197"/>
      <c r="M79" s="197" t="s">
        <v>4435</v>
      </c>
      <c r="N79" s="197"/>
      <c r="O79" s="197"/>
      <c r="P79" s="197"/>
      <c r="Q79" s="725"/>
      <c r="R79" s="251"/>
      <c r="S79" s="725"/>
      <c r="T79" s="197"/>
      <c r="U79" s="197"/>
      <c r="V79" s="197"/>
      <c r="W79" s="197"/>
      <c r="X79" s="197"/>
      <c r="Y79" s="197"/>
      <c r="Z79" s="197"/>
      <c r="AA79" s="197"/>
      <c r="AB79" s="197"/>
      <c r="AC79" s="725"/>
      <c r="AD79" s="197"/>
      <c r="AE79" s="852"/>
      <c r="AF79" s="393"/>
      <c r="AG79" s="867"/>
      <c r="AH79" s="867"/>
      <c r="AI79" s="867"/>
      <c r="AJ79" s="867"/>
      <c r="AK79" s="867"/>
      <c r="AL79" s="867"/>
      <c r="AM79" s="868"/>
      <c r="AN79" s="868"/>
      <c r="AO79" s="197"/>
      <c r="AP79" s="197"/>
      <c r="AQ79" s="197"/>
      <c r="AR79" s="197"/>
      <c r="AS79" s="197"/>
    </row>
    <row r="80" spans="1:45" s="4" customFormat="1" ht="15.75" customHeight="1" thickTop="1" thickBot="1">
      <c r="A80" s="197"/>
      <c r="B80" s="355" t="s">
        <v>6519</v>
      </c>
      <c r="C80" s="633"/>
      <c r="D80" s="1487"/>
      <c r="E80" s="1487"/>
      <c r="F80" s="1487"/>
      <c r="G80" s="1487"/>
      <c r="H80" s="1487"/>
      <c r="I80" s="1487"/>
      <c r="J80" s="1499"/>
      <c r="K80" s="1499"/>
      <c r="L80" s="197"/>
      <c r="M80" s="222" t="s">
        <v>4435</v>
      </c>
      <c r="N80" s="197"/>
      <c r="O80" s="197"/>
      <c r="P80" s="197"/>
      <c r="Q80" s="725"/>
      <c r="R80" s="251"/>
      <c r="S80" s="725"/>
      <c r="T80" s="197"/>
      <c r="U80" s="197"/>
      <c r="V80" s="197"/>
      <c r="W80" s="197"/>
      <c r="X80" s="197"/>
      <c r="Y80" s="197"/>
      <c r="Z80" s="197"/>
      <c r="AA80" s="197"/>
      <c r="AB80" s="197"/>
      <c r="AC80" s="725"/>
      <c r="AD80" s="197"/>
      <c r="AE80" s="355" t="s">
        <v>6519</v>
      </c>
      <c r="AF80" s="356"/>
      <c r="AG80" s="867"/>
      <c r="AH80" s="867"/>
      <c r="AI80" s="867"/>
      <c r="AJ80" s="867"/>
      <c r="AK80" s="867"/>
      <c r="AL80" s="867"/>
      <c r="AM80" s="868"/>
      <c r="AN80" s="868"/>
      <c r="AO80" s="2560"/>
      <c r="AP80" s="197"/>
      <c r="AQ80" s="197"/>
      <c r="AR80" s="197"/>
      <c r="AS80" s="197"/>
    </row>
    <row r="81" spans="1:45" s="4" customFormat="1" ht="15.75" customHeight="1" thickTop="1">
      <c r="A81" s="197"/>
      <c r="B81" s="358" t="s">
        <v>6520</v>
      </c>
      <c r="C81" s="1956">
        <v>0</v>
      </c>
      <c r="D81" s="598">
        <v>0</v>
      </c>
      <c r="E81" s="598">
        <v>0</v>
      </c>
      <c r="F81" s="598">
        <v>0</v>
      </c>
      <c r="G81" s="1479">
        <f t="shared" ref="G81:G88" si="51">IFERROR(SUM(C81:F81),0)</f>
        <v>0</v>
      </c>
      <c r="H81" s="598">
        <v>0</v>
      </c>
      <c r="I81" s="598">
        <v>0</v>
      </c>
      <c r="J81" s="1500"/>
      <c r="K81" s="1501"/>
      <c r="L81" s="197"/>
      <c r="M81" s="248" t="s">
        <v>6628</v>
      </c>
      <c r="N81" s="197"/>
      <c r="O81" s="250"/>
      <c r="P81" s="197"/>
      <c r="Q81" s="725"/>
      <c r="R81" s="251">
        <f t="shared" ref="R81:R87" si="52">IF( SUM( T81:AA81 ) = 0, 0, $T$10 )</f>
        <v>0</v>
      </c>
      <c r="S81" s="725"/>
      <c r="T81" s="252">
        <f t="shared" ref="T81:W87" si="53" xml:space="preserve"> IF( ISNUMBER(C81), 0, 1 )</f>
        <v>0</v>
      </c>
      <c r="U81" s="252">
        <f t="shared" si="53"/>
        <v>0</v>
      </c>
      <c r="V81" s="252">
        <f t="shared" si="53"/>
        <v>0</v>
      </c>
      <c r="W81" s="252">
        <f t="shared" si="53"/>
        <v>0</v>
      </c>
      <c r="X81" s="197"/>
      <c r="Y81" s="252">
        <f t="shared" ref="Y81:Z87" si="54" xml:space="preserve"> IF( ISNUMBER(H81), 0, 1 )</f>
        <v>0</v>
      </c>
      <c r="Z81" s="252">
        <f t="shared" si="54"/>
        <v>0</v>
      </c>
      <c r="AA81" s="197"/>
      <c r="AB81" s="197"/>
      <c r="AC81" s="725"/>
      <c r="AD81" s="197"/>
      <c r="AE81" s="358" t="s">
        <v>6520</v>
      </c>
      <c r="AF81" s="854" t="s">
        <v>157</v>
      </c>
      <c r="AG81" s="801" t="s">
        <v>185</v>
      </c>
      <c r="AH81" s="801" t="s">
        <v>213</v>
      </c>
      <c r="AI81" s="801" t="s">
        <v>241</v>
      </c>
      <c r="AJ81" s="855" t="s">
        <v>269</v>
      </c>
      <c r="AK81" s="801" t="s">
        <v>297</v>
      </c>
      <c r="AL81" s="801" t="s">
        <v>325</v>
      </c>
      <c r="AM81" s="869"/>
      <c r="AN81" s="870"/>
      <c r="AO81" s="857"/>
      <c r="AP81" s="197"/>
      <c r="AQ81" s="197"/>
      <c r="AR81" s="197"/>
      <c r="AS81" s="197"/>
    </row>
    <row r="82" spans="1:45" s="4" customFormat="1" ht="15.75" customHeight="1">
      <c r="A82" s="197"/>
      <c r="B82" s="365" t="s">
        <v>6529</v>
      </c>
      <c r="C82" s="1957">
        <v>0</v>
      </c>
      <c r="D82" s="601">
        <v>0</v>
      </c>
      <c r="E82" s="601">
        <v>0</v>
      </c>
      <c r="F82" s="601">
        <v>0</v>
      </c>
      <c r="G82" s="1481">
        <f t="shared" si="51"/>
        <v>0</v>
      </c>
      <c r="H82" s="601">
        <v>0</v>
      </c>
      <c r="I82" s="601">
        <v>0</v>
      </c>
      <c r="J82" s="1502"/>
      <c r="K82" s="1503"/>
      <c r="L82" s="197"/>
      <c r="M82" s="257" t="s">
        <v>6629</v>
      </c>
      <c r="N82" s="197"/>
      <c r="O82" s="258"/>
      <c r="P82" s="197"/>
      <c r="Q82" s="725"/>
      <c r="R82" s="251">
        <f t="shared" si="52"/>
        <v>0</v>
      </c>
      <c r="S82" s="725"/>
      <c r="T82" s="252">
        <f t="shared" si="53"/>
        <v>0</v>
      </c>
      <c r="U82" s="252">
        <f t="shared" si="53"/>
        <v>0</v>
      </c>
      <c r="V82" s="252">
        <f t="shared" si="53"/>
        <v>0</v>
      </c>
      <c r="W82" s="252">
        <f t="shared" si="53"/>
        <v>0</v>
      </c>
      <c r="X82" s="197"/>
      <c r="Y82" s="252">
        <f t="shared" si="54"/>
        <v>0</v>
      </c>
      <c r="Z82" s="252">
        <f t="shared" si="54"/>
        <v>0</v>
      </c>
      <c r="AA82" s="197"/>
      <c r="AB82" s="197"/>
      <c r="AC82" s="725"/>
      <c r="AD82" s="197"/>
      <c r="AE82" s="365" t="s">
        <v>6529</v>
      </c>
      <c r="AF82" s="858" t="s">
        <v>158</v>
      </c>
      <c r="AG82" s="802" t="s">
        <v>186</v>
      </c>
      <c r="AH82" s="802" t="s">
        <v>214</v>
      </c>
      <c r="AI82" s="802" t="s">
        <v>242</v>
      </c>
      <c r="AJ82" s="859" t="s">
        <v>270</v>
      </c>
      <c r="AK82" s="802" t="s">
        <v>298</v>
      </c>
      <c r="AL82" s="802" t="s">
        <v>326</v>
      </c>
      <c r="AM82" s="871"/>
      <c r="AN82" s="872"/>
      <c r="AO82" s="857"/>
      <c r="AP82" s="197"/>
      <c r="AQ82" s="197"/>
      <c r="AR82" s="197"/>
      <c r="AS82" s="197"/>
    </row>
    <row r="83" spans="1:45" s="4" customFormat="1" ht="15.75" customHeight="1">
      <c r="A83" s="197"/>
      <c r="B83" s="365" t="s">
        <v>6538</v>
      </c>
      <c r="C83" s="1957">
        <v>0</v>
      </c>
      <c r="D83" s="601">
        <v>0</v>
      </c>
      <c r="E83" s="601">
        <v>0</v>
      </c>
      <c r="F83" s="601">
        <v>0</v>
      </c>
      <c r="G83" s="1481">
        <f t="shared" si="51"/>
        <v>0</v>
      </c>
      <c r="H83" s="601">
        <v>0</v>
      </c>
      <c r="I83" s="601">
        <v>0</v>
      </c>
      <c r="J83" s="1502"/>
      <c r="K83" s="1503"/>
      <c r="L83" s="197"/>
      <c r="M83" s="257" t="s">
        <v>6630</v>
      </c>
      <c r="N83" s="197"/>
      <c r="O83" s="258"/>
      <c r="P83" s="197"/>
      <c r="Q83" s="725"/>
      <c r="R83" s="251">
        <f t="shared" si="52"/>
        <v>0</v>
      </c>
      <c r="S83" s="725"/>
      <c r="T83" s="252">
        <f t="shared" si="53"/>
        <v>0</v>
      </c>
      <c r="U83" s="252">
        <f t="shared" si="53"/>
        <v>0</v>
      </c>
      <c r="V83" s="252">
        <f t="shared" si="53"/>
        <v>0</v>
      </c>
      <c r="W83" s="252">
        <f t="shared" si="53"/>
        <v>0</v>
      </c>
      <c r="X83" s="197"/>
      <c r="Y83" s="252">
        <f t="shared" si="54"/>
        <v>0</v>
      </c>
      <c r="Z83" s="252">
        <f t="shared" si="54"/>
        <v>0</v>
      </c>
      <c r="AA83" s="197"/>
      <c r="AB83" s="197"/>
      <c r="AC83" s="725"/>
      <c r="AD83" s="197"/>
      <c r="AE83" s="365" t="s">
        <v>6538</v>
      </c>
      <c r="AF83" s="858" t="s">
        <v>159</v>
      </c>
      <c r="AG83" s="802" t="s">
        <v>187</v>
      </c>
      <c r="AH83" s="802" t="s">
        <v>215</v>
      </c>
      <c r="AI83" s="802" t="s">
        <v>243</v>
      </c>
      <c r="AJ83" s="859" t="s">
        <v>271</v>
      </c>
      <c r="AK83" s="802" t="s">
        <v>299</v>
      </c>
      <c r="AL83" s="802" t="s">
        <v>327</v>
      </c>
      <c r="AM83" s="871"/>
      <c r="AN83" s="872"/>
      <c r="AO83" s="857"/>
      <c r="AP83" s="197"/>
      <c r="AQ83" s="197"/>
      <c r="AR83" s="197"/>
      <c r="AS83" s="197"/>
    </row>
    <row r="84" spans="1:45" s="4" customFormat="1" ht="15.75" customHeight="1">
      <c r="A84" s="197"/>
      <c r="B84" s="365" t="s">
        <v>6547</v>
      </c>
      <c r="C84" s="1957">
        <v>0</v>
      </c>
      <c r="D84" s="601">
        <v>0</v>
      </c>
      <c r="E84" s="601">
        <v>0</v>
      </c>
      <c r="F84" s="601">
        <v>0</v>
      </c>
      <c r="G84" s="1481">
        <f t="shared" si="51"/>
        <v>0</v>
      </c>
      <c r="H84" s="601">
        <v>0</v>
      </c>
      <c r="I84" s="601">
        <v>0</v>
      </c>
      <c r="J84" s="1502"/>
      <c r="K84" s="1503"/>
      <c r="L84" s="197"/>
      <c r="M84" s="257" t="s">
        <v>6631</v>
      </c>
      <c r="N84" s="197"/>
      <c r="O84" s="258"/>
      <c r="P84" s="200"/>
      <c r="Q84" s="831"/>
      <c r="R84" s="251">
        <f t="shared" si="52"/>
        <v>0</v>
      </c>
      <c r="S84" s="725"/>
      <c r="T84" s="252">
        <f t="shared" si="53"/>
        <v>0</v>
      </c>
      <c r="U84" s="252">
        <f t="shared" si="53"/>
        <v>0</v>
      </c>
      <c r="V84" s="252">
        <f t="shared" si="53"/>
        <v>0</v>
      </c>
      <c r="W84" s="252">
        <f t="shared" si="53"/>
        <v>0</v>
      </c>
      <c r="X84" s="197"/>
      <c r="Y84" s="252">
        <f t="shared" si="54"/>
        <v>0</v>
      </c>
      <c r="Z84" s="252">
        <f t="shared" si="54"/>
        <v>0</v>
      </c>
      <c r="AA84" s="197"/>
      <c r="AB84" s="197"/>
      <c r="AC84" s="725"/>
      <c r="AD84" s="197"/>
      <c r="AE84" s="365" t="s">
        <v>6547</v>
      </c>
      <c r="AF84" s="858" t="s">
        <v>160</v>
      </c>
      <c r="AG84" s="802" t="s">
        <v>188</v>
      </c>
      <c r="AH84" s="802" t="s">
        <v>216</v>
      </c>
      <c r="AI84" s="802" t="s">
        <v>244</v>
      </c>
      <c r="AJ84" s="859" t="s">
        <v>272</v>
      </c>
      <c r="AK84" s="802" t="s">
        <v>300</v>
      </c>
      <c r="AL84" s="802" t="s">
        <v>328</v>
      </c>
      <c r="AM84" s="871"/>
      <c r="AN84" s="872"/>
      <c r="AO84" s="857"/>
      <c r="AP84" s="197"/>
      <c r="AQ84" s="197"/>
      <c r="AR84" s="197"/>
      <c r="AS84" s="197"/>
    </row>
    <row r="85" spans="1:45" s="4" customFormat="1" ht="15.75" customHeight="1">
      <c r="A85" s="197"/>
      <c r="B85" s="365" t="s">
        <v>6556</v>
      </c>
      <c r="C85" s="1957">
        <v>0</v>
      </c>
      <c r="D85" s="601">
        <v>0</v>
      </c>
      <c r="E85" s="601">
        <v>0</v>
      </c>
      <c r="F85" s="601">
        <v>0</v>
      </c>
      <c r="G85" s="1481">
        <f t="shared" si="51"/>
        <v>0</v>
      </c>
      <c r="H85" s="601">
        <v>0</v>
      </c>
      <c r="I85" s="601">
        <v>0</v>
      </c>
      <c r="J85" s="1502"/>
      <c r="K85" s="1503"/>
      <c r="L85" s="197"/>
      <c r="M85" s="257" t="s">
        <v>6632</v>
      </c>
      <c r="N85" s="197"/>
      <c r="O85" s="258"/>
      <c r="P85" s="200"/>
      <c r="Q85" s="831"/>
      <c r="R85" s="251">
        <f t="shared" si="52"/>
        <v>0</v>
      </c>
      <c r="S85" s="725"/>
      <c r="T85" s="252">
        <f t="shared" si="53"/>
        <v>0</v>
      </c>
      <c r="U85" s="252">
        <f t="shared" si="53"/>
        <v>0</v>
      </c>
      <c r="V85" s="252">
        <f t="shared" si="53"/>
        <v>0</v>
      </c>
      <c r="W85" s="252">
        <f t="shared" si="53"/>
        <v>0</v>
      </c>
      <c r="X85" s="197"/>
      <c r="Y85" s="252">
        <f t="shared" si="54"/>
        <v>0</v>
      </c>
      <c r="Z85" s="252">
        <f t="shared" si="54"/>
        <v>0</v>
      </c>
      <c r="AA85" s="197"/>
      <c r="AB85" s="197"/>
      <c r="AC85" s="725"/>
      <c r="AD85" s="197"/>
      <c r="AE85" s="365" t="s">
        <v>6556</v>
      </c>
      <c r="AF85" s="858" t="s">
        <v>161</v>
      </c>
      <c r="AG85" s="802" t="s">
        <v>189</v>
      </c>
      <c r="AH85" s="802" t="s">
        <v>217</v>
      </c>
      <c r="AI85" s="802" t="s">
        <v>245</v>
      </c>
      <c r="AJ85" s="859" t="s">
        <v>273</v>
      </c>
      <c r="AK85" s="802" t="s">
        <v>301</v>
      </c>
      <c r="AL85" s="802" t="s">
        <v>329</v>
      </c>
      <c r="AM85" s="871"/>
      <c r="AN85" s="872"/>
      <c r="AO85" s="857"/>
      <c r="AP85" s="197"/>
      <c r="AQ85" s="197"/>
      <c r="AR85" s="197"/>
      <c r="AS85" s="197"/>
    </row>
    <row r="86" spans="1:45" s="4" customFormat="1" ht="15.75" customHeight="1">
      <c r="A86" s="197"/>
      <c r="B86" s="365" t="s">
        <v>6565</v>
      </c>
      <c r="C86" s="1957">
        <v>0</v>
      </c>
      <c r="D86" s="601">
        <v>0</v>
      </c>
      <c r="E86" s="601">
        <v>0</v>
      </c>
      <c r="F86" s="601">
        <v>0</v>
      </c>
      <c r="G86" s="1481">
        <f t="shared" si="51"/>
        <v>0</v>
      </c>
      <c r="H86" s="601">
        <v>0</v>
      </c>
      <c r="I86" s="601">
        <v>0</v>
      </c>
      <c r="J86" s="1502"/>
      <c r="K86" s="1503"/>
      <c r="L86" s="197"/>
      <c r="M86" s="257" t="s">
        <v>6633</v>
      </c>
      <c r="N86" s="197"/>
      <c r="O86" s="258"/>
      <c r="P86" s="200"/>
      <c r="Q86" s="831"/>
      <c r="R86" s="251">
        <f t="shared" si="52"/>
        <v>0</v>
      </c>
      <c r="S86" s="725"/>
      <c r="T86" s="252">
        <f t="shared" si="53"/>
        <v>0</v>
      </c>
      <c r="U86" s="252">
        <f t="shared" si="53"/>
        <v>0</v>
      </c>
      <c r="V86" s="252">
        <f t="shared" si="53"/>
        <v>0</v>
      </c>
      <c r="W86" s="252">
        <f t="shared" si="53"/>
        <v>0</v>
      </c>
      <c r="X86" s="197"/>
      <c r="Y86" s="252">
        <f t="shared" si="54"/>
        <v>0</v>
      </c>
      <c r="Z86" s="252">
        <f t="shared" si="54"/>
        <v>0</v>
      </c>
      <c r="AA86" s="197"/>
      <c r="AB86" s="197"/>
      <c r="AC86" s="725"/>
      <c r="AD86" s="197"/>
      <c r="AE86" s="365" t="s">
        <v>6565</v>
      </c>
      <c r="AF86" s="858" t="s">
        <v>162</v>
      </c>
      <c r="AG86" s="802" t="s">
        <v>190</v>
      </c>
      <c r="AH86" s="802" t="s">
        <v>218</v>
      </c>
      <c r="AI86" s="802" t="s">
        <v>246</v>
      </c>
      <c r="AJ86" s="859" t="s">
        <v>274</v>
      </c>
      <c r="AK86" s="802" t="s">
        <v>302</v>
      </c>
      <c r="AL86" s="802" t="s">
        <v>330</v>
      </c>
      <c r="AM86" s="871"/>
      <c r="AN86" s="872"/>
      <c r="AO86" s="857"/>
      <c r="AP86" s="197"/>
      <c r="AQ86" s="197"/>
      <c r="AR86" s="197"/>
      <c r="AS86" s="197"/>
    </row>
    <row r="87" spans="1:45" s="4" customFormat="1" ht="15.75" customHeight="1">
      <c r="A87" s="197"/>
      <c r="B87" s="365" t="s">
        <v>6574</v>
      </c>
      <c r="C87" s="1957">
        <v>0</v>
      </c>
      <c r="D87" s="601">
        <v>0</v>
      </c>
      <c r="E87" s="601">
        <v>0</v>
      </c>
      <c r="F87" s="601">
        <v>0</v>
      </c>
      <c r="G87" s="1481">
        <f t="shared" si="51"/>
        <v>0</v>
      </c>
      <c r="H87" s="601">
        <v>0</v>
      </c>
      <c r="I87" s="601">
        <v>0</v>
      </c>
      <c r="J87" s="1502"/>
      <c r="K87" s="1503"/>
      <c r="L87" s="197"/>
      <c r="M87" s="257" t="s">
        <v>6634</v>
      </c>
      <c r="N87" s="197"/>
      <c r="O87" s="258"/>
      <c r="P87" s="197"/>
      <c r="Q87" s="725"/>
      <c r="R87" s="251">
        <f t="shared" si="52"/>
        <v>0</v>
      </c>
      <c r="S87" s="725"/>
      <c r="T87" s="252">
        <f t="shared" si="53"/>
        <v>0</v>
      </c>
      <c r="U87" s="252">
        <f t="shared" si="53"/>
        <v>0</v>
      </c>
      <c r="V87" s="252">
        <f t="shared" si="53"/>
        <v>0</v>
      </c>
      <c r="W87" s="252">
        <f t="shared" si="53"/>
        <v>0</v>
      </c>
      <c r="X87" s="197"/>
      <c r="Y87" s="252">
        <f t="shared" si="54"/>
        <v>0</v>
      </c>
      <c r="Z87" s="252">
        <f t="shared" si="54"/>
        <v>0</v>
      </c>
      <c r="AA87" s="197"/>
      <c r="AB87" s="197"/>
      <c r="AC87" s="725"/>
      <c r="AD87" s="197"/>
      <c r="AE87" s="365" t="s">
        <v>6574</v>
      </c>
      <c r="AF87" s="858" t="s">
        <v>163</v>
      </c>
      <c r="AG87" s="802" t="s">
        <v>191</v>
      </c>
      <c r="AH87" s="802" t="s">
        <v>219</v>
      </c>
      <c r="AI87" s="802" t="s">
        <v>247</v>
      </c>
      <c r="AJ87" s="859" t="s">
        <v>275</v>
      </c>
      <c r="AK87" s="802" t="s">
        <v>303</v>
      </c>
      <c r="AL87" s="802" t="s">
        <v>331</v>
      </c>
      <c r="AM87" s="871"/>
      <c r="AN87" s="872"/>
      <c r="AO87" s="857"/>
      <c r="AP87" s="197"/>
      <c r="AQ87" s="197"/>
      <c r="AR87" s="197"/>
      <c r="AS87" s="197"/>
    </row>
    <row r="88" spans="1:45" s="4" customFormat="1" ht="15.75" customHeight="1" thickBot="1">
      <c r="A88" s="197"/>
      <c r="B88" s="368" t="s">
        <v>2112</v>
      </c>
      <c r="C88" s="1902">
        <f>IFERROR(SUM(C81:C87), 0)</f>
        <v>0</v>
      </c>
      <c r="D88" s="1473">
        <f>IFERROR(SUM(D81:D87), 0)</f>
        <v>0</v>
      </c>
      <c r="E88" s="1473">
        <f>IFERROR(SUM(E81:E87), 0)</f>
        <v>0</v>
      </c>
      <c r="F88" s="1473">
        <f>IFERROR(SUM(F81:F87), 0)</f>
        <v>0</v>
      </c>
      <c r="G88" s="1473">
        <f t="shared" si="51"/>
        <v>0</v>
      </c>
      <c r="H88" s="1473">
        <f>IFERROR(SUM(H81:H87), 0)</f>
        <v>0</v>
      </c>
      <c r="I88" s="1473">
        <f>IFERROR(SUM(I81:I87), 0)</f>
        <v>0</v>
      </c>
      <c r="J88" s="1497"/>
      <c r="K88" s="1498"/>
      <c r="L88" s="197"/>
      <c r="M88" s="320" t="s">
        <v>6635</v>
      </c>
      <c r="N88" s="197"/>
      <c r="O88" s="269"/>
      <c r="P88" s="197"/>
      <c r="Q88" s="725"/>
      <c r="R88" s="251"/>
      <c r="S88" s="725"/>
      <c r="T88" s="197"/>
      <c r="U88" s="197"/>
      <c r="V88" s="197"/>
      <c r="W88" s="197"/>
      <c r="X88" s="197"/>
      <c r="Y88" s="197"/>
      <c r="Z88" s="197"/>
      <c r="AA88" s="197"/>
      <c r="AB88" s="197"/>
      <c r="AC88" s="725"/>
      <c r="AD88" s="197"/>
      <c r="AE88" s="368" t="s">
        <v>2112</v>
      </c>
      <c r="AF88" s="861" t="s">
        <v>164</v>
      </c>
      <c r="AG88" s="583" t="s">
        <v>192</v>
      </c>
      <c r="AH88" s="583" t="s">
        <v>220</v>
      </c>
      <c r="AI88" s="583" t="s">
        <v>248</v>
      </c>
      <c r="AJ88" s="583" t="s">
        <v>276</v>
      </c>
      <c r="AK88" s="583" t="s">
        <v>304</v>
      </c>
      <c r="AL88" s="583" t="s">
        <v>332</v>
      </c>
      <c r="AM88" s="862"/>
      <c r="AN88" s="863"/>
      <c r="AO88" s="857"/>
      <c r="AP88" s="197"/>
      <c r="AQ88" s="197"/>
      <c r="AR88" s="197"/>
      <c r="AS88" s="197"/>
    </row>
    <row r="89" spans="1:45" s="4" customFormat="1" ht="15.75" customHeight="1" thickTop="1" thickBot="1">
      <c r="A89" s="197"/>
      <c r="B89" s="852"/>
      <c r="C89" s="1489"/>
      <c r="D89" s="1491"/>
      <c r="E89" s="1491"/>
      <c r="F89" s="1491"/>
      <c r="G89" s="1901"/>
      <c r="H89" s="1491"/>
      <c r="I89" s="1491"/>
      <c r="J89" s="1499"/>
      <c r="K89" s="1499"/>
      <c r="L89" s="197"/>
      <c r="M89" s="228" t="s">
        <v>4435</v>
      </c>
      <c r="N89" s="197"/>
      <c r="O89" s="197"/>
      <c r="P89" s="197"/>
      <c r="Q89" s="725"/>
      <c r="R89" s="251"/>
      <c r="S89" s="725"/>
      <c r="T89" s="197"/>
      <c r="U89" s="197"/>
      <c r="V89" s="197"/>
      <c r="W89" s="197"/>
      <c r="X89" s="197"/>
      <c r="Y89" s="197"/>
      <c r="Z89" s="197"/>
      <c r="AA89" s="197"/>
      <c r="AB89" s="197"/>
      <c r="AC89" s="725"/>
      <c r="AD89" s="197"/>
      <c r="AE89" s="852"/>
      <c r="AF89" s="852"/>
      <c r="AG89" s="873"/>
      <c r="AH89" s="873"/>
      <c r="AI89" s="873"/>
      <c r="AJ89" s="873"/>
      <c r="AK89" s="873"/>
      <c r="AL89" s="873"/>
      <c r="AM89" s="868"/>
      <c r="AN89" s="868"/>
      <c r="AO89" s="229"/>
      <c r="AP89" s="197"/>
      <c r="AQ89" s="197"/>
      <c r="AR89" s="197"/>
      <c r="AS89" s="197"/>
    </row>
    <row r="90" spans="1:45" s="4" customFormat="1" ht="15.75" customHeight="1" thickTop="1" thickBot="1">
      <c r="A90" s="197"/>
      <c r="B90" s="355" t="s">
        <v>6591</v>
      </c>
      <c r="C90" s="633"/>
      <c r="D90" s="1487"/>
      <c r="E90" s="1487"/>
      <c r="F90" s="1487"/>
      <c r="G90" s="1487"/>
      <c r="H90" s="1487"/>
      <c r="I90" s="1487"/>
      <c r="J90" s="1499"/>
      <c r="K90" s="1499"/>
      <c r="L90" s="197"/>
      <c r="M90" s="228" t="s">
        <v>4435</v>
      </c>
      <c r="N90" s="197"/>
      <c r="O90" s="197"/>
      <c r="P90" s="197"/>
      <c r="Q90" s="725"/>
      <c r="R90" s="251"/>
      <c r="S90" s="725"/>
      <c r="T90" s="197"/>
      <c r="U90" s="197"/>
      <c r="V90" s="197"/>
      <c r="W90" s="197"/>
      <c r="X90" s="197"/>
      <c r="Y90" s="197"/>
      <c r="Z90" s="197"/>
      <c r="AA90" s="197"/>
      <c r="AB90" s="197"/>
      <c r="AC90" s="725"/>
      <c r="AD90" s="197"/>
      <c r="AE90" s="355" t="s">
        <v>6591</v>
      </c>
      <c r="AF90" s="356"/>
      <c r="AG90" s="867"/>
      <c r="AH90" s="867"/>
      <c r="AI90" s="867"/>
      <c r="AJ90" s="867"/>
      <c r="AK90" s="867"/>
      <c r="AL90" s="867"/>
      <c r="AM90" s="868"/>
      <c r="AN90" s="868"/>
      <c r="AO90" s="229"/>
      <c r="AP90" s="197"/>
      <c r="AQ90" s="197"/>
      <c r="AR90" s="197"/>
      <c r="AS90" s="197"/>
    </row>
    <row r="91" spans="1:45" s="8" customFormat="1" ht="15.75" customHeight="1" thickTop="1" thickBot="1">
      <c r="A91" s="351"/>
      <c r="B91" s="382" t="s">
        <v>6591</v>
      </c>
      <c r="C91" s="605">
        <v>0</v>
      </c>
      <c r="D91" s="605">
        <v>0</v>
      </c>
      <c r="E91" s="605">
        <v>0</v>
      </c>
      <c r="F91" s="605">
        <v>0</v>
      </c>
      <c r="G91" s="1470">
        <f>IFERROR(SUM(C91:F91),0)</f>
        <v>0</v>
      </c>
      <c r="H91" s="605">
        <v>0</v>
      </c>
      <c r="I91" s="605">
        <v>0</v>
      </c>
      <c r="J91" s="1504"/>
      <c r="K91" s="1505"/>
      <c r="L91" s="197"/>
      <c r="M91" s="336" t="s">
        <v>6636</v>
      </c>
      <c r="N91" s="197"/>
      <c r="O91" s="878"/>
      <c r="P91" s="351"/>
      <c r="Q91" s="722"/>
      <c r="R91" s="251">
        <f>IF( SUM( T91:AA91 ) = 0, 0, $T$10 )</f>
        <v>0</v>
      </c>
      <c r="S91" s="722"/>
      <c r="T91" s="252">
        <f xml:space="preserve"> IF( ISNUMBER(C91), 0, 1 )</f>
        <v>0</v>
      </c>
      <c r="U91" s="252">
        <f xml:space="preserve"> IF( ISNUMBER(D91), 0, 1 )</f>
        <v>0</v>
      </c>
      <c r="V91" s="252">
        <f xml:space="preserve"> IF( ISNUMBER(E91), 0, 1 )</f>
        <v>0</v>
      </c>
      <c r="W91" s="252">
        <f xml:space="preserve"> IF( ISNUMBER(F91), 0, 1 )</f>
        <v>0</v>
      </c>
      <c r="X91" s="197"/>
      <c r="Y91" s="252">
        <f xml:space="preserve"> IF( ISNUMBER(H91), 0, 1 )</f>
        <v>0</v>
      </c>
      <c r="Z91" s="252">
        <f xml:space="preserve"> IF( ISNUMBER(I91), 0, 1 )</f>
        <v>0</v>
      </c>
      <c r="AA91" s="197"/>
      <c r="AB91" s="197"/>
      <c r="AC91" s="722"/>
      <c r="AD91" s="351"/>
      <c r="AE91" s="382" t="s">
        <v>6591</v>
      </c>
      <c r="AF91" s="874" t="s">
        <v>165</v>
      </c>
      <c r="AG91" s="874" t="s">
        <v>193</v>
      </c>
      <c r="AH91" s="874" t="s">
        <v>221</v>
      </c>
      <c r="AI91" s="874" t="s">
        <v>249</v>
      </c>
      <c r="AJ91" s="875" t="s">
        <v>277</v>
      </c>
      <c r="AK91" s="874" t="s">
        <v>305</v>
      </c>
      <c r="AL91" s="874" t="s">
        <v>333</v>
      </c>
      <c r="AM91" s="876"/>
      <c r="AN91" s="877"/>
      <c r="AO91" s="857"/>
      <c r="AP91" s="351"/>
      <c r="AQ91" s="351"/>
      <c r="AR91" s="351"/>
      <c r="AS91" s="351"/>
    </row>
    <row r="92" spans="1:45" s="4" customFormat="1" ht="15.75" customHeight="1" thickTop="1" thickBot="1">
      <c r="A92" s="197"/>
      <c r="B92" s="879"/>
      <c r="C92" s="1958"/>
      <c r="D92" s="1959"/>
      <c r="E92" s="1959"/>
      <c r="F92" s="1959"/>
      <c r="G92" s="1492"/>
      <c r="H92" s="1492"/>
      <c r="I92" s="1492"/>
      <c r="J92" s="1499"/>
      <c r="K92" s="1499"/>
      <c r="L92" s="197"/>
      <c r="M92" s="228" t="s">
        <v>4435</v>
      </c>
      <c r="N92" s="197"/>
      <c r="O92" s="197"/>
      <c r="P92" s="197"/>
      <c r="Q92" s="725"/>
      <c r="R92" s="251"/>
      <c r="S92" s="725"/>
      <c r="T92" s="197"/>
      <c r="U92" s="197"/>
      <c r="V92" s="197"/>
      <c r="W92" s="197"/>
      <c r="X92" s="197"/>
      <c r="Y92" s="197"/>
      <c r="Z92" s="197"/>
      <c r="AA92" s="197"/>
      <c r="AB92" s="197"/>
      <c r="AC92" s="725"/>
      <c r="AD92" s="197"/>
      <c r="AE92" s="879"/>
      <c r="AF92" s="879"/>
      <c r="AG92" s="880"/>
      <c r="AH92" s="880"/>
      <c r="AI92" s="880"/>
      <c r="AJ92" s="880"/>
      <c r="AK92" s="880"/>
      <c r="AL92" s="880"/>
      <c r="AM92" s="868"/>
      <c r="AN92" s="868"/>
      <c r="AO92" s="229"/>
      <c r="AP92" s="197"/>
      <c r="AQ92" s="197"/>
      <c r="AR92" s="197"/>
      <c r="AS92" s="197"/>
    </row>
    <row r="93" spans="1:45" s="8" customFormat="1" ht="15.75" customHeight="1" thickTop="1" thickBot="1">
      <c r="A93" s="351"/>
      <c r="B93" s="382" t="s">
        <v>6600</v>
      </c>
      <c r="C93" s="1903">
        <f>IFERROR(SUM(C64,C71,C78,C88,C91), 0)</f>
        <v>0</v>
      </c>
      <c r="D93" s="1470">
        <f>IFERROR(SUM(D64,D71,D78,D88,D91), 0)</f>
        <v>23.405000000000001</v>
      </c>
      <c r="E93" s="1470">
        <f>IFERROR(SUM(E64,E71,E78,E88,E91), 0)</f>
        <v>188.17856699999999</v>
      </c>
      <c r="F93" s="1470">
        <f>IFERROR(SUM(F64,F71,F78,F88,F91), 0)</f>
        <v>978.44500000000005</v>
      </c>
      <c r="G93" s="1470">
        <f>IFERROR(SUM(C93:F93),0)</f>
        <v>1190.0285670000001</v>
      </c>
      <c r="H93" s="1470">
        <f>IFERROR(SUM(H64,H71,H78,H88,H91), 0)</f>
        <v>1902.297</v>
      </c>
      <c r="I93" s="1470">
        <f>IFERROR(SUM(I64,I71,I78,I88,I91), 0)</f>
        <v>239.55799999999999</v>
      </c>
      <c r="J93" s="1506"/>
      <c r="K93" s="1507"/>
      <c r="L93" s="351"/>
      <c r="M93" s="336" t="s">
        <v>6637</v>
      </c>
      <c r="N93" s="197"/>
      <c r="O93" s="878"/>
      <c r="P93" s="351"/>
      <c r="Q93" s="722"/>
      <c r="R93" s="251"/>
      <c r="S93" s="722"/>
      <c r="T93" s="197"/>
      <c r="U93" s="197"/>
      <c r="V93" s="197"/>
      <c r="W93" s="197"/>
      <c r="X93" s="197"/>
      <c r="Y93" s="197"/>
      <c r="Z93" s="197"/>
      <c r="AA93" s="197"/>
      <c r="AB93" s="197"/>
      <c r="AC93" s="722"/>
      <c r="AD93" s="351"/>
      <c r="AE93" s="382" t="s">
        <v>6600</v>
      </c>
      <c r="AF93" s="881" t="s">
        <v>166</v>
      </c>
      <c r="AG93" s="334" t="s">
        <v>194</v>
      </c>
      <c r="AH93" s="334" t="s">
        <v>222</v>
      </c>
      <c r="AI93" s="334" t="s">
        <v>250</v>
      </c>
      <c r="AJ93" s="334" t="s">
        <v>278</v>
      </c>
      <c r="AK93" s="334" t="s">
        <v>306</v>
      </c>
      <c r="AL93" s="334" t="s">
        <v>334</v>
      </c>
      <c r="AM93" s="882"/>
      <c r="AN93" s="883"/>
      <c r="AO93" s="857"/>
      <c r="AP93" s="351"/>
      <c r="AQ93" s="351"/>
      <c r="AR93" s="351"/>
      <c r="AS93" s="351"/>
    </row>
    <row r="94" spans="1:45" s="4" customFormat="1" ht="16.5" thickTop="1" thickBot="1">
      <c r="A94" s="197"/>
      <c r="B94" s="884"/>
      <c r="C94" s="884"/>
      <c r="D94" s="197"/>
      <c r="E94" s="197"/>
      <c r="F94" s="197"/>
      <c r="G94" s="197"/>
      <c r="H94" s="197"/>
      <c r="I94" s="197"/>
      <c r="J94" s="197"/>
      <c r="K94" s="197"/>
      <c r="L94" s="197"/>
      <c r="M94" s="641"/>
      <c r="N94" s="197"/>
      <c r="O94" s="197"/>
      <c r="P94" s="197"/>
      <c r="Q94" s="197"/>
      <c r="R94" s="251"/>
      <c r="S94" s="197"/>
      <c r="T94" s="197"/>
      <c r="U94" s="197"/>
      <c r="V94" s="197"/>
      <c r="W94" s="197"/>
      <c r="X94" s="197"/>
      <c r="Y94" s="197"/>
      <c r="Z94" s="197"/>
      <c r="AA94" s="197"/>
      <c r="AB94" s="197"/>
      <c r="AC94" s="197"/>
      <c r="AD94" s="197"/>
      <c r="AE94" s="884"/>
      <c r="AF94" s="884"/>
      <c r="AG94" s="197"/>
      <c r="AH94" s="197"/>
      <c r="AI94" s="197"/>
      <c r="AJ94" s="197"/>
      <c r="AK94" s="197"/>
      <c r="AL94" s="197"/>
      <c r="AM94" s="197"/>
      <c r="AN94" s="197"/>
      <c r="AO94" s="829"/>
      <c r="AP94" s="197"/>
      <c r="AQ94" s="197"/>
      <c r="AR94" s="197"/>
      <c r="AS94" s="197"/>
    </row>
    <row r="95" spans="1:45" s="4" customFormat="1" ht="16.399999999999999" customHeight="1" thickTop="1">
      <c r="A95" s="197"/>
      <c r="B95" s="2686" t="s">
        <v>1891</v>
      </c>
      <c r="C95" s="2667" t="s">
        <v>6638</v>
      </c>
      <c r="D95" s="2667"/>
      <c r="E95" s="2667"/>
      <c r="F95" s="2667"/>
      <c r="G95" s="2667"/>
      <c r="H95" s="2667"/>
      <c r="I95" s="2667"/>
      <c r="J95" s="2667"/>
      <c r="K95" s="2669"/>
      <c r="L95" s="555"/>
      <c r="M95" s="197"/>
      <c r="N95" s="197"/>
      <c r="O95" s="197"/>
      <c r="P95" s="555"/>
      <c r="Q95" s="804"/>
      <c r="R95" s="251"/>
      <c r="S95" s="804"/>
      <c r="T95" s="555"/>
      <c r="U95" s="555"/>
      <c r="V95" s="555"/>
      <c r="W95" s="555"/>
      <c r="X95" s="555"/>
      <c r="Y95" s="555"/>
      <c r="Z95" s="555"/>
      <c r="AA95" s="555"/>
      <c r="AB95" s="555"/>
      <c r="AC95" s="804"/>
      <c r="AD95" s="555"/>
      <c r="AE95" s="2686" t="s">
        <v>1891</v>
      </c>
      <c r="AF95" s="2667" t="s">
        <v>6638</v>
      </c>
      <c r="AG95" s="2667"/>
      <c r="AH95" s="2667"/>
      <c r="AI95" s="2667"/>
      <c r="AJ95" s="2667"/>
      <c r="AK95" s="2667"/>
      <c r="AL95" s="2667"/>
      <c r="AM95" s="2667"/>
      <c r="AN95" s="2669"/>
      <c r="AO95" s="282"/>
      <c r="AP95" s="197"/>
      <c r="AQ95" s="197"/>
      <c r="AR95" s="197"/>
      <c r="AS95" s="197"/>
    </row>
    <row r="96" spans="1:45" s="4" customFormat="1">
      <c r="A96" s="197"/>
      <c r="B96" s="2769"/>
      <c r="C96" s="2770" t="s">
        <v>6331</v>
      </c>
      <c r="D96" s="2770"/>
      <c r="E96" s="2770"/>
      <c r="F96" s="2770"/>
      <c r="G96" s="2770" t="s">
        <v>6332</v>
      </c>
      <c r="H96" s="2770"/>
      <c r="I96" s="2770" t="s">
        <v>6333</v>
      </c>
      <c r="J96" s="2770" t="s">
        <v>6334</v>
      </c>
      <c r="K96" s="2811"/>
      <c r="L96" s="197"/>
      <c r="M96" s="197"/>
      <c r="N96" s="197"/>
      <c r="O96" s="197"/>
      <c r="P96" s="197"/>
      <c r="Q96" s="725"/>
      <c r="R96" s="251"/>
      <c r="S96" s="725"/>
      <c r="T96" s="197"/>
      <c r="U96" s="197"/>
      <c r="V96" s="197"/>
      <c r="W96" s="197"/>
      <c r="X96" s="197"/>
      <c r="Y96" s="197"/>
      <c r="Z96" s="197"/>
      <c r="AA96" s="197"/>
      <c r="AB96" s="197"/>
      <c r="AC96" s="725"/>
      <c r="AD96" s="197"/>
      <c r="AE96" s="2769"/>
      <c r="AF96" s="2770" t="s">
        <v>6331</v>
      </c>
      <c r="AG96" s="2770"/>
      <c r="AH96" s="2770"/>
      <c r="AI96" s="2770"/>
      <c r="AJ96" s="2770" t="s">
        <v>6332</v>
      </c>
      <c r="AK96" s="2770"/>
      <c r="AL96" s="2770" t="s">
        <v>6333</v>
      </c>
      <c r="AM96" s="2770" t="s">
        <v>6334</v>
      </c>
      <c r="AN96" s="2811"/>
      <c r="AO96" s="282"/>
      <c r="AP96" s="197"/>
      <c r="AQ96" s="197"/>
      <c r="AR96" s="197"/>
      <c r="AS96" s="197"/>
    </row>
    <row r="97" spans="1:45" s="4" customFormat="1" ht="31">
      <c r="A97" s="197"/>
      <c r="B97" s="2769"/>
      <c r="C97" s="389" t="s">
        <v>6335</v>
      </c>
      <c r="D97" s="389" t="s">
        <v>6336</v>
      </c>
      <c r="E97" s="389" t="s">
        <v>6337</v>
      </c>
      <c r="F97" s="389" t="s">
        <v>6338</v>
      </c>
      <c r="G97" s="389" t="s">
        <v>6339</v>
      </c>
      <c r="H97" s="389" t="s">
        <v>6340</v>
      </c>
      <c r="I97" s="2770"/>
      <c r="J97" s="389" t="s">
        <v>6341</v>
      </c>
      <c r="K97" s="390" t="s">
        <v>6342</v>
      </c>
      <c r="L97" s="197"/>
      <c r="M97" s="197"/>
      <c r="N97" s="197"/>
      <c r="O97" s="197"/>
      <c r="P97" s="197"/>
      <c r="Q97" s="725"/>
      <c r="R97" s="251"/>
      <c r="S97" s="725"/>
      <c r="T97" s="197"/>
      <c r="U97" s="197"/>
      <c r="V97" s="197"/>
      <c r="W97" s="197"/>
      <c r="X97" s="197"/>
      <c r="Y97" s="197"/>
      <c r="Z97" s="197"/>
      <c r="AA97" s="197"/>
      <c r="AB97" s="197"/>
      <c r="AC97" s="725"/>
      <c r="AD97" s="197"/>
      <c r="AE97" s="2769"/>
      <c r="AF97" s="389" t="s">
        <v>6335</v>
      </c>
      <c r="AG97" s="389" t="s">
        <v>6336</v>
      </c>
      <c r="AH97" s="389" t="s">
        <v>6337</v>
      </c>
      <c r="AI97" s="389" t="s">
        <v>6338</v>
      </c>
      <c r="AJ97" s="389" t="s">
        <v>6339</v>
      </c>
      <c r="AK97" s="389" t="s">
        <v>6340</v>
      </c>
      <c r="AL97" s="2770"/>
      <c r="AM97" s="389" t="s">
        <v>6341</v>
      </c>
      <c r="AN97" s="390" t="s">
        <v>6342</v>
      </c>
      <c r="AO97" s="282"/>
      <c r="AP97" s="197"/>
      <c r="AQ97" s="197"/>
      <c r="AR97" s="197"/>
      <c r="AS97" s="197"/>
    </row>
    <row r="98" spans="1:45" s="4" customFormat="1" ht="16.399999999999999" customHeight="1">
      <c r="A98" s="197"/>
      <c r="B98" s="391" t="s">
        <v>1892</v>
      </c>
      <c r="C98" s="389" t="s">
        <v>137</v>
      </c>
      <c r="D98" s="389" t="s">
        <v>137</v>
      </c>
      <c r="E98" s="389" t="s">
        <v>137</v>
      </c>
      <c r="F98" s="389" t="s">
        <v>137</v>
      </c>
      <c r="G98" s="389" t="s">
        <v>137</v>
      </c>
      <c r="H98" s="389" t="s">
        <v>137</v>
      </c>
      <c r="I98" s="389" t="s">
        <v>137</v>
      </c>
      <c r="J98" s="389" t="s">
        <v>1344</v>
      </c>
      <c r="K98" s="390" t="s">
        <v>1344</v>
      </c>
      <c r="L98" s="197"/>
      <c r="M98" s="197"/>
      <c r="N98" s="197"/>
      <c r="O98" s="197"/>
      <c r="P98" s="197"/>
      <c r="Q98" s="725"/>
      <c r="R98" s="251"/>
      <c r="S98" s="725"/>
      <c r="T98" s="197"/>
      <c r="U98" s="197"/>
      <c r="V98" s="197"/>
      <c r="W98" s="197"/>
      <c r="X98" s="197"/>
      <c r="Y98" s="197"/>
      <c r="Z98" s="197"/>
      <c r="AA98" s="197"/>
      <c r="AB98" s="197"/>
      <c r="AC98" s="725"/>
      <c r="AD98" s="197"/>
      <c r="AE98" s="391" t="s">
        <v>1892</v>
      </c>
      <c r="AF98" s="389" t="s">
        <v>137</v>
      </c>
      <c r="AG98" s="389" t="s">
        <v>137</v>
      </c>
      <c r="AH98" s="389" t="s">
        <v>137</v>
      </c>
      <c r="AI98" s="389" t="s">
        <v>137</v>
      </c>
      <c r="AJ98" s="389" t="s">
        <v>137</v>
      </c>
      <c r="AK98" s="389" t="s">
        <v>137</v>
      </c>
      <c r="AL98" s="389" t="s">
        <v>137</v>
      </c>
      <c r="AM98" s="389" t="s">
        <v>1344</v>
      </c>
      <c r="AN98" s="390" t="s">
        <v>1344</v>
      </c>
      <c r="AO98" s="282"/>
      <c r="AP98" s="197"/>
      <c r="AQ98" s="197"/>
      <c r="AR98" s="197"/>
      <c r="AS98" s="197"/>
    </row>
    <row r="99" spans="1:45" s="4" customFormat="1" ht="16" thickBot="1">
      <c r="A99" s="197"/>
      <c r="B99" s="392" t="s">
        <v>136</v>
      </c>
      <c r="C99" s="238">
        <v>3</v>
      </c>
      <c r="D99" s="238">
        <v>3</v>
      </c>
      <c r="E99" s="238">
        <v>3</v>
      </c>
      <c r="F99" s="238">
        <v>3</v>
      </c>
      <c r="G99" s="238">
        <v>3</v>
      </c>
      <c r="H99" s="238">
        <v>3</v>
      </c>
      <c r="I99" s="238">
        <v>3</v>
      </c>
      <c r="J99" s="238">
        <v>3</v>
      </c>
      <c r="K99" s="576">
        <v>3</v>
      </c>
      <c r="L99" s="197"/>
      <c r="M99" s="197"/>
      <c r="N99" s="197"/>
      <c r="O99" s="197"/>
      <c r="P99" s="197"/>
      <c r="Q99" s="725"/>
      <c r="R99" s="251"/>
      <c r="S99" s="725"/>
      <c r="T99" s="2662" t="s">
        <v>1890</v>
      </c>
      <c r="U99" s="2662"/>
      <c r="V99" s="2795"/>
      <c r="W99" s="2795"/>
      <c r="X99" s="2795"/>
      <c r="Y99" s="2795"/>
      <c r="Z99" s="2795"/>
      <c r="AA99" s="2795"/>
      <c r="AB99" s="2579"/>
      <c r="AC99" s="725"/>
      <c r="AD99" s="197"/>
      <c r="AE99" s="392" t="s">
        <v>136</v>
      </c>
      <c r="AF99" s="238">
        <v>3</v>
      </c>
      <c r="AG99" s="238">
        <v>3</v>
      </c>
      <c r="AH99" s="238">
        <v>3</v>
      </c>
      <c r="AI99" s="238">
        <v>3</v>
      </c>
      <c r="AJ99" s="238">
        <v>3</v>
      </c>
      <c r="AK99" s="238">
        <v>3</v>
      </c>
      <c r="AL99" s="238">
        <v>3</v>
      </c>
      <c r="AM99" s="238">
        <v>3</v>
      </c>
      <c r="AN99" s="576">
        <v>3</v>
      </c>
      <c r="AO99" s="197"/>
      <c r="AP99" s="197"/>
      <c r="AQ99" s="197"/>
      <c r="AR99" s="197"/>
      <c r="AS99" s="197"/>
    </row>
    <row r="100" spans="1:45" s="4" customFormat="1" ht="16.5" thickTop="1" thickBot="1">
      <c r="A100" s="197"/>
      <c r="B100" s="852"/>
      <c r="C100" s="852"/>
      <c r="D100" s="853"/>
      <c r="E100" s="853"/>
      <c r="F100" s="853"/>
      <c r="G100" s="853"/>
      <c r="H100" s="853"/>
      <c r="I100" s="853"/>
      <c r="J100" s="853"/>
      <c r="K100" s="853"/>
      <c r="L100" s="197"/>
      <c r="M100" s="197"/>
      <c r="N100" s="197"/>
      <c r="O100" s="197"/>
      <c r="P100" s="197"/>
      <c r="Q100" s="725"/>
      <c r="R100" s="251"/>
      <c r="S100" s="725"/>
      <c r="T100" s="236" t="s">
        <v>1898</v>
      </c>
      <c r="U100" s="222"/>
      <c r="V100" s="197"/>
      <c r="W100" s="197"/>
      <c r="X100" s="197"/>
      <c r="Y100" s="197"/>
      <c r="Z100" s="197"/>
      <c r="AA100" s="197"/>
      <c r="AB100" s="197"/>
      <c r="AC100" s="725"/>
      <c r="AD100" s="197"/>
      <c r="AE100" s="852"/>
      <c r="AF100" s="852"/>
      <c r="AG100" s="853"/>
      <c r="AH100" s="853"/>
      <c r="AI100" s="853"/>
      <c r="AJ100" s="853"/>
      <c r="AK100" s="853"/>
      <c r="AL100" s="853"/>
      <c r="AM100" s="853"/>
      <c r="AN100" s="853"/>
      <c r="AO100" s="197"/>
      <c r="AP100" s="197"/>
      <c r="AQ100" s="197"/>
      <c r="AR100" s="197"/>
      <c r="AS100" s="197"/>
    </row>
    <row r="101" spans="1:45" s="4" customFormat="1" ht="15.75" customHeight="1" thickTop="1" thickBot="1">
      <c r="A101" s="197"/>
      <c r="B101" s="355" t="s">
        <v>6343</v>
      </c>
      <c r="C101" s="356"/>
      <c r="D101" s="444"/>
      <c r="E101" s="146"/>
      <c r="F101" s="853"/>
      <c r="G101" s="853"/>
      <c r="H101" s="853"/>
      <c r="I101" s="853"/>
      <c r="J101" s="853"/>
      <c r="K101" s="853"/>
      <c r="L101" s="197"/>
      <c r="M101" s="197"/>
      <c r="N101" s="197"/>
      <c r="O101" s="197"/>
      <c r="P101" s="197"/>
      <c r="Q101" s="725"/>
      <c r="R101" s="251"/>
      <c r="S101" s="725"/>
      <c r="T101" s="197"/>
      <c r="U101" s="197"/>
      <c r="V101" s="197"/>
      <c r="W101" s="197"/>
      <c r="X101" s="197"/>
      <c r="Y101" s="197"/>
      <c r="Z101" s="197"/>
      <c r="AA101" s="197"/>
      <c r="AB101" s="197"/>
      <c r="AC101" s="725"/>
      <c r="AD101" s="197"/>
      <c r="AE101" s="355" t="s">
        <v>6343</v>
      </c>
      <c r="AF101" s="356"/>
      <c r="AG101" s="444"/>
      <c r="AH101" s="146"/>
      <c r="AI101" s="853"/>
      <c r="AJ101" s="853"/>
      <c r="AK101" s="853"/>
      <c r="AL101" s="853"/>
      <c r="AM101" s="853"/>
      <c r="AN101" s="853"/>
      <c r="AO101" s="197"/>
      <c r="AP101" s="197"/>
      <c r="AQ101" s="197"/>
      <c r="AR101" s="197"/>
      <c r="AS101" s="197"/>
    </row>
    <row r="102" spans="1:45" s="4" customFormat="1" ht="15.75" customHeight="1" thickTop="1">
      <c r="A102" s="197"/>
      <c r="B102" s="358" t="s">
        <v>6344</v>
      </c>
      <c r="C102" s="1956">
        <v>0</v>
      </c>
      <c r="D102" s="598">
        <v>0</v>
      </c>
      <c r="E102" s="598">
        <v>0</v>
      </c>
      <c r="F102" s="598">
        <v>0</v>
      </c>
      <c r="G102" s="1479">
        <f t="shared" ref="G102:G109" si="55">IFERROR(SUM(C102:F102),0)</f>
        <v>0</v>
      </c>
      <c r="H102" s="1956">
        <v>0</v>
      </c>
      <c r="I102" s="598">
        <v>0</v>
      </c>
      <c r="J102" s="1493">
        <v>0</v>
      </c>
      <c r="K102" s="1494">
        <v>0</v>
      </c>
      <c r="L102" s="197"/>
      <c r="M102" s="248" t="s">
        <v>6639</v>
      </c>
      <c r="N102" s="197"/>
      <c r="O102" s="250"/>
      <c r="P102" s="197"/>
      <c r="Q102" s="725"/>
      <c r="R102" s="251">
        <f t="shared" ref="R102:R108" si="56">IF( SUM( T102:AA102 ) = 0, 0, $T$10 )</f>
        <v>0</v>
      </c>
      <c r="S102" s="725"/>
      <c r="T102" s="252">
        <f t="shared" ref="T102:W108" si="57" xml:space="preserve"> IF( ISNUMBER(C102), 0, 1 )</f>
        <v>0</v>
      </c>
      <c r="U102" s="252">
        <f t="shared" si="57"/>
        <v>0</v>
      </c>
      <c r="V102" s="252">
        <f t="shared" si="57"/>
        <v>0</v>
      </c>
      <c r="W102" s="252">
        <f t="shared" si="57"/>
        <v>0</v>
      </c>
      <c r="X102" s="197"/>
      <c r="Y102" s="252">
        <f t="shared" ref="Y102:AB108" si="58" xml:space="preserve"> IF( ISNUMBER(H102), 0, 1 )</f>
        <v>0</v>
      </c>
      <c r="Z102" s="252">
        <f t="shared" si="58"/>
        <v>0</v>
      </c>
      <c r="AA102" s="252">
        <f t="shared" si="58"/>
        <v>0</v>
      </c>
      <c r="AB102" s="252">
        <f t="shared" si="58"/>
        <v>0</v>
      </c>
      <c r="AC102" s="725"/>
      <c r="AD102" s="197"/>
      <c r="AE102" s="358" t="s">
        <v>6344</v>
      </c>
      <c r="AF102" s="854" t="s">
        <v>349</v>
      </c>
      <c r="AG102" s="801" t="s">
        <v>377</v>
      </c>
      <c r="AH102" s="801" t="s">
        <v>405</v>
      </c>
      <c r="AI102" s="801" t="s">
        <v>433</v>
      </c>
      <c r="AJ102" s="855" t="s">
        <v>461</v>
      </c>
      <c r="AK102" s="854" t="s">
        <v>489</v>
      </c>
      <c r="AL102" s="801" t="s">
        <v>517</v>
      </c>
      <c r="AM102" s="801" t="s">
        <v>545</v>
      </c>
      <c r="AN102" s="856" t="s">
        <v>552</v>
      </c>
      <c r="AO102" s="857"/>
      <c r="AP102" s="197"/>
      <c r="AQ102" s="197"/>
      <c r="AR102" s="197"/>
      <c r="AS102" s="197"/>
    </row>
    <row r="103" spans="1:45" s="4" customFormat="1" ht="15.75" customHeight="1">
      <c r="A103" s="197"/>
      <c r="B103" s="365" t="s">
        <v>6355</v>
      </c>
      <c r="C103" s="1957">
        <v>0</v>
      </c>
      <c r="D103" s="601">
        <v>0</v>
      </c>
      <c r="E103" s="601">
        <v>0</v>
      </c>
      <c r="F103" s="601">
        <v>0</v>
      </c>
      <c r="G103" s="1481">
        <f t="shared" si="55"/>
        <v>0</v>
      </c>
      <c r="H103" s="1957">
        <v>0</v>
      </c>
      <c r="I103" s="601">
        <v>0</v>
      </c>
      <c r="J103" s="1495">
        <v>0</v>
      </c>
      <c r="K103" s="1496">
        <v>0</v>
      </c>
      <c r="L103" s="197"/>
      <c r="M103" s="257" t="s">
        <v>6640</v>
      </c>
      <c r="N103" s="197"/>
      <c r="O103" s="258"/>
      <c r="P103" s="197"/>
      <c r="Q103" s="725"/>
      <c r="R103" s="251">
        <f t="shared" si="56"/>
        <v>0</v>
      </c>
      <c r="S103" s="725"/>
      <c r="T103" s="252">
        <f t="shared" si="57"/>
        <v>0</v>
      </c>
      <c r="U103" s="252">
        <f t="shared" si="57"/>
        <v>0</v>
      </c>
      <c r="V103" s="252">
        <f t="shared" si="57"/>
        <v>0</v>
      </c>
      <c r="W103" s="252">
        <f t="shared" si="57"/>
        <v>0</v>
      </c>
      <c r="X103" s="197"/>
      <c r="Y103" s="252">
        <f t="shared" si="58"/>
        <v>0</v>
      </c>
      <c r="Z103" s="252">
        <f t="shared" si="58"/>
        <v>0</v>
      </c>
      <c r="AA103" s="252">
        <f t="shared" si="58"/>
        <v>0</v>
      </c>
      <c r="AB103" s="252">
        <f t="shared" si="58"/>
        <v>0</v>
      </c>
      <c r="AC103" s="725"/>
      <c r="AD103" s="197"/>
      <c r="AE103" s="365" t="s">
        <v>6355</v>
      </c>
      <c r="AF103" s="858" t="s">
        <v>350</v>
      </c>
      <c r="AG103" s="802" t="s">
        <v>378</v>
      </c>
      <c r="AH103" s="802" t="s">
        <v>406</v>
      </c>
      <c r="AI103" s="802" t="s">
        <v>434</v>
      </c>
      <c r="AJ103" s="859" t="s">
        <v>462</v>
      </c>
      <c r="AK103" s="858" t="s">
        <v>490</v>
      </c>
      <c r="AL103" s="802" t="s">
        <v>518</v>
      </c>
      <c r="AM103" s="802" t="s">
        <v>546</v>
      </c>
      <c r="AN103" s="860" t="s">
        <v>553</v>
      </c>
      <c r="AO103" s="857"/>
      <c r="AP103" s="197"/>
      <c r="AQ103" s="197"/>
      <c r="AR103" s="197"/>
      <c r="AS103" s="197"/>
    </row>
    <row r="104" spans="1:45" s="4" customFormat="1" ht="15.75" customHeight="1">
      <c r="A104" s="197"/>
      <c r="B104" s="365" t="s">
        <v>6366</v>
      </c>
      <c r="C104" s="1957">
        <v>0</v>
      </c>
      <c r="D104" s="601">
        <v>0</v>
      </c>
      <c r="E104" s="601">
        <v>0</v>
      </c>
      <c r="F104" s="601">
        <v>0</v>
      </c>
      <c r="G104" s="1481">
        <f t="shared" si="55"/>
        <v>0</v>
      </c>
      <c r="H104" s="1957">
        <v>0</v>
      </c>
      <c r="I104" s="601">
        <v>0</v>
      </c>
      <c r="J104" s="1495">
        <v>0</v>
      </c>
      <c r="K104" s="1496">
        <v>0</v>
      </c>
      <c r="L104" s="197"/>
      <c r="M104" s="257" t="s">
        <v>6641</v>
      </c>
      <c r="N104" s="197"/>
      <c r="O104" s="258"/>
      <c r="P104" s="197"/>
      <c r="Q104" s="725"/>
      <c r="R104" s="251">
        <f t="shared" si="56"/>
        <v>0</v>
      </c>
      <c r="S104" s="725"/>
      <c r="T104" s="252">
        <f t="shared" si="57"/>
        <v>0</v>
      </c>
      <c r="U104" s="252">
        <f t="shared" si="57"/>
        <v>0</v>
      </c>
      <c r="V104" s="252">
        <f t="shared" si="57"/>
        <v>0</v>
      </c>
      <c r="W104" s="252">
        <f t="shared" si="57"/>
        <v>0</v>
      </c>
      <c r="X104" s="197"/>
      <c r="Y104" s="252">
        <f t="shared" si="58"/>
        <v>0</v>
      </c>
      <c r="Z104" s="252">
        <f t="shared" si="58"/>
        <v>0</v>
      </c>
      <c r="AA104" s="252">
        <f t="shared" si="58"/>
        <v>0</v>
      </c>
      <c r="AB104" s="252">
        <f t="shared" si="58"/>
        <v>0</v>
      </c>
      <c r="AC104" s="725"/>
      <c r="AD104" s="197"/>
      <c r="AE104" s="365" t="s">
        <v>6366</v>
      </c>
      <c r="AF104" s="858" t="s">
        <v>351</v>
      </c>
      <c r="AG104" s="802" t="s">
        <v>379</v>
      </c>
      <c r="AH104" s="802" t="s">
        <v>407</v>
      </c>
      <c r="AI104" s="802" t="s">
        <v>435</v>
      </c>
      <c r="AJ104" s="859" t="s">
        <v>463</v>
      </c>
      <c r="AK104" s="858" t="s">
        <v>491</v>
      </c>
      <c r="AL104" s="802" t="s">
        <v>519</v>
      </c>
      <c r="AM104" s="802" t="s">
        <v>547</v>
      </c>
      <c r="AN104" s="860" t="s">
        <v>554</v>
      </c>
      <c r="AO104" s="857"/>
      <c r="AP104" s="197"/>
      <c r="AQ104" s="197"/>
      <c r="AR104" s="197"/>
      <c r="AS104" s="197"/>
    </row>
    <row r="105" spans="1:45" s="4" customFormat="1" ht="15.75" customHeight="1">
      <c r="A105" s="197"/>
      <c r="B105" s="365" t="s">
        <v>6377</v>
      </c>
      <c r="C105" s="1957">
        <v>0</v>
      </c>
      <c r="D105" s="601">
        <v>0</v>
      </c>
      <c r="E105" s="601">
        <v>0</v>
      </c>
      <c r="F105" s="601">
        <v>0</v>
      </c>
      <c r="G105" s="1481">
        <f t="shared" si="55"/>
        <v>0</v>
      </c>
      <c r="H105" s="1957">
        <v>0</v>
      </c>
      <c r="I105" s="601">
        <v>0</v>
      </c>
      <c r="J105" s="1495">
        <v>0</v>
      </c>
      <c r="K105" s="1496">
        <v>0</v>
      </c>
      <c r="L105" s="197"/>
      <c r="M105" s="257" t="s">
        <v>6642</v>
      </c>
      <c r="N105" s="197"/>
      <c r="O105" s="258"/>
      <c r="P105" s="197"/>
      <c r="Q105" s="725"/>
      <c r="R105" s="251">
        <f t="shared" si="56"/>
        <v>0</v>
      </c>
      <c r="S105" s="725"/>
      <c r="T105" s="252">
        <f t="shared" si="57"/>
        <v>0</v>
      </c>
      <c r="U105" s="252">
        <f t="shared" si="57"/>
        <v>0</v>
      </c>
      <c r="V105" s="252">
        <f t="shared" si="57"/>
        <v>0</v>
      </c>
      <c r="W105" s="252">
        <f t="shared" si="57"/>
        <v>0</v>
      </c>
      <c r="X105" s="197"/>
      <c r="Y105" s="252">
        <f t="shared" si="58"/>
        <v>0</v>
      </c>
      <c r="Z105" s="252">
        <f t="shared" si="58"/>
        <v>0</v>
      </c>
      <c r="AA105" s="252">
        <f t="shared" si="58"/>
        <v>0</v>
      </c>
      <c r="AB105" s="252">
        <f t="shared" si="58"/>
        <v>0</v>
      </c>
      <c r="AC105" s="725"/>
      <c r="AD105" s="197"/>
      <c r="AE105" s="365" t="s">
        <v>6377</v>
      </c>
      <c r="AF105" s="858" t="s">
        <v>352</v>
      </c>
      <c r="AG105" s="802" t="s">
        <v>380</v>
      </c>
      <c r="AH105" s="802" t="s">
        <v>408</v>
      </c>
      <c r="AI105" s="802" t="s">
        <v>436</v>
      </c>
      <c r="AJ105" s="859" t="s">
        <v>464</v>
      </c>
      <c r="AK105" s="858" t="s">
        <v>492</v>
      </c>
      <c r="AL105" s="802" t="s">
        <v>520</v>
      </c>
      <c r="AM105" s="802" t="s">
        <v>548</v>
      </c>
      <c r="AN105" s="860" t="s">
        <v>555</v>
      </c>
      <c r="AO105" s="857"/>
      <c r="AP105" s="197"/>
      <c r="AQ105" s="197"/>
      <c r="AR105" s="197"/>
      <c r="AS105" s="197"/>
    </row>
    <row r="106" spans="1:45" s="4" customFormat="1" ht="15.75" customHeight="1">
      <c r="A106" s="197"/>
      <c r="B106" s="365" t="s">
        <v>6388</v>
      </c>
      <c r="C106" s="1957">
        <v>0</v>
      </c>
      <c r="D106" s="601">
        <v>0</v>
      </c>
      <c r="E106" s="601">
        <v>0</v>
      </c>
      <c r="F106" s="601">
        <v>0</v>
      </c>
      <c r="G106" s="1481">
        <f t="shared" si="55"/>
        <v>0</v>
      </c>
      <c r="H106" s="1957">
        <v>0</v>
      </c>
      <c r="I106" s="601">
        <v>0</v>
      </c>
      <c r="J106" s="1495">
        <v>0</v>
      </c>
      <c r="K106" s="1496">
        <v>0</v>
      </c>
      <c r="L106" s="197"/>
      <c r="M106" s="257" t="s">
        <v>6643</v>
      </c>
      <c r="N106" s="197"/>
      <c r="O106" s="258"/>
      <c r="P106" s="197"/>
      <c r="Q106" s="725"/>
      <c r="R106" s="251">
        <f t="shared" si="56"/>
        <v>0</v>
      </c>
      <c r="S106" s="725"/>
      <c r="T106" s="252">
        <f t="shared" si="57"/>
        <v>0</v>
      </c>
      <c r="U106" s="252">
        <f t="shared" si="57"/>
        <v>0</v>
      </c>
      <c r="V106" s="252">
        <f t="shared" si="57"/>
        <v>0</v>
      </c>
      <c r="W106" s="252">
        <f t="shared" si="57"/>
        <v>0</v>
      </c>
      <c r="X106" s="197"/>
      <c r="Y106" s="252">
        <f t="shared" si="58"/>
        <v>0</v>
      </c>
      <c r="Z106" s="252">
        <f t="shared" si="58"/>
        <v>0</v>
      </c>
      <c r="AA106" s="252">
        <f t="shared" si="58"/>
        <v>0</v>
      </c>
      <c r="AB106" s="252">
        <f t="shared" si="58"/>
        <v>0</v>
      </c>
      <c r="AC106" s="725"/>
      <c r="AD106" s="197"/>
      <c r="AE106" s="365" t="s">
        <v>6388</v>
      </c>
      <c r="AF106" s="858" t="s">
        <v>353</v>
      </c>
      <c r="AG106" s="802" t="s">
        <v>381</v>
      </c>
      <c r="AH106" s="802" t="s">
        <v>409</v>
      </c>
      <c r="AI106" s="802" t="s">
        <v>437</v>
      </c>
      <c r="AJ106" s="859" t="s">
        <v>465</v>
      </c>
      <c r="AK106" s="858" t="s">
        <v>493</v>
      </c>
      <c r="AL106" s="802" t="s">
        <v>521</v>
      </c>
      <c r="AM106" s="802" t="s">
        <v>549</v>
      </c>
      <c r="AN106" s="860" t="s">
        <v>556</v>
      </c>
      <c r="AO106" s="857"/>
      <c r="AP106" s="197"/>
      <c r="AQ106" s="197"/>
      <c r="AR106" s="197"/>
      <c r="AS106" s="197"/>
    </row>
    <row r="107" spans="1:45" s="4" customFormat="1" ht="15.75" customHeight="1">
      <c r="A107" s="197"/>
      <c r="B107" s="365" t="s">
        <v>6399</v>
      </c>
      <c r="C107" s="1957">
        <v>0</v>
      </c>
      <c r="D107" s="601">
        <v>0</v>
      </c>
      <c r="E107" s="601">
        <v>0</v>
      </c>
      <c r="F107" s="601">
        <v>0</v>
      </c>
      <c r="G107" s="1481">
        <f t="shared" si="55"/>
        <v>0</v>
      </c>
      <c r="H107" s="1957">
        <v>0</v>
      </c>
      <c r="I107" s="601">
        <v>0</v>
      </c>
      <c r="J107" s="1495">
        <v>0</v>
      </c>
      <c r="K107" s="1496">
        <v>0</v>
      </c>
      <c r="L107" s="197"/>
      <c r="M107" s="257" t="s">
        <v>6644</v>
      </c>
      <c r="N107" s="197"/>
      <c r="O107" s="258"/>
      <c r="P107" s="197"/>
      <c r="Q107" s="725"/>
      <c r="R107" s="251">
        <f t="shared" si="56"/>
        <v>0</v>
      </c>
      <c r="S107" s="725"/>
      <c r="T107" s="252">
        <f t="shared" si="57"/>
        <v>0</v>
      </c>
      <c r="U107" s="252">
        <f t="shared" si="57"/>
        <v>0</v>
      </c>
      <c r="V107" s="252">
        <f t="shared" si="57"/>
        <v>0</v>
      </c>
      <c r="W107" s="252">
        <f t="shared" si="57"/>
        <v>0</v>
      </c>
      <c r="X107" s="197"/>
      <c r="Y107" s="252">
        <f t="shared" si="58"/>
        <v>0</v>
      </c>
      <c r="Z107" s="252">
        <f t="shared" si="58"/>
        <v>0</v>
      </c>
      <c r="AA107" s="252">
        <f t="shared" si="58"/>
        <v>0</v>
      </c>
      <c r="AB107" s="252">
        <f t="shared" si="58"/>
        <v>0</v>
      </c>
      <c r="AC107" s="725"/>
      <c r="AD107" s="197"/>
      <c r="AE107" s="365" t="s">
        <v>6399</v>
      </c>
      <c r="AF107" s="858" t="s">
        <v>354</v>
      </c>
      <c r="AG107" s="802" t="s">
        <v>382</v>
      </c>
      <c r="AH107" s="802" t="s">
        <v>410</v>
      </c>
      <c r="AI107" s="802" t="s">
        <v>438</v>
      </c>
      <c r="AJ107" s="859" t="s">
        <v>466</v>
      </c>
      <c r="AK107" s="858" t="s">
        <v>494</v>
      </c>
      <c r="AL107" s="802" t="s">
        <v>522</v>
      </c>
      <c r="AM107" s="802" t="s">
        <v>550</v>
      </c>
      <c r="AN107" s="860" t="s">
        <v>557</v>
      </c>
      <c r="AO107" s="857"/>
      <c r="AP107" s="197"/>
      <c r="AQ107" s="197"/>
      <c r="AR107" s="197"/>
      <c r="AS107" s="197"/>
    </row>
    <row r="108" spans="1:45" s="4" customFormat="1" ht="15.75" customHeight="1">
      <c r="A108" s="197"/>
      <c r="B108" s="365" t="s">
        <v>6410</v>
      </c>
      <c r="C108" s="1957">
        <v>0</v>
      </c>
      <c r="D108" s="601">
        <v>0</v>
      </c>
      <c r="E108" s="601">
        <v>0</v>
      </c>
      <c r="F108" s="601">
        <v>0</v>
      </c>
      <c r="G108" s="1481">
        <f t="shared" si="55"/>
        <v>0</v>
      </c>
      <c r="H108" s="1957">
        <v>0</v>
      </c>
      <c r="I108" s="601">
        <v>0</v>
      </c>
      <c r="J108" s="1495">
        <v>0</v>
      </c>
      <c r="K108" s="1496">
        <v>0</v>
      </c>
      <c r="L108" s="197"/>
      <c r="M108" s="257" t="s">
        <v>6645</v>
      </c>
      <c r="N108" s="197"/>
      <c r="O108" s="258"/>
      <c r="P108" s="197"/>
      <c r="Q108" s="725"/>
      <c r="R108" s="251">
        <f t="shared" si="56"/>
        <v>0</v>
      </c>
      <c r="S108" s="725"/>
      <c r="T108" s="252">
        <f t="shared" si="57"/>
        <v>0</v>
      </c>
      <c r="U108" s="252">
        <f t="shared" si="57"/>
        <v>0</v>
      </c>
      <c r="V108" s="252">
        <f t="shared" si="57"/>
        <v>0</v>
      </c>
      <c r="W108" s="252">
        <f t="shared" si="57"/>
        <v>0</v>
      </c>
      <c r="X108" s="197"/>
      <c r="Y108" s="252">
        <f t="shared" si="58"/>
        <v>0</v>
      </c>
      <c r="Z108" s="252">
        <f t="shared" si="58"/>
        <v>0</v>
      </c>
      <c r="AA108" s="252">
        <f t="shared" si="58"/>
        <v>0</v>
      </c>
      <c r="AB108" s="252">
        <f t="shared" si="58"/>
        <v>0</v>
      </c>
      <c r="AC108" s="725"/>
      <c r="AD108" s="197"/>
      <c r="AE108" s="365" t="s">
        <v>6410</v>
      </c>
      <c r="AF108" s="858" t="s">
        <v>355</v>
      </c>
      <c r="AG108" s="802" t="s">
        <v>383</v>
      </c>
      <c r="AH108" s="802" t="s">
        <v>411</v>
      </c>
      <c r="AI108" s="802" t="s">
        <v>439</v>
      </c>
      <c r="AJ108" s="859" t="s">
        <v>467</v>
      </c>
      <c r="AK108" s="858" t="s">
        <v>495</v>
      </c>
      <c r="AL108" s="802" t="s">
        <v>523</v>
      </c>
      <c r="AM108" s="802" t="s">
        <v>551</v>
      </c>
      <c r="AN108" s="860" t="s">
        <v>558</v>
      </c>
      <c r="AO108" s="857"/>
      <c r="AP108" s="197"/>
      <c r="AQ108" s="197"/>
      <c r="AR108" s="197"/>
      <c r="AS108" s="197"/>
    </row>
    <row r="109" spans="1:45" s="4" customFormat="1" ht="15.75" customHeight="1" thickBot="1">
      <c r="A109" s="197"/>
      <c r="B109" s="368" t="s">
        <v>2112</v>
      </c>
      <c r="C109" s="1902">
        <f>IFERROR(SUM(C102:C108), 0)</f>
        <v>0</v>
      </c>
      <c r="D109" s="1473">
        <f>IFERROR(SUM(D102:D108), 0)</f>
        <v>0</v>
      </c>
      <c r="E109" s="1473">
        <f>IFERROR(SUM(E102:E108), 0)</f>
        <v>0</v>
      </c>
      <c r="F109" s="1473">
        <f>IFERROR(SUM(F102:F108), 0)</f>
        <v>0</v>
      </c>
      <c r="G109" s="1473">
        <f t="shared" si="55"/>
        <v>0</v>
      </c>
      <c r="H109" s="1473">
        <f>IFERROR(SUM(H102:H108), 0)</f>
        <v>0</v>
      </c>
      <c r="I109" s="1473">
        <f>IFERROR(SUM(I102:I108), 0)</f>
        <v>0</v>
      </c>
      <c r="J109" s="1497"/>
      <c r="K109" s="1498"/>
      <c r="L109" s="197"/>
      <c r="M109" s="538" t="s">
        <v>6646</v>
      </c>
      <c r="N109" s="197"/>
      <c r="O109" s="269"/>
      <c r="P109" s="197"/>
      <c r="Q109" s="725"/>
      <c r="R109" s="251"/>
      <c r="S109" s="725"/>
      <c r="T109" s="197"/>
      <c r="U109" s="197"/>
      <c r="V109" s="197"/>
      <c r="W109" s="197"/>
      <c r="X109" s="197"/>
      <c r="Y109" s="197"/>
      <c r="Z109" s="197"/>
      <c r="AA109" s="197"/>
      <c r="AB109" s="197"/>
      <c r="AC109" s="725"/>
      <c r="AD109" s="197"/>
      <c r="AE109" s="368" t="s">
        <v>2112</v>
      </c>
      <c r="AF109" s="861" t="s">
        <v>356</v>
      </c>
      <c r="AG109" s="583" t="s">
        <v>384</v>
      </c>
      <c r="AH109" s="583" t="s">
        <v>412</v>
      </c>
      <c r="AI109" s="583" t="s">
        <v>440</v>
      </c>
      <c r="AJ109" s="583" t="s">
        <v>468</v>
      </c>
      <c r="AK109" s="583" t="s">
        <v>496</v>
      </c>
      <c r="AL109" s="583" t="s">
        <v>524</v>
      </c>
      <c r="AM109" s="862" t="s">
        <v>6647</v>
      </c>
      <c r="AN109" s="863" t="s">
        <v>6647</v>
      </c>
      <c r="AO109" s="864"/>
      <c r="AP109" s="197"/>
      <c r="AQ109" s="197"/>
      <c r="AR109" s="197"/>
      <c r="AS109" s="197"/>
    </row>
    <row r="110" spans="1:45" s="4" customFormat="1" ht="15.75" customHeight="1" thickTop="1" thickBot="1">
      <c r="A110" s="197"/>
      <c r="B110" s="865"/>
      <c r="C110" s="1487"/>
      <c r="D110" s="1488"/>
      <c r="E110" s="1488"/>
      <c r="F110" s="1488"/>
      <c r="G110" s="1488"/>
      <c r="H110" s="1487"/>
      <c r="I110" s="1487"/>
      <c r="J110" s="1499"/>
      <c r="K110" s="1499"/>
      <c r="L110" s="197"/>
      <c r="M110" s="222" t="s">
        <v>4435</v>
      </c>
      <c r="N110" s="197"/>
      <c r="O110" s="197"/>
      <c r="P110" s="197"/>
      <c r="Q110" s="725"/>
      <c r="R110" s="251"/>
      <c r="S110" s="725"/>
      <c r="T110" s="197"/>
      <c r="U110" s="197"/>
      <c r="V110" s="197"/>
      <c r="W110" s="197"/>
      <c r="X110" s="197"/>
      <c r="Y110" s="197"/>
      <c r="Z110" s="197"/>
      <c r="AA110" s="197"/>
      <c r="AB110" s="197"/>
      <c r="AC110" s="725"/>
      <c r="AD110" s="197"/>
      <c r="AE110" s="865"/>
      <c r="AF110" s="865"/>
      <c r="AG110" s="866"/>
      <c r="AH110" s="866"/>
      <c r="AI110" s="866"/>
      <c r="AJ110" s="866"/>
      <c r="AK110" s="867"/>
      <c r="AL110" s="867"/>
      <c r="AM110" s="868"/>
      <c r="AN110" s="868"/>
      <c r="AO110" s="2560"/>
      <c r="AP110" s="197"/>
      <c r="AQ110" s="197"/>
      <c r="AR110" s="197"/>
      <c r="AS110" s="197"/>
    </row>
    <row r="111" spans="1:45" s="4" customFormat="1" ht="15.75" customHeight="1" thickTop="1" thickBot="1">
      <c r="A111" s="197"/>
      <c r="B111" s="355" t="s">
        <v>6429</v>
      </c>
      <c r="C111" s="633"/>
      <c r="D111" s="1487"/>
      <c r="E111" s="1487"/>
      <c r="F111" s="1487"/>
      <c r="G111" s="1487"/>
      <c r="H111" s="1487"/>
      <c r="I111" s="1487"/>
      <c r="J111" s="1499"/>
      <c r="K111" s="1499"/>
      <c r="L111" s="197"/>
      <c r="M111" s="222" t="s">
        <v>4435</v>
      </c>
      <c r="N111" s="197"/>
      <c r="O111" s="197"/>
      <c r="P111" s="197"/>
      <c r="Q111" s="725"/>
      <c r="R111" s="251"/>
      <c r="S111" s="725"/>
      <c r="T111" s="197"/>
      <c r="U111" s="197"/>
      <c r="V111" s="197"/>
      <c r="W111" s="197"/>
      <c r="X111" s="197"/>
      <c r="Y111" s="197"/>
      <c r="Z111" s="197"/>
      <c r="AA111" s="197"/>
      <c r="AB111" s="197"/>
      <c r="AC111" s="725"/>
      <c r="AD111" s="197"/>
      <c r="AE111" s="355" t="s">
        <v>6429</v>
      </c>
      <c r="AF111" s="356"/>
      <c r="AG111" s="867"/>
      <c r="AH111" s="867"/>
      <c r="AI111" s="867"/>
      <c r="AJ111" s="867"/>
      <c r="AK111" s="867"/>
      <c r="AL111" s="867"/>
      <c r="AM111" s="868"/>
      <c r="AN111" s="868"/>
      <c r="AO111" s="2560"/>
      <c r="AP111" s="197"/>
      <c r="AQ111" s="197"/>
      <c r="AR111" s="197"/>
      <c r="AS111" s="197"/>
    </row>
    <row r="112" spans="1:45" s="4" customFormat="1" ht="15.75" customHeight="1" thickTop="1">
      <c r="A112" s="197"/>
      <c r="B112" s="358" t="s">
        <v>6430</v>
      </c>
      <c r="C112" s="1956">
        <v>0</v>
      </c>
      <c r="D112" s="598">
        <v>0</v>
      </c>
      <c r="E112" s="598">
        <v>0</v>
      </c>
      <c r="F112" s="598">
        <v>0</v>
      </c>
      <c r="G112" s="1479">
        <f>IFERROR(SUM(C112:F112),0)</f>
        <v>0</v>
      </c>
      <c r="H112" s="598">
        <v>0</v>
      </c>
      <c r="I112" s="598">
        <v>0</v>
      </c>
      <c r="J112" s="1500"/>
      <c r="K112" s="1501"/>
      <c r="L112" s="197"/>
      <c r="M112" s="248" t="s">
        <v>6648</v>
      </c>
      <c r="N112" s="197"/>
      <c r="O112" s="250"/>
      <c r="P112" s="197"/>
      <c r="Q112" s="725"/>
      <c r="R112" s="251">
        <f>IF( SUM( T112:AA112 ) = 0, 0, $T$10 )</f>
        <v>0</v>
      </c>
      <c r="S112" s="725"/>
      <c r="T112" s="252">
        <f t="shared" ref="T112:W115" si="59" xml:space="preserve"> IF( ISNUMBER(C112), 0, 1 )</f>
        <v>0</v>
      </c>
      <c r="U112" s="252">
        <f t="shared" si="59"/>
        <v>0</v>
      </c>
      <c r="V112" s="252">
        <f t="shared" si="59"/>
        <v>0</v>
      </c>
      <c r="W112" s="252">
        <f t="shared" si="59"/>
        <v>0</v>
      </c>
      <c r="X112" s="197"/>
      <c r="Y112" s="252">
        <f t="shared" ref="Y112:Z115" si="60" xml:space="preserve"> IF( ISNUMBER(H112), 0, 1 )</f>
        <v>0</v>
      </c>
      <c r="Z112" s="252">
        <f t="shared" si="60"/>
        <v>0</v>
      </c>
      <c r="AA112" s="197"/>
      <c r="AB112" s="197"/>
      <c r="AC112" s="725"/>
      <c r="AD112" s="197"/>
      <c r="AE112" s="358" t="s">
        <v>6430</v>
      </c>
      <c r="AF112" s="854" t="s">
        <v>357</v>
      </c>
      <c r="AG112" s="801" t="s">
        <v>385</v>
      </c>
      <c r="AH112" s="801" t="s">
        <v>413</v>
      </c>
      <c r="AI112" s="801" t="s">
        <v>441</v>
      </c>
      <c r="AJ112" s="855" t="s">
        <v>469</v>
      </c>
      <c r="AK112" s="801" t="s">
        <v>497</v>
      </c>
      <c r="AL112" s="801" t="s">
        <v>525</v>
      </c>
      <c r="AM112" s="869"/>
      <c r="AN112" s="870"/>
      <c r="AO112" s="857"/>
      <c r="AP112" s="197"/>
      <c r="AQ112" s="197"/>
      <c r="AR112" s="197"/>
      <c r="AS112" s="197"/>
    </row>
    <row r="113" spans="1:45" s="4" customFormat="1" ht="15.75" customHeight="1">
      <c r="A113" s="197"/>
      <c r="B113" s="365" t="s">
        <v>6439</v>
      </c>
      <c r="C113" s="1957">
        <v>0</v>
      </c>
      <c r="D113" s="601">
        <v>0</v>
      </c>
      <c r="E113" s="601">
        <v>0</v>
      </c>
      <c r="F113" s="601">
        <v>0</v>
      </c>
      <c r="G113" s="1481">
        <f>IFERROR(SUM(C113:F113),0)</f>
        <v>0</v>
      </c>
      <c r="H113" s="601">
        <v>0</v>
      </c>
      <c r="I113" s="601">
        <v>0</v>
      </c>
      <c r="J113" s="1502"/>
      <c r="K113" s="1503"/>
      <c r="L113" s="197"/>
      <c r="M113" s="257" t="s">
        <v>6649</v>
      </c>
      <c r="N113" s="197"/>
      <c r="O113" s="258"/>
      <c r="P113" s="197"/>
      <c r="Q113" s="725"/>
      <c r="R113" s="251">
        <f>IF( SUM( T113:AA113 ) = 0, 0, $T$10 )</f>
        <v>0</v>
      </c>
      <c r="S113" s="725"/>
      <c r="T113" s="252">
        <f t="shared" si="59"/>
        <v>0</v>
      </c>
      <c r="U113" s="252">
        <f t="shared" si="59"/>
        <v>0</v>
      </c>
      <c r="V113" s="252">
        <f t="shared" si="59"/>
        <v>0</v>
      </c>
      <c r="W113" s="252">
        <f t="shared" si="59"/>
        <v>0</v>
      </c>
      <c r="X113" s="197"/>
      <c r="Y113" s="252">
        <f t="shared" si="60"/>
        <v>0</v>
      </c>
      <c r="Z113" s="252">
        <f t="shared" si="60"/>
        <v>0</v>
      </c>
      <c r="AA113" s="197"/>
      <c r="AB113" s="197"/>
      <c r="AC113" s="725"/>
      <c r="AD113" s="197"/>
      <c r="AE113" s="365" t="s">
        <v>6439</v>
      </c>
      <c r="AF113" s="858" t="s">
        <v>358</v>
      </c>
      <c r="AG113" s="802" t="s">
        <v>386</v>
      </c>
      <c r="AH113" s="802" t="s">
        <v>414</v>
      </c>
      <c r="AI113" s="802" t="s">
        <v>442</v>
      </c>
      <c r="AJ113" s="859" t="s">
        <v>470</v>
      </c>
      <c r="AK113" s="802" t="s">
        <v>498</v>
      </c>
      <c r="AL113" s="802" t="s">
        <v>526</v>
      </c>
      <c r="AM113" s="871"/>
      <c r="AN113" s="872"/>
      <c r="AO113" s="857"/>
      <c r="AP113" s="197"/>
      <c r="AQ113" s="197"/>
      <c r="AR113" s="197"/>
      <c r="AS113" s="197"/>
    </row>
    <row r="114" spans="1:45" s="4" customFormat="1" ht="15.75" customHeight="1">
      <c r="A114" s="197"/>
      <c r="B114" s="365" t="s">
        <v>6448</v>
      </c>
      <c r="C114" s="1957">
        <v>0</v>
      </c>
      <c r="D114" s="601">
        <v>0</v>
      </c>
      <c r="E114" s="601">
        <v>0</v>
      </c>
      <c r="F114" s="601">
        <v>0</v>
      </c>
      <c r="G114" s="1481">
        <f>IFERROR(SUM(C114:F114),0)</f>
        <v>0</v>
      </c>
      <c r="H114" s="601">
        <v>0</v>
      </c>
      <c r="I114" s="601">
        <v>0</v>
      </c>
      <c r="J114" s="1502"/>
      <c r="K114" s="1503"/>
      <c r="L114" s="197"/>
      <c r="M114" s="257" t="s">
        <v>6650</v>
      </c>
      <c r="N114" s="197"/>
      <c r="O114" s="258"/>
      <c r="P114" s="197"/>
      <c r="Q114" s="725"/>
      <c r="R114" s="251">
        <f>IF( SUM( T114:AA114 ) = 0, 0, $T$10 )</f>
        <v>0</v>
      </c>
      <c r="S114" s="725"/>
      <c r="T114" s="252">
        <f t="shared" si="59"/>
        <v>0</v>
      </c>
      <c r="U114" s="252">
        <f t="shared" si="59"/>
        <v>0</v>
      </c>
      <c r="V114" s="252">
        <f t="shared" si="59"/>
        <v>0</v>
      </c>
      <c r="W114" s="252">
        <f t="shared" si="59"/>
        <v>0</v>
      </c>
      <c r="X114" s="197"/>
      <c r="Y114" s="252">
        <f t="shared" si="60"/>
        <v>0</v>
      </c>
      <c r="Z114" s="252">
        <f t="shared" si="60"/>
        <v>0</v>
      </c>
      <c r="AA114" s="197"/>
      <c r="AB114" s="197"/>
      <c r="AC114" s="725"/>
      <c r="AD114" s="197"/>
      <c r="AE114" s="365" t="s">
        <v>6448</v>
      </c>
      <c r="AF114" s="858" t="s">
        <v>359</v>
      </c>
      <c r="AG114" s="802" t="s">
        <v>387</v>
      </c>
      <c r="AH114" s="802" t="s">
        <v>415</v>
      </c>
      <c r="AI114" s="802" t="s">
        <v>443</v>
      </c>
      <c r="AJ114" s="859" t="s">
        <v>471</v>
      </c>
      <c r="AK114" s="802" t="s">
        <v>499</v>
      </c>
      <c r="AL114" s="802" t="s">
        <v>527</v>
      </c>
      <c r="AM114" s="871"/>
      <c r="AN114" s="872"/>
      <c r="AO114" s="857"/>
      <c r="AP114" s="197"/>
      <c r="AQ114" s="197"/>
      <c r="AR114" s="197"/>
      <c r="AS114" s="197"/>
    </row>
    <row r="115" spans="1:45" s="4" customFormat="1" ht="15.75" customHeight="1">
      <c r="A115" s="197"/>
      <c r="B115" s="365" t="s">
        <v>6457</v>
      </c>
      <c r="C115" s="1957">
        <v>0</v>
      </c>
      <c r="D115" s="601">
        <v>0</v>
      </c>
      <c r="E115" s="601">
        <v>0</v>
      </c>
      <c r="F115" s="601">
        <v>0</v>
      </c>
      <c r="G115" s="1481">
        <f>IFERROR(SUM(C115:F115),0)</f>
        <v>0</v>
      </c>
      <c r="H115" s="601">
        <v>0</v>
      </c>
      <c r="I115" s="601">
        <v>0</v>
      </c>
      <c r="J115" s="1502"/>
      <c r="K115" s="1503"/>
      <c r="L115" s="197"/>
      <c r="M115" s="257" t="s">
        <v>6651</v>
      </c>
      <c r="N115" s="197"/>
      <c r="O115" s="258"/>
      <c r="P115" s="197"/>
      <c r="Q115" s="725"/>
      <c r="R115" s="251">
        <f>IF( SUM( T115:AA115 ) = 0, 0, $T$10 )</f>
        <v>0</v>
      </c>
      <c r="S115" s="725"/>
      <c r="T115" s="252">
        <f t="shared" si="59"/>
        <v>0</v>
      </c>
      <c r="U115" s="252">
        <f t="shared" si="59"/>
        <v>0</v>
      </c>
      <c r="V115" s="252">
        <f t="shared" si="59"/>
        <v>0</v>
      </c>
      <c r="W115" s="252">
        <f t="shared" si="59"/>
        <v>0</v>
      </c>
      <c r="X115" s="197"/>
      <c r="Y115" s="252">
        <f t="shared" si="60"/>
        <v>0</v>
      </c>
      <c r="Z115" s="252">
        <f t="shared" si="60"/>
        <v>0</v>
      </c>
      <c r="AA115" s="197"/>
      <c r="AB115" s="197"/>
      <c r="AC115" s="725"/>
      <c r="AD115" s="197"/>
      <c r="AE115" s="365" t="s">
        <v>6457</v>
      </c>
      <c r="AF115" s="858" t="s">
        <v>360</v>
      </c>
      <c r="AG115" s="802" t="s">
        <v>388</v>
      </c>
      <c r="AH115" s="802" t="s">
        <v>416</v>
      </c>
      <c r="AI115" s="802" t="s">
        <v>444</v>
      </c>
      <c r="AJ115" s="859" t="s">
        <v>472</v>
      </c>
      <c r="AK115" s="802" t="s">
        <v>500</v>
      </c>
      <c r="AL115" s="802" t="s">
        <v>528</v>
      </c>
      <c r="AM115" s="871"/>
      <c r="AN115" s="872"/>
      <c r="AO115" s="857"/>
      <c r="AP115" s="197"/>
      <c r="AQ115" s="197"/>
      <c r="AR115" s="197"/>
      <c r="AS115" s="197"/>
    </row>
    <row r="116" spans="1:45" s="4" customFormat="1" ht="15.75" customHeight="1" thickBot="1">
      <c r="A116" s="197"/>
      <c r="B116" s="368" t="s">
        <v>2112</v>
      </c>
      <c r="C116" s="1902">
        <f>IFERROR(SUM(C112:C115), 0)</f>
        <v>0</v>
      </c>
      <c r="D116" s="1473">
        <f>IFERROR(SUM(D112:D115), 0)</f>
        <v>0</v>
      </c>
      <c r="E116" s="1473">
        <f>IFERROR(SUM(E112:E115), 0)</f>
        <v>0</v>
      </c>
      <c r="F116" s="1473">
        <f>IFERROR(SUM(F112:F115), 0)</f>
        <v>0</v>
      </c>
      <c r="G116" s="1473">
        <f>IFERROR(SUM(C116:F116),0)</f>
        <v>0</v>
      </c>
      <c r="H116" s="1473">
        <f>IFERROR(SUM(H112:H115), 0)</f>
        <v>0</v>
      </c>
      <c r="I116" s="1473">
        <f>IFERROR(SUM(I112:I115), 0)</f>
        <v>0</v>
      </c>
      <c r="J116" s="1497"/>
      <c r="K116" s="1498"/>
      <c r="L116" s="197"/>
      <c r="M116" s="320" t="s">
        <v>6652</v>
      </c>
      <c r="N116" s="197"/>
      <c r="O116" s="269"/>
      <c r="P116" s="197"/>
      <c r="Q116" s="725"/>
      <c r="R116" s="251"/>
      <c r="S116" s="725"/>
      <c r="T116" s="197"/>
      <c r="U116" s="197"/>
      <c r="V116" s="197"/>
      <c r="W116" s="197"/>
      <c r="X116" s="197"/>
      <c r="Y116" s="197"/>
      <c r="Z116" s="197"/>
      <c r="AA116" s="197"/>
      <c r="AB116" s="197"/>
      <c r="AC116" s="725"/>
      <c r="AD116" s="197"/>
      <c r="AE116" s="368" t="s">
        <v>2112</v>
      </c>
      <c r="AF116" s="861" t="s">
        <v>361</v>
      </c>
      <c r="AG116" s="583" t="s">
        <v>389</v>
      </c>
      <c r="AH116" s="583" t="s">
        <v>417</v>
      </c>
      <c r="AI116" s="583" t="s">
        <v>445</v>
      </c>
      <c r="AJ116" s="583" t="s">
        <v>473</v>
      </c>
      <c r="AK116" s="583" t="s">
        <v>501</v>
      </c>
      <c r="AL116" s="583" t="s">
        <v>529</v>
      </c>
      <c r="AM116" s="862"/>
      <c r="AN116" s="863"/>
      <c r="AO116" s="857"/>
      <c r="AP116" s="197"/>
      <c r="AQ116" s="197"/>
      <c r="AR116" s="197"/>
      <c r="AS116" s="197"/>
    </row>
    <row r="117" spans="1:45" s="4" customFormat="1" ht="15.75" customHeight="1" thickTop="1" thickBot="1">
      <c r="A117" s="197"/>
      <c r="B117" s="852"/>
      <c r="C117" s="1489"/>
      <c r="D117" s="1487"/>
      <c r="E117" s="1487"/>
      <c r="F117" s="1487"/>
      <c r="G117" s="1487"/>
      <c r="H117" s="1487"/>
      <c r="I117" s="1487"/>
      <c r="J117" s="1499"/>
      <c r="K117" s="1499"/>
      <c r="L117" s="197"/>
      <c r="M117" s="197" t="s">
        <v>4435</v>
      </c>
      <c r="N117" s="197"/>
      <c r="O117" s="197"/>
      <c r="P117" s="197"/>
      <c r="Q117" s="725"/>
      <c r="R117" s="251"/>
      <c r="S117" s="725"/>
      <c r="T117" s="197"/>
      <c r="U117" s="197"/>
      <c r="V117" s="197"/>
      <c r="W117" s="197"/>
      <c r="X117" s="197"/>
      <c r="Y117" s="197"/>
      <c r="Z117" s="197"/>
      <c r="AA117" s="197"/>
      <c r="AB117" s="197"/>
      <c r="AC117" s="725"/>
      <c r="AD117" s="197"/>
      <c r="AE117" s="852"/>
      <c r="AF117" s="852"/>
      <c r="AG117" s="867"/>
      <c r="AH117" s="867"/>
      <c r="AI117" s="867"/>
      <c r="AJ117" s="867"/>
      <c r="AK117" s="867"/>
      <c r="AL117" s="867"/>
      <c r="AM117" s="868"/>
      <c r="AN117" s="868"/>
      <c r="AO117" s="197"/>
      <c r="AP117" s="197"/>
      <c r="AQ117" s="197"/>
      <c r="AR117" s="197"/>
      <c r="AS117" s="197"/>
    </row>
    <row r="118" spans="1:45" s="4" customFormat="1" ht="15.75" customHeight="1" thickTop="1" thickBot="1">
      <c r="A118" s="197"/>
      <c r="B118" s="355" t="s">
        <v>6474</v>
      </c>
      <c r="C118" s="633"/>
      <c r="D118" s="1487"/>
      <c r="E118" s="1487"/>
      <c r="F118" s="1487"/>
      <c r="G118" s="1487"/>
      <c r="H118" s="1487"/>
      <c r="I118" s="1487"/>
      <c r="J118" s="1499"/>
      <c r="K118" s="1499"/>
      <c r="L118" s="197"/>
      <c r="M118" s="222" t="s">
        <v>4435</v>
      </c>
      <c r="N118" s="197"/>
      <c r="O118" s="197"/>
      <c r="P118" s="197"/>
      <c r="Q118" s="725"/>
      <c r="R118" s="251"/>
      <c r="S118" s="725"/>
      <c r="T118" s="197"/>
      <c r="U118" s="197"/>
      <c r="V118" s="197"/>
      <c r="W118" s="197"/>
      <c r="X118" s="197"/>
      <c r="Y118" s="197"/>
      <c r="Z118" s="197"/>
      <c r="AA118" s="197"/>
      <c r="AB118" s="197"/>
      <c r="AC118" s="725"/>
      <c r="AD118" s="197"/>
      <c r="AE118" s="355" t="s">
        <v>6474</v>
      </c>
      <c r="AF118" s="356"/>
      <c r="AG118" s="867"/>
      <c r="AH118" s="867"/>
      <c r="AI118" s="867"/>
      <c r="AJ118" s="867"/>
      <c r="AK118" s="867"/>
      <c r="AL118" s="867"/>
      <c r="AM118" s="868"/>
      <c r="AN118" s="868"/>
      <c r="AO118" s="2560"/>
      <c r="AP118" s="197"/>
      <c r="AQ118" s="197"/>
      <c r="AR118" s="197"/>
      <c r="AS118" s="197"/>
    </row>
    <row r="119" spans="1:45" s="4" customFormat="1" ht="15.75" customHeight="1" thickTop="1">
      <c r="A119" s="197"/>
      <c r="B119" s="358" t="s">
        <v>6475</v>
      </c>
      <c r="C119" s="1956">
        <v>0</v>
      </c>
      <c r="D119" s="598">
        <v>0</v>
      </c>
      <c r="E119" s="598">
        <v>0</v>
      </c>
      <c r="F119" s="598">
        <v>0</v>
      </c>
      <c r="G119" s="1479">
        <f>IFERROR(SUM(C119:F119),0)</f>
        <v>0</v>
      </c>
      <c r="H119" s="598">
        <v>0</v>
      </c>
      <c r="I119" s="598">
        <v>0</v>
      </c>
      <c r="J119" s="1500"/>
      <c r="K119" s="1501"/>
      <c r="L119" s="197"/>
      <c r="M119" s="248" t="s">
        <v>6653</v>
      </c>
      <c r="N119" s="197"/>
      <c r="O119" s="250"/>
      <c r="P119" s="197"/>
      <c r="Q119" s="725"/>
      <c r="R119" s="251">
        <f>IF( SUM( T119:AA119 ) = 0, 0, $T$10 )</f>
        <v>0</v>
      </c>
      <c r="S119" s="725"/>
      <c r="T119" s="252">
        <f t="shared" ref="T119:W122" si="61" xml:space="preserve"> IF( ISNUMBER(C119), 0, 1 )</f>
        <v>0</v>
      </c>
      <c r="U119" s="252">
        <f t="shared" si="61"/>
        <v>0</v>
      </c>
      <c r="V119" s="252">
        <f t="shared" si="61"/>
        <v>0</v>
      </c>
      <c r="W119" s="252">
        <f t="shared" si="61"/>
        <v>0</v>
      </c>
      <c r="X119" s="197"/>
      <c r="Y119" s="252">
        <f t="shared" ref="Y119:Z122" si="62" xml:space="preserve"> IF( ISNUMBER(H119), 0, 1 )</f>
        <v>0</v>
      </c>
      <c r="Z119" s="252">
        <f t="shared" si="62"/>
        <v>0</v>
      </c>
      <c r="AA119" s="197"/>
      <c r="AB119" s="197"/>
      <c r="AC119" s="725"/>
      <c r="AD119" s="197"/>
      <c r="AE119" s="358" t="s">
        <v>6475</v>
      </c>
      <c r="AF119" s="854" t="s">
        <v>362</v>
      </c>
      <c r="AG119" s="801" t="s">
        <v>390</v>
      </c>
      <c r="AH119" s="801" t="s">
        <v>418</v>
      </c>
      <c r="AI119" s="801" t="s">
        <v>446</v>
      </c>
      <c r="AJ119" s="855" t="s">
        <v>474</v>
      </c>
      <c r="AK119" s="801" t="s">
        <v>502</v>
      </c>
      <c r="AL119" s="801" t="s">
        <v>530</v>
      </c>
      <c r="AM119" s="869"/>
      <c r="AN119" s="870"/>
      <c r="AO119" s="857"/>
      <c r="AP119" s="197"/>
      <c r="AQ119" s="197"/>
      <c r="AR119" s="197"/>
      <c r="AS119" s="197"/>
    </row>
    <row r="120" spans="1:45" s="4" customFormat="1" ht="15.75" customHeight="1">
      <c r="A120" s="197"/>
      <c r="B120" s="365" t="s">
        <v>6484</v>
      </c>
      <c r="C120" s="1957">
        <v>0</v>
      </c>
      <c r="D120" s="601">
        <v>0</v>
      </c>
      <c r="E120" s="601">
        <v>0</v>
      </c>
      <c r="F120" s="601">
        <v>0</v>
      </c>
      <c r="G120" s="1481">
        <f>IFERROR(SUM(C120:F120),0)</f>
        <v>0</v>
      </c>
      <c r="H120" s="601">
        <v>0</v>
      </c>
      <c r="I120" s="601">
        <v>0</v>
      </c>
      <c r="J120" s="1502"/>
      <c r="K120" s="1503"/>
      <c r="L120" s="197"/>
      <c r="M120" s="257" t="s">
        <v>6654</v>
      </c>
      <c r="N120" s="197"/>
      <c r="O120" s="258"/>
      <c r="P120" s="197"/>
      <c r="Q120" s="725"/>
      <c r="R120" s="251">
        <f>IF( SUM( T120:AA120 ) = 0, 0, $T$10 )</f>
        <v>0</v>
      </c>
      <c r="S120" s="725"/>
      <c r="T120" s="252">
        <f t="shared" si="61"/>
        <v>0</v>
      </c>
      <c r="U120" s="252">
        <f t="shared" si="61"/>
        <v>0</v>
      </c>
      <c r="V120" s="252">
        <f t="shared" si="61"/>
        <v>0</v>
      </c>
      <c r="W120" s="252">
        <f t="shared" si="61"/>
        <v>0</v>
      </c>
      <c r="X120" s="197"/>
      <c r="Y120" s="252">
        <f t="shared" si="62"/>
        <v>0</v>
      </c>
      <c r="Z120" s="252">
        <f t="shared" si="62"/>
        <v>0</v>
      </c>
      <c r="AA120" s="197"/>
      <c r="AB120" s="197"/>
      <c r="AC120" s="725"/>
      <c r="AD120" s="197"/>
      <c r="AE120" s="365" t="s">
        <v>6484</v>
      </c>
      <c r="AF120" s="858" t="s">
        <v>363</v>
      </c>
      <c r="AG120" s="802" t="s">
        <v>391</v>
      </c>
      <c r="AH120" s="802" t="s">
        <v>419</v>
      </c>
      <c r="AI120" s="802" t="s">
        <v>447</v>
      </c>
      <c r="AJ120" s="859" t="s">
        <v>475</v>
      </c>
      <c r="AK120" s="802" t="s">
        <v>503</v>
      </c>
      <c r="AL120" s="802" t="s">
        <v>531</v>
      </c>
      <c r="AM120" s="871"/>
      <c r="AN120" s="872"/>
      <c r="AO120" s="857"/>
      <c r="AP120" s="197"/>
      <c r="AQ120" s="197"/>
      <c r="AR120" s="197"/>
      <c r="AS120" s="197"/>
    </row>
    <row r="121" spans="1:45" s="4" customFormat="1" ht="15.75" customHeight="1">
      <c r="A121" s="197"/>
      <c r="B121" s="365" t="s">
        <v>6493</v>
      </c>
      <c r="C121" s="1957">
        <v>0</v>
      </c>
      <c r="D121" s="601">
        <v>0</v>
      </c>
      <c r="E121" s="601">
        <v>0</v>
      </c>
      <c r="F121" s="601">
        <v>0</v>
      </c>
      <c r="G121" s="1481">
        <f>IFERROR(SUM(C121:F121),0)</f>
        <v>0</v>
      </c>
      <c r="H121" s="601">
        <v>0</v>
      </c>
      <c r="I121" s="601">
        <v>0</v>
      </c>
      <c r="J121" s="1502"/>
      <c r="K121" s="1503"/>
      <c r="L121" s="197"/>
      <c r="M121" s="257" t="s">
        <v>6655</v>
      </c>
      <c r="N121" s="197"/>
      <c r="O121" s="258"/>
      <c r="P121" s="197"/>
      <c r="Q121" s="725"/>
      <c r="R121" s="251">
        <f>IF( SUM( T121:AA121 ) = 0, 0, $T$10 )</f>
        <v>0</v>
      </c>
      <c r="S121" s="725"/>
      <c r="T121" s="252">
        <f t="shared" si="61"/>
        <v>0</v>
      </c>
      <c r="U121" s="252">
        <f t="shared" si="61"/>
        <v>0</v>
      </c>
      <c r="V121" s="252">
        <f t="shared" si="61"/>
        <v>0</v>
      </c>
      <c r="W121" s="252">
        <f t="shared" si="61"/>
        <v>0</v>
      </c>
      <c r="X121" s="197"/>
      <c r="Y121" s="252">
        <f t="shared" si="62"/>
        <v>0</v>
      </c>
      <c r="Z121" s="252">
        <f t="shared" si="62"/>
        <v>0</v>
      </c>
      <c r="AA121" s="197"/>
      <c r="AB121" s="197"/>
      <c r="AC121" s="725"/>
      <c r="AD121" s="197"/>
      <c r="AE121" s="365" t="s">
        <v>6493</v>
      </c>
      <c r="AF121" s="858" t="s">
        <v>364</v>
      </c>
      <c r="AG121" s="802" t="s">
        <v>392</v>
      </c>
      <c r="AH121" s="802" t="s">
        <v>420</v>
      </c>
      <c r="AI121" s="802" t="s">
        <v>448</v>
      </c>
      <c r="AJ121" s="859" t="s">
        <v>476</v>
      </c>
      <c r="AK121" s="802" t="s">
        <v>504</v>
      </c>
      <c r="AL121" s="802" t="s">
        <v>532</v>
      </c>
      <c r="AM121" s="871"/>
      <c r="AN121" s="872"/>
      <c r="AO121" s="857"/>
      <c r="AP121" s="197"/>
      <c r="AQ121" s="197"/>
      <c r="AR121" s="197"/>
      <c r="AS121" s="197"/>
    </row>
    <row r="122" spans="1:45" s="4" customFormat="1" ht="15.75" customHeight="1">
      <c r="A122" s="197"/>
      <c r="B122" s="365" t="s">
        <v>6502</v>
      </c>
      <c r="C122" s="1957">
        <v>0</v>
      </c>
      <c r="D122" s="601">
        <v>0</v>
      </c>
      <c r="E122" s="601">
        <v>0</v>
      </c>
      <c r="F122" s="601">
        <v>0</v>
      </c>
      <c r="G122" s="1481">
        <f>IFERROR(SUM(C122:F122),0)</f>
        <v>0</v>
      </c>
      <c r="H122" s="601">
        <v>0</v>
      </c>
      <c r="I122" s="601">
        <v>0</v>
      </c>
      <c r="J122" s="1502"/>
      <c r="K122" s="1503"/>
      <c r="L122" s="197"/>
      <c r="M122" s="257" t="s">
        <v>6656</v>
      </c>
      <c r="N122" s="197"/>
      <c r="O122" s="258"/>
      <c r="P122" s="197"/>
      <c r="Q122" s="725"/>
      <c r="R122" s="251">
        <f>IF( SUM( T122:AA122 ) = 0, 0, $T$10 )</f>
        <v>0</v>
      </c>
      <c r="S122" s="725"/>
      <c r="T122" s="252">
        <f t="shared" si="61"/>
        <v>0</v>
      </c>
      <c r="U122" s="252">
        <f t="shared" si="61"/>
        <v>0</v>
      </c>
      <c r="V122" s="252">
        <f t="shared" si="61"/>
        <v>0</v>
      </c>
      <c r="W122" s="252">
        <f t="shared" si="61"/>
        <v>0</v>
      </c>
      <c r="X122" s="197"/>
      <c r="Y122" s="252">
        <f t="shared" si="62"/>
        <v>0</v>
      </c>
      <c r="Z122" s="252">
        <f t="shared" si="62"/>
        <v>0</v>
      </c>
      <c r="AA122" s="197"/>
      <c r="AB122" s="197"/>
      <c r="AC122" s="725"/>
      <c r="AD122" s="197"/>
      <c r="AE122" s="365" t="s">
        <v>6502</v>
      </c>
      <c r="AF122" s="858" t="s">
        <v>365</v>
      </c>
      <c r="AG122" s="802" t="s">
        <v>393</v>
      </c>
      <c r="AH122" s="802" t="s">
        <v>421</v>
      </c>
      <c r="AI122" s="802" t="s">
        <v>449</v>
      </c>
      <c r="AJ122" s="859" t="s">
        <v>477</v>
      </c>
      <c r="AK122" s="802" t="s">
        <v>505</v>
      </c>
      <c r="AL122" s="802" t="s">
        <v>533</v>
      </c>
      <c r="AM122" s="871"/>
      <c r="AN122" s="872"/>
      <c r="AO122" s="857"/>
      <c r="AP122" s="197"/>
      <c r="AQ122" s="197"/>
      <c r="AR122" s="197"/>
      <c r="AS122" s="197"/>
    </row>
    <row r="123" spans="1:45" s="4" customFormat="1" ht="15.75" customHeight="1" thickBot="1">
      <c r="A123" s="197"/>
      <c r="B123" s="368" t="s">
        <v>2112</v>
      </c>
      <c r="C123" s="1902">
        <f>IFERROR(SUM(C119:C122), 0)</f>
        <v>0</v>
      </c>
      <c r="D123" s="1473">
        <f>IFERROR(SUM(D119:D122), 0)</f>
        <v>0</v>
      </c>
      <c r="E123" s="1473">
        <f>IFERROR(SUM(E119:E122), 0)</f>
        <v>0</v>
      </c>
      <c r="F123" s="1473">
        <f>IFERROR(SUM(F119:F122), 0)</f>
        <v>0</v>
      </c>
      <c r="G123" s="1473">
        <f>IFERROR(SUM(C123:F123),0)</f>
        <v>0</v>
      </c>
      <c r="H123" s="1473">
        <f>IFERROR(SUM(H119:H122), 0)</f>
        <v>0</v>
      </c>
      <c r="I123" s="1473">
        <f>IFERROR(SUM(I119:I122), 0)</f>
        <v>0</v>
      </c>
      <c r="J123" s="1497"/>
      <c r="K123" s="1498"/>
      <c r="L123" s="197"/>
      <c r="M123" s="320" t="s">
        <v>6657</v>
      </c>
      <c r="N123" s="197"/>
      <c r="O123" s="269"/>
      <c r="P123" s="197"/>
      <c r="Q123" s="725"/>
      <c r="R123" s="251"/>
      <c r="S123" s="725"/>
      <c r="T123" s="197"/>
      <c r="U123" s="197"/>
      <c r="V123" s="197"/>
      <c r="W123" s="197"/>
      <c r="X123" s="197"/>
      <c r="Y123" s="197"/>
      <c r="Z123" s="197"/>
      <c r="AA123" s="197"/>
      <c r="AB123" s="197"/>
      <c r="AC123" s="725"/>
      <c r="AD123" s="197"/>
      <c r="AE123" s="368" t="s">
        <v>2112</v>
      </c>
      <c r="AF123" s="861" t="s">
        <v>366</v>
      </c>
      <c r="AG123" s="583" t="s">
        <v>394</v>
      </c>
      <c r="AH123" s="583" t="s">
        <v>422</v>
      </c>
      <c r="AI123" s="583" t="s">
        <v>450</v>
      </c>
      <c r="AJ123" s="583" t="s">
        <v>478</v>
      </c>
      <c r="AK123" s="583" t="s">
        <v>506</v>
      </c>
      <c r="AL123" s="583" t="s">
        <v>534</v>
      </c>
      <c r="AM123" s="862"/>
      <c r="AN123" s="863"/>
      <c r="AO123" s="857"/>
      <c r="AP123" s="197"/>
      <c r="AQ123" s="197"/>
      <c r="AR123" s="197"/>
      <c r="AS123" s="197"/>
    </row>
    <row r="124" spans="1:45" s="4" customFormat="1" ht="15.75" customHeight="1" thickTop="1" thickBot="1">
      <c r="A124" s="197"/>
      <c r="B124" s="852"/>
      <c r="C124" s="1490"/>
      <c r="D124" s="1487"/>
      <c r="E124" s="1487"/>
      <c r="F124" s="1487"/>
      <c r="G124" s="1487"/>
      <c r="H124" s="1487"/>
      <c r="I124" s="1487"/>
      <c r="J124" s="1499"/>
      <c r="K124" s="1499"/>
      <c r="L124" s="197"/>
      <c r="M124" s="197" t="s">
        <v>4435</v>
      </c>
      <c r="N124" s="197"/>
      <c r="O124" s="197"/>
      <c r="P124" s="197"/>
      <c r="Q124" s="725"/>
      <c r="R124" s="251"/>
      <c r="S124" s="725"/>
      <c r="T124" s="197"/>
      <c r="U124" s="197"/>
      <c r="V124" s="197"/>
      <c r="W124" s="197"/>
      <c r="X124" s="197"/>
      <c r="Y124" s="197"/>
      <c r="Z124" s="197"/>
      <c r="AA124" s="197"/>
      <c r="AB124" s="197"/>
      <c r="AC124" s="725"/>
      <c r="AD124" s="197"/>
      <c r="AE124" s="852"/>
      <c r="AF124" s="393"/>
      <c r="AG124" s="867"/>
      <c r="AH124" s="867"/>
      <c r="AI124" s="867"/>
      <c r="AJ124" s="867"/>
      <c r="AK124" s="867"/>
      <c r="AL124" s="867"/>
      <c r="AM124" s="868"/>
      <c r="AN124" s="868"/>
      <c r="AO124" s="197"/>
      <c r="AP124" s="197"/>
      <c r="AQ124" s="197"/>
      <c r="AR124" s="197"/>
      <c r="AS124" s="197"/>
    </row>
    <row r="125" spans="1:45" s="4" customFormat="1" ht="15.75" customHeight="1" thickTop="1" thickBot="1">
      <c r="A125" s="197"/>
      <c r="B125" s="355" t="s">
        <v>6519</v>
      </c>
      <c r="C125" s="633"/>
      <c r="D125" s="1487"/>
      <c r="E125" s="1487"/>
      <c r="F125" s="1487"/>
      <c r="G125" s="1487"/>
      <c r="H125" s="1487"/>
      <c r="I125" s="1487"/>
      <c r="J125" s="1499"/>
      <c r="K125" s="1499"/>
      <c r="L125" s="197"/>
      <c r="M125" s="222" t="s">
        <v>4435</v>
      </c>
      <c r="N125" s="197"/>
      <c r="O125" s="197"/>
      <c r="P125" s="197"/>
      <c r="Q125" s="725"/>
      <c r="R125" s="251"/>
      <c r="S125" s="725"/>
      <c r="T125" s="197"/>
      <c r="U125" s="197"/>
      <c r="V125" s="197"/>
      <c r="W125" s="197"/>
      <c r="X125" s="197"/>
      <c r="Y125" s="197"/>
      <c r="Z125" s="197"/>
      <c r="AA125" s="197"/>
      <c r="AB125" s="197"/>
      <c r="AC125" s="725"/>
      <c r="AD125" s="197"/>
      <c r="AE125" s="355" t="s">
        <v>6519</v>
      </c>
      <c r="AF125" s="356"/>
      <c r="AG125" s="867"/>
      <c r="AH125" s="867"/>
      <c r="AI125" s="867"/>
      <c r="AJ125" s="867"/>
      <c r="AK125" s="867"/>
      <c r="AL125" s="867"/>
      <c r="AM125" s="868"/>
      <c r="AN125" s="868"/>
      <c r="AO125" s="2560"/>
      <c r="AP125" s="197"/>
      <c r="AQ125" s="197"/>
      <c r="AR125" s="197"/>
      <c r="AS125" s="197"/>
    </row>
    <row r="126" spans="1:45" s="4" customFormat="1" ht="15.75" customHeight="1" thickTop="1">
      <c r="A126" s="197"/>
      <c r="B126" s="358" t="s">
        <v>6520</v>
      </c>
      <c r="C126" s="1956">
        <v>0</v>
      </c>
      <c r="D126" s="598">
        <v>0</v>
      </c>
      <c r="E126" s="598">
        <v>0</v>
      </c>
      <c r="F126" s="598">
        <v>0</v>
      </c>
      <c r="G126" s="1479">
        <f t="shared" ref="G126:G133" si="63">IFERROR(SUM(C126:F126),0)</f>
        <v>0</v>
      </c>
      <c r="H126" s="598">
        <v>0</v>
      </c>
      <c r="I126" s="598">
        <v>0</v>
      </c>
      <c r="J126" s="1500"/>
      <c r="K126" s="1501"/>
      <c r="L126" s="197"/>
      <c r="M126" s="248" t="s">
        <v>6658</v>
      </c>
      <c r="N126" s="197"/>
      <c r="O126" s="250"/>
      <c r="P126" s="197"/>
      <c r="Q126" s="725"/>
      <c r="R126" s="251">
        <f t="shared" ref="R126:R132" si="64">IF( SUM( T126:AA126 ) = 0, 0, $T$10 )</f>
        <v>0</v>
      </c>
      <c r="S126" s="725"/>
      <c r="T126" s="252">
        <f t="shared" ref="T126:W132" si="65" xml:space="preserve"> IF( ISNUMBER(C126), 0, 1 )</f>
        <v>0</v>
      </c>
      <c r="U126" s="252">
        <f t="shared" si="65"/>
        <v>0</v>
      </c>
      <c r="V126" s="252">
        <f t="shared" si="65"/>
        <v>0</v>
      </c>
      <c r="W126" s="252">
        <f t="shared" si="65"/>
        <v>0</v>
      </c>
      <c r="X126" s="197"/>
      <c r="Y126" s="252">
        <f t="shared" ref="Y126:Z132" si="66" xml:space="preserve"> IF( ISNUMBER(H126), 0, 1 )</f>
        <v>0</v>
      </c>
      <c r="Z126" s="252">
        <f t="shared" si="66"/>
        <v>0</v>
      </c>
      <c r="AA126" s="197"/>
      <c r="AB126" s="197"/>
      <c r="AC126" s="725"/>
      <c r="AD126" s="197"/>
      <c r="AE126" s="358" t="s">
        <v>6520</v>
      </c>
      <c r="AF126" s="854" t="s">
        <v>367</v>
      </c>
      <c r="AG126" s="801" t="s">
        <v>395</v>
      </c>
      <c r="AH126" s="801" t="s">
        <v>423</v>
      </c>
      <c r="AI126" s="801" t="s">
        <v>451</v>
      </c>
      <c r="AJ126" s="855" t="s">
        <v>479</v>
      </c>
      <c r="AK126" s="801" t="s">
        <v>507</v>
      </c>
      <c r="AL126" s="801" t="s">
        <v>535</v>
      </c>
      <c r="AM126" s="869"/>
      <c r="AN126" s="870"/>
      <c r="AO126" s="857"/>
      <c r="AP126" s="197"/>
      <c r="AQ126" s="197"/>
      <c r="AR126" s="197"/>
      <c r="AS126" s="197"/>
    </row>
    <row r="127" spans="1:45" s="4" customFormat="1" ht="15.75" customHeight="1">
      <c r="A127" s="197"/>
      <c r="B127" s="365" t="s">
        <v>6529</v>
      </c>
      <c r="C127" s="1957">
        <v>0</v>
      </c>
      <c r="D127" s="601">
        <v>0</v>
      </c>
      <c r="E127" s="601">
        <v>0</v>
      </c>
      <c r="F127" s="601">
        <v>0</v>
      </c>
      <c r="G127" s="1481">
        <f t="shared" si="63"/>
        <v>0</v>
      </c>
      <c r="H127" s="601">
        <v>0</v>
      </c>
      <c r="I127" s="601">
        <v>0</v>
      </c>
      <c r="J127" s="1502"/>
      <c r="K127" s="1503"/>
      <c r="L127" s="197"/>
      <c r="M127" s="257" t="s">
        <v>6659</v>
      </c>
      <c r="N127" s="197"/>
      <c r="O127" s="258"/>
      <c r="P127" s="197"/>
      <c r="Q127" s="725"/>
      <c r="R127" s="251">
        <f t="shared" si="64"/>
        <v>0</v>
      </c>
      <c r="S127" s="725"/>
      <c r="T127" s="252">
        <f t="shared" si="65"/>
        <v>0</v>
      </c>
      <c r="U127" s="252">
        <f t="shared" si="65"/>
        <v>0</v>
      </c>
      <c r="V127" s="252">
        <f t="shared" si="65"/>
        <v>0</v>
      </c>
      <c r="W127" s="252">
        <f t="shared" si="65"/>
        <v>0</v>
      </c>
      <c r="X127" s="197"/>
      <c r="Y127" s="252">
        <f t="shared" si="66"/>
        <v>0</v>
      </c>
      <c r="Z127" s="252">
        <f t="shared" si="66"/>
        <v>0</v>
      </c>
      <c r="AA127" s="197"/>
      <c r="AB127" s="197"/>
      <c r="AC127" s="725"/>
      <c r="AD127" s="197"/>
      <c r="AE127" s="365" t="s">
        <v>6529</v>
      </c>
      <c r="AF127" s="858" t="s">
        <v>368</v>
      </c>
      <c r="AG127" s="802" t="s">
        <v>396</v>
      </c>
      <c r="AH127" s="802" t="s">
        <v>424</v>
      </c>
      <c r="AI127" s="802" t="s">
        <v>452</v>
      </c>
      <c r="AJ127" s="859" t="s">
        <v>480</v>
      </c>
      <c r="AK127" s="802" t="s">
        <v>508</v>
      </c>
      <c r="AL127" s="802" t="s">
        <v>536</v>
      </c>
      <c r="AM127" s="871"/>
      <c r="AN127" s="872"/>
      <c r="AO127" s="857"/>
      <c r="AP127" s="197"/>
      <c r="AQ127" s="197"/>
      <c r="AR127" s="197"/>
      <c r="AS127" s="197"/>
    </row>
    <row r="128" spans="1:45" s="4" customFormat="1" ht="15.75" customHeight="1">
      <c r="A128" s="197"/>
      <c r="B128" s="365" t="s">
        <v>6538</v>
      </c>
      <c r="C128" s="1957">
        <v>0</v>
      </c>
      <c r="D128" s="601">
        <v>0</v>
      </c>
      <c r="E128" s="601">
        <v>0</v>
      </c>
      <c r="F128" s="601">
        <v>0</v>
      </c>
      <c r="G128" s="1481">
        <f t="shared" si="63"/>
        <v>0</v>
      </c>
      <c r="H128" s="601">
        <v>0</v>
      </c>
      <c r="I128" s="601">
        <v>0</v>
      </c>
      <c r="J128" s="1502"/>
      <c r="K128" s="1503"/>
      <c r="L128" s="197"/>
      <c r="M128" s="257" t="s">
        <v>6660</v>
      </c>
      <c r="N128" s="197"/>
      <c r="O128" s="258"/>
      <c r="P128" s="197"/>
      <c r="Q128" s="725"/>
      <c r="R128" s="251">
        <f t="shared" si="64"/>
        <v>0</v>
      </c>
      <c r="S128" s="725"/>
      <c r="T128" s="252">
        <f t="shared" si="65"/>
        <v>0</v>
      </c>
      <c r="U128" s="252">
        <f t="shared" si="65"/>
        <v>0</v>
      </c>
      <c r="V128" s="252">
        <f t="shared" si="65"/>
        <v>0</v>
      </c>
      <c r="W128" s="252">
        <f t="shared" si="65"/>
        <v>0</v>
      </c>
      <c r="X128" s="197"/>
      <c r="Y128" s="252">
        <f t="shared" si="66"/>
        <v>0</v>
      </c>
      <c r="Z128" s="252">
        <f t="shared" si="66"/>
        <v>0</v>
      </c>
      <c r="AA128" s="197"/>
      <c r="AB128" s="197"/>
      <c r="AC128" s="725"/>
      <c r="AD128" s="197"/>
      <c r="AE128" s="365" t="s">
        <v>6538</v>
      </c>
      <c r="AF128" s="858" t="s">
        <v>369</v>
      </c>
      <c r="AG128" s="802" t="s">
        <v>397</v>
      </c>
      <c r="AH128" s="802" t="s">
        <v>425</v>
      </c>
      <c r="AI128" s="802" t="s">
        <v>453</v>
      </c>
      <c r="AJ128" s="859" t="s">
        <v>481</v>
      </c>
      <c r="AK128" s="802" t="s">
        <v>509</v>
      </c>
      <c r="AL128" s="802" t="s">
        <v>537</v>
      </c>
      <c r="AM128" s="871"/>
      <c r="AN128" s="872"/>
      <c r="AO128" s="857"/>
      <c r="AP128" s="197"/>
      <c r="AQ128" s="197"/>
      <c r="AR128" s="197"/>
      <c r="AS128" s="197"/>
    </row>
    <row r="129" spans="1:45" s="4" customFormat="1" ht="15.75" customHeight="1">
      <c r="A129" s="197"/>
      <c r="B129" s="365" t="s">
        <v>6547</v>
      </c>
      <c r="C129" s="1957">
        <v>0</v>
      </c>
      <c r="D129" s="601">
        <v>0</v>
      </c>
      <c r="E129" s="601">
        <v>0</v>
      </c>
      <c r="F129" s="601">
        <v>0</v>
      </c>
      <c r="G129" s="1481">
        <f t="shared" si="63"/>
        <v>0</v>
      </c>
      <c r="H129" s="601">
        <v>0</v>
      </c>
      <c r="I129" s="601">
        <v>0</v>
      </c>
      <c r="J129" s="1502"/>
      <c r="K129" s="1503"/>
      <c r="L129" s="197"/>
      <c r="M129" s="257" t="s">
        <v>6661</v>
      </c>
      <c r="N129" s="197"/>
      <c r="O129" s="258"/>
      <c r="P129" s="200"/>
      <c r="Q129" s="831"/>
      <c r="R129" s="251">
        <f t="shared" si="64"/>
        <v>0</v>
      </c>
      <c r="S129" s="725"/>
      <c r="T129" s="252">
        <f t="shared" si="65"/>
        <v>0</v>
      </c>
      <c r="U129" s="252">
        <f t="shared" si="65"/>
        <v>0</v>
      </c>
      <c r="V129" s="252">
        <f t="shared" si="65"/>
        <v>0</v>
      </c>
      <c r="W129" s="252">
        <f t="shared" si="65"/>
        <v>0</v>
      </c>
      <c r="X129" s="197"/>
      <c r="Y129" s="252">
        <f t="shared" si="66"/>
        <v>0</v>
      </c>
      <c r="Z129" s="252">
        <f t="shared" si="66"/>
        <v>0</v>
      </c>
      <c r="AA129" s="197"/>
      <c r="AB129" s="197"/>
      <c r="AC129" s="725"/>
      <c r="AD129" s="197"/>
      <c r="AE129" s="365" t="s">
        <v>6547</v>
      </c>
      <c r="AF129" s="858" t="s">
        <v>370</v>
      </c>
      <c r="AG129" s="802" t="s">
        <v>398</v>
      </c>
      <c r="AH129" s="802" t="s">
        <v>426</v>
      </c>
      <c r="AI129" s="802" t="s">
        <v>454</v>
      </c>
      <c r="AJ129" s="859" t="s">
        <v>482</v>
      </c>
      <c r="AK129" s="802" t="s">
        <v>510</v>
      </c>
      <c r="AL129" s="802" t="s">
        <v>538</v>
      </c>
      <c r="AM129" s="871"/>
      <c r="AN129" s="872"/>
      <c r="AO129" s="857"/>
      <c r="AP129" s="197"/>
      <c r="AQ129" s="197"/>
      <c r="AR129" s="197"/>
      <c r="AS129" s="197"/>
    </row>
    <row r="130" spans="1:45" s="4" customFormat="1" ht="15.75" customHeight="1">
      <c r="A130" s="197"/>
      <c r="B130" s="365" t="s">
        <v>6556</v>
      </c>
      <c r="C130" s="1957">
        <v>0</v>
      </c>
      <c r="D130" s="601">
        <v>0</v>
      </c>
      <c r="E130" s="601">
        <v>0</v>
      </c>
      <c r="F130" s="601">
        <v>0</v>
      </c>
      <c r="G130" s="1481">
        <f t="shared" si="63"/>
        <v>0</v>
      </c>
      <c r="H130" s="601">
        <v>0</v>
      </c>
      <c r="I130" s="601">
        <v>0</v>
      </c>
      <c r="J130" s="1502"/>
      <c r="K130" s="1503"/>
      <c r="L130" s="197"/>
      <c r="M130" s="257" t="s">
        <v>6662</v>
      </c>
      <c r="N130" s="197"/>
      <c r="O130" s="258"/>
      <c r="P130" s="200"/>
      <c r="Q130" s="831"/>
      <c r="R130" s="251">
        <f t="shared" si="64"/>
        <v>0</v>
      </c>
      <c r="S130" s="725"/>
      <c r="T130" s="252">
        <f t="shared" si="65"/>
        <v>0</v>
      </c>
      <c r="U130" s="252">
        <f t="shared" si="65"/>
        <v>0</v>
      </c>
      <c r="V130" s="252">
        <f t="shared" si="65"/>
        <v>0</v>
      </c>
      <c r="W130" s="252">
        <f t="shared" si="65"/>
        <v>0</v>
      </c>
      <c r="X130" s="197"/>
      <c r="Y130" s="252">
        <f t="shared" si="66"/>
        <v>0</v>
      </c>
      <c r="Z130" s="252">
        <f t="shared" si="66"/>
        <v>0</v>
      </c>
      <c r="AA130" s="197"/>
      <c r="AB130" s="197"/>
      <c r="AC130" s="725"/>
      <c r="AD130" s="197"/>
      <c r="AE130" s="365" t="s">
        <v>6556</v>
      </c>
      <c r="AF130" s="858" t="s">
        <v>371</v>
      </c>
      <c r="AG130" s="802" t="s">
        <v>399</v>
      </c>
      <c r="AH130" s="802" t="s">
        <v>427</v>
      </c>
      <c r="AI130" s="802" t="s">
        <v>455</v>
      </c>
      <c r="AJ130" s="859" t="s">
        <v>483</v>
      </c>
      <c r="AK130" s="802" t="s">
        <v>511</v>
      </c>
      <c r="AL130" s="802" t="s">
        <v>539</v>
      </c>
      <c r="AM130" s="871"/>
      <c r="AN130" s="872"/>
      <c r="AO130" s="857"/>
      <c r="AP130" s="197"/>
      <c r="AQ130" s="197"/>
      <c r="AR130" s="197"/>
      <c r="AS130" s="197"/>
    </row>
    <row r="131" spans="1:45" s="4" customFormat="1" ht="15.75" customHeight="1">
      <c r="A131" s="197"/>
      <c r="B131" s="365" t="s">
        <v>6565</v>
      </c>
      <c r="C131" s="1957">
        <v>0</v>
      </c>
      <c r="D131" s="601">
        <v>0</v>
      </c>
      <c r="E131" s="601">
        <v>0</v>
      </c>
      <c r="F131" s="601">
        <v>0</v>
      </c>
      <c r="G131" s="1481">
        <f t="shared" si="63"/>
        <v>0</v>
      </c>
      <c r="H131" s="601">
        <v>0</v>
      </c>
      <c r="I131" s="601">
        <v>0</v>
      </c>
      <c r="J131" s="1502"/>
      <c r="K131" s="1503"/>
      <c r="L131" s="197"/>
      <c r="M131" s="257" t="s">
        <v>6663</v>
      </c>
      <c r="N131" s="197"/>
      <c r="O131" s="258"/>
      <c r="P131" s="200"/>
      <c r="Q131" s="831"/>
      <c r="R131" s="251">
        <f t="shared" si="64"/>
        <v>0</v>
      </c>
      <c r="S131" s="725"/>
      <c r="T131" s="252">
        <f t="shared" si="65"/>
        <v>0</v>
      </c>
      <c r="U131" s="252">
        <f t="shared" si="65"/>
        <v>0</v>
      </c>
      <c r="V131" s="252">
        <f t="shared" si="65"/>
        <v>0</v>
      </c>
      <c r="W131" s="252">
        <f t="shared" si="65"/>
        <v>0</v>
      </c>
      <c r="X131" s="197"/>
      <c r="Y131" s="252">
        <f t="shared" si="66"/>
        <v>0</v>
      </c>
      <c r="Z131" s="252">
        <f t="shared" si="66"/>
        <v>0</v>
      </c>
      <c r="AA131" s="197"/>
      <c r="AB131" s="197"/>
      <c r="AC131" s="725"/>
      <c r="AD131" s="197"/>
      <c r="AE131" s="365" t="s">
        <v>6565</v>
      </c>
      <c r="AF131" s="858" t="s">
        <v>372</v>
      </c>
      <c r="AG131" s="802" t="s">
        <v>400</v>
      </c>
      <c r="AH131" s="802" t="s">
        <v>428</v>
      </c>
      <c r="AI131" s="802" t="s">
        <v>456</v>
      </c>
      <c r="AJ131" s="859" t="s">
        <v>484</v>
      </c>
      <c r="AK131" s="802" t="s">
        <v>512</v>
      </c>
      <c r="AL131" s="802" t="s">
        <v>540</v>
      </c>
      <c r="AM131" s="871"/>
      <c r="AN131" s="872"/>
      <c r="AO131" s="857"/>
      <c r="AP131" s="197"/>
      <c r="AQ131" s="197"/>
      <c r="AR131" s="197"/>
      <c r="AS131" s="197"/>
    </row>
    <row r="132" spans="1:45" s="4" customFormat="1" ht="15.75" customHeight="1">
      <c r="A132" s="197"/>
      <c r="B132" s="365" t="s">
        <v>6574</v>
      </c>
      <c r="C132" s="1957">
        <v>0</v>
      </c>
      <c r="D132" s="601">
        <v>0</v>
      </c>
      <c r="E132" s="601">
        <v>0</v>
      </c>
      <c r="F132" s="601">
        <v>0</v>
      </c>
      <c r="G132" s="1481">
        <f t="shared" si="63"/>
        <v>0</v>
      </c>
      <c r="H132" s="601">
        <v>0</v>
      </c>
      <c r="I132" s="601">
        <v>0</v>
      </c>
      <c r="J132" s="1502"/>
      <c r="K132" s="1503"/>
      <c r="L132" s="197"/>
      <c r="M132" s="257" t="s">
        <v>6664</v>
      </c>
      <c r="N132" s="197"/>
      <c r="O132" s="258"/>
      <c r="P132" s="197"/>
      <c r="Q132" s="725"/>
      <c r="R132" s="251">
        <f t="shared" si="64"/>
        <v>0</v>
      </c>
      <c r="S132" s="725"/>
      <c r="T132" s="252">
        <f t="shared" si="65"/>
        <v>0</v>
      </c>
      <c r="U132" s="252">
        <f t="shared" si="65"/>
        <v>0</v>
      </c>
      <c r="V132" s="252">
        <f t="shared" si="65"/>
        <v>0</v>
      </c>
      <c r="W132" s="252">
        <f t="shared" si="65"/>
        <v>0</v>
      </c>
      <c r="X132" s="197"/>
      <c r="Y132" s="252">
        <f t="shared" si="66"/>
        <v>0</v>
      </c>
      <c r="Z132" s="252">
        <f t="shared" si="66"/>
        <v>0</v>
      </c>
      <c r="AA132" s="197"/>
      <c r="AB132" s="197"/>
      <c r="AC132" s="725"/>
      <c r="AD132" s="197"/>
      <c r="AE132" s="365" t="s">
        <v>6574</v>
      </c>
      <c r="AF132" s="858" t="s">
        <v>373</v>
      </c>
      <c r="AG132" s="802" t="s">
        <v>401</v>
      </c>
      <c r="AH132" s="802" t="s">
        <v>429</v>
      </c>
      <c r="AI132" s="802" t="s">
        <v>457</v>
      </c>
      <c r="AJ132" s="859" t="s">
        <v>485</v>
      </c>
      <c r="AK132" s="802" t="s">
        <v>513</v>
      </c>
      <c r="AL132" s="802" t="s">
        <v>541</v>
      </c>
      <c r="AM132" s="871"/>
      <c r="AN132" s="872"/>
      <c r="AO132" s="857"/>
      <c r="AP132" s="197"/>
      <c r="AQ132" s="197"/>
      <c r="AR132" s="197"/>
      <c r="AS132" s="197"/>
    </row>
    <row r="133" spans="1:45" s="4" customFormat="1" ht="15.75" customHeight="1" thickBot="1">
      <c r="A133" s="197"/>
      <c r="B133" s="368" t="s">
        <v>2112</v>
      </c>
      <c r="C133" s="1902">
        <f>IFERROR(SUM(C126:C132), 0)</f>
        <v>0</v>
      </c>
      <c r="D133" s="1473">
        <f>IFERROR(SUM(D126:D132), 0)</f>
        <v>0</v>
      </c>
      <c r="E133" s="1473">
        <f>IFERROR(SUM(E126:E132), 0)</f>
        <v>0</v>
      </c>
      <c r="F133" s="1473">
        <f>IFERROR(SUM(F126:F132), 0)</f>
        <v>0</v>
      </c>
      <c r="G133" s="1473">
        <f t="shared" si="63"/>
        <v>0</v>
      </c>
      <c r="H133" s="1473">
        <f>IFERROR(SUM(H126:H132), 0)</f>
        <v>0</v>
      </c>
      <c r="I133" s="1473">
        <f>IFERROR(SUM(I126:I132), 0)</f>
        <v>0</v>
      </c>
      <c r="J133" s="1497"/>
      <c r="K133" s="1498"/>
      <c r="L133" s="197"/>
      <c r="M133" s="320" t="s">
        <v>6665</v>
      </c>
      <c r="N133" s="197"/>
      <c r="O133" s="269"/>
      <c r="P133" s="197"/>
      <c r="Q133" s="725"/>
      <c r="R133" s="251"/>
      <c r="S133" s="725"/>
      <c r="T133" s="197"/>
      <c r="U133" s="197"/>
      <c r="V133" s="197"/>
      <c r="W133" s="197"/>
      <c r="X133" s="197"/>
      <c r="Y133" s="197"/>
      <c r="Z133" s="197"/>
      <c r="AA133" s="197"/>
      <c r="AB133" s="197"/>
      <c r="AC133" s="725"/>
      <c r="AD133" s="197"/>
      <c r="AE133" s="368" t="s">
        <v>2112</v>
      </c>
      <c r="AF133" s="861" t="s">
        <v>374</v>
      </c>
      <c r="AG133" s="583" t="s">
        <v>402</v>
      </c>
      <c r="AH133" s="583" t="s">
        <v>430</v>
      </c>
      <c r="AI133" s="583" t="s">
        <v>458</v>
      </c>
      <c r="AJ133" s="583" t="s">
        <v>486</v>
      </c>
      <c r="AK133" s="583" t="s">
        <v>514</v>
      </c>
      <c r="AL133" s="583" t="s">
        <v>542</v>
      </c>
      <c r="AM133" s="862"/>
      <c r="AN133" s="863"/>
      <c r="AO133" s="857"/>
      <c r="AP133" s="197"/>
      <c r="AQ133" s="197"/>
      <c r="AR133" s="197"/>
      <c r="AS133" s="197"/>
    </row>
    <row r="134" spans="1:45" s="4" customFormat="1" ht="15.75" customHeight="1" thickTop="1" thickBot="1">
      <c r="A134" s="197"/>
      <c r="B134" s="852"/>
      <c r="C134" s="1489"/>
      <c r="D134" s="1491"/>
      <c r="E134" s="1491"/>
      <c r="F134" s="1491"/>
      <c r="G134" s="1901"/>
      <c r="H134" s="1491"/>
      <c r="I134" s="1491"/>
      <c r="J134" s="1499"/>
      <c r="K134" s="1499"/>
      <c r="L134" s="197"/>
      <c r="M134" s="228" t="s">
        <v>4435</v>
      </c>
      <c r="N134" s="197"/>
      <c r="O134" s="197"/>
      <c r="P134" s="197"/>
      <c r="Q134" s="725"/>
      <c r="R134" s="251"/>
      <c r="S134" s="725"/>
      <c r="T134" s="197"/>
      <c r="U134" s="197"/>
      <c r="V134" s="197"/>
      <c r="W134" s="197"/>
      <c r="X134" s="197"/>
      <c r="Y134" s="197"/>
      <c r="Z134" s="197"/>
      <c r="AA134" s="197"/>
      <c r="AB134" s="197"/>
      <c r="AC134" s="725"/>
      <c r="AD134" s="197"/>
      <c r="AE134" s="852"/>
      <c r="AF134" s="852"/>
      <c r="AG134" s="873"/>
      <c r="AH134" s="873"/>
      <c r="AI134" s="873"/>
      <c r="AJ134" s="873"/>
      <c r="AK134" s="873"/>
      <c r="AL134" s="873"/>
      <c r="AM134" s="868"/>
      <c r="AN134" s="868"/>
      <c r="AO134" s="229"/>
      <c r="AP134" s="197"/>
      <c r="AQ134" s="197"/>
      <c r="AR134" s="197"/>
      <c r="AS134" s="197"/>
    </row>
    <row r="135" spans="1:45" s="4" customFormat="1" ht="15.75" customHeight="1" thickTop="1" thickBot="1">
      <c r="A135" s="197"/>
      <c r="B135" s="355" t="s">
        <v>6591</v>
      </c>
      <c r="C135" s="633"/>
      <c r="D135" s="1487"/>
      <c r="E135" s="1487"/>
      <c r="F135" s="1487"/>
      <c r="G135" s="1487"/>
      <c r="H135" s="1487"/>
      <c r="I135" s="1487"/>
      <c r="J135" s="1499"/>
      <c r="K135" s="1499"/>
      <c r="L135" s="197"/>
      <c r="M135" s="228" t="s">
        <v>4435</v>
      </c>
      <c r="N135" s="197"/>
      <c r="O135" s="197"/>
      <c r="P135" s="197"/>
      <c r="Q135" s="725"/>
      <c r="R135" s="251"/>
      <c r="S135" s="725"/>
      <c r="T135" s="197"/>
      <c r="U135" s="197"/>
      <c r="V135" s="197"/>
      <c r="W135" s="197"/>
      <c r="X135" s="197"/>
      <c r="Y135" s="197"/>
      <c r="Z135" s="197"/>
      <c r="AA135" s="197"/>
      <c r="AB135" s="197"/>
      <c r="AC135" s="725"/>
      <c r="AD135" s="197"/>
      <c r="AE135" s="355" t="s">
        <v>6591</v>
      </c>
      <c r="AF135" s="356"/>
      <c r="AG135" s="867"/>
      <c r="AH135" s="867"/>
      <c r="AI135" s="867"/>
      <c r="AJ135" s="867"/>
      <c r="AK135" s="867"/>
      <c r="AL135" s="867"/>
      <c r="AM135" s="868"/>
      <c r="AN135" s="868"/>
      <c r="AO135" s="229"/>
      <c r="AP135" s="197"/>
      <c r="AQ135" s="197"/>
      <c r="AR135" s="197"/>
      <c r="AS135" s="197"/>
    </row>
    <row r="136" spans="1:45" s="8" customFormat="1" ht="15.75" customHeight="1" thickTop="1" thickBot="1">
      <c r="A136" s="351"/>
      <c r="B136" s="382" t="s">
        <v>6591</v>
      </c>
      <c r="C136" s="605">
        <v>0</v>
      </c>
      <c r="D136" s="605">
        <v>0</v>
      </c>
      <c r="E136" s="605">
        <v>0</v>
      </c>
      <c r="F136" s="605">
        <v>0</v>
      </c>
      <c r="G136" s="1470">
        <f>IFERROR(SUM(C136:F136),0)</f>
        <v>0</v>
      </c>
      <c r="H136" s="605">
        <v>0</v>
      </c>
      <c r="I136" s="605">
        <v>0</v>
      </c>
      <c r="J136" s="1504"/>
      <c r="K136" s="1505"/>
      <c r="L136" s="197"/>
      <c r="M136" s="336" t="s">
        <v>6666</v>
      </c>
      <c r="N136" s="197"/>
      <c r="O136" s="878"/>
      <c r="P136" s="351"/>
      <c r="Q136" s="722"/>
      <c r="R136" s="251">
        <f>IF( SUM( T136:AA136 ) = 0, 0, $T$10 )</f>
        <v>0</v>
      </c>
      <c r="S136" s="722"/>
      <c r="T136" s="252">
        <f xml:space="preserve"> IF( ISNUMBER(C136), 0, 1 )</f>
        <v>0</v>
      </c>
      <c r="U136" s="252">
        <f xml:space="preserve"> IF( ISNUMBER(D136), 0, 1 )</f>
        <v>0</v>
      </c>
      <c r="V136" s="252">
        <f xml:space="preserve"> IF( ISNUMBER(E136), 0, 1 )</f>
        <v>0</v>
      </c>
      <c r="W136" s="252">
        <f xml:space="preserve"> IF( ISNUMBER(F136), 0, 1 )</f>
        <v>0</v>
      </c>
      <c r="X136" s="197"/>
      <c r="Y136" s="252">
        <f xml:space="preserve"> IF( ISNUMBER(H136), 0, 1 )</f>
        <v>0</v>
      </c>
      <c r="Z136" s="252">
        <f xml:space="preserve"> IF( ISNUMBER(I136), 0, 1 )</f>
        <v>0</v>
      </c>
      <c r="AA136" s="197"/>
      <c r="AB136" s="197"/>
      <c r="AC136" s="722"/>
      <c r="AD136" s="351"/>
      <c r="AE136" s="382" t="s">
        <v>6591</v>
      </c>
      <c r="AF136" s="874" t="s">
        <v>375</v>
      </c>
      <c r="AG136" s="874" t="s">
        <v>403</v>
      </c>
      <c r="AH136" s="874" t="s">
        <v>431</v>
      </c>
      <c r="AI136" s="874" t="s">
        <v>459</v>
      </c>
      <c r="AJ136" s="875" t="s">
        <v>487</v>
      </c>
      <c r="AK136" s="874" t="s">
        <v>515</v>
      </c>
      <c r="AL136" s="874" t="s">
        <v>543</v>
      </c>
      <c r="AM136" s="876"/>
      <c r="AN136" s="877"/>
      <c r="AO136" s="857"/>
      <c r="AP136" s="351"/>
      <c r="AQ136" s="351"/>
      <c r="AR136" s="351"/>
      <c r="AS136" s="351"/>
    </row>
    <row r="137" spans="1:45" s="4" customFormat="1" ht="15.75" customHeight="1" thickTop="1" thickBot="1">
      <c r="A137" s="197"/>
      <c r="B137" s="879"/>
      <c r="C137" s="1958"/>
      <c r="D137" s="1959"/>
      <c r="E137" s="1959"/>
      <c r="F137" s="1959"/>
      <c r="G137" s="1492"/>
      <c r="H137" s="1492"/>
      <c r="I137" s="1492"/>
      <c r="J137" s="1499"/>
      <c r="K137" s="1499"/>
      <c r="L137" s="197"/>
      <c r="M137" s="228" t="s">
        <v>4435</v>
      </c>
      <c r="N137" s="197"/>
      <c r="O137" s="197"/>
      <c r="P137" s="197"/>
      <c r="Q137" s="725"/>
      <c r="R137" s="251"/>
      <c r="S137" s="725"/>
      <c r="T137" s="197"/>
      <c r="U137" s="197"/>
      <c r="V137" s="197"/>
      <c r="W137" s="197"/>
      <c r="X137" s="197"/>
      <c r="Y137" s="197"/>
      <c r="Z137" s="197"/>
      <c r="AA137" s="197"/>
      <c r="AB137" s="197"/>
      <c r="AC137" s="725"/>
      <c r="AD137" s="197"/>
      <c r="AE137" s="879"/>
      <c r="AF137" s="879"/>
      <c r="AG137" s="880"/>
      <c r="AH137" s="880"/>
      <c r="AI137" s="880"/>
      <c r="AJ137" s="880"/>
      <c r="AK137" s="880"/>
      <c r="AL137" s="880"/>
      <c r="AM137" s="868"/>
      <c r="AN137" s="868"/>
      <c r="AO137" s="229"/>
      <c r="AP137" s="197"/>
      <c r="AQ137" s="197"/>
      <c r="AR137" s="197"/>
      <c r="AS137" s="197"/>
    </row>
    <row r="138" spans="1:45" s="8" customFormat="1" ht="15.75" customHeight="1" thickTop="1" thickBot="1">
      <c r="A138" s="351"/>
      <c r="B138" s="382" t="s">
        <v>6600</v>
      </c>
      <c r="C138" s="1903">
        <f>IFERROR(SUM(C109,C116,C123,C133,C136), 0)</f>
        <v>0</v>
      </c>
      <c r="D138" s="1470">
        <f>IFERROR(SUM(D109,D116,D123,D133,D136), 0)</f>
        <v>0</v>
      </c>
      <c r="E138" s="1470">
        <f>IFERROR(SUM(E109,E116,E123,E133,E136), 0)</f>
        <v>0</v>
      </c>
      <c r="F138" s="1470">
        <f>IFERROR(SUM(F109,F116,F123,F133,F136), 0)</f>
        <v>0</v>
      </c>
      <c r="G138" s="1470">
        <f>IFERROR(SUM(C138:F138),0)</f>
        <v>0</v>
      </c>
      <c r="H138" s="1470">
        <f>IFERROR(SUM(H109,H116,H123,H133,H136), 0)</f>
        <v>0</v>
      </c>
      <c r="I138" s="1470">
        <f>IFERROR(SUM(I109,I116,I123,I133,I136), 0)</f>
        <v>0</v>
      </c>
      <c r="J138" s="1506"/>
      <c r="K138" s="1507"/>
      <c r="L138" s="351"/>
      <c r="M138" s="336" t="s">
        <v>6667</v>
      </c>
      <c r="N138" s="197"/>
      <c r="O138" s="878"/>
      <c r="P138" s="351"/>
      <c r="Q138" s="722"/>
      <c r="R138" s="251"/>
      <c r="S138" s="722"/>
      <c r="T138" s="197"/>
      <c r="U138" s="197"/>
      <c r="V138" s="197"/>
      <c r="W138" s="197"/>
      <c r="X138" s="197"/>
      <c r="Y138" s="197"/>
      <c r="Z138" s="197"/>
      <c r="AA138" s="197"/>
      <c r="AB138" s="197"/>
      <c r="AC138" s="722"/>
      <c r="AD138" s="351"/>
      <c r="AE138" s="382" t="s">
        <v>6600</v>
      </c>
      <c r="AF138" s="881" t="s">
        <v>376</v>
      </c>
      <c r="AG138" s="334" t="s">
        <v>404</v>
      </c>
      <c r="AH138" s="334" t="s">
        <v>432</v>
      </c>
      <c r="AI138" s="334" t="s">
        <v>460</v>
      </c>
      <c r="AJ138" s="334" t="s">
        <v>488</v>
      </c>
      <c r="AK138" s="334" t="s">
        <v>516</v>
      </c>
      <c r="AL138" s="334" t="s">
        <v>544</v>
      </c>
      <c r="AM138" s="882"/>
      <c r="AN138" s="883"/>
      <c r="AO138" s="857"/>
      <c r="AP138" s="351"/>
      <c r="AQ138" s="351"/>
      <c r="AR138" s="351"/>
      <c r="AS138" s="351"/>
    </row>
    <row r="139" spans="1:45" s="4" customFormat="1" ht="16.5" thickTop="1" thickBot="1">
      <c r="A139" s="197"/>
      <c r="B139" s="884"/>
      <c r="C139" s="884"/>
      <c r="D139" s="197"/>
      <c r="E139" s="197"/>
      <c r="F139" s="197"/>
      <c r="G139" s="197"/>
      <c r="H139" s="197"/>
      <c r="I139" s="197"/>
      <c r="J139" s="197"/>
      <c r="K139" s="197"/>
      <c r="L139" s="197"/>
      <c r="M139" s="641"/>
      <c r="N139" s="197"/>
      <c r="O139" s="197"/>
      <c r="P139" s="197"/>
      <c r="Q139" s="197"/>
      <c r="R139" s="251"/>
      <c r="S139" s="197"/>
      <c r="T139" s="197"/>
      <c r="U139" s="197"/>
      <c r="V139" s="197"/>
      <c r="W139" s="197"/>
      <c r="X139" s="197"/>
      <c r="Y139" s="197"/>
      <c r="Z139" s="197"/>
      <c r="AA139" s="197"/>
      <c r="AB139" s="197"/>
      <c r="AC139" s="197"/>
      <c r="AD139" s="197"/>
      <c r="AE139" s="884"/>
      <c r="AF139" s="884"/>
      <c r="AG139" s="197"/>
      <c r="AH139" s="197"/>
      <c r="AI139" s="197"/>
      <c r="AJ139" s="197"/>
      <c r="AK139" s="197"/>
      <c r="AL139" s="197"/>
      <c r="AM139" s="197"/>
      <c r="AN139" s="197"/>
      <c r="AO139" s="829"/>
      <c r="AP139" s="197"/>
      <c r="AQ139" s="197"/>
      <c r="AR139" s="197"/>
      <c r="AS139" s="197"/>
    </row>
    <row r="140" spans="1:45" s="4" customFormat="1" ht="16.399999999999999" customHeight="1" thickTop="1">
      <c r="A140" s="197"/>
      <c r="B140" s="2686" t="s">
        <v>1891</v>
      </c>
      <c r="C140" s="2667" t="s">
        <v>6668</v>
      </c>
      <c r="D140" s="2667"/>
      <c r="E140" s="2667"/>
      <c r="F140" s="2667"/>
      <c r="G140" s="2667"/>
      <c r="H140" s="2667"/>
      <c r="I140" s="2667"/>
      <c r="J140" s="2667"/>
      <c r="K140" s="2669"/>
      <c r="L140" s="555"/>
      <c r="M140" s="197"/>
      <c r="N140" s="197"/>
      <c r="O140" s="197"/>
      <c r="P140" s="555"/>
      <c r="Q140" s="804"/>
      <c r="R140" s="251"/>
      <c r="S140" s="804"/>
      <c r="T140" s="555"/>
      <c r="U140" s="555"/>
      <c r="V140" s="555"/>
      <c r="W140" s="555"/>
      <c r="X140" s="555"/>
      <c r="Y140" s="555"/>
      <c r="Z140" s="555"/>
      <c r="AA140" s="555"/>
      <c r="AB140" s="555"/>
      <c r="AC140" s="804"/>
      <c r="AD140" s="555"/>
      <c r="AE140" s="2686" t="s">
        <v>1891</v>
      </c>
      <c r="AF140" s="2667" t="s">
        <v>6668</v>
      </c>
      <c r="AG140" s="2667"/>
      <c r="AH140" s="2667"/>
      <c r="AI140" s="2667"/>
      <c r="AJ140" s="2667"/>
      <c r="AK140" s="2667"/>
      <c r="AL140" s="2667"/>
      <c r="AM140" s="2667"/>
      <c r="AN140" s="2669"/>
      <c r="AO140" s="282"/>
      <c r="AP140" s="197"/>
      <c r="AQ140" s="197"/>
      <c r="AR140" s="197"/>
      <c r="AS140" s="197"/>
    </row>
    <row r="141" spans="1:45" s="4" customFormat="1">
      <c r="A141" s="197"/>
      <c r="B141" s="2769"/>
      <c r="C141" s="2770" t="s">
        <v>6331</v>
      </c>
      <c r="D141" s="2770"/>
      <c r="E141" s="2770"/>
      <c r="F141" s="2770"/>
      <c r="G141" s="2770" t="s">
        <v>6332</v>
      </c>
      <c r="H141" s="2770"/>
      <c r="I141" s="2770" t="s">
        <v>6333</v>
      </c>
      <c r="J141" s="2770" t="s">
        <v>6334</v>
      </c>
      <c r="K141" s="2811"/>
      <c r="L141" s="197"/>
      <c r="M141" s="197"/>
      <c r="N141" s="197"/>
      <c r="O141" s="197"/>
      <c r="P141" s="197"/>
      <c r="Q141" s="725"/>
      <c r="R141" s="251"/>
      <c r="S141" s="725"/>
      <c r="T141" s="197"/>
      <c r="U141" s="197"/>
      <c r="V141" s="197"/>
      <c r="W141" s="197"/>
      <c r="X141" s="197"/>
      <c r="Y141" s="197"/>
      <c r="Z141" s="197"/>
      <c r="AA141" s="197"/>
      <c r="AB141" s="197"/>
      <c r="AC141" s="725"/>
      <c r="AD141" s="197"/>
      <c r="AE141" s="2769"/>
      <c r="AF141" s="2770" t="s">
        <v>6331</v>
      </c>
      <c r="AG141" s="2770"/>
      <c r="AH141" s="2770"/>
      <c r="AI141" s="2770"/>
      <c r="AJ141" s="2770" t="s">
        <v>6332</v>
      </c>
      <c r="AK141" s="2770"/>
      <c r="AL141" s="2770" t="s">
        <v>6333</v>
      </c>
      <c r="AM141" s="2770" t="s">
        <v>6334</v>
      </c>
      <c r="AN141" s="2811"/>
      <c r="AO141" s="282"/>
      <c r="AP141" s="197"/>
      <c r="AQ141" s="197"/>
      <c r="AR141" s="197"/>
      <c r="AS141" s="197"/>
    </row>
    <row r="142" spans="1:45" s="4" customFormat="1" ht="31">
      <c r="A142" s="197"/>
      <c r="B142" s="2769"/>
      <c r="C142" s="389" t="s">
        <v>6335</v>
      </c>
      <c r="D142" s="389" t="s">
        <v>6336</v>
      </c>
      <c r="E142" s="389" t="s">
        <v>6337</v>
      </c>
      <c r="F142" s="389" t="s">
        <v>6338</v>
      </c>
      <c r="G142" s="389" t="s">
        <v>6339</v>
      </c>
      <c r="H142" s="389" t="s">
        <v>6340</v>
      </c>
      <c r="I142" s="2770"/>
      <c r="J142" s="389" t="s">
        <v>6341</v>
      </c>
      <c r="K142" s="390" t="s">
        <v>6342</v>
      </c>
      <c r="L142" s="197"/>
      <c r="M142" s="197"/>
      <c r="N142" s="197"/>
      <c r="O142" s="197"/>
      <c r="P142" s="197"/>
      <c r="Q142" s="725"/>
      <c r="R142" s="251"/>
      <c r="S142" s="725"/>
      <c r="T142" s="197"/>
      <c r="U142" s="197"/>
      <c r="V142" s="197"/>
      <c r="W142" s="197"/>
      <c r="X142" s="197"/>
      <c r="Y142" s="197"/>
      <c r="Z142" s="197"/>
      <c r="AA142" s="197"/>
      <c r="AB142" s="197"/>
      <c r="AC142" s="725"/>
      <c r="AD142" s="197"/>
      <c r="AE142" s="2769"/>
      <c r="AF142" s="389" t="s">
        <v>6335</v>
      </c>
      <c r="AG142" s="389" t="s">
        <v>6336</v>
      </c>
      <c r="AH142" s="389" t="s">
        <v>6337</v>
      </c>
      <c r="AI142" s="389" t="s">
        <v>6338</v>
      </c>
      <c r="AJ142" s="389" t="s">
        <v>6339</v>
      </c>
      <c r="AK142" s="389" t="s">
        <v>6340</v>
      </c>
      <c r="AL142" s="2770"/>
      <c r="AM142" s="389" t="s">
        <v>6341</v>
      </c>
      <c r="AN142" s="390" t="s">
        <v>6342</v>
      </c>
      <c r="AO142" s="282"/>
      <c r="AP142" s="197"/>
      <c r="AQ142" s="197"/>
      <c r="AR142" s="197"/>
      <c r="AS142" s="197"/>
    </row>
    <row r="143" spans="1:45" s="4" customFormat="1" ht="16.399999999999999" customHeight="1">
      <c r="A143" s="197"/>
      <c r="B143" s="391" t="s">
        <v>1892</v>
      </c>
      <c r="C143" s="389" t="s">
        <v>137</v>
      </c>
      <c r="D143" s="389" t="s">
        <v>137</v>
      </c>
      <c r="E143" s="389" t="s">
        <v>137</v>
      </c>
      <c r="F143" s="389" t="s">
        <v>137</v>
      </c>
      <c r="G143" s="389" t="s">
        <v>137</v>
      </c>
      <c r="H143" s="389" t="s">
        <v>137</v>
      </c>
      <c r="I143" s="389" t="s">
        <v>137</v>
      </c>
      <c r="J143" s="389" t="s">
        <v>1344</v>
      </c>
      <c r="K143" s="390" t="s">
        <v>1344</v>
      </c>
      <c r="L143" s="197"/>
      <c r="M143" s="197"/>
      <c r="N143" s="197"/>
      <c r="O143" s="197"/>
      <c r="P143" s="197"/>
      <c r="Q143" s="725"/>
      <c r="R143" s="251"/>
      <c r="S143" s="725"/>
      <c r="T143" s="197"/>
      <c r="U143" s="197"/>
      <c r="V143" s="197"/>
      <c r="W143" s="197"/>
      <c r="X143" s="197"/>
      <c r="Y143" s="197"/>
      <c r="Z143" s="197"/>
      <c r="AA143" s="197"/>
      <c r="AB143" s="197"/>
      <c r="AC143" s="725"/>
      <c r="AD143" s="197"/>
      <c r="AE143" s="391" t="s">
        <v>1892</v>
      </c>
      <c r="AF143" s="389" t="s">
        <v>137</v>
      </c>
      <c r="AG143" s="389" t="s">
        <v>137</v>
      </c>
      <c r="AH143" s="389" t="s">
        <v>137</v>
      </c>
      <c r="AI143" s="389" t="s">
        <v>137</v>
      </c>
      <c r="AJ143" s="389" t="s">
        <v>137</v>
      </c>
      <c r="AK143" s="389" t="s">
        <v>137</v>
      </c>
      <c r="AL143" s="389" t="s">
        <v>137</v>
      </c>
      <c r="AM143" s="389" t="s">
        <v>1344</v>
      </c>
      <c r="AN143" s="390" t="s">
        <v>1344</v>
      </c>
      <c r="AO143" s="282"/>
      <c r="AP143" s="197"/>
      <c r="AQ143" s="197"/>
      <c r="AR143" s="197"/>
      <c r="AS143" s="197"/>
    </row>
    <row r="144" spans="1:45" s="4" customFormat="1" ht="16" thickBot="1">
      <c r="A144" s="197"/>
      <c r="B144" s="392" t="s">
        <v>136</v>
      </c>
      <c r="C144" s="238">
        <v>3</v>
      </c>
      <c r="D144" s="238">
        <v>3</v>
      </c>
      <c r="E144" s="238">
        <v>3</v>
      </c>
      <c r="F144" s="238">
        <v>3</v>
      </c>
      <c r="G144" s="238">
        <v>3</v>
      </c>
      <c r="H144" s="238">
        <v>3</v>
      </c>
      <c r="I144" s="238">
        <v>3</v>
      </c>
      <c r="J144" s="238">
        <v>3</v>
      </c>
      <c r="K144" s="576">
        <v>3</v>
      </c>
      <c r="L144" s="197"/>
      <c r="M144" s="197"/>
      <c r="N144" s="197"/>
      <c r="O144" s="197"/>
      <c r="P144" s="197"/>
      <c r="Q144" s="725"/>
      <c r="R144" s="251"/>
      <c r="S144" s="725"/>
      <c r="T144" s="2662" t="s">
        <v>1890</v>
      </c>
      <c r="U144" s="2662"/>
      <c r="V144" s="2795"/>
      <c r="W144" s="2795"/>
      <c r="X144" s="2795"/>
      <c r="Y144" s="2795"/>
      <c r="Z144" s="2795"/>
      <c r="AA144" s="2795"/>
      <c r="AB144" s="2579"/>
      <c r="AC144" s="725"/>
      <c r="AD144" s="197"/>
      <c r="AE144" s="392" t="s">
        <v>136</v>
      </c>
      <c r="AF144" s="238">
        <v>3</v>
      </c>
      <c r="AG144" s="238">
        <v>3</v>
      </c>
      <c r="AH144" s="238">
        <v>3</v>
      </c>
      <c r="AI144" s="238">
        <v>3</v>
      </c>
      <c r="AJ144" s="238">
        <v>3</v>
      </c>
      <c r="AK144" s="238">
        <v>3</v>
      </c>
      <c r="AL144" s="238">
        <v>3</v>
      </c>
      <c r="AM144" s="238">
        <v>3</v>
      </c>
      <c r="AN144" s="576">
        <v>3</v>
      </c>
      <c r="AO144" s="197"/>
      <c r="AP144" s="197"/>
      <c r="AQ144" s="197"/>
      <c r="AR144" s="197"/>
      <c r="AS144" s="197"/>
    </row>
    <row r="145" spans="1:45" s="4" customFormat="1" ht="16.5" thickTop="1" thickBot="1">
      <c r="A145" s="197"/>
      <c r="B145" s="852"/>
      <c r="C145" s="852"/>
      <c r="D145" s="853"/>
      <c r="E145" s="853"/>
      <c r="F145" s="853"/>
      <c r="G145" s="853"/>
      <c r="H145" s="853"/>
      <c r="I145" s="853"/>
      <c r="J145" s="853"/>
      <c r="K145" s="853"/>
      <c r="L145" s="197"/>
      <c r="M145" s="197"/>
      <c r="N145" s="197"/>
      <c r="O145" s="197"/>
      <c r="P145" s="197"/>
      <c r="Q145" s="725"/>
      <c r="R145" s="251"/>
      <c r="S145" s="725"/>
      <c r="T145" s="236" t="s">
        <v>1898</v>
      </c>
      <c r="U145" s="222"/>
      <c r="V145" s="197"/>
      <c r="W145" s="197"/>
      <c r="X145" s="197"/>
      <c r="Y145" s="197"/>
      <c r="Z145" s="197"/>
      <c r="AA145" s="197"/>
      <c r="AB145" s="197"/>
      <c r="AC145" s="725"/>
      <c r="AD145" s="197"/>
      <c r="AE145" s="852"/>
      <c r="AF145" s="852"/>
      <c r="AG145" s="853"/>
      <c r="AH145" s="853"/>
      <c r="AI145" s="853"/>
      <c r="AJ145" s="853"/>
      <c r="AK145" s="853"/>
      <c r="AL145" s="853"/>
      <c r="AM145" s="853"/>
      <c r="AN145" s="853"/>
      <c r="AO145" s="197"/>
      <c r="AP145" s="197"/>
      <c r="AQ145" s="197"/>
      <c r="AR145" s="197"/>
      <c r="AS145" s="197"/>
    </row>
    <row r="146" spans="1:45" s="4" customFormat="1" ht="15.75" customHeight="1" thickTop="1" thickBot="1">
      <c r="A146" s="197"/>
      <c r="B146" s="355" t="s">
        <v>6343</v>
      </c>
      <c r="C146" s="356"/>
      <c r="D146" s="444"/>
      <c r="E146" s="146"/>
      <c r="F146" s="853"/>
      <c r="G146" s="853"/>
      <c r="H146" s="853"/>
      <c r="I146" s="853"/>
      <c r="J146" s="853"/>
      <c r="K146" s="853"/>
      <c r="L146" s="197"/>
      <c r="M146" s="197"/>
      <c r="N146" s="197"/>
      <c r="O146" s="197"/>
      <c r="P146" s="197"/>
      <c r="Q146" s="725"/>
      <c r="R146" s="251"/>
      <c r="S146" s="725"/>
      <c r="T146" s="197"/>
      <c r="U146" s="197"/>
      <c r="V146" s="197"/>
      <c r="W146" s="197"/>
      <c r="X146" s="197"/>
      <c r="Y146" s="197"/>
      <c r="Z146" s="197"/>
      <c r="AA146" s="197"/>
      <c r="AB146" s="197"/>
      <c r="AC146" s="725"/>
      <c r="AD146" s="197"/>
      <c r="AE146" s="355" t="s">
        <v>6343</v>
      </c>
      <c r="AF146" s="356"/>
      <c r="AG146" s="444"/>
      <c r="AH146" s="146"/>
      <c r="AI146" s="853"/>
      <c r="AJ146" s="853"/>
      <c r="AK146" s="853"/>
      <c r="AL146" s="853"/>
      <c r="AM146" s="853"/>
      <c r="AN146" s="853"/>
      <c r="AO146" s="197"/>
      <c r="AP146" s="197"/>
      <c r="AQ146" s="197"/>
      <c r="AR146" s="197"/>
      <c r="AS146" s="197"/>
    </row>
    <row r="147" spans="1:45" s="4" customFormat="1" ht="15.75" customHeight="1" thickTop="1">
      <c r="A147" s="197"/>
      <c r="B147" s="358" t="s">
        <v>6344</v>
      </c>
      <c r="C147" s="1956">
        <v>0</v>
      </c>
      <c r="D147" s="598">
        <v>0</v>
      </c>
      <c r="E147" s="598">
        <v>0</v>
      </c>
      <c r="F147" s="598">
        <v>0</v>
      </c>
      <c r="G147" s="1479">
        <f t="shared" ref="G147:G154" si="67">IFERROR(SUM(C147:F147),0)</f>
        <v>0</v>
      </c>
      <c r="H147" s="1956">
        <v>0</v>
      </c>
      <c r="I147" s="598">
        <v>0</v>
      </c>
      <c r="J147" s="1493">
        <v>0</v>
      </c>
      <c r="K147" s="1494">
        <v>0</v>
      </c>
      <c r="L147" s="197"/>
      <c r="M147" s="248" t="s">
        <v>6669</v>
      </c>
      <c r="N147" s="197"/>
      <c r="O147" s="250"/>
      <c r="P147" s="197"/>
      <c r="Q147" s="725"/>
      <c r="R147" s="251">
        <f t="shared" ref="R147:R153" si="68">IF( SUM( T147:AA147 ) = 0, 0, $T$10 )</f>
        <v>0</v>
      </c>
      <c r="S147" s="725"/>
      <c r="T147" s="252">
        <f t="shared" ref="T147:W153" si="69" xml:space="preserve"> IF( ISNUMBER(C147), 0, 1 )</f>
        <v>0</v>
      </c>
      <c r="U147" s="252">
        <f t="shared" si="69"/>
        <v>0</v>
      </c>
      <c r="V147" s="252">
        <f t="shared" si="69"/>
        <v>0</v>
      </c>
      <c r="W147" s="252">
        <f t="shared" si="69"/>
        <v>0</v>
      </c>
      <c r="X147" s="197"/>
      <c r="Y147" s="252">
        <f t="shared" ref="Y147:AB153" si="70" xml:space="preserve"> IF( ISNUMBER(H147), 0, 1 )</f>
        <v>0</v>
      </c>
      <c r="Z147" s="252">
        <f t="shared" si="70"/>
        <v>0</v>
      </c>
      <c r="AA147" s="252">
        <f t="shared" si="70"/>
        <v>0</v>
      </c>
      <c r="AB147" s="252">
        <f t="shared" si="70"/>
        <v>0</v>
      </c>
      <c r="AC147" s="725"/>
      <c r="AD147" s="197"/>
      <c r="AE147" s="358" t="s">
        <v>6344</v>
      </c>
      <c r="AF147" s="854" t="s">
        <v>559</v>
      </c>
      <c r="AG147" s="801" t="s">
        <v>587</v>
      </c>
      <c r="AH147" s="801" t="s">
        <v>615</v>
      </c>
      <c r="AI147" s="801" t="s">
        <v>643</v>
      </c>
      <c r="AJ147" s="855" t="s">
        <v>671</v>
      </c>
      <c r="AK147" s="854" t="s">
        <v>699</v>
      </c>
      <c r="AL147" s="801" t="s">
        <v>727</v>
      </c>
      <c r="AM147" s="801" t="s">
        <v>755</v>
      </c>
      <c r="AN147" s="856" t="s">
        <v>762</v>
      </c>
      <c r="AO147" s="857"/>
      <c r="AP147" s="197"/>
      <c r="AQ147" s="197"/>
      <c r="AR147" s="197"/>
      <c r="AS147" s="197"/>
    </row>
    <row r="148" spans="1:45" s="4" customFormat="1" ht="15.75" customHeight="1">
      <c r="A148" s="197"/>
      <c r="B148" s="365" t="s">
        <v>6355</v>
      </c>
      <c r="C148" s="1957">
        <v>0</v>
      </c>
      <c r="D148" s="601">
        <v>0</v>
      </c>
      <c r="E148" s="601">
        <v>0</v>
      </c>
      <c r="F148" s="601">
        <v>0</v>
      </c>
      <c r="G148" s="1481">
        <f t="shared" si="67"/>
        <v>0</v>
      </c>
      <c r="H148" s="1957">
        <v>0</v>
      </c>
      <c r="I148" s="601">
        <v>0</v>
      </c>
      <c r="J148" s="1495">
        <v>0</v>
      </c>
      <c r="K148" s="1496">
        <v>0</v>
      </c>
      <c r="L148" s="197"/>
      <c r="M148" s="257" t="s">
        <v>6670</v>
      </c>
      <c r="N148" s="197"/>
      <c r="O148" s="258"/>
      <c r="P148" s="197"/>
      <c r="Q148" s="725"/>
      <c r="R148" s="251">
        <f t="shared" si="68"/>
        <v>0</v>
      </c>
      <c r="S148" s="725"/>
      <c r="T148" s="252">
        <f t="shared" si="69"/>
        <v>0</v>
      </c>
      <c r="U148" s="252">
        <f t="shared" si="69"/>
        <v>0</v>
      </c>
      <c r="V148" s="252">
        <f t="shared" si="69"/>
        <v>0</v>
      </c>
      <c r="W148" s="252">
        <f t="shared" si="69"/>
        <v>0</v>
      </c>
      <c r="X148" s="197"/>
      <c r="Y148" s="252">
        <f t="shared" si="70"/>
        <v>0</v>
      </c>
      <c r="Z148" s="252">
        <f t="shared" si="70"/>
        <v>0</v>
      </c>
      <c r="AA148" s="252">
        <f t="shared" si="70"/>
        <v>0</v>
      </c>
      <c r="AB148" s="252">
        <f t="shared" si="70"/>
        <v>0</v>
      </c>
      <c r="AC148" s="725"/>
      <c r="AD148" s="197"/>
      <c r="AE148" s="365" t="s">
        <v>6355</v>
      </c>
      <c r="AF148" s="858" t="s">
        <v>560</v>
      </c>
      <c r="AG148" s="802" t="s">
        <v>588</v>
      </c>
      <c r="AH148" s="802" t="s">
        <v>616</v>
      </c>
      <c r="AI148" s="802" t="s">
        <v>644</v>
      </c>
      <c r="AJ148" s="859" t="s">
        <v>672</v>
      </c>
      <c r="AK148" s="858" t="s">
        <v>700</v>
      </c>
      <c r="AL148" s="802" t="s">
        <v>728</v>
      </c>
      <c r="AM148" s="802" t="s">
        <v>756</v>
      </c>
      <c r="AN148" s="860" t="s">
        <v>763</v>
      </c>
      <c r="AO148" s="857"/>
      <c r="AP148" s="197"/>
      <c r="AQ148" s="197"/>
      <c r="AR148" s="197"/>
      <c r="AS148" s="197"/>
    </row>
    <row r="149" spans="1:45" s="4" customFormat="1" ht="15.75" customHeight="1">
      <c r="A149" s="197"/>
      <c r="B149" s="365" t="s">
        <v>6366</v>
      </c>
      <c r="C149" s="1957">
        <v>0</v>
      </c>
      <c r="D149" s="601">
        <v>0</v>
      </c>
      <c r="E149" s="601">
        <v>0</v>
      </c>
      <c r="F149" s="601">
        <v>0</v>
      </c>
      <c r="G149" s="1481">
        <f t="shared" si="67"/>
        <v>0</v>
      </c>
      <c r="H149" s="1957">
        <v>0</v>
      </c>
      <c r="I149" s="601">
        <v>0</v>
      </c>
      <c r="J149" s="1495">
        <v>0</v>
      </c>
      <c r="K149" s="1496">
        <v>0</v>
      </c>
      <c r="L149" s="197"/>
      <c r="M149" s="257" t="s">
        <v>6671</v>
      </c>
      <c r="N149" s="197"/>
      <c r="O149" s="258"/>
      <c r="P149" s="197"/>
      <c r="Q149" s="725"/>
      <c r="R149" s="251">
        <f t="shared" si="68"/>
        <v>0</v>
      </c>
      <c r="S149" s="725"/>
      <c r="T149" s="252">
        <f t="shared" si="69"/>
        <v>0</v>
      </c>
      <c r="U149" s="252">
        <f t="shared" si="69"/>
        <v>0</v>
      </c>
      <c r="V149" s="252">
        <f t="shared" si="69"/>
        <v>0</v>
      </c>
      <c r="W149" s="252">
        <f t="shared" si="69"/>
        <v>0</v>
      </c>
      <c r="X149" s="197"/>
      <c r="Y149" s="252">
        <f t="shared" si="70"/>
        <v>0</v>
      </c>
      <c r="Z149" s="252">
        <f t="shared" si="70"/>
        <v>0</v>
      </c>
      <c r="AA149" s="252">
        <f t="shared" si="70"/>
        <v>0</v>
      </c>
      <c r="AB149" s="252">
        <f t="shared" si="70"/>
        <v>0</v>
      </c>
      <c r="AC149" s="725"/>
      <c r="AD149" s="197"/>
      <c r="AE149" s="365" t="s">
        <v>6366</v>
      </c>
      <c r="AF149" s="858" t="s">
        <v>561</v>
      </c>
      <c r="AG149" s="802" t="s">
        <v>589</v>
      </c>
      <c r="AH149" s="802" t="s">
        <v>617</v>
      </c>
      <c r="AI149" s="802" t="s">
        <v>645</v>
      </c>
      <c r="AJ149" s="859" t="s">
        <v>673</v>
      </c>
      <c r="AK149" s="858" t="s">
        <v>701</v>
      </c>
      <c r="AL149" s="802" t="s">
        <v>729</v>
      </c>
      <c r="AM149" s="802" t="s">
        <v>757</v>
      </c>
      <c r="AN149" s="860" t="s">
        <v>764</v>
      </c>
      <c r="AO149" s="857"/>
      <c r="AP149" s="197"/>
      <c r="AQ149" s="197"/>
      <c r="AR149" s="197"/>
      <c r="AS149" s="197"/>
    </row>
    <row r="150" spans="1:45" s="4" customFormat="1" ht="15.75" customHeight="1">
      <c r="A150" s="197"/>
      <c r="B150" s="365" t="s">
        <v>6377</v>
      </c>
      <c r="C150" s="1957">
        <v>0</v>
      </c>
      <c r="D150" s="601">
        <v>0</v>
      </c>
      <c r="E150" s="601">
        <v>98.971433000000005</v>
      </c>
      <c r="F150" s="601">
        <v>0</v>
      </c>
      <c r="G150" s="1481">
        <f t="shared" si="67"/>
        <v>98.971433000000005</v>
      </c>
      <c r="H150" s="1957">
        <v>92.903000000000006</v>
      </c>
      <c r="I150" s="601">
        <v>61.165999999999997</v>
      </c>
      <c r="J150" s="1495">
        <v>4.3499999999999997E-2</v>
      </c>
      <c r="K150" s="1496">
        <v>3.4889999999999997E-2</v>
      </c>
      <c r="L150" s="197"/>
      <c r="M150" s="257" t="s">
        <v>6672</v>
      </c>
      <c r="N150" s="197"/>
      <c r="O150" s="258"/>
      <c r="P150" s="197"/>
      <c r="Q150" s="725"/>
      <c r="R150" s="251">
        <f t="shared" si="68"/>
        <v>0</v>
      </c>
      <c r="S150" s="725"/>
      <c r="T150" s="252">
        <f t="shared" si="69"/>
        <v>0</v>
      </c>
      <c r="U150" s="252">
        <f t="shared" si="69"/>
        <v>0</v>
      </c>
      <c r="V150" s="252">
        <f t="shared" si="69"/>
        <v>0</v>
      </c>
      <c r="W150" s="252">
        <f t="shared" si="69"/>
        <v>0</v>
      </c>
      <c r="X150" s="197"/>
      <c r="Y150" s="252">
        <f t="shared" si="70"/>
        <v>0</v>
      </c>
      <c r="Z150" s="252">
        <f t="shared" si="70"/>
        <v>0</v>
      </c>
      <c r="AA150" s="252">
        <f t="shared" si="70"/>
        <v>0</v>
      </c>
      <c r="AB150" s="252">
        <f t="shared" si="70"/>
        <v>0</v>
      </c>
      <c r="AC150" s="725"/>
      <c r="AD150" s="197"/>
      <c r="AE150" s="365" t="s">
        <v>6377</v>
      </c>
      <c r="AF150" s="858" t="s">
        <v>562</v>
      </c>
      <c r="AG150" s="802" t="s">
        <v>590</v>
      </c>
      <c r="AH150" s="802" t="s">
        <v>618</v>
      </c>
      <c r="AI150" s="802" t="s">
        <v>646</v>
      </c>
      <c r="AJ150" s="859" t="s">
        <v>674</v>
      </c>
      <c r="AK150" s="858" t="s">
        <v>702</v>
      </c>
      <c r="AL150" s="802" t="s">
        <v>730</v>
      </c>
      <c r="AM150" s="802" t="s">
        <v>758</v>
      </c>
      <c r="AN150" s="860" t="s">
        <v>765</v>
      </c>
      <c r="AO150" s="857"/>
      <c r="AP150" s="197"/>
      <c r="AQ150" s="197"/>
      <c r="AR150" s="197"/>
      <c r="AS150" s="197"/>
    </row>
    <row r="151" spans="1:45" s="4" customFormat="1" ht="15.75" customHeight="1">
      <c r="A151" s="197"/>
      <c r="B151" s="365" t="s">
        <v>6388</v>
      </c>
      <c r="C151" s="1957">
        <v>0</v>
      </c>
      <c r="D151" s="601">
        <v>0</v>
      </c>
      <c r="E151" s="601">
        <v>0</v>
      </c>
      <c r="F151" s="601">
        <v>0</v>
      </c>
      <c r="G151" s="1481">
        <f t="shared" si="67"/>
        <v>0</v>
      </c>
      <c r="H151" s="1957">
        <v>0</v>
      </c>
      <c r="I151" s="601">
        <v>0</v>
      </c>
      <c r="J151" s="1495">
        <v>0</v>
      </c>
      <c r="K151" s="1496">
        <v>0</v>
      </c>
      <c r="L151" s="197"/>
      <c r="M151" s="257" t="s">
        <v>6673</v>
      </c>
      <c r="N151" s="197"/>
      <c r="O151" s="258"/>
      <c r="P151" s="197"/>
      <c r="Q151" s="725"/>
      <c r="R151" s="251">
        <f t="shared" si="68"/>
        <v>0</v>
      </c>
      <c r="S151" s="725"/>
      <c r="T151" s="252">
        <f t="shared" si="69"/>
        <v>0</v>
      </c>
      <c r="U151" s="252">
        <f t="shared" si="69"/>
        <v>0</v>
      </c>
      <c r="V151" s="252">
        <f t="shared" si="69"/>
        <v>0</v>
      </c>
      <c r="W151" s="252">
        <f t="shared" si="69"/>
        <v>0</v>
      </c>
      <c r="X151" s="197"/>
      <c r="Y151" s="252">
        <f t="shared" si="70"/>
        <v>0</v>
      </c>
      <c r="Z151" s="252">
        <f t="shared" si="70"/>
        <v>0</v>
      </c>
      <c r="AA151" s="252">
        <f t="shared" si="70"/>
        <v>0</v>
      </c>
      <c r="AB151" s="252">
        <f t="shared" si="70"/>
        <v>0</v>
      </c>
      <c r="AC151" s="725"/>
      <c r="AD151" s="197"/>
      <c r="AE151" s="365" t="s">
        <v>6388</v>
      </c>
      <c r="AF151" s="858" t="s">
        <v>563</v>
      </c>
      <c r="AG151" s="802" t="s">
        <v>591</v>
      </c>
      <c r="AH151" s="802" t="s">
        <v>619</v>
      </c>
      <c r="AI151" s="802" t="s">
        <v>647</v>
      </c>
      <c r="AJ151" s="859" t="s">
        <v>675</v>
      </c>
      <c r="AK151" s="858" t="s">
        <v>703</v>
      </c>
      <c r="AL151" s="802" t="s">
        <v>731</v>
      </c>
      <c r="AM151" s="802" t="s">
        <v>759</v>
      </c>
      <c r="AN151" s="860" t="s">
        <v>766</v>
      </c>
      <c r="AO151" s="857"/>
      <c r="AP151" s="197"/>
      <c r="AQ151" s="197"/>
      <c r="AR151" s="197"/>
      <c r="AS151" s="197"/>
    </row>
    <row r="152" spans="1:45" s="4" customFormat="1" ht="15.75" customHeight="1">
      <c r="A152" s="197"/>
      <c r="B152" s="365" t="s">
        <v>6399</v>
      </c>
      <c r="C152" s="1957">
        <v>0</v>
      </c>
      <c r="D152" s="601">
        <v>0</v>
      </c>
      <c r="E152" s="601">
        <v>0</v>
      </c>
      <c r="F152" s="601">
        <v>0</v>
      </c>
      <c r="G152" s="1481">
        <f t="shared" si="67"/>
        <v>0</v>
      </c>
      <c r="H152" s="1957">
        <v>0</v>
      </c>
      <c r="I152" s="601">
        <v>0</v>
      </c>
      <c r="J152" s="1495">
        <v>0</v>
      </c>
      <c r="K152" s="1496">
        <v>0</v>
      </c>
      <c r="L152" s="197"/>
      <c r="M152" s="257" t="s">
        <v>6674</v>
      </c>
      <c r="N152" s="197"/>
      <c r="O152" s="258"/>
      <c r="P152" s="197"/>
      <c r="Q152" s="725"/>
      <c r="R152" s="251">
        <f t="shared" si="68"/>
        <v>0</v>
      </c>
      <c r="S152" s="725"/>
      <c r="T152" s="252">
        <f t="shared" si="69"/>
        <v>0</v>
      </c>
      <c r="U152" s="252">
        <f t="shared" si="69"/>
        <v>0</v>
      </c>
      <c r="V152" s="252">
        <f t="shared" si="69"/>
        <v>0</v>
      </c>
      <c r="W152" s="252">
        <f t="shared" si="69"/>
        <v>0</v>
      </c>
      <c r="X152" s="197"/>
      <c r="Y152" s="252">
        <f t="shared" si="70"/>
        <v>0</v>
      </c>
      <c r="Z152" s="252">
        <f t="shared" si="70"/>
        <v>0</v>
      </c>
      <c r="AA152" s="252">
        <f t="shared" si="70"/>
        <v>0</v>
      </c>
      <c r="AB152" s="252">
        <f t="shared" si="70"/>
        <v>0</v>
      </c>
      <c r="AC152" s="725"/>
      <c r="AD152" s="197"/>
      <c r="AE152" s="365" t="s">
        <v>6399</v>
      </c>
      <c r="AF152" s="858" t="s">
        <v>564</v>
      </c>
      <c r="AG152" s="802" t="s">
        <v>592</v>
      </c>
      <c r="AH152" s="802" t="s">
        <v>620</v>
      </c>
      <c r="AI152" s="802" t="s">
        <v>648</v>
      </c>
      <c r="AJ152" s="859" t="s">
        <v>676</v>
      </c>
      <c r="AK152" s="858" t="s">
        <v>704</v>
      </c>
      <c r="AL152" s="802" t="s">
        <v>732</v>
      </c>
      <c r="AM152" s="802" t="s">
        <v>760</v>
      </c>
      <c r="AN152" s="860" t="s">
        <v>767</v>
      </c>
      <c r="AO152" s="857"/>
      <c r="AP152" s="197"/>
      <c r="AQ152" s="197"/>
      <c r="AR152" s="197"/>
      <c r="AS152" s="197"/>
    </row>
    <row r="153" spans="1:45" s="4" customFormat="1" ht="15.75" customHeight="1">
      <c r="A153" s="197"/>
      <c r="B153" s="365" t="s">
        <v>6410</v>
      </c>
      <c r="C153" s="1957">
        <v>0</v>
      </c>
      <c r="D153" s="601">
        <v>0</v>
      </c>
      <c r="E153" s="601">
        <v>0</v>
      </c>
      <c r="F153" s="601">
        <v>0</v>
      </c>
      <c r="G153" s="1481">
        <f t="shared" si="67"/>
        <v>0</v>
      </c>
      <c r="H153" s="1957">
        <v>0</v>
      </c>
      <c r="I153" s="601">
        <v>0</v>
      </c>
      <c r="J153" s="1495">
        <v>0</v>
      </c>
      <c r="K153" s="1496">
        <v>0</v>
      </c>
      <c r="L153" s="197"/>
      <c r="M153" s="257" t="s">
        <v>6675</v>
      </c>
      <c r="N153" s="197"/>
      <c r="O153" s="258"/>
      <c r="P153" s="197"/>
      <c r="Q153" s="725"/>
      <c r="R153" s="251">
        <f t="shared" si="68"/>
        <v>0</v>
      </c>
      <c r="S153" s="725"/>
      <c r="T153" s="252">
        <f t="shared" si="69"/>
        <v>0</v>
      </c>
      <c r="U153" s="252">
        <f t="shared" si="69"/>
        <v>0</v>
      </c>
      <c r="V153" s="252">
        <f t="shared" si="69"/>
        <v>0</v>
      </c>
      <c r="W153" s="252">
        <f t="shared" si="69"/>
        <v>0</v>
      </c>
      <c r="X153" s="197"/>
      <c r="Y153" s="252">
        <f t="shared" si="70"/>
        <v>0</v>
      </c>
      <c r="Z153" s="252">
        <f t="shared" si="70"/>
        <v>0</v>
      </c>
      <c r="AA153" s="252">
        <f t="shared" si="70"/>
        <v>0</v>
      </c>
      <c r="AB153" s="252">
        <f t="shared" si="70"/>
        <v>0</v>
      </c>
      <c r="AC153" s="725"/>
      <c r="AD153" s="197"/>
      <c r="AE153" s="365" t="s">
        <v>6410</v>
      </c>
      <c r="AF153" s="858" t="s">
        <v>565</v>
      </c>
      <c r="AG153" s="802" t="s">
        <v>593</v>
      </c>
      <c r="AH153" s="802" t="s">
        <v>621</v>
      </c>
      <c r="AI153" s="802" t="s">
        <v>649</v>
      </c>
      <c r="AJ153" s="859" t="s">
        <v>677</v>
      </c>
      <c r="AK153" s="858" t="s">
        <v>705</v>
      </c>
      <c r="AL153" s="802" t="s">
        <v>733</v>
      </c>
      <c r="AM153" s="802" t="s">
        <v>761</v>
      </c>
      <c r="AN153" s="860" t="s">
        <v>768</v>
      </c>
      <c r="AO153" s="857"/>
      <c r="AP153" s="197"/>
      <c r="AQ153" s="197"/>
      <c r="AR153" s="197"/>
      <c r="AS153" s="197"/>
    </row>
    <row r="154" spans="1:45" s="4" customFormat="1" ht="15.75" customHeight="1" thickBot="1">
      <c r="A154" s="197"/>
      <c r="B154" s="368" t="s">
        <v>2112</v>
      </c>
      <c r="C154" s="1902">
        <f>IFERROR(SUM(C147:C153), 0)</f>
        <v>0</v>
      </c>
      <c r="D154" s="1473">
        <f>IFERROR(SUM(D147:D153), 0)</f>
        <v>0</v>
      </c>
      <c r="E154" s="1473">
        <f>IFERROR(SUM(E147:E153), 0)</f>
        <v>98.971433000000005</v>
      </c>
      <c r="F154" s="1473">
        <f>IFERROR(SUM(F147:F153), 0)</f>
        <v>0</v>
      </c>
      <c r="G154" s="1473">
        <f t="shared" si="67"/>
        <v>98.971433000000005</v>
      </c>
      <c r="H154" s="1473">
        <f>IFERROR(SUM(H147:H153), 0)</f>
        <v>92.903000000000006</v>
      </c>
      <c r="I154" s="1473">
        <f>IFERROR(SUM(I147:I153), 0)</f>
        <v>61.165999999999997</v>
      </c>
      <c r="J154" s="1497"/>
      <c r="K154" s="1498"/>
      <c r="L154" s="197"/>
      <c r="M154" s="538" t="s">
        <v>6676</v>
      </c>
      <c r="N154" s="197"/>
      <c r="O154" s="269"/>
      <c r="P154" s="197"/>
      <c r="Q154" s="725"/>
      <c r="R154" s="251"/>
      <c r="S154" s="725"/>
      <c r="T154" s="197"/>
      <c r="U154" s="197"/>
      <c r="V154" s="197"/>
      <c r="W154" s="197"/>
      <c r="X154" s="197"/>
      <c r="Y154" s="197"/>
      <c r="Z154" s="197"/>
      <c r="AA154" s="197"/>
      <c r="AB154" s="197"/>
      <c r="AC154" s="725"/>
      <c r="AD154" s="197"/>
      <c r="AE154" s="368" t="s">
        <v>2112</v>
      </c>
      <c r="AF154" s="861" t="s">
        <v>566</v>
      </c>
      <c r="AG154" s="583" t="s">
        <v>594</v>
      </c>
      <c r="AH154" s="583" t="s">
        <v>622</v>
      </c>
      <c r="AI154" s="583" t="s">
        <v>650</v>
      </c>
      <c r="AJ154" s="583" t="s">
        <v>678</v>
      </c>
      <c r="AK154" s="583" t="s">
        <v>706</v>
      </c>
      <c r="AL154" s="583" t="s">
        <v>734</v>
      </c>
      <c r="AM154" s="862" t="s">
        <v>6677</v>
      </c>
      <c r="AN154" s="863" t="s">
        <v>6677</v>
      </c>
      <c r="AO154" s="864"/>
      <c r="AP154" s="197"/>
      <c r="AQ154" s="197"/>
      <c r="AR154" s="197"/>
      <c r="AS154" s="197"/>
    </row>
    <row r="155" spans="1:45" s="4" customFormat="1" ht="15.75" customHeight="1" thickTop="1" thickBot="1">
      <c r="A155" s="197"/>
      <c r="B155" s="865"/>
      <c r="C155" s="1487"/>
      <c r="D155" s="1488"/>
      <c r="E155" s="1488"/>
      <c r="F155" s="1488"/>
      <c r="G155" s="1488"/>
      <c r="H155" s="1487"/>
      <c r="I155" s="1487"/>
      <c r="J155" s="1499"/>
      <c r="K155" s="1499"/>
      <c r="L155" s="197"/>
      <c r="M155" s="222" t="s">
        <v>4435</v>
      </c>
      <c r="N155" s="197"/>
      <c r="O155" s="197"/>
      <c r="P155" s="197"/>
      <c r="Q155" s="725"/>
      <c r="R155" s="251"/>
      <c r="S155" s="725"/>
      <c r="T155" s="197"/>
      <c r="U155" s="197"/>
      <c r="V155" s="197"/>
      <c r="W155" s="197"/>
      <c r="X155" s="197"/>
      <c r="Y155" s="197"/>
      <c r="Z155" s="197"/>
      <c r="AA155" s="197"/>
      <c r="AB155" s="197"/>
      <c r="AC155" s="725"/>
      <c r="AD155" s="197"/>
      <c r="AE155" s="865"/>
      <c r="AF155" s="865"/>
      <c r="AG155" s="866"/>
      <c r="AH155" s="866"/>
      <c r="AI155" s="866"/>
      <c r="AJ155" s="866"/>
      <c r="AK155" s="867"/>
      <c r="AL155" s="867"/>
      <c r="AM155" s="868"/>
      <c r="AN155" s="868"/>
      <c r="AO155" s="2560"/>
      <c r="AP155" s="197"/>
      <c r="AQ155" s="197"/>
      <c r="AR155" s="197"/>
      <c r="AS155" s="197"/>
    </row>
    <row r="156" spans="1:45" s="4" customFormat="1" ht="15.75" customHeight="1" thickTop="1" thickBot="1">
      <c r="A156" s="197"/>
      <c r="B156" s="355" t="s">
        <v>6429</v>
      </c>
      <c r="C156" s="633"/>
      <c r="D156" s="1487"/>
      <c r="E156" s="1487"/>
      <c r="F156" s="1487"/>
      <c r="G156" s="1487"/>
      <c r="H156" s="1487"/>
      <c r="I156" s="1487"/>
      <c r="J156" s="1499"/>
      <c r="K156" s="1499"/>
      <c r="L156" s="197"/>
      <c r="M156" s="222" t="s">
        <v>4435</v>
      </c>
      <c r="N156" s="197"/>
      <c r="O156" s="197"/>
      <c r="P156" s="197"/>
      <c r="Q156" s="725"/>
      <c r="R156" s="251"/>
      <c r="S156" s="725"/>
      <c r="T156" s="197"/>
      <c r="U156" s="197"/>
      <c r="V156" s="197"/>
      <c r="W156" s="197"/>
      <c r="X156" s="197"/>
      <c r="Y156" s="197"/>
      <c r="Z156" s="197"/>
      <c r="AA156" s="197"/>
      <c r="AB156" s="197"/>
      <c r="AC156" s="725"/>
      <c r="AD156" s="197"/>
      <c r="AE156" s="355" t="s">
        <v>6429</v>
      </c>
      <c r="AF156" s="356"/>
      <c r="AG156" s="867"/>
      <c r="AH156" s="867"/>
      <c r="AI156" s="867"/>
      <c r="AJ156" s="867"/>
      <c r="AK156" s="867"/>
      <c r="AL156" s="867"/>
      <c r="AM156" s="868"/>
      <c r="AN156" s="868"/>
      <c r="AO156" s="2560"/>
      <c r="AP156" s="197"/>
      <c r="AQ156" s="197"/>
      <c r="AR156" s="197"/>
      <c r="AS156" s="197"/>
    </row>
    <row r="157" spans="1:45" s="4" customFormat="1" ht="15.75" customHeight="1" thickTop="1">
      <c r="A157" s="197"/>
      <c r="B157" s="358" t="s">
        <v>6430</v>
      </c>
      <c r="C157" s="1956">
        <v>0</v>
      </c>
      <c r="D157" s="598">
        <v>0</v>
      </c>
      <c r="E157" s="598">
        <v>0</v>
      </c>
      <c r="F157" s="598">
        <v>0</v>
      </c>
      <c r="G157" s="1479">
        <f>IFERROR(SUM(C157:F157),0)</f>
        <v>0</v>
      </c>
      <c r="H157" s="598">
        <v>0</v>
      </c>
      <c r="I157" s="598">
        <v>0</v>
      </c>
      <c r="J157" s="1500"/>
      <c r="K157" s="1501"/>
      <c r="L157" s="197"/>
      <c r="M157" s="248" t="s">
        <v>6678</v>
      </c>
      <c r="N157" s="197"/>
      <c r="O157" s="250"/>
      <c r="P157" s="197"/>
      <c r="Q157" s="725"/>
      <c r="R157" s="251">
        <f>IF( SUM( T157:AA157 ) = 0, 0, $T$10 )</f>
        <v>0</v>
      </c>
      <c r="S157" s="725"/>
      <c r="T157" s="252">
        <f t="shared" ref="T157:W160" si="71" xml:space="preserve"> IF( ISNUMBER(C157), 0, 1 )</f>
        <v>0</v>
      </c>
      <c r="U157" s="252">
        <f t="shared" si="71"/>
        <v>0</v>
      </c>
      <c r="V157" s="252">
        <f t="shared" si="71"/>
        <v>0</v>
      </c>
      <c r="W157" s="252">
        <f t="shared" si="71"/>
        <v>0</v>
      </c>
      <c r="X157" s="197"/>
      <c r="Y157" s="252">
        <f t="shared" ref="Y157:Z160" si="72" xml:space="preserve"> IF( ISNUMBER(H157), 0, 1 )</f>
        <v>0</v>
      </c>
      <c r="Z157" s="252">
        <f t="shared" si="72"/>
        <v>0</v>
      </c>
      <c r="AA157" s="197"/>
      <c r="AB157" s="197"/>
      <c r="AC157" s="725"/>
      <c r="AD157" s="197"/>
      <c r="AE157" s="358" t="s">
        <v>6430</v>
      </c>
      <c r="AF157" s="854" t="s">
        <v>567</v>
      </c>
      <c r="AG157" s="801" t="s">
        <v>595</v>
      </c>
      <c r="AH157" s="801" t="s">
        <v>623</v>
      </c>
      <c r="AI157" s="801" t="s">
        <v>651</v>
      </c>
      <c r="AJ157" s="855" t="s">
        <v>679</v>
      </c>
      <c r="AK157" s="801" t="s">
        <v>707</v>
      </c>
      <c r="AL157" s="801" t="s">
        <v>735</v>
      </c>
      <c r="AM157" s="869"/>
      <c r="AN157" s="870"/>
      <c r="AO157" s="857"/>
      <c r="AP157" s="197"/>
      <c r="AQ157" s="197"/>
      <c r="AR157" s="197"/>
      <c r="AS157" s="197"/>
    </row>
    <row r="158" spans="1:45" s="4" customFormat="1" ht="15.75" customHeight="1">
      <c r="A158" s="197"/>
      <c r="B158" s="365" t="s">
        <v>6439</v>
      </c>
      <c r="C158" s="1957">
        <v>0</v>
      </c>
      <c r="D158" s="601">
        <v>0</v>
      </c>
      <c r="E158" s="601">
        <v>0</v>
      </c>
      <c r="F158" s="601">
        <v>0</v>
      </c>
      <c r="G158" s="1481">
        <f>IFERROR(SUM(C158:F158),0)</f>
        <v>0</v>
      </c>
      <c r="H158" s="601">
        <v>0</v>
      </c>
      <c r="I158" s="601">
        <v>0</v>
      </c>
      <c r="J158" s="1502"/>
      <c r="K158" s="1503"/>
      <c r="L158" s="197"/>
      <c r="M158" s="257" t="s">
        <v>6679</v>
      </c>
      <c r="N158" s="197"/>
      <c r="O158" s="258"/>
      <c r="P158" s="197"/>
      <c r="Q158" s="725"/>
      <c r="R158" s="251">
        <f>IF( SUM( T158:AA158 ) = 0, 0, $T$10 )</f>
        <v>0</v>
      </c>
      <c r="S158" s="725"/>
      <c r="T158" s="252">
        <f t="shared" si="71"/>
        <v>0</v>
      </c>
      <c r="U158" s="252">
        <f t="shared" si="71"/>
        <v>0</v>
      </c>
      <c r="V158" s="252">
        <f t="shared" si="71"/>
        <v>0</v>
      </c>
      <c r="W158" s="252">
        <f t="shared" si="71"/>
        <v>0</v>
      </c>
      <c r="X158" s="197"/>
      <c r="Y158" s="252">
        <f t="shared" si="72"/>
        <v>0</v>
      </c>
      <c r="Z158" s="252">
        <f t="shared" si="72"/>
        <v>0</v>
      </c>
      <c r="AA158" s="197"/>
      <c r="AB158" s="197"/>
      <c r="AC158" s="725"/>
      <c r="AD158" s="197"/>
      <c r="AE158" s="365" t="s">
        <v>6439</v>
      </c>
      <c r="AF158" s="858" t="s">
        <v>568</v>
      </c>
      <c r="AG158" s="802" t="s">
        <v>596</v>
      </c>
      <c r="AH158" s="802" t="s">
        <v>624</v>
      </c>
      <c r="AI158" s="802" t="s">
        <v>652</v>
      </c>
      <c r="AJ158" s="859" t="s">
        <v>680</v>
      </c>
      <c r="AK158" s="802" t="s">
        <v>708</v>
      </c>
      <c r="AL158" s="802" t="s">
        <v>736</v>
      </c>
      <c r="AM158" s="871"/>
      <c r="AN158" s="872"/>
      <c r="AO158" s="857"/>
      <c r="AP158" s="197"/>
      <c r="AQ158" s="197"/>
      <c r="AR158" s="197"/>
      <c r="AS158" s="197"/>
    </row>
    <row r="159" spans="1:45" s="4" customFormat="1" ht="15.75" customHeight="1">
      <c r="A159" s="197"/>
      <c r="B159" s="365" t="s">
        <v>6448</v>
      </c>
      <c r="C159" s="1957">
        <v>0</v>
      </c>
      <c r="D159" s="601">
        <v>0</v>
      </c>
      <c r="E159" s="601">
        <v>0</v>
      </c>
      <c r="F159" s="601">
        <v>0</v>
      </c>
      <c r="G159" s="1481">
        <f>IFERROR(SUM(C159:F159),0)</f>
        <v>0</v>
      </c>
      <c r="H159" s="601">
        <v>0</v>
      </c>
      <c r="I159" s="601">
        <v>0</v>
      </c>
      <c r="J159" s="1502"/>
      <c r="K159" s="1503"/>
      <c r="L159" s="197"/>
      <c r="M159" s="257" t="s">
        <v>6680</v>
      </c>
      <c r="N159" s="197"/>
      <c r="O159" s="258"/>
      <c r="P159" s="197"/>
      <c r="Q159" s="725"/>
      <c r="R159" s="251">
        <f>IF( SUM( T159:AA159 ) = 0, 0, $T$10 )</f>
        <v>0</v>
      </c>
      <c r="S159" s="725"/>
      <c r="T159" s="252">
        <f t="shared" si="71"/>
        <v>0</v>
      </c>
      <c r="U159" s="252">
        <f t="shared" si="71"/>
        <v>0</v>
      </c>
      <c r="V159" s="252">
        <f t="shared" si="71"/>
        <v>0</v>
      </c>
      <c r="W159" s="252">
        <f t="shared" si="71"/>
        <v>0</v>
      </c>
      <c r="X159" s="197"/>
      <c r="Y159" s="252">
        <f t="shared" si="72"/>
        <v>0</v>
      </c>
      <c r="Z159" s="252">
        <f t="shared" si="72"/>
        <v>0</v>
      </c>
      <c r="AA159" s="197"/>
      <c r="AB159" s="197"/>
      <c r="AC159" s="725"/>
      <c r="AD159" s="197"/>
      <c r="AE159" s="365" t="s">
        <v>6448</v>
      </c>
      <c r="AF159" s="858" t="s">
        <v>569</v>
      </c>
      <c r="AG159" s="802" t="s">
        <v>597</v>
      </c>
      <c r="AH159" s="802" t="s">
        <v>625</v>
      </c>
      <c r="AI159" s="802" t="s">
        <v>653</v>
      </c>
      <c r="AJ159" s="859" t="s">
        <v>681</v>
      </c>
      <c r="AK159" s="802" t="s">
        <v>709</v>
      </c>
      <c r="AL159" s="802" t="s">
        <v>737</v>
      </c>
      <c r="AM159" s="871"/>
      <c r="AN159" s="872"/>
      <c r="AO159" s="857"/>
      <c r="AP159" s="197"/>
      <c r="AQ159" s="197"/>
      <c r="AR159" s="197"/>
      <c r="AS159" s="197"/>
    </row>
    <row r="160" spans="1:45" s="4" customFormat="1" ht="15.75" customHeight="1">
      <c r="A160" s="197"/>
      <c r="B160" s="365" t="s">
        <v>6457</v>
      </c>
      <c r="C160" s="1957">
        <v>0</v>
      </c>
      <c r="D160" s="601">
        <v>0</v>
      </c>
      <c r="E160" s="601">
        <v>0</v>
      </c>
      <c r="F160" s="601">
        <v>0</v>
      </c>
      <c r="G160" s="1481">
        <f>IFERROR(SUM(C160:F160),0)</f>
        <v>0</v>
      </c>
      <c r="H160" s="601">
        <v>0</v>
      </c>
      <c r="I160" s="601">
        <v>0</v>
      </c>
      <c r="J160" s="1502"/>
      <c r="K160" s="1503"/>
      <c r="L160" s="197"/>
      <c r="M160" s="257" t="s">
        <v>6681</v>
      </c>
      <c r="N160" s="197"/>
      <c r="O160" s="258"/>
      <c r="P160" s="197"/>
      <c r="Q160" s="725"/>
      <c r="R160" s="251">
        <f>IF( SUM( T160:AA160 ) = 0, 0, $T$10 )</f>
        <v>0</v>
      </c>
      <c r="S160" s="725"/>
      <c r="T160" s="252">
        <f t="shared" si="71"/>
        <v>0</v>
      </c>
      <c r="U160" s="252">
        <f t="shared" si="71"/>
        <v>0</v>
      </c>
      <c r="V160" s="252">
        <f t="shared" si="71"/>
        <v>0</v>
      </c>
      <c r="W160" s="252">
        <f t="shared" si="71"/>
        <v>0</v>
      </c>
      <c r="X160" s="197"/>
      <c r="Y160" s="252">
        <f t="shared" si="72"/>
        <v>0</v>
      </c>
      <c r="Z160" s="252">
        <f t="shared" si="72"/>
        <v>0</v>
      </c>
      <c r="AA160" s="197"/>
      <c r="AB160" s="197"/>
      <c r="AC160" s="725"/>
      <c r="AD160" s="197"/>
      <c r="AE160" s="365" t="s">
        <v>6457</v>
      </c>
      <c r="AF160" s="858" t="s">
        <v>570</v>
      </c>
      <c r="AG160" s="802" t="s">
        <v>598</v>
      </c>
      <c r="AH160" s="802" t="s">
        <v>626</v>
      </c>
      <c r="AI160" s="802" t="s">
        <v>654</v>
      </c>
      <c r="AJ160" s="859" t="s">
        <v>682</v>
      </c>
      <c r="AK160" s="802" t="s">
        <v>710</v>
      </c>
      <c r="AL160" s="802" t="s">
        <v>738</v>
      </c>
      <c r="AM160" s="871"/>
      <c r="AN160" s="872"/>
      <c r="AO160" s="857"/>
      <c r="AP160" s="197"/>
      <c r="AQ160" s="197"/>
      <c r="AR160" s="197"/>
      <c r="AS160" s="197"/>
    </row>
    <row r="161" spans="1:45" s="4" customFormat="1" ht="15.75" customHeight="1" thickBot="1">
      <c r="A161" s="197"/>
      <c r="B161" s="368" t="s">
        <v>2112</v>
      </c>
      <c r="C161" s="1902">
        <f>IFERROR(SUM(C157:C160), 0)</f>
        <v>0</v>
      </c>
      <c r="D161" s="1473">
        <f>IFERROR(SUM(D157:D160), 0)</f>
        <v>0</v>
      </c>
      <c r="E161" s="1473">
        <f>IFERROR(SUM(E157:E160), 0)</f>
        <v>0</v>
      </c>
      <c r="F161" s="1473">
        <f>IFERROR(SUM(F157:F160), 0)</f>
        <v>0</v>
      </c>
      <c r="G161" s="1473">
        <f>IFERROR(SUM(C161:F161),0)</f>
        <v>0</v>
      </c>
      <c r="H161" s="1473">
        <f>IFERROR(SUM(H157:H160), 0)</f>
        <v>0</v>
      </c>
      <c r="I161" s="1473">
        <f>IFERROR(SUM(I157:I160), 0)</f>
        <v>0</v>
      </c>
      <c r="J161" s="1497"/>
      <c r="K161" s="1498"/>
      <c r="L161" s="197"/>
      <c r="M161" s="320" t="s">
        <v>6682</v>
      </c>
      <c r="N161" s="197"/>
      <c r="O161" s="269"/>
      <c r="P161" s="197"/>
      <c r="Q161" s="725"/>
      <c r="R161" s="251"/>
      <c r="S161" s="725"/>
      <c r="T161" s="197"/>
      <c r="U161" s="197"/>
      <c r="V161" s="197"/>
      <c r="W161" s="197"/>
      <c r="X161" s="197"/>
      <c r="Y161" s="197"/>
      <c r="Z161" s="197"/>
      <c r="AA161" s="197"/>
      <c r="AB161" s="197"/>
      <c r="AC161" s="725"/>
      <c r="AD161" s="197"/>
      <c r="AE161" s="368" t="s">
        <v>2112</v>
      </c>
      <c r="AF161" s="861" t="s">
        <v>571</v>
      </c>
      <c r="AG161" s="583" t="s">
        <v>599</v>
      </c>
      <c r="AH161" s="583" t="s">
        <v>627</v>
      </c>
      <c r="AI161" s="583" t="s">
        <v>655</v>
      </c>
      <c r="AJ161" s="583" t="s">
        <v>683</v>
      </c>
      <c r="AK161" s="583" t="s">
        <v>711</v>
      </c>
      <c r="AL161" s="583" t="s">
        <v>739</v>
      </c>
      <c r="AM161" s="862"/>
      <c r="AN161" s="863"/>
      <c r="AO161" s="857"/>
      <c r="AP161" s="197"/>
      <c r="AQ161" s="197"/>
      <c r="AR161" s="197"/>
      <c r="AS161" s="197"/>
    </row>
    <row r="162" spans="1:45" s="4" customFormat="1" ht="15.75" customHeight="1" thickTop="1" thickBot="1">
      <c r="A162" s="197"/>
      <c r="B162" s="852"/>
      <c r="C162" s="1489"/>
      <c r="D162" s="1487"/>
      <c r="E162" s="1487"/>
      <c r="F162" s="1487"/>
      <c r="G162" s="1487"/>
      <c r="H162" s="1487"/>
      <c r="I162" s="1487"/>
      <c r="J162" s="1499"/>
      <c r="K162" s="1499"/>
      <c r="L162" s="197"/>
      <c r="M162" s="197" t="s">
        <v>4435</v>
      </c>
      <c r="N162" s="197"/>
      <c r="O162" s="197"/>
      <c r="P162" s="197"/>
      <c r="Q162" s="725"/>
      <c r="R162" s="251"/>
      <c r="S162" s="725"/>
      <c r="T162" s="197"/>
      <c r="U162" s="197"/>
      <c r="V162" s="197"/>
      <c r="W162" s="197"/>
      <c r="X162" s="197"/>
      <c r="Y162" s="197"/>
      <c r="Z162" s="197"/>
      <c r="AA162" s="197"/>
      <c r="AB162" s="197"/>
      <c r="AC162" s="725"/>
      <c r="AD162" s="197"/>
      <c r="AE162" s="852"/>
      <c r="AF162" s="852"/>
      <c r="AG162" s="867"/>
      <c r="AH162" s="867"/>
      <c r="AI162" s="867"/>
      <c r="AJ162" s="867"/>
      <c r="AK162" s="867"/>
      <c r="AL162" s="867"/>
      <c r="AM162" s="868"/>
      <c r="AN162" s="868"/>
      <c r="AO162" s="197"/>
      <c r="AP162" s="197"/>
      <c r="AQ162" s="197"/>
      <c r="AR162" s="197"/>
      <c r="AS162" s="197"/>
    </row>
    <row r="163" spans="1:45" s="4" customFormat="1" ht="15.75" customHeight="1" thickTop="1" thickBot="1">
      <c r="A163" s="197"/>
      <c r="B163" s="355" t="s">
        <v>6474</v>
      </c>
      <c r="C163" s="633"/>
      <c r="D163" s="1487"/>
      <c r="E163" s="1487"/>
      <c r="F163" s="1487"/>
      <c r="G163" s="1487"/>
      <c r="H163" s="1487"/>
      <c r="I163" s="1487"/>
      <c r="J163" s="1499"/>
      <c r="K163" s="1499"/>
      <c r="L163" s="197"/>
      <c r="M163" s="222" t="s">
        <v>4435</v>
      </c>
      <c r="N163" s="197"/>
      <c r="O163" s="197"/>
      <c r="P163" s="197"/>
      <c r="Q163" s="725"/>
      <c r="R163" s="251"/>
      <c r="S163" s="725"/>
      <c r="T163" s="197"/>
      <c r="U163" s="197"/>
      <c r="V163" s="197"/>
      <c r="W163" s="197"/>
      <c r="X163" s="197"/>
      <c r="Y163" s="197"/>
      <c r="Z163" s="197"/>
      <c r="AA163" s="197"/>
      <c r="AB163" s="197"/>
      <c r="AC163" s="725"/>
      <c r="AD163" s="197"/>
      <c r="AE163" s="355" t="s">
        <v>6474</v>
      </c>
      <c r="AF163" s="356"/>
      <c r="AG163" s="867"/>
      <c r="AH163" s="867"/>
      <c r="AI163" s="867"/>
      <c r="AJ163" s="867"/>
      <c r="AK163" s="867"/>
      <c r="AL163" s="867"/>
      <c r="AM163" s="868"/>
      <c r="AN163" s="868"/>
      <c r="AO163" s="2560"/>
      <c r="AP163" s="197"/>
      <c r="AQ163" s="197"/>
      <c r="AR163" s="197"/>
      <c r="AS163" s="197"/>
    </row>
    <row r="164" spans="1:45" s="4" customFormat="1" ht="15.75" customHeight="1" thickTop="1">
      <c r="A164" s="197"/>
      <c r="B164" s="358" t="s">
        <v>6475</v>
      </c>
      <c r="C164" s="1956">
        <v>0</v>
      </c>
      <c r="D164" s="598">
        <v>0</v>
      </c>
      <c r="E164" s="598">
        <v>0</v>
      </c>
      <c r="F164" s="598">
        <v>0</v>
      </c>
      <c r="G164" s="1479">
        <f>IFERROR(SUM(C164:F164),0)</f>
        <v>0</v>
      </c>
      <c r="H164" s="598">
        <v>0</v>
      </c>
      <c r="I164" s="598">
        <v>0</v>
      </c>
      <c r="J164" s="1500"/>
      <c r="K164" s="1501"/>
      <c r="L164" s="197"/>
      <c r="M164" s="248" t="s">
        <v>6683</v>
      </c>
      <c r="N164" s="197"/>
      <c r="O164" s="250"/>
      <c r="P164" s="197"/>
      <c r="Q164" s="725"/>
      <c r="R164" s="251">
        <f>IF( SUM( T164:AA164 ) = 0, 0, $T$10 )</f>
        <v>0</v>
      </c>
      <c r="S164" s="725"/>
      <c r="T164" s="252">
        <f t="shared" ref="T164:W167" si="73" xml:space="preserve"> IF( ISNUMBER(C164), 0, 1 )</f>
        <v>0</v>
      </c>
      <c r="U164" s="252">
        <f t="shared" si="73"/>
        <v>0</v>
      </c>
      <c r="V164" s="252">
        <f t="shared" si="73"/>
        <v>0</v>
      </c>
      <c r="W164" s="252">
        <f t="shared" si="73"/>
        <v>0</v>
      </c>
      <c r="X164" s="197"/>
      <c r="Y164" s="252">
        <f t="shared" ref="Y164:Z167" si="74" xml:space="preserve"> IF( ISNUMBER(H164), 0, 1 )</f>
        <v>0</v>
      </c>
      <c r="Z164" s="252">
        <f t="shared" si="74"/>
        <v>0</v>
      </c>
      <c r="AA164" s="197"/>
      <c r="AB164" s="197"/>
      <c r="AC164" s="725"/>
      <c r="AD164" s="197"/>
      <c r="AE164" s="358" t="s">
        <v>6475</v>
      </c>
      <c r="AF164" s="854" t="s">
        <v>572</v>
      </c>
      <c r="AG164" s="801" t="s">
        <v>600</v>
      </c>
      <c r="AH164" s="801" t="s">
        <v>628</v>
      </c>
      <c r="AI164" s="801" t="s">
        <v>656</v>
      </c>
      <c r="AJ164" s="855" t="s">
        <v>684</v>
      </c>
      <c r="AK164" s="801" t="s">
        <v>712</v>
      </c>
      <c r="AL164" s="801" t="s">
        <v>740</v>
      </c>
      <c r="AM164" s="869"/>
      <c r="AN164" s="870"/>
      <c r="AO164" s="857"/>
      <c r="AP164" s="197"/>
      <c r="AQ164" s="197"/>
      <c r="AR164" s="197"/>
      <c r="AS164" s="197"/>
    </row>
    <row r="165" spans="1:45" s="4" customFormat="1" ht="15.75" customHeight="1">
      <c r="A165" s="197"/>
      <c r="B165" s="365" t="s">
        <v>6484</v>
      </c>
      <c r="C165" s="1957">
        <v>0</v>
      </c>
      <c r="D165" s="601">
        <v>0</v>
      </c>
      <c r="E165" s="601">
        <v>0</v>
      </c>
      <c r="F165" s="601">
        <v>0</v>
      </c>
      <c r="G165" s="1481">
        <f>IFERROR(SUM(C165:F165),0)</f>
        <v>0</v>
      </c>
      <c r="H165" s="601">
        <v>0</v>
      </c>
      <c r="I165" s="601">
        <v>0</v>
      </c>
      <c r="J165" s="1502"/>
      <c r="K165" s="1503"/>
      <c r="L165" s="197"/>
      <c r="M165" s="257" t="s">
        <v>6684</v>
      </c>
      <c r="N165" s="197"/>
      <c r="O165" s="258"/>
      <c r="P165" s="197"/>
      <c r="Q165" s="725"/>
      <c r="R165" s="251">
        <f>IF( SUM( T165:AA165 ) = 0, 0, $T$10 )</f>
        <v>0</v>
      </c>
      <c r="S165" s="725"/>
      <c r="T165" s="252">
        <f t="shared" si="73"/>
        <v>0</v>
      </c>
      <c r="U165" s="252">
        <f t="shared" si="73"/>
        <v>0</v>
      </c>
      <c r="V165" s="252">
        <f t="shared" si="73"/>
        <v>0</v>
      </c>
      <c r="W165" s="252">
        <f t="shared" si="73"/>
        <v>0</v>
      </c>
      <c r="X165" s="197"/>
      <c r="Y165" s="252">
        <f t="shared" si="74"/>
        <v>0</v>
      </c>
      <c r="Z165" s="252">
        <f t="shared" si="74"/>
        <v>0</v>
      </c>
      <c r="AA165" s="197"/>
      <c r="AB165" s="197"/>
      <c r="AC165" s="725"/>
      <c r="AD165" s="197"/>
      <c r="AE165" s="365" t="s">
        <v>6484</v>
      </c>
      <c r="AF165" s="858" t="s">
        <v>573</v>
      </c>
      <c r="AG165" s="802" t="s">
        <v>601</v>
      </c>
      <c r="AH165" s="802" t="s">
        <v>629</v>
      </c>
      <c r="AI165" s="802" t="s">
        <v>657</v>
      </c>
      <c r="AJ165" s="859" t="s">
        <v>685</v>
      </c>
      <c r="AK165" s="802" t="s">
        <v>713</v>
      </c>
      <c r="AL165" s="802" t="s">
        <v>741</v>
      </c>
      <c r="AM165" s="871"/>
      <c r="AN165" s="872"/>
      <c r="AO165" s="857"/>
      <c r="AP165" s="197"/>
      <c r="AQ165" s="197"/>
      <c r="AR165" s="197"/>
      <c r="AS165" s="197"/>
    </row>
    <row r="166" spans="1:45" s="4" customFormat="1" ht="15.75" customHeight="1">
      <c r="A166" s="197"/>
      <c r="B166" s="365" t="s">
        <v>6493</v>
      </c>
      <c r="C166" s="1957">
        <v>0</v>
      </c>
      <c r="D166" s="601">
        <v>0</v>
      </c>
      <c r="E166" s="601">
        <v>0</v>
      </c>
      <c r="F166" s="601">
        <v>0</v>
      </c>
      <c r="G166" s="1481">
        <f>IFERROR(SUM(C166:F166),0)</f>
        <v>0</v>
      </c>
      <c r="H166" s="601">
        <v>0</v>
      </c>
      <c r="I166" s="601">
        <v>0</v>
      </c>
      <c r="J166" s="1502"/>
      <c r="K166" s="1503"/>
      <c r="L166" s="197"/>
      <c r="M166" s="257" t="s">
        <v>6685</v>
      </c>
      <c r="N166" s="197"/>
      <c r="O166" s="258"/>
      <c r="P166" s="197"/>
      <c r="Q166" s="725"/>
      <c r="R166" s="251">
        <f>IF( SUM( T166:AA166 ) = 0, 0, $T$10 )</f>
        <v>0</v>
      </c>
      <c r="S166" s="725"/>
      <c r="T166" s="252">
        <f t="shared" si="73"/>
        <v>0</v>
      </c>
      <c r="U166" s="252">
        <f t="shared" si="73"/>
        <v>0</v>
      </c>
      <c r="V166" s="252">
        <f t="shared" si="73"/>
        <v>0</v>
      </c>
      <c r="W166" s="252">
        <f t="shared" si="73"/>
        <v>0</v>
      </c>
      <c r="X166" s="197"/>
      <c r="Y166" s="252">
        <f t="shared" si="74"/>
        <v>0</v>
      </c>
      <c r="Z166" s="252">
        <f t="shared" si="74"/>
        <v>0</v>
      </c>
      <c r="AA166" s="197"/>
      <c r="AB166" s="197"/>
      <c r="AC166" s="725"/>
      <c r="AD166" s="197"/>
      <c r="AE166" s="365" t="s">
        <v>6493</v>
      </c>
      <c r="AF166" s="858" t="s">
        <v>574</v>
      </c>
      <c r="AG166" s="802" t="s">
        <v>602</v>
      </c>
      <c r="AH166" s="802" t="s">
        <v>630</v>
      </c>
      <c r="AI166" s="802" t="s">
        <v>658</v>
      </c>
      <c r="AJ166" s="859" t="s">
        <v>686</v>
      </c>
      <c r="AK166" s="802" t="s">
        <v>714</v>
      </c>
      <c r="AL166" s="802" t="s">
        <v>742</v>
      </c>
      <c r="AM166" s="871"/>
      <c r="AN166" s="872"/>
      <c r="AO166" s="857"/>
      <c r="AP166" s="197"/>
      <c r="AQ166" s="197"/>
      <c r="AR166" s="197"/>
      <c r="AS166" s="197"/>
    </row>
    <row r="167" spans="1:45" s="4" customFormat="1" ht="15.75" customHeight="1">
      <c r="A167" s="197"/>
      <c r="B167" s="365" t="s">
        <v>6502</v>
      </c>
      <c r="C167" s="1957">
        <v>0</v>
      </c>
      <c r="D167" s="601">
        <v>0</v>
      </c>
      <c r="E167" s="601">
        <v>0</v>
      </c>
      <c r="F167" s="601">
        <v>0</v>
      </c>
      <c r="G167" s="1481">
        <f>IFERROR(SUM(C167:F167),0)</f>
        <v>0</v>
      </c>
      <c r="H167" s="601">
        <v>0</v>
      </c>
      <c r="I167" s="601">
        <v>0</v>
      </c>
      <c r="J167" s="1502"/>
      <c r="K167" s="1503"/>
      <c r="L167" s="197"/>
      <c r="M167" s="257" t="s">
        <v>6686</v>
      </c>
      <c r="N167" s="197"/>
      <c r="O167" s="258"/>
      <c r="P167" s="197"/>
      <c r="Q167" s="725"/>
      <c r="R167" s="251">
        <f>IF( SUM( T167:AA167 ) = 0, 0, $T$10 )</f>
        <v>0</v>
      </c>
      <c r="S167" s="725"/>
      <c r="T167" s="252">
        <f t="shared" si="73"/>
        <v>0</v>
      </c>
      <c r="U167" s="252">
        <f t="shared" si="73"/>
        <v>0</v>
      </c>
      <c r="V167" s="252">
        <f t="shared" si="73"/>
        <v>0</v>
      </c>
      <c r="W167" s="252">
        <f t="shared" si="73"/>
        <v>0</v>
      </c>
      <c r="X167" s="197"/>
      <c r="Y167" s="252">
        <f t="shared" si="74"/>
        <v>0</v>
      </c>
      <c r="Z167" s="252">
        <f t="shared" si="74"/>
        <v>0</v>
      </c>
      <c r="AA167" s="197"/>
      <c r="AB167" s="197"/>
      <c r="AC167" s="725"/>
      <c r="AD167" s="197"/>
      <c r="AE167" s="365" t="s">
        <v>6502</v>
      </c>
      <c r="AF167" s="858" t="s">
        <v>575</v>
      </c>
      <c r="AG167" s="802" t="s">
        <v>603</v>
      </c>
      <c r="AH167" s="802" t="s">
        <v>631</v>
      </c>
      <c r="AI167" s="802" t="s">
        <v>659</v>
      </c>
      <c r="AJ167" s="859" t="s">
        <v>687</v>
      </c>
      <c r="AK167" s="802" t="s">
        <v>715</v>
      </c>
      <c r="AL167" s="802" t="s">
        <v>743</v>
      </c>
      <c r="AM167" s="871"/>
      <c r="AN167" s="872"/>
      <c r="AO167" s="857"/>
      <c r="AP167" s="197"/>
      <c r="AQ167" s="197"/>
      <c r="AR167" s="197"/>
      <c r="AS167" s="197"/>
    </row>
    <row r="168" spans="1:45" s="4" customFormat="1" ht="15.75" customHeight="1" thickBot="1">
      <c r="A168" s="197"/>
      <c r="B168" s="368" t="s">
        <v>2112</v>
      </c>
      <c r="C168" s="1902">
        <f>IFERROR(SUM(C164:C167), 0)</f>
        <v>0</v>
      </c>
      <c r="D168" s="1473">
        <f>IFERROR(SUM(D164:D167), 0)</f>
        <v>0</v>
      </c>
      <c r="E168" s="1473">
        <f>IFERROR(SUM(E164:E167), 0)</f>
        <v>0</v>
      </c>
      <c r="F168" s="1473">
        <f>IFERROR(SUM(F164:F167), 0)</f>
        <v>0</v>
      </c>
      <c r="G168" s="1473">
        <f>IFERROR(SUM(C168:F168),0)</f>
        <v>0</v>
      </c>
      <c r="H168" s="1473">
        <f>IFERROR(SUM(H164:H167), 0)</f>
        <v>0</v>
      </c>
      <c r="I168" s="1473">
        <f>IFERROR(SUM(I164:I167), 0)</f>
        <v>0</v>
      </c>
      <c r="J168" s="1497"/>
      <c r="K168" s="1498"/>
      <c r="L168" s="197"/>
      <c r="M168" s="320" t="s">
        <v>6687</v>
      </c>
      <c r="N168" s="197"/>
      <c r="O168" s="269"/>
      <c r="P168" s="197"/>
      <c r="Q168" s="725"/>
      <c r="R168" s="251"/>
      <c r="S168" s="725"/>
      <c r="T168" s="197"/>
      <c r="U168" s="197"/>
      <c r="V168" s="197"/>
      <c r="W168" s="197"/>
      <c r="X168" s="197"/>
      <c r="Y168" s="197"/>
      <c r="Z168" s="197"/>
      <c r="AA168" s="197"/>
      <c r="AB168" s="197"/>
      <c r="AC168" s="725"/>
      <c r="AD168" s="197"/>
      <c r="AE168" s="368" t="s">
        <v>2112</v>
      </c>
      <c r="AF168" s="861" t="s">
        <v>576</v>
      </c>
      <c r="AG168" s="583" t="s">
        <v>604</v>
      </c>
      <c r="AH168" s="583" t="s">
        <v>632</v>
      </c>
      <c r="AI168" s="583" t="s">
        <v>660</v>
      </c>
      <c r="AJ168" s="583" t="s">
        <v>688</v>
      </c>
      <c r="AK168" s="583" t="s">
        <v>716</v>
      </c>
      <c r="AL168" s="583" t="s">
        <v>744</v>
      </c>
      <c r="AM168" s="862"/>
      <c r="AN168" s="863"/>
      <c r="AO168" s="857"/>
      <c r="AP168" s="197"/>
      <c r="AQ168" s="197"/>
      <c r="AR168" s="197"/>
      <c r="AS168" s="197"/>
    </row>
    <row r="169" spans="1:45" s="4" customFormat="1" ht="15.75" customHeight="1" thickTop="1" thickBot="1">
      <c r="A169" s="197"/>
      <c r="B169" s="852"/>
      <c r="C169" s="1490"/>
      <c r="D169" s="1487"/>
      <c r="E169" s="1487"/>
      <c r="F169" s="1487"/>
      <c r="G169" s="1487"/>
      <c r="H169" s="1487"/>
      <c r="I169" s="1487"/>
      <c r="J169" s="1499"/>
      <c r="K169" s="1499"/>
      <c r="L169" s="197"/>
      <c r="M169" s="197" t="s">
        <v>4435</v>
      </c>
      <c r="N169" s="197"/>
      <c r="O169" s="197"/>
      <c r="P169" s="197"/>
      <c r="Q169" s="725"/>
      <c r="R169" s="251"/>
      <c r="S169" s="725"/>
      <c r="T169" s="197"/>
      <c r="U169" s="197"/>
      <c r="V169" s="197"/>
      <c r="W169" s="197"/>
      <c r="X169" s="197"/>
      <c r="Y169" s="197"/>
      <c r="Z169" s="197"/>
      <c r="AA169" s="197"/>
      <c r="AB169" s="197"/>
      <c r="AC169" s="725"/>
      <c r="AD169" s="197"/>
      <c r="AE169" s="852"/>
      <c r="AF169" s="393"/>
      <c r="AG169" s="867"/>
      <c r="AH169" s="867"/>
      <c r="AI169" s="867"/>
      <c r="AJ169" s="867"/>
      <c r="AK169" s="867"/>
      <c r="AL169" s="867"/>
      <c r="AM169" s="868"/>
      <c r="AN169" s="868"/>
      <c r="AO169" s="197"/>
      <c r="AP169" s="197"/>
      <c r="AQ169" s="197"/>
      <c r="AR169" s="197"/>
      <c r="AS169" s="197"/>
    </row>
    <row r="170" spans="1:45" s="4" customFormat="1" ht="15.75" customHeight="1" thickTop="1" thickBot="1">
      <c r="A170" s="197"/>
      <c r="B170" s="355" t="s">
        <v>6519</v>
      </c>
      <c r="C170" s="633"/>
      <c r="D170" s="1487"/>
      <c r="E170" s="1487"/>
      <c r="F170" s="1487"/>
      <c r="G170" s="1487"/>
      <c r="H170" s="1487"/>
      <c r="I170" s="1487"/>
      <c r="J170" s="1499"/>
      <c r="K170" s="1499"/>
      <c r="L170" s="197"/>
      <c r="M170" s="222" t="s">
        <v>4435</v>
      </c>
      <c r="N170" s="197"/>
      <c r="O170" s="197"/>
      <c r="P170" s="197"/>
      <c r="Q170" s="725"/>
      <c r="R170" s="251"/>
      <c r="S170" s="725"/>
      <c r="T170" s="197"/>
      <c r="U170" s="197"/>
      <c r="V170" s="197"/>
      <c r="W170" s="197"/>
      <c r="X170" s="197"/>
      <c r="Y170" s="197"/>
      <c r="Z170" s="197"/>
      <c r="AA170" s="197"/>
      <c r="AB170" s="197"/>
      <c r="AC170" s="725"/>
      <c r="AD170" s="197"/>
      <c r="AE170" s="355" t="s">
        <v>6519</v>
      </c>
      <c r="AF170" s="356"/>
      <c r="AG170" s="867"/>
      <c r="AH170" s="867"/>
      <c r="AI170" s="867"/>
      <c r="AJ170" s="867"/>
      <c r="AK170" s="867"/>
      <c r="AL170" s="867"/>
      <c r="AM170" s="868"/>
      <c r="AN170" s="868"/>
      <c r="AO170" s="2560"/>
      <c r="AP170" s="197"/>
      <c r="AQ170" s="197"/>
      <c r="AR170" s="197"/>
      <c r="AS170" s="197"/>
    </row>
    <row r="171" spans="1:45" s="4" customFormat="1" ht="15.75" customHeight="1" thickTop="1">
      <c r="A171" s="197"/>
      <c r="B171" s="358" t="s">
        <v>6520</v>
      </c>
      <c r="C171" s="1956">
        <v>0</v>
      </c>
      <c r="D171" s="598">
        <v>0</v>
      </c>
      <c r="E171" s="598">
        <v>0</v>
      </c>
      <c r="F171" s="598">
        <v>0</v>
      </c>
      <c r="G171" s="1479">
        <f t="shared" ref="G171:G178" si="75">IFERROR(SUM(C171:F171),0)</f>
        <v>0</v>
      </c>
      <c r="H171" s="598">
        <v>0</v>
      </c>
      <c r="I171" s="598">
        <v>0</v>
      </c>
      <c r="J171" s="1500"/>
      <c r="K171" s="1501"/>
      <c r="L171" s="197"/>
      <c r="M171" s="248" t="s">
        <v>6688</v>
      </c>
      <c r="N171" s="197"/>
      <c r="O171" s="250"/>
      <c r="P171" s="197"/>
      <c r="Q171" s="725"/>
      <c r="R171" s="251">
        <f t="shared" ref="R171:R177" si="76">IF( SUM( T171:AA171 ) = 0, 0, $T$10 )</f>
        <v>0</v>
      </c>
      <c r="S171" s="725"/>
      <c r="T171" s="252">
        <f t="shared" ref="T171:W177" si="77" xml:space="preserve"> IF( ISNUMBER(C171), 0, 1 )</f>
        <v>0</v>
      </c>
      <c r="U171" s="252">
        <f t="shared" si="77"/>
        <v>0</v>
      </c>
      <c r="V171" s="252">
        <f t="shared" si="77"/>
        <v>0</v>
      </c>
      <c r="W171" s="252">
        <f t="shared" si="77"/>
        <v>0</v>
      </c>
      <c r="X171" s="197"/>
      <c r="Y171" s="252">
        <f t="shared" ref="Y171:Z177" si="78" xml:space="preserve"> IF( ISNUMBER(H171), 0, 1 )</f>
        <v>0</v>
      </c>
      <c r="Z171" s="252">
        <f t="shared" si="78"/>
        <v>0</v>
      </c>
      <c r="AA171" s="197"/>
      <c r="AB171" s="197"/>
      <c r="AC171" s="725"/>
      <c r="AD171" s="197"/>
      <c r="AE171" s="358" t="s">
        <v>6520</v>
      </c>
      <c r="AF171" s="854" t="s">
        <v>577</v>
      </c>
      <c r="AG171" s="801" t="s">
        <v>605</v>
      </c>
      <c r="AH171" s="801" t="s">
        <v>633</v>
      </c>
      <c r="AI171" s="801" t="s">
        <v>661</v>
      </c>
      <c r="AJ171" s="855" t="s">
        <v>689</v>
      </c>
      <c r="AK171" s="801" t="s">
        <v>717</v>
      </c>
      <c r="AL171" s="801" t="s">
        <v>745</v>
      </c>
      <c r="AM171" s="869"/>
      <c r="AN171" s="870"/>
      <c r="AO171" s="857"/>
      <c r="AP171" s="197"/>
      <c r="AQ171" s="197"/>
      <c r="AR171" s="197"/>
      <c r="AS171" s="197"/>
    </row>
    <row r="172" spans="1:45" s="4" customFormat="1" ht="15.75" customHeight="1">
      <c r="A172" s="197"/>
      <c r="B172" s="365" t="s">
        <v>6529</v>
      </c>
      <c r="C172" s="1957">
        <v>0</v>
      </c>
      <c r="D172" s="601">
        <v>0</v>
      </c>
      <c r="E172" s="601">
        <v>0</v>
      </c>
      <c r="F172" s="601">
        <v>0</v>
      </c>
      <c r="G172" s="1481">
        <f t="shared" si="75"/>
        <v>0</v>
      </c>
      <c r="H172" s="601">
        <v>0</v>
      </c>
      <c r="I172" s="601">
        <v>0</v>
      </c>
      <c r="J172" s="1502"/>
      <c r="K172" s="1503"/>
      <c r="L172" s="197"/>
      <c r="M172" s="257" t="s">
        <v>6689</v>
      </c>
      <c r="N172" s="197"/>
      <c r="O172" s="258"/>
      <c r="P172" s="197"/>
      <c r="Q172" s="725"/>
      <c r="R172" s="251">
        <f t="shared" si="76"/>
        <v>0</v>
      </c>
      <c r="S172" s="725"/>
      <c r="T172" s="252">
        <f t="shared" si="77"/>
        <v>0</v>
      </c>
      <c r="U172" s="252">
        <f t="shared" si="77"/>
        <v>0</v>
      </c>
      <c r="V172" s="252">
        <f t="shared" si="77"/>
        <v>0</v>
      </c>
      <c r="W172" s="252">
        <f t="shared" si="77"/>
        <v>0</v>
      </c>
      <c r="X172" s="197"/>
      <c r="Y172" s="252">
        <f t="shared" si="78"/>
        <v>0</v>
      </c>
      <c r="Z172" s="252">
        <f t="shared" si="78"/>
        <v>0</v>
      </c>
      <c r="AA172" s="197"/>
      <c r="AB172" s="197"/>
      <c r="AC172" s="725"/>
      <c r="AD172" s="197"/>
      <c r="AE172" s="365" t="s">
        <v>6529</v>
      </c>
      <c r="AF172" s="858" t="s">
        <v>578</v>
      </c>
      <c r="AG172" s="802" t="s">
        <v>606</v>
      </c>
      <c r="AH172" s="802" t="s">
        <v>634</v>
      </c>
      <c r="AI172" s="802" t="s">
        <v>662</v>
      </c>
      <c r="AJ172" s="859" t="s">
        <v>690</v>
      </c>
      <c r="AK172" s="802" t="s">
        <v>718</v>
      </c>
      <c r="AL172" s="802" t="s">
        <v>746</v>
      </c>
      <c r="AM172" s="871"/>
      <c r="AN172" s="872"/>
      <c r="AO172" s="857"/>
      <c r="AP172" s="197"/>
      <c r="AQ172" s="197"/>
      <c r="AR172" s="197"/>
      <c r="AS172" s="197"/>
    </row>
    <row r="173" spans="1:45" s="4" customFormat="1" ht="15.75" customHeight="1">
      <c r="A173" s="197"/>
      <c r="B173" s="365" t="s">
        <v>6538</v>
      </c>
      <c r="C173" s="1957">
        <v>0</v>
      </c>
      <c r="D173" s="601">
        <v>0</v>
      </c>
      <c r="E173" s="601">
        <v>0</v>
      </c>
      <c r="F173" s="601">
        <v>0</v>
      </c>
      <c r="G173" s="1481">
        <f t="shared" si="75"/>
        <v>0</v>
      </c>
      <c r="H173" s="601">
        <v>0</v>
      </c>
      <c r="I173" s="601">
        <v>0</v>
      </c>
      <c r="J173" s="1502"/>
      <c r="K173" s="1503"/>
      <c r="L173" s="197"/>
      <c r="M173" s="257" t="s">
        <v>6690</v>
      </c>
      <c r="N173" s="197"/>
      <c r="O173" s="258"/>
      <c r="P173" s="197"/>
      <c r="Q173" s="725"/>
      <c r="R173" s="251">
        <f t="shared" si="76"/>
        <v>0</v>
      </c>
      <c r="S173" s="725"/>
      <c r="T173" s="252">
        <f t="shared" si="77"/>
        <v>0</v>
      </c>
      <c r="U173" s="252">
        <f t="shared" si="77"/>
        <v>0</v>
      </c>
      <c r="V173" s="252">
        <f t="shared" si="77"/>
        <v>0</v>
      </c>
      <c r="W173" s="252">
        <f t="shared" si="77"/>
        <v>0</v>
      </c>
      <c r="X173" s="197"/>
      <c r="Y173" s="252">
        <f t="shared" si="78"/>
        <v>0</v>
      </c>
      <c r="Z173" s="252">
        <f t="shared" si="78"/>
        <v>0</v>
      </c>
      <c r="AA173" s="197"/>
      <c r="AB173" s="197"/>
      <c r="AC173" s="725"/>
      <c r="AD173" s="197"/>
      <c r="AE173" s="365" t="s">
        <v>6538</v>
      </c>
      <c r="AF173" s="858" t="s">
        <v>579</v>
      </c>
      <c r="AG173" s="802" t="s">
        <v>607</v>
      </c>
      <c r="AH173" s="802" t="s">
        <v>635</v>
      </c>
      <c r="AI173" s="802" t="s">
        <v>663</v>
      </c>
      <c r="AJ173" s="859" t="s">
        <v>691</v>
      </c>
      <c r="AK173" s="802" t="s">
        <v>719</v>
      </c>
      <c r="AL173" s="802" t="s">
        <v>747</v>
      </c>
      <c r="AM173" s="871"/>
      <c r="AN173" s="872"/>
      <c r="AO173" s="857"/>
      <c r="AP173" s="197"/>
      <c r="AQ173" s="197"/>
      <c r="AR173" s="197"/>
      <c r="AS173" s="197"/>
    </row>
    <row r="174" spans="1:45" s="4" customFormat="1" ht="15.75" customHeight="1">
      <c r="A174" s="197"/>
      <c r="B174" s="365" t="s">
        <v>6547</v>
      </c>
      <c r="C174" s="1957">
        <v>0</v>
      </c>
      <c r="D174" s="601">
        <v>0</v>
      </c>
      <c r="E174" s="601">
        <v>0</v>
      </c>
      <c r="F174" s="601">
        <v>0</v>
      </c>
      <c r="G174" s="1481">
        <f t="shared" si="75"/>
        <v>0</v>
      </c>
      <c r="H174" s="601">
        <v>0</v>
      </c>
      <c r="I174" s="601">
        <v>0</v>
      </c>
      <c r="J174" s="1502"/>
      <c r="K174" s="1503"/>
      <c r="L174" s="197"/>
      <c r="M174" s="257" t="s">
        <v>6691</v>
      </c>
      <c r="N174" s="197"/>
      <c r="O174" s="258"/>
      <c r="P174" s="200"/>
      <c r="Q174" s="831"/>
      <c r="R174" s="251">
        <f t="shared" si="76"/>
        <v>0</v>
      </c>
      <c r="S174" s="725"/>
      <c r="T174" s="252">
        <f t="shared" si="77"/>
        <v>0</v>
      </c>
      <c r="U174" s="252">
        <f t="shared" si="77"/>
        <v>0</v>
      </c>
      <c r="V174" s="252">
        <f t="shared" si="77"/>
        <v>0</v>
      </c>
      <c r="W174" s="252">
        <f t="shared" si="77"/>
        <v>0</v>
      </c>
      <c r="X174" s="197"/>
      <c r="Y174" s="252">
        <f t="shared" si="78"/>
        <v>0</v>
      </c>
      <c r="Z174" s="252">
        <f t="shared" si="78"/>
        <v>0</v>
      </c>
      <c r="AA174" s="197"/>
      <c r="AB174" s="197"/>
      <c r="AC174" s="725"/>
      <c r="AD174" s="197"/>
      <c r="AE174" s="365" t="s">
        <v>6547</v>
      </c>
      <c r="AF174" s="858" t="s">
        <v>580</v>
      </c>
      <c r="AG174" s="802" t="s">
        <v>608</v>
      </c>
      <c r="AH174" s="802" t="s">
        <v>636</v>
      </c>
      <c r="AI174" s="802" t="s">
        <v>664</v>
      </c>
      <c r="AJ174" s="859" t="s">
        <v>692</v>
      </c>
      <c r="AK174" s="802" t="s">
        <v>720</v>
      </c>
      <c r="AL174" s="802" t="s">
        <v>748</v>
      </c>
      <c r="AM174" s="871"/>
      <c r="AN174" s="872"/>
      <c r="AO174" s="857"/>
      <c r="AP174" s="197"/>
      <c r="AQ174" s="197"/>
      <c r="AR174" s="197"/>
      <c r="AS174" s="197"/>
    </row>
    <row r="175" spans="1:45" s="4" customFormat="1" ht="15.75" customHeight="1">
      <c r="A175" s="197"/>
      <c r="B175" s="365" t="s">
        <v>6556</v>
      </c>
      <c r="C175" s="1957">
        <v>0</v>
      </c>
      <c r="D175" s="601">
        <v>0</v>
      </c>
      <c r="E175" s="601">
        <v>0</v>
      </c>
      <c r="F175" s="601">
        <v>0</v>
      </c>
      <c r="G175" s="1481">
        <f t="shared" si="75"/>
        <v>0</v>
      </c>
      <c r="H175" s="601">
        <v>0</v>
      </c>
      <c r="I175" s="601">
        <v>0</v>
      </c>
      <c r="J175" s="1502"/>
      <c r="K175" s="1503"/>
      <c r="L175" s="197"/>
      <c r="M175" s="257" t="s">
        <v>6692</v>
      </c>
      <c r="N175" s="197"/>
      <c r="O175" s="258"/>
      <c r="P175" s="200"/>
      <c r="Q175" s="831"/>
      <c r="R175" s="251">
        <f t="shared" si="76"/>
        <v>0</v>
      </c>
      <c r="S175" s="725"/>
      <c r="T175" s="252">
        <f t="shared" si="77"/>
        <v>0</v>
      </c>
      <c r="U175" s="252">
        <f t="shared" si="77"/>
        <v>0</v>
      </c>
      <c r="V175" s="252">
        <f t="shared" si="77"/>
        <v>0</v>
      </c>
      <c r="W175" s="252">
        <f t="shared" si="77"/>
        <v>0</v>
      </c>
      <c r="X175" s="197"/>
      <c r="Y175" s="252">
        <f t="shared" si="78"/>
        <v>0</v>
      </c>
      <c r="Z175" s="252">
        <f t="shared" si="78"/>
        <v>0</v>
      </c>
      <c r="AA175" s="197"/>
      <c r="AB175" s="197"/>
      <c r="AC175" s="725"/>
      <c r="AD175" s="197"/>
      <c r="AE175" s="365" t="s">
        <v>6556</v>
      </c>
      <c r="AF175" s="858" t="s">
        <v>581</v>
      </c>
      <c r="AG175" s="802" t="s">
        <v>609</v>
      </c>
      <c r="AH175" s="802" t="s">
        <v>637</v>
      </c>
      <c r="AI175" s="802" t="s">
        <v>665</v>
      </c>
      <c r="AJ175" s="859" t="s">
        <v>693</v>
      </c>
      <c r="AK175" s="802" t="s">
        <v>721</v>
      </c>
      <c r="AL175" s="802" t="s">
        <v>749</v>
      </c>
      <c r="AM175" s="871"/>
      <c r="AN175" s="872"/>
      <c r="AO175" s="857"/>
      <c r="AP175" s="197"/>
      <c r="AQ175" s="197"/>
      <c r="AR175" s="197"/>
      <c r="AS175" s="197"/>
    </row>
    <row r="176" spans="1:45" s="4" customFormat="1" ht="15.75" customHeight="1">
      <c r="A176" s="197"/>
      <c r="B176" s="365" t="s">
        <v>6565</v>
      </c>
      <c r="C176" s="1957">
        <v>0</v>
      </c>
      <c r="D176" s="601">
        <v>0</v>
      </c>
      <c r="E176" s="601">
        <v>0</v>
      </c>
      <c r="F176" s="601">
        <v>0</v>
      </c>
      <c r="G176" s="1481">
        <f t="shared" si="75"/>
        <v>0</v>
      </c>
      <c r="H176" s="601">
        <v>0</v>
      </c>
      <c r="I176" s="601">
        <v>0</v>
      </c>
      <c r="J176" s="1502"/>
      <c r="K176" s="1503"/>
      <c r="L176" s="197"/>
      <c r="M176" s="257" t="s">
        <v>6693</v>
      </c>
      <c r="N176" s="197"/>
      <c r="O176" s="258"/>
      <c r="P176" s="200"/>
      <c r="Q176" s="831"/>
      <c r="R176" s="251">
        <f t="shared" si="76"/>
        <v>0</v>
      </c>
      <c r="S176" s="725"/>
      <c r="T176" s="252">
        <f t="shared" si="77"/>
        <v>0</v>
      </c>
      <c r="U176" s="252">
        <f t="shared" si="77"/>
        <v>0</v>
      </c>
      <c r="V176" s="252">
        <f t="shared" si="77"/>
        <v>0</v>
      </c>
      <c r="W176" s="252">
        <f t="shared" si="77"/>
        <v>0</v>
      </c>
      <c r="X176" s="197"/>
      <c r="Y176" s="252">
        <f t="shared" si="78"/>
        <v>0</v>
      </c>
      <c r="Z176" s="252">
        <f t="shared" si="78"/>
        <v>0</v>
      </c>
      <c r="AA176" s="197"/>
      <c r="AB176" s="197"/>
      <c r="AC176" s="725"/>
      <c r="AD176" s="197"/>
      <c r="AE176" s="365" t="s">
        <v>6565</v>
      </c>
      <c r="AF176" s="858" t="s">
        <v>582</v>
      </c>
      <c r="AG176" s="802" t="s">
        <v>610</v>
      </c>
      <c r="AH176" s="802" t="s">
        <v>638</v>
      </c>
      <c r="AI176" s="802" t="s">
        <v>666</v>
      </c>
      <c r="AJ176" s="859" t="s">
        <v>694</v>
      </c>
      <c r="AK176" s="802" t="s">
        <v>722</v>
      </c>
      <c r="AL176" s="802" t="s">
        <v>750</v>
      </c>
      <c r="AM176" s="871"/>
      <c r="AN176" s="872"/>
      <c r="AO176" s="857"/>
      <c r="AP176" s="197"/>
      <c r="AQ176" s="197"/>
      <c r="AR176" s="197"/>
      <c r="AS176" s="197"/>
    </row>
    <row r="177" spans="1:45" s="4" customFormat="1" ht="15.75" customHeight="1">
      <c r="A177" s="197"/>
      <c r="B177" s="365" t="s">
        <v>6574</v>
      </c>
      <c r="C177" s="1957">
        <v>0</v>
      </c>
      <c r="D177" s="601">
        <v>0</v>
      </c>
      <c r="E177" s="601">
        <v>0</v>
      </c>
      <c r="F177" s="601">
        <v>0</v>
      </c>
      <c r="G177" s="1481">
        <f t="shared" si="75"/>
        <v>0</v>
      </c>
      <c r="H177" s="601">
        <v>0</v>
      </c>
      <c r="I177" s="601">
        <v>0</v>
      </c>
      <c r="J177" s="1502"/>
      <c r="K177" s="1503"/>
      <c r="L177" s="197"/>
      <c r="M177" s="257" t="s">
        <v>6694</v>
      </c>
      <c r="N177" s="197"/>
      <c r="O177" s="258"/>
      <c r="P177" s="197"/>
      <c r="Q177" s="725"/>
      <c r="R177" s="251">
        <f t="shared" si="76"/>
        <v>0</v>
      </c>
      <c r="S177" s="725"/>
      <c r="T177" s="252">
        <f t="shared" si="77"/>
        <v>0</v>
      </c>
      <c r="U177" s="252">
        <f t="shared" si="77"/>
        <v>0</v>
      </c>
      <c r="V177" s="252">
        <f t="shared" si="77"/>
        <v>0</v>
      </c>
      <c r="W177" s="252">
        <f t="shared" si="77"/>
        <v>0</v>
      </c>
      <c r="X177" s="197"/>
      <c r="Y177" s="252">
        <f t="shared" si="78"/>
        <v>0</v>
      </c>
      <c r="Z177" s="252">
        <f t="shared" si="78"/>
        <v>0</v>
      </c>
      <c r="AA177" s="197"/>
      <c r="AB177" s="197"/>
      <c r="AC177" s="725"/>
      <c r="AD177" s="197"/>
      <c r="AE177" s="365" t="s">
        <v>6574</v>
      </c>
      <c r="AF177" s="858" t="s">
        <v>583</v>
      </c>
      <c r="AG177" s="802" t="s">
        <v>611</v>
      </c>
      <c r="AH177" s="802" t="s">
        <v>639</v>
      </c>
      <c r="AI177" s="802" t="s">
        <v>667</v>
      </c>
      <c r="AJ177" s="859" t="s">
        <v>695</v>
      </c>
      <c r="AK177" s="802" t="s">
        <v>723</v>
      </c>
      <c r="AL177" s="802" t="s">
        <v>751</v>
      </c>
      <c r="AM177" s="871"/>
      <c r="AN177" s="872"/>
      <c r="AO177" s="857"/>
      <c r="AP177" s="197"/>
      <c r="AQ177" s="197"/>
      <c r="AR177" s="197"/>
      <c r="AS177" s="197"/>
    </row>
    <row r="178" spans="1:45" s="4" customFormat="1" ht="15.75" customHeight="1" thickBot="1">
      <c r="A178" s="197"/>
      <c r="B178" s="368" t="s">
        <v>2112</v>
      </c>
      <c r="C178" s="1902">
        <f>IFERROR(SUM(C171:C177), 0)</f>
        <v>0</v>
      </c>
      <c r="D178" s="1473">
        <f>IFERROR(SUM(D171:D177), 0)</f>
        <v>0</v>
      </c>
      <c r="E178" s="1473">
        <f>IFERROR(SUM(E171:E177), 0)</f>
        <v>0</v>
      </c>
      <c r="F178" s="1473">
        <f>IFERROR(SUM(F171:F177), 0)</f>
        <v>0</v>
      </c>
      <c r="G178" s="1473">
        <f t="shared" si="75"/>
        <v>0</v>
      </c>
      <c r="H178" s="1473">
        <f>IFERROR(SUM(H171:H177), 0)</f>
        <v>0</v>
      </c>
      <c r="I178" s="1473">
        <f>IFERROR(SUM(I171:I177), 0)</f>
        <v>0</v>
      </c>
      <c r="J178" s="1497"/>
      <c r="K178" s="1498"/>
      <c r="L178" s="197"/>
      <c r="M178" s="320" t="s">
        <v>6695</v>
      </c>
      <c r="N178" s="197"/>
      <c r="O178" s="269"/>
      <c r="P178" s="197"/>
      <c r="Q178" s="725"/>
      <c r="R178" s="251"/>
      <c r="S178" s="725"/>
      <c r="T178" s="197"/>
      <c r="U178" s="197"/>
      <c r="V178" s="197"/>
      <c r="W178" s="197"/>
      <c r="X178" s="197"/>
      <c r="Y178" s="197"/>
      <c r="Z178" s="197"/>
      <c r="AA178" s="197"/>
      <c r="AB178" s="197"/>
      <c r="AC178" s="725"/>
      <c r="AD178" s="197"/>
      <c r="AE178" s="368" t="s">
        <v>2112</v>
      </c>
      <c r="AF178" s="861" t="s">
        <v>584</v>
      </c>
      <c r="AG178" s="583" t="s">
        <v>612</v>
      </c>
      <c r="AH178" s="583" t="s">
        <v>640</v>
      </c>
      <c r="AI178" s="583" t="s">
        <v>668</v>
      </c>
      <c r="AJ178" s="583" t="s">
        <v>696</v>
      </c>
      <c r="AK178" s="583" t="s">
        <v>724</v>
      </c>
      <c r="AL178" s="583" t="s">
        <v>752</v>
      </c>
      <c r="AM178" s="862"/>
      <c r="AN178" s="863"/>
      <c r="AO178" s="857"/>
      <c r="AP178" s="197"/>
      <c r="AQ178" s="197"/>
      <c r="AR178" s="197"/>
      <c r="AS178" s="197"/>
    </row>
    <row r="179" spans="1:45" s="4" customFormat="1" ht="15.75" customHeight="1" thickTop="1" thickBot="1">
      <c r="A179" s="197"/>
      <c r="B179" s="852"/>
      <c r="C179" s="1489"/>
      <c r="D179" s="1491"/>
      <c r="E179" s="1491"/>
      <c r="F179" s="1491"/>
      <c r="G179" s="1901"/>
      <c r="H179" s="1491"/>
      <c r="I179" s="1491"/>
      <c r="J179" s="1499"/>
      <c r="K179" s="1499"/>
      <c r="L179" s="197"/>
      <c r="M179" s="228" t="s">
        <v>4435</v>
      </c>
      <c r="N179" s="197"/>
      <c r="O179" s="197"/>
      <c r="P179" s="197"/>
      <c r="Q179" s="725"/>
      <c r="R179" s="251"/>
      <c r="S179" s="725"/>
      <c r="T179" s="197"/>
      <c r="U179" s="197"/>
      <c r="V179" s="197"/>
      <c r="W179" s="197"/>
      <c r="X179" s="197"/>
      <c r="Y179" s="197"/>
      <c r="Z179" s="197"/>
      <c r="AA179" s="197"/>
      <c r="AB179" s="197"/>
      <c r="AC179" s="725"/>
      <c r="AD179" s="197"/>
      <c r="AE179" s="852"/>
      <c r="AF179" s="852"/>
      <c r="AG179" s="873"/>
      <c r="AH179" s="873"/>
      <c r="AI179" s="873"/>
      <c r="AJ179" s="873"/>
      <c r="AK179" s="873"/>
      <c r="AL179" s="873"/>
      <c r="AM179" s="868"/>
      <c r="AN179" s="868"/>
      <c r="AO179" s="229"/>
      <c r="AP179" s="197"/>
      <c r="AQ179" s="197"/>
      <c r="AR179" s="197"/>
      <c r="AS179" s="197"/>
    </row>
    <row r="180" spans="1:45" s="4" customFormat="1" ht="15.75" customHeight="1" thickTop="1" thickBot="1">
      <c r="A180" s="197"/>
      <c r="B180" s="355" t="s">
        <v>6591</v>
      </c>
      <c r="C180" s="633"/>
      <c r="D180" s="1487"/>
      <c r="E180" s="1487"/>
      <c r="F180" s="1487"/>
      <c r="G180" s="1487"/>
      <c r="H180" s="1487"/>
      <c r="I180" s="1487"/>
      <c r="J180" s="1499"/>
      <c r="K180" s="1499"/>
      <c r="L180" s="197"/>
      <c r="M180" s="228" t="s">
        <v>4435</v>
      </c>
      <c r="N180" s="197"/>
      <c r="O180" s="197"/>
      <c r="P180" s="197"/>
      <c r="Q180" s="725"/>
      <c r="R180" s="251"/>
      <c r="S180" s="725"/>
      <c r="T180" s="197"/>
      <c r="U180" s="197"/>
      <c r="V180" s="197"/>
      <c r="W180" s="197"/>
      <c r="X180" s="197"/>
      <c r="Y180" s="197"/>
      <c r="Z180" s="197"/>
      <c r="AA180" s="197"/>
      <c r="AB180" s="197"/>
      <c r="AC180" s="725"/>
      <c r="AD180" s="197"/>
      <c r="AE180" s="355" t="s">
        <v>6591</v>
      </c>
      <c r="AF180" s="356"/>
      <c r="AG180" s="867"/>
      <c r="AH180" s="867"/>
      <c r="AI180" s="867"/>
      <c r="AJ180" s="867"/>
      <c r="AK180" s="867"/>
      <c r="AL180" s="867"/>
      <c r="AM180" s="868"/>
      <c r="AN180" s="868"/>
      <c r="AO180" s="229"/>
      <c r="AP180" s="197"/>
      <c r="AQ180" s="197"/>
      <c r="AR180" s="197"/>
      <c r="AS180" s="197"/>
    </row>
    <row r="181" spans="1:45" s="8" customFormat="1" ht="15.75" customHeight="1" thickTop="1" thickBot="1">
      <c r="A181" s="351"/>
      <c r="B181" s="382" t="s">
        <v>6591</v>
      </c>
      <c r="C181" s="605">
        <v>0</v>
      </c>
      <c r="D181" s="605">
        <v>0</v>
      </c>
      <c r="E181" s="605">
        <v>0</v>
      </c>
      <c r="F181" s="605">
        <v>0</v>
      </c>
      <c r="G181" s="1470">
        <f>IFERROR(SUM(C181:F181),0)</f>
        <v>0</v>
      </c>
      <c r="H181" s="605">
        <v>0</v>
      </c>
      <c r="I181" s="605">
        <v>0</v>
      </c>
      <c r="J181" s="1504"/>
      <c r="K181" s="1505"/>
      <c r="L181" s="197"/>
      <c r="M181" s="336" t="s">
        <v>6696</v>
      </c>
      <c r="N181" s="197"/>
      <c r="O181" s="878"/>
      <c r="P181" s="351"/>
      <c r="Q181" s="722"/>
      <c r="R181" s="251">
        <f>IF( SUM( T181:AA181 ) = 0, 0, $T$10 )</f>
        <v>0</v>
      </c>
      <c r="S181" s="722"/>
      <c r="T181" s="252">
        <f xml:space="preserve"> IF( ISNUMBER(C181), 0, 1 )</f>
        <v>0</v>
      </c>
      <c r="U181" s="252">
        <f xml:space="preserve"> IF( ISNUMBER(D181), 0, 1 )</f>
        <v>0</v>
      </c>
      <c r="V181" s="252">
        <f xml:space="preserve"> IF( ISNUMBER(E181), 0, 1 )</f>
        <v>0</v>
      </c>
      <c r="W181" s="252">
        <f xml:space="preserve"> IF( ISNUMBER(F181), 0, 1 )</f>
        <v>0</v>
      </c>
      <c r="X181" s="197"/>
      <c r="Y181" s="252">
        <f xml:space="preserve"> IF( ISNUMBER(H181), 0, 1 )</f>
        <v>0</v>
      </c>
      <c r="Z181" s="252">
        <f xml:space="preserve"> IF( ISNUMBER(I181), 0, 1 )</f>
        <v>0</v>
      </c>
      <c r="AA181" s="197"/>
      <c r="AB181" s="197"/>
      <c r="AC181" s="722"/>
      <c r="AD181" s="351"/>
      <c r="AE181" s="382" t="s">
        <v>6591</v>
      </c>
      <c r="AF181" s="874" t="s">
        <v>585</v>
      </c>
      <c r="AG181" s="874" t="s">
        <v>613</v>
      </c>
      <c r="AH181" s="874" t="s">
        <v>641</v>
      </c>
      <c r="AI181" s="874" t="s">
        <v>669</v>
      </c>
      <c r="AJ181" s="875" t="s">
        <v>697</v>
      </c>
      <c r="AK181" s="874" t="s">
        <v>725</v>
      </c>
      <c r="AL181" s="874" t="s">
        <v>753</v>
      </c>
      <c r="AM181" s="876"/>
      <c r="AN181" s="877"/>
      <c r="AO181" s="857"/>
      <c r="AP181" s="351"/>
      <c r="AQ181" s="351"/>
      <c r="AR181" s="351"/>
      <c r="AS181" s="351"/>
    </row>
    <row r="182" spans="1:45" s="4" customFormat="1" ht="15.75" customHeight="1" thickTop="1" thickBot="1">
      <c r="A182" s="197"/>
      <c r="B182" s="879"/>
      <c r="C182" s="1958"/>
      <c r="D182" s="1959"/>
      <c r="E182" s="1959"/>
      <c r="F182" s="1959"/>
      <c r="G182" s="1492"/>
      <c r="H182" s="1492"/>
      <c r="I182" s="1492"/>
      <c r="J182" s="1499"/>
      <c r="K182" s="1499"/>
      <c r="L182" s="197"/>
      <c r="M182" s="228" t="s">
        <v>4435</v>
      </c>
      <c r="N182" s="197"/>
      <c r="O182" s="197"/>
      <c r="P182" s="197"/>
      <c r="Q182" s="725"/>
      <c r="R182" s="251"/>
      <c r="S182" s="725"/>
      <c r="T182" s="197"/>
      <c r="U182" s="197"/>
      <c r="V182" s="197"/>
      <c r="W182" s="197"/>
      <c r="X182" s="197"/>
      <c r="Y182" s="197"/>
      <c r="Z182" s="197"/>
      <c r="AA182" s="197"/>
      <c r="AB182" s="197"/>
      <c r="AC182" s="725"/>
      <c r="AD182" s="197"/>
      <c r="AE182" s="879"/>
      <c r="AF182" s="879"/>
      <c r="AG182" s="880"/>
      <c r="AH182" s="880"/>
      <c r="AI182" s="880"/>
      <c r="AJ182" s="880"/>
      <c r="AK182" s="880"/>
      <c r="AL182" s="880"/>
      <c r="AM182" s="868"/>
      <c r="AN182" s="868"/>
      <c r="AO182" s="229"/>
      <c r="AP182" s="197"/>
      <c r="AQ182" s="197"/>
      <c r="AR182" s="197"/>
      <c r="AS182" s="197"/>
    </row>
    <row r="183" spans="1:45" s="8" customFormat="1" ht="15.75" customHeight="1" thickTop="1" thickBot="1">
      <c r="A183" s="351"/>
      <c r="B183" s="382" t="s">
        <v>6600</v>
      </c>
      <c r="C183" s="1903">
        <f>IFERROR(SUM(C154,C161,C168,C178,C181), 0)</f>
        <v>0</v>
      </c>
      <c r="D183" s="1470">
        <f>IFERROR(SUM(D154,D161,D168,D178,D181), 0)</f>
        <v>0</v>
      </c>
      <c r="E183" s="1470">
        <f>IFERROR(SUM(E154,E161,E168,E178,E181), 0)</f>
        <v>98.971433000000005</v>
      </c>
      <c r="F183" s="1470">
        <f>IFERROR(SUM(F154,F161,F168,F178,F181), 0)</f>
        <v>0</v>
      </c>
      <c r="G183" s="1470">
        <f>IFERROR(SUM(C183:F183),0)</f>
        <v>98.971433000000005</v>
      </c>
      <c r="H183" s="1470">
        <f>IFERROR(SUM(H154,H161,H168,H178,H181), 0)</f>
        <v>92.903000000000006</v>
      </c>
      <c r="I183" s="1470">
        <f>IFERROR(SUM(I154,I161,I168,I178,I181), 0)</f>
        <v>61.165999999999997</v>
      </c>
      <c r="J183" s="1506"/>
      <c r="K183" s="1507"/>
      <c r="L183" s="351"/>
      <c r="M183" s="336" t="s">
        <v>6697</v>
      </c>
      <c r="N183" s="197"/>
      <c r="O183" s="878"/>
      <c r="P183" s="351"/>
      <c r="Q183" s="722"/>
      <c r="R183" s="251"/>
      <c r="S183" s="722"/>
      <c r="T183" s="197"/>
      <c r="U183" s="197"/>
      <c r="V183" s="197"/>
      <c r="W183" s="197"/>
      <c r="X183" s="197"/>
      <c r="Y183" s="197"/>
      <c r="Z183" s="197"/>
      <c r="AA183" s="197"/>
      <c r="AB183" s="197"/>
      <c r="AC183" s="722"/>
      <c r="AD183" s="351"/>
      <c r="AE183" s="382" t="s">
        <v>6600</v>
      </c>
      <c r="AF183" s="881" t="s">
        <v>586</v>
      </c>
      <c r="AG183" s="334" t="s">
        <v>614</v>
      </c>
      <c r="AH183" s="334" t="s">
        <v>642</v>
      </c>
      <c r="AI183" s="334" t="s">
        <v>670</v>
      </c>
      <c r="AJ183" s="334" t="s">
        <v>698</v>
      </c>
      <c r="AK183" s="334" t="s">
        <v>726</v>
      </c>
      <c r="AL183" s="334" t="s">
        <v>754</v>
      </c>
      <c r="AM183" s="882"/>
      <c r="AN183" s="883"/>
      <c r="AO183" s="857"/>
      <c r="AP183" s="351"/>
      <c r="AQ183" s="351"/>
      <c r="AR183" s="351"/>
      <c r="AS183" s="351"/>
    </row>
    <row r="184" spans="1:45" s="4" customFormat="1" ht="16.5" thickTop="1" thickBot="1">
      <c r="A184" s="197"/>
      <c r="B184" s="884"/>
      <c r="C184" s="884"/>
      <c r="D184" s="197"/>
      <c r="E184" s="197"/>
      <c r="F184" s="197"/>
      <c r="G184" s="197"/>
      <c r="H184" s="197"/>
      <c r="I184" s="197"/>
      <c r="J184" s="197"/>
      <c r="K184" s="197"/>
      <c r="L184" s="197"/>
      <c r="M184" s="641"/>
      <c r="N184" s="197"/>
      <c r="O184" s="197"/>
      <c r="P184" s="197"/>
      <c r="Q184" s="197"/>
      <c r="R184" s="251"/>
      <c r="S184" s="197"/>
      <c r="T184" s="197"/>
      <c r="U184" s="197"/>
      <c r="V184" s="197"/>
      <c r="W184" s="197"/>
      <c r="X184" s="197"/>
      <c r="Y184" s="197"/>
      <c r="Z184" s="197"/>
      <c r="AA184" s="197"/>
      <c r="AB184" s="197"/>
      <c r="AC184" s="197"/>
      <c r="AD184" s="197"/>
      <c r="AE184" s="884"/>
      <c r="AF184" s="884"/>
      <c r="AG184" s="197"/>
      <c r="AH184" s="197"/>
      <c r="AI184" s="197"/>
      <c r="AJ184" s="197"/>
      <c r="AK184" s="197"/>
      <c r="AL184" s="197"/>
      <c r="AM184" s="197"/>
      <c r="AN184" s="197"/>
      <c r="AO184" s="829"/>
      <c r="AP184" s="197"/>
      <c r="AQ184" s="197"/>
      <c r="AR184" s="197"/>
      <c r="AS184" s="197"/>
    </row>
    <row r="185" spans="1:45" s="4" customFormat="1" ht="16.399999999999999" customHeight="1" thickTop="1">
      <c r="A185" s="197"/>
      <c r="B185" s="2686" t="s">
        <v>1891</v>
      </c>
      <c r="C185" s="2667" t="s">
        <v>6698</v>
      </c>
      <c r="D185" s="2667"/>
      <c r="E185" s="2667"/>
      <c r="F185" s="2667"/>
      <c r="G185" s="2667"/>
      <c r="H185" s="2667"/>
      <c r="I185" s="2667"/>
      <c r="J185" s="2667"/>
      <c r="K185" s="2669"/>
      <c r="L185" s="555"/>
      <c r="M185" s="197"/>
      <c r="N185" s="197"/>
      <c r="O185" s="197"/>
      <c r="P185" s="555"/>
      <c r="Q185" s="804"/>
      <c r="R185" s="251"/>
      <c r="S185" s="804"/>
      <c r="T185" s="555"/>
      <c r="U185" s="555"/>
      <c r="V185" s="555"/>
      <c r="W185" s="555"/>
      <c r="X185" s="555"/>
      <c r="Y185" s="555"/>
      <c r="Z185" s="555"/>
      <c r="AA185" s="555"/>
      <c r="AB185" s="555"/>
      <c r="AC185" s="804"/>
      <c r="AD185" s="555"/>
      <c r="AE185" s="2686" t="s">
        <v>1891</v>
      </c>
      <c r="AF185" s="2667" t="s">
        <v>6698</v>
      </c>
      <c r="AG185" s="2667"/>
      <c r="AH185" s="2667"/>
      <c r="AI185" s="2667"/>
      <c r="AJ185" s="2667"/>
      <c r="AK185" s="2667"/>
      <c r="AL185" s="2667"/>
      <c r="AM185" s="2667"/>
      <c r="AN185" s="2669"/>
      <c r="AO185" s="282"/>
      <c r="AP185" s="197"/>
      <c r="AQ185" s="197"/>
      <c r="AR185" s="197"/>
      <c r="AS185" s="197"/>
    </row>
    <row r="186" spans="1:45" s="4" customFormat="1">
      <c r="A186" s="197"/>
      <c r="B186" s="2769"/>
      <c r="C186" s="2770" t="s">
        <v>6331</v>
      </c>
      <c r="D186" s="2770"/>
      <c r="E186" s="2770"/>
      <c r="F186" s="2770"/>
      <c r="G186" s="2770" t="s">
        <v>6332</v>
      </c>
      <c r="H186" s="2770"/>
      <c r="I186" s="2770" t="s">
        <v>6333</v>
      </c>
      <c r="J186" s="2770" t="s">
        <v>6334</v>
      </c>
      <c r="K186" s="2811"/>
      <c r="L186" s="197"/>
      <c r="M186" s="197"/>
      <c r="N186" s="197"/>
      <c r="O186" s="197"/>
      <c r="P186" s="197"/>
      <c r="Q186" s="725"/>
      <c r="R186" s="251"/>
      <c r="S186" s="725"/>
      <c r="T186" s="197"/>
      <c r="U186" s="197"/>
      <c r="V186" s="197"/>
      <c r="W186" s="197"/>
      <c r="X186" s="197"/>
      <c r="Y186" s="197"/>
      <c r="Z186" s="197"/>
      <c r="AA186" s="197"/>
      <c r="AB186" s="197"/>
      <c r="AC186" s="725"/>
      <c r="AD186" s="197"/>
      <c r="AE186" s="2769"/>
      <c r="AF186" s="2770" t="s">
        <v>6331</v>
      </c>
      <c r="AG186" s="2770"/>
      <c r="AH186" s="2770"/>
      <c r="AI186" s="2770"/>
      <c r="AJ186" s="2770" t="s">
        <v>6332</v>
      </c>
      <c r="AK186" s="2770"/>
      <c r="AL186" s="2770" t="s">
        <v>6333</v>
      </c>
      <c r="AM186" s="2770" t="s">
        <v>6334</v>
      </c>
      <c r="AN186" s="2811"/>
      <c r="AO186" s="282"/>
      <c r="AP186" s="197"/>
      <c r="AQ186" s="197"/>
      <c r="AR186" s="197"/>
      <c r="AS186" s="197"/>
    </row>
    <row r="187" spans="1:45" s="4" customFormat="1" ht="31">
      <c r="A187" s="197"/>
      <c r="B187" s="2769"/>
      <c r="C187" s="389" t="s">
        <v>6335</v>
      </c>
      <c r="D187" s="389" t="s">
        <v>6336</v>
      </c>
      <c r="E187" s="389" t="s">
        <v>6337</v>
      </c>
      <c r="F187" s="389" t="s">
        <v>6338</v>
      </c>
      <c r="G187" s="389" t="s">
        <v>6339</v>
      </c>
      <c r="H187" s="389" t="s">
        <v>6340</v>
      </c>
      <c r="I187" s="2770"/>
      <c r="J187" s="389" t="s">
        <v>6341</v>
      </c>
      <c r="K187" s="390" t="s">
        <v>6342</v>
      </c>
      <c r="L187" s="197"/>
      <c r="M187" s="197"/>
      <c r="N187" s="197"/>
      <c r="O187" s="197"/>
      <c r="P187" s="197"/>
      <c r="Q187" s="725"/>
      <c r="R187" s="251"/>
      <c r="S187" s="725"/>
      <c r="T187" s="197"/>
      <c r="U187" s="197"/>
      <c r="V187" s="197"/>
      <c r="W187" s="197"/>
      <c r="X187" s="197"/>
      <c r="Y187" s="197"/>
      <c r="Z187" s="197"/>
      <c r="AA187" s="197"/>
      <c r="AB187" s="197"/>
      <c r="AC187" s="725"/>
      <c r="AD187" s="197"/>
      <c r="AE187" s="2769"/>
      <c r="AF187" s="389" t="s">
        <v>6335</v>
      </c>
      <c r="AG187" s="389" t="s">
        <v>6336</v>
      </c>
      <c r="AH187" s="389" t="s">
        <v>6337</v>
      </c>
      <c r="AI187" s="389" t="s">
        <v>6338</v>
      </c>
      <c r="AJ187" s="389" t="s">
        <v>6339</v>
      </c>
      <c r="AK187" s="389" t="s">
        <v>6340</v>
      </c>
      <c r="AL187" s="2770"/>
      <c r="AM187" s="389" t="s">
        <v>6341</v>
      </c>
      <c r="AN187" s="390" t="s">
        <v>6342</v>
      </c>
      <c r="AO187" s="282"/>
      <c r="AP187" s="197"/>
      <c r="AQ187" s="197"/>
      <c r="AR187" s="197"/>
      <c r="AS187" s="197"/>
    </row>
    <row r="188" spans="1:45" s="4" customFormat="1" ht="16.399999999999999" customHeight="1">
      <c r="A188" s="197"/>
      <c r="B188" s="391" t="s">
        <v>1892</v>
      </c>
      <c r="C188" s="389" t="s">
        <v>137</v>
      </c>
      <c r="D188" s="389" t="s">
        <v>137</v>
      </c>
      <c r="E188" s="389" t="s">
        <v>137</v>
      </c>
      <c r="F188" s="389" t="s">
        <v>137</v>
      </c>
      <c r="G188" s="389" t="s">
        <v>137</v>
      </c>
      <c r="H188" s="389" t="s">
        <v>137</v>
      </c>
      <c r="I188" s="389" t="s">
        <v>137</v>
      </c>
      <c r="J188" s="389" t="s">
        <v>1344</v>
      </c>
      <c r="K188" s="390" t="s">
        <v>1344</v>
      </c>
      <c r="L188" s="197"/>
      <c r="M188" s="197"/>
      <c r="N188" s="197"/>
      <c r="O188" s="197"/>
      <c r="P188" s="197"/>
      <c r="Q188" s="725"/>
      <c r="R188" s="251"/>
      <c r="S188" s="725"/>
      <c r="T188" s="197"/>
      <c r="U188" s="197"/>
      <c r="V188" s="197"/>
      <c r="W188" s="197"/>
      <c r="X188" s="197"/>
      <c r="Y188" s="197"/>
      <c r="Z188" s="197"/>
      <c r="AA188" s="197"/>
      <c r="AB188" s="197"/>
      <c r="AC188" s="725"/>
      <c r="AD188" s="197"/>
      <c r="AE188" s="391" t="s">
        <v>1892</v>
      </c>
      <c r="AF188" s="389" t="s">
        <v>137</v>
      </c>
      <c r="AG188" s="389" t="s">
        <v>137</v>
      </c>
      <c r="AH188" s="389" t="s">
        <v>137</v>
      </c>
      <c r="AI188" s="389" t="s">
        <v>137</v>
      </c>
      <c r="AJ188" s="389" t="s">
        <v>137</v>
      </c>
      <c r="AK188" s="389" t="s">
        <v>137</v>
      </c>
      <c r="AL188" s="389" t="s">
        <v>137</v>
      </c>
      <c r="AM188" s="389" t="s">
        <v>1344</v>
      </c>
      <c r="AN188" s="390" t="s">
        <v>1344</v>
      </c>
      <c r="AO188" s="282"/>
      <c r="AP188" s="197"/>
      <c r="AQ188" s="197"/>
      <c r="AR188" s="197"/>
      <c r="AS188" s="197"/>
    </row>
    <row r="189" spans="1:45" s="4" customFormat="1" ht="16" thickBot="1">
      <c r="A189" s="197"/>
      <c r="B189" s="392" t="s">
        <v>136</v>
      </c>
      <c r="C189" s="238">
        <v>3</v>
      </c>
      <c r="D189" s="238">
        <v>3</v>
      </c>
      <c r="E189" s="238">
        <v>3</v>
      </c>
      <c r="F189" s="238">
        <v>3</v>
      </c>
      <c r="G189" s="238">
        <v>3</v>
      </c>
      <c r="H189" s="238">
        <v>3</v>
      </c>
      <c r="I189" s="238">
        <v>3</v>
      </c>
      <c r="J189" s="238">
        <v>3</v>
      </c>
      <c r="K189" s="576">
        <v>3</v>
      </c>
      <c r="L189" s="197"/>
      <c r="M189" s="197"/>
      <c r="N189" s="197"/>
      <c r="O189" s="197"/>
      <c r="P189" s="197"/>
      <c r="Q189" s="725"/>
      <c r="R189" s="251"/>
      <c r="S189" s="725"/>
      <c r="T189" s="2662" t="s">
        <v>1890</v>
      </c>
      <c r="U189" s="2662"/>
      <c r="V189" s="2795"/>
      <c r="W189" s="2795"/>
      <c r="X189" s="2795"/>
      <c r="Y189" s="2795"/>
      <c r="Z189" s="2795"/>
      <c r="AA189" s="2795"/>
      <c r="AB189" s="2579"/>
      <c r="AC189" s="725"/>
      <c r="AD189" s="197"/>
      <c r="AE189" s="392" t="s">
        <v>136</v>
      </c>
      <c r="AF189" s="238">
        <v>3</v>
      </c>
      <c r="AG189" s="238">
        <v>3</v>
      </c>
      <c r="AH189" s="238">
        <v>3</v>
      </c>
      <c r="AI189" s="238">
        <v>3</v>
      </c>
      <c r="AJ189" s="238">
        <v>3</v>
      </c>
      <c r="AK189" s="238">
        <v>3</v>
      </c>
      <c r="AL189" s="238">
        <v>3</v>
      </c>
      <c r="AM189" s="238">
        <v>3</v>
      </c>
      <c r="AN189" s="576">
        <v>3</v>
      </c>
      <c r="AO189" s="197"/>
      <c r="AP189" s="197"/>
      <c r="AQ189" s="197"/>
      <c r="AR189" s="197"/>
      <c r="AS189" s="197"/>
    </row>
    <row r="190" spans="1:45" s="4" customFormat="1" ht="16.5" thickTop="1" thickBot="1">
      <c r="A190" s="197"/>
      <c r="B190" s="852"/>
      <c r="C190" s="852"/>
      <c r="D190" s="853"/>
      <c r="E190" s="853"/>
      <c r="F190" s="853"/>
      <c r="G190" s="853"/>
      <c r="H190" s="853"/>
      <c r="I190" s="853"/>
      <c r="J190" s="853"/>
      <c r="K190" s="853"/>
      <c r="L190" s="197"/>
      <c r="M190" s="197"/>
      <c r="N190" s="197"/>
      <c r="O190" s="197"/>
      <c r="P190" s="197"/>
      <c r="Q190" s="725"/>
      <c r="R190" s="251"/>
      <c r="S190" s="725"/>
      <c r="T190" s="236" t="s">
        <v>1898</v>
      </c>
      <c r="U190" s="222"/>
      <c r="V190" s="197"/>
      <c r="W190" s="197"/>
      <c r="X190" s="197"/>
      <c r="Y190" s="197"/>
      <c r="Z190" s="197"/>
      <c r="AA190" s="197"/>
      <c r="AB190" s="197"/>
      <c r="AC190" s="725"/>
      <c r="AD190" s="197"/>
      <c r="AE190" s="852"/>
      <c r="AF190" s="852"/>
      <c r="AG190" s="853"/>
      <c r="AH190" s="853"/>
      <c r="AI190" s="853"/>
      <c r="AJ190" s="853"/>
      <c r="AK190" s="853"/>
      <c r="AL190" s="853"/>
      <c r="AM190" s="853"/>
      <c r="AN190" s="853"/>
      <c r="AO190" s="197"/>
      <c r="AP190" s="197"/>
      <c r="AQ190" s="197"/>
      <c r="AR190" s="197"/>
      <c r="AS190" s="197"/>
    </row>
    <row r="191" spans="1:45" s="4" customFormat="1" ht="15.75" customHeight="1" thickTop="1" thickBot="1">
      <c r="A191" s="197"/>
      <c r="B191" s="355" t="s">
        <v>6343</v>
      </c>
      <c r="C191" s="356"/>
      <c r="D191" s="444"/>
      <c r="E191" s="146"/>
      <c r="F191" s="853"/>
      <c r="G191" s="853"/>
      <c r="H191" s="853"/>
      <c r="I191" s="853"/>
      <c r="J191" s="853"/>
      <c r="K191" s="853"/>
      <c r="L191" s="197"/>
      <c r="M191" s="197"/>
      <c r="N191" s="197"/>
      <c r="O191" s="197"/>
      <c r="P191" s="197"/>
      <c r="Q191" s="725"/>
      <c r="R191" s="251"/>
      <c r="S191" s="725"/>
      <c r="T191" s="197"/>
      <c r="U191" s="197"/>
      <c r="V191" s="197"/>
      <c r="W191" s="197"/>
      <c r="X191" s="197"/>
      <c r="Y191" s="197"/>
      <c r="Z191" s="197"/>
      <c r="AA191" s="197"/>
      <c r="AB191" s="197"/>
      <c r="AC191" s="725"/>
      <c r="AD191" s="197"/>
      <c r="AE191" s="355" t="s">
        <v>6343</v>
      </c>
      <c r="AF191" s="356"/>
      <c r="AG191" s="444"/>
      <c r="AH191" s="146"/>
      <c r="AI191" s="853"/>
      <c r="AJ191" s="853"/>
      <c r="AK191" s="853"/>
      <c r="AL191" s="853"/>
      <c r="AM191" s="853"/>
      <c r="AN191" s="853"/>
      <c r="AO191" s="197"/>
      <c r="AP191" s="197"/>
      <c r="AQ191" s="197"/>
      <c r="AR191" s="197"/>
      <c r="AS191" s="197"/>
    </row>
    <row r="192" spans="1:45" s="4" customFormat="1" ht="15.75" customHeight="1" thickTop="1">
      <c r="A192" s="197"/>
      <c r="B192" s="358" t="s">
        <v>6344</v>
      </c>
      <c r="C192" s="1956">
        <v>0</v>
      </c>
      <c r="D192" s="598">
        <v>0</v>
      </c>
      <c r="E192" s="598">
        <v>0</v>
      </c>
      <c r="F192" s="598">
        <v>45</v>
      </c>
      <c r="G192" s="1479">
        <f t="shared" ref="G192:G199" si="79">IFERROR(SUM(C192:F192),0)</f>
        <v>45</v>
      </c>
      <c r="H192" s="1956">
        <v>6.9889999999999999</v>
      </c>
      <c r="I192" s="598">
        <v>0</v>
      </c>
      <c r="J192" s="1493">
        <v>6.0333333333333336E-2</v>
      </c>
      <c r="K192" s="1494">
        <v>2.649E-2</v>
      </c>
      <c r="L192" s="197"/>
      <c r="M192" s="248" t="s">
        <v>6699</v>
      </c>
      <c r="N192" s="197"/>
      <c r="O192" s="250"/>
      <c r="P192" s="197"/>
      <c r="Q192" s="725"/>
      <c r="R192" s="251">
        <f t="shared" ref="R192:R198" si="80">IF( SUM( T192:AA192 ) = 0, 0, $T$10 )</f>
        <v>0</v>
      </c>
      <c r="S192" s="725"/>
      <c r="T192" s="252">
        <f t="shared" ref="T192:W198" si="81" xml:space="preserve"> IF( ISNUMBER(C192), 0, 1 )</f>
        <v>0</v>
      </c>
      <c r="U192" s="252">
        <f t="shared" si="81"/>
        <v>0</v>
      </c>
      <c r="V192" s="252">
        <f t="shared" si="81"/>
        <v>0</v>
      </c>
      <c r="W192" s="252">
        <f t="shared" si="81"/>
        <v>0</v>
      </c>
      <c r="X192" s="197"/>
      <c r="Y192" s="252">
        <f t="shared" ref="Y192:AB198" si="82" xml:space="preserve"> IF( ISNUMBER(H192), 0, 1 )</f>
        <v>0</v>
      </c>
      <c r="Z192" s="252">
        <f t="shared" si="82"/>
        <v>0</v>
      </c>
      <c r="AA192" s="252">
        <f t="shared" si="82"/>
        <v>0</v>
      </c>
      <c r="AB192" s="252">
        <f t="shared" si="82"/>
        <v>0</v>
      </c>
      <c r="AC192" s="725"/>
      <c r="AD192" s="197"/>
      <c r="AE192" s="358" t="s">
        <v>6344</v>
      </c>
      <c r="AF192" s="854" t="s">
        <v>769</v>
      </c>
      <c r="AG192" s="801" t="s">
        <v>797</v>
      </c>
      <c r="AH192" s="801" t="s">
        <v>825</v>
      </c>
      <c r="AI192" s="801" t="s">
        <v>853</v>
      </c>
      <c r="AJ192" s="855" t="s">
        <v>881</v>
      </c>
      <c r="AK192" s="854" t="s">
        <v>909</v>
      </c>
      <c r="AL192" s="801" t="s">
        <v>937</v>
      </c>
      <c r="AM192" s="801" t="s">
        <v>965</v>
      </c>
      <c r="AN192" s="856" t="s">
        <v>972</v>
      </c>
      <c r="AO192" s="857"/>
      <c r="AP192" s="197"/>
      <c r="AQ192" s="197"/>
      <c r="AR192" s="197"/>
      <c r="AS192" s="197"/>
    </row>
    <row r="193" spans="1:45" s="4" customFormat="1" ht="15.75" customHeight="1">
      <c r="A193" s="197"/>
      <c r="B193" s="365" t="s">
        <v>6355</v>
      </c>
      <c r="C193" s="1957">
        <v>0</v>
      </c>
      <c r="D193" s="601">
        <v>0</v>
      </c>
      <c r="E193" s="601">
        <v>0</v>
      </c>
      <c r="F193" s="601">
        <v>430</v>
      </c>
      <c r="G193" s="1481">
        <f t="shared" si="79"/>
        <v>430</v>
      </c>
      <c r="H193" s="1957">
        <v>32.042000000000002</v>
      </c>
      <c r="I193" s="601">
        <v>0</v>
      </c>
      <c r="J193" s="1495">
        <v>4.9119999999999997E-2</v>
      </c>
      <c r="K193" s="1496">
        <v>3.8878837209302325E-2</v>
      </c>
      <c r="L193" s="197"/>
      <c r="M193" s="257" t="s">
        <v>6700</v>
      </c>
      <c r="N193" s="197"/>
      <c r="O193" s="258"/>
      <c r="P193" s="197"/>
      <c r="Q193" s="725"/>
      <c r="R193" s="251">
        <f t="shared" si="80"/>
        <v>0</v>
      </c>
      <c r="S193" s="725"/>
      <c r="T193" s="252">
        <f t="shared" si="81"/>
        <v>0</v>
      </c>
      <c r="U193" s="252">
        <f t="shared" si="81"/>
        <v>0</v>
      </c>
      <c r="V193" s="252">
        <f t="shared" si="81"/>
        <v>0</v>
      </c>
      <c r="W193" s="252">
        <f t="shared" si="81"/>
        <v>0</v>
      </c>
      <c r="X193" s="197"/>
      <c r="Y193" s="252">
        <f t="shared" si="82"/>
        <v>0</v>
      </c>
      <c r="Z193" s="252">
        <f t="shared" si="82"/>
        <v>0</v>
      </c>
      <c r="AA193" s="252">
        <f t="shared" si="82"/>
        <v>0</v>
      </c>
      <c r="AB193" s="252">
        <f t="shared" si="82"/>
        <v>0</v>
      </c>
      <c r="AC193" s="725"/>
      <c r="AD193" s="197"/>
      <c r="AE193" s="365" t="s">
        <v>6355</v>
      </c>
      <c r="AF193" s="858" t="s">
        <v>770</v>
      </c>
      <c r="AG193" s="802" t="s">
        <v>798</v>
      </c>
      <c r="AH193" s="802" t="s">
        <v>826</v>
      </c>
      <c r="AI193" s="802" t="s">
        <v>854</v>
      </c>
      <c r="AJ193" s="859" t="s">
        <v>882</v>
      </c>
      <c r="AK193" s="858" t="s">
        <v>910</v>
      </c>
      <c r="AL193" s="802" t="s">
        <v>938</v>
      </c>
      <c r="AM193" s="802" t="s">
        <v>966</v>
      </c>
      <c r="AN193" s="860" t="s">
        <v>973</v>
      </c>
      <c r="AO193" s="857"/>
      <c r="AP193" s="197"/>
      <c r="AQ193" s="197"/>
      <c r="AR193" s="197"/>
      <c r="AS193" s="197"/>
    </row>
    <row r="194" spans="1:45" s="4" customFormat="1" ht="15.75" customHeight="1">
      <c r="A194" s="197"/>
      <c r="B194" s="365" t="s">
        <v>6366</v>
      </c>
      <c r="C194" s="1957">
        <v>0</v>
      </c>
      <c r="D194" s="601">
        <v>0</v>
      </c>
      <c r="E194" s="601">
        <v>0</v>
      </c>
      <c r="F194" s="601">
        <v>0</v>
      </c>
      <c r="G194" s="1481">
        <f t="shared" si="79"/>
        <v>0</v>
      </c>
      <c r="H194" s="1957">
        <v>0</v>
      </c>
      <c r="I194" s="601">
        <v>0</v>
      </c>
      <c r="J194" s="1495">
        <v>0</v>
      </c>
      <c r="K194" s="1496">
        <v>0</v>
      </c>
      <c r="L194" s="197"/>
      <c r="M194" s="257" t="s">
        <v>6701</v>
      </c>
      <c r="N194" s="197"/>
      <c r="O194" s="258"/>
      <c r="P194" s="197"/>
      <c r="Q194" s="725"/>
      <c r="R194" s="251">
        <f t="shared" si="80"/>
        <v>0</v>
      </c>
      <c r="S194" s="725"/>
      <c r="T194" s="252">
        <f t="shared" si="81"/>
        <v>0</v>
      </c>
      <c r="U194" s="252">
        <f t="shared" si="81"/>
        <v>0</v>
      </c>
      <c r="V194" s="252">
        <f t="shared" si="81"/>
        <v>0</v>
      </c>
      <c r="W194" s="252">
        <f t="shared" si="81"/>
        <v>0</v>
      </c>
      <c r="X194" s="197"/>
      <c r="Y194" s="252">
        <f t="shared" si="82"/>
        <v>0</v>
      </c>
      <c r="Z194" s="252">
        <f t="shared" si="82"/>
        <v>0</v>
      </c>
      <c r="AA194" s="252">
        <f t="shared" si="82"/>
        <v>0</v>
      </c>
      <c r="AB194" s="252">
        <f t="shared" si="82"/>
        <v>0</v>
      </c>
      <c r="AC194" s="725"/>
      <c r="AD194" s="197"/>
      <c r="AE194" s="365" t="s">
        <v>6366</v>
      </c>
      <c r="AF194" s="858" t="s">
        <v>771</v>
      </c>
      <c r="AG194" s="802" t="s">
        <v>799</v>
      </c>
      <c r="AH194" s="802" t="s">
        <v>827</v>
      </c>
      <c r="AI194" s="802" t="s">
        <v>855</v>
      </c>
      <c r="AJ194" s="859" t="s">
        <v>883</v>
      </c>
      <c r="AK194" s="858" t="s">
        <v>911</v>
      </c>
      <c r="AL194" s="802" t="s">
        <v>939</v>
      </c>
      <c r="AM194" s="802" t="s">
        <v>967</v>
      </c>
      <c r="AN194" s="860" t="s">
        <v>974</v>
      </c>
      <c r="AO194" s="857"/>
      <c r="AP194" s="197"/>
      <c r="AQ194" s="197"/>
      <c r="AR194" s="197"/>
      <c r="AS194" s="197"/>
    </row>
    <row r="195" spans="1:45" s="4" customFormat="1" ht="15.75" customHeight="1">
      <c r="A195" s="197"/>
      <c r="B195" s="365" t="s">
        <v>6377</v>
      </c>
      <c r="C195" s="1957">
        <v>0</v>
      </c>
      <c r="D195" s="601">
        <v>0</v>
      </c>
      <c r="E195" s="601">
        <v>0</v>
      </c>
      <c r="F195" s="601">
        <v>0</v>
      </c>
      <c r="G195" s="1481">
        <f t="shared" si="79"/>
        <v>0</v>
      </c>
      <c r="H195" s="1957">
        <v>0</v>
      </c>
      <c r="I195" s="601">
        <v>0</v>
      </c>
      <c r="J195" s="1495">
        <v>0</v>
      </c>
      <c r="K195" s="1496">
        <v>0</v>
      </c>
      <c r="L195" s="197"/>
      <c r="M195" s="257" t="s">
        <v>6702</v>
      </c>
      <c r="N195" s="197"/>
      <c r="O195" s="258"/>
      <c r="P195" s="197"/>
      <c r="Q195" s="725"/>
      <c r="R195" s="251">
        <f t="shared" si="80"/>
        <v>0</v>
      </c>
      <c r="S195" s="725"/>
      <c r="T195" s="252">
        <f t="shared" si="81"/>
        <v>0</v>
      </c>
      <c r="U195" s="252">
        <f t="shared" si="81"/>
        <v>0</v>
      </c>
      <c r="V195" s="252">
        <f t="shared" si="81"/>
        <v>0</v>
      </c>
      <c r="W195" s="252">
        <f t="shared" si="81"/>
        <v>0</v>
      </c>
      <c r="X195" s="197"/>
      <c r="Y195" s="252">
        <f t="shared" si="82"/>
        <v>0</v>
      </c>
      <c r="Z195" s="252">
        <f t="shared" si="82"/>
        <v>0</v>
      </c>
      <c r="AA195" s="252">
        <f t="shared" si="82"/>
        <v>0</v>
      </c>
      <c r="AB195" s="252">
        <f t="shared" si="82"/>
        <v>0</v>
      </c>
      <c r="AC195" s="725"/>
      <c r="AD195" s="197"/>
      <c r="AE195" s="365" t="s">
        <v>6377</v>
      </c>
      <c r="AF195" s="858" t="s">
        <v>772</v>
      </c>
      <c r="AG195" s="802" t="s">
        <v>800</v>
      </c>
      <c r="AH195" s="802" t="s">
        <v>828</v>
      </c>
      <c r="AI195" s="802" t="s">
        <v>856</v>
      </c>
      <c r="AJ195" s="859" t="s">
        <v>884</v>
      </c>
      <c r="AK195" s="858" t="s">
        <v>912</v>
      </c>
      <c r="AL195" s="802" t="s">
        <v>940</v>
      </c>
      <c r="AM195" s="802" t="s">
        <v>968</v>
      </c>
      <c r="AN195" s="860" t="s">
        <v>975</v>
      </c>
      <c r="AO195" s="857"/>
      <c r="AP195" s="197"/>
      <c r="AQ195" s="197"/>
      <c r="AR195" s="197"/>
      <c r="AS195" s="197"/>
    </row>
    <row r="196" spans="1:45" s="4" customFormat="1" ht="15.75" customHeight="1">
      <c r="A196" s="197"/>
      <c r="B196" s="365" t="s">
        <v>6388</v>
      </c>
      <c r="C196" s="1957">
        <v>0</v>
      </c>
      <c r="D196" s="601">
        <v>0</v>
      </c>
      <c r="E196" s="601">
        <v>0</v>
      </c>
      <c r="F196" s="601">
        <v>0</v>
      </c>
      <c r="G196" s="1481">
        <f t="shared" si="79"/>
        <v>0</v>
      </c>
      <c r="H196" s="1957">
        <v>0</v>
      </c>
      <c r="I196" s="601">
        <v>0</v>
      </c>
      <c r="J196" s="1495">
        <v>0</v>
      </c>
      <c r="K196" s="1496">
        <v>0</v>
      </c>
      <c r="L196" s="197"/>
      <c r="M196" s="257" t="s">
        <v>6703</v>
      </c>
      <c r="N196" s="197"/>
      <c r="O196" s="258"/>
      <c r="P196" s="197"/>
      <c r="Q196" s="725"/>
      <c r="R196" s="251">
        <f t="shared" si="80"/>
        <v>0</v>
      </c>
      <c r="S196" s="725"/>
      <c r="T196" s="252">
        <f t="shared" si="81"/>
        <v>0</v>
      </c>
      <c r="U196" s="252">
        <f t="shared" si="81"/>
        <v>0</v>
      </c>
      <c r="V196" s="252">
        <f t="shared" si="81"/>
        <v>0</v>
      </c>
      <c r="W196" s="252">
        <f t="shared" si="81"/>
        <v>0</v>
      </c>
      <c r="X196" s="197"/>
      <c r="Y196" s="252">
        <f t="shared" si="82"/>
        <v>0</v>
      </c>
      <c r="Z196" s="252">
        <f t="shared" si="82"/>
        <v>0</v>
      </c>
      <c r="AA196" s="252">
        <f t="shared" si="82"/>
        <v>0</v>
      </c>
      <c r="AB196" s="252">
        <f t="shared" si="82"/>
        <v>0</v>
      </c>
      <c r="AC196" s="725"/>
      <c r="AD196" s="197"/>
      <c r="AE196" s="365" t="s">
        <v>6388</v>
      </c>
      <c r="AF196" s="858" t="s">
        <v>773</v>
      </c>
      <c r="AG196" s="802" t="s">
        <v>801</v>
      </c>
      <c r="AH196" s="802" t="s">
        <v>829</v>
      </c>
      <c r="AI196" s="802" t="s">
        <v>857</v>
      </c>
      <c r="AJ196" s="859" t="s">
        <v>885</v>
      </c>
      <c r="AK196" s="858" t="s">
        <v>913</v>
      </c>
      <c r="AL196" s="802" t="s">
        <v>941</v>
      </c>
      <c r="AM196" s="802" t="s">
        <v>969</v>
      </c>
      <c r="AN196" s="860" t="s">
        <v>976</v>
      </c>
      <c r="AO196" s="857"/>
      <c r="AP196" s="197"/>
      <c r="AQ196" s="197"/>
      <c r="AR196" s="197"/>
      <c r="AS196" s="197"/>
    </row>
    <row r="197" spans="1:45" s="4" customFormat="1" ht="15.75" customHeight="1">
      <c r="A197" s="197"/>
      <c r="B197" s="365" t="s">
        <v>6399</v>
      </c>
      <c r="C197" s="1957">
        <v>0</v>
      </c>
      <c r="D197" s="601">
        <v>0</v>
      </c>
      <c r="E197" s="601">
        <v>0</v>
      </c>
      <c r="F197" s="601">
        <v>0</v>
      </c>
      <c r="G197" s="1481">
        <f t="shared" si="79"/>
        <v>0</v>
      </c>
      <c r="H197" s="1957">
        <v>0</v>
      </c>
      <c r="I197" s="601">
        <v>0</v>
      </c>
      <c r="J197" s="1495">
        <v>0</v>
      </c>
      <c r="K197" s="1496">
        <v>0</v>
      </c>
      <c r="L197" s="197"/>
      <c r="M197" s="257" t="s">
        <v>6704</v>
      </c>
      <c r="N197" s="197"/>
      <c r="O197" s="258"/>
      <c r="P197" s="197"/>
      <c r="Q197" s="725"/>
      <c r="R197" s="251">
        <f t="shared" si="80"/>
        <v>0</v>
      </c>
      <c r="S197" s="725"/>
      <c r="T197" s="252">
        <f t="shared" si="81"/>
        <v>0</v>
      </c>
      <c r="U197" s="252">
        <f t="shared" si="81"/>
        <v>0</v>
      </c>
      <c r="V197" s="252">
        <f t="shared" si="81"/>
        <v>0</v>
      </c>
      <c r="W197" s="252">
        <f t="shared" si="81"/>
        <v>0</v>
      </c>
      <c r="X197" s="197"/>
      <c r="Y197" s="252">
        <f t="shared" si="82"/>
        <v>0</v>
      </c>
      <c r="Z197" s="252">
        <f t="shared" si="82"/>
        <v>0</v>
      </c>
      <c r="AA197" s="252">
        <f t="shared" si="82"/>
        <v>0</v>
      </c>
      <c r="AB197" s="252">
        <f t="shared" si="82"/>
        <v>0</v>
      </c>
      <c r="AC197" s="725"/>
      <c r="AD197" s="197"/>
      <c r="AE197" s="365" t="s">
        <v>6399</v>
      </c>
      <c r="AF197" s="858" t="s">
        <v>774</v>
      </c>
      <c r="AG197" s="802" t="s">
        <v>802</v>
      </c>
      <c r="AH197" s="802" t="s">
        <v>830</v>
      </c>
      <c r="AI197" s="802" t="s">
        <v>858</v>
      </c>
      <c r="AJ197" s="859" t="s">
        <v>886</v>
      </c>
      <c r="AK197" s="858" t="s">
        <v>914</v>
      </c>
      <c r="AL197" s="802" t="s">
        <v>942</v>
      </c>
      <c r="AM197" s="802" t="s">
        <v>970</v>
      </c>
      <c r="AN197" s="860" t="s">
        <v>977</v>
      </c>
      <c r="AO197" s="857"/>
      <c r="AP197" s="197"/>
      <c r="AQ197" s="197"/>
      <c r="AR197" s="197"/>
      <c r="AS197" s="197"/>
    </row>
    <row r="198" spans="1:45" s="4" customFormat="1" ht="15.75" customHeight="1">
      <c r="A198" s="197"/>
      <c r="B198" s="365" t="s">
        <v>6410</v>
      </c>
      <c r="C198" s="1957">
        <v>0</v>
      </c>
      <c r="D198" s="601">
        <v>0</v>
      </c>
      <c r="E198" s="601">
        <v>0</v>
      </c>
      <c r="F198" s="601">
        <v>0</v>
      </c>
      <c r="G198" s="1481">
        <f t="shared" si="79"/>
        <v>0</v>
      </c>
      <c r="H198" s="1957">
        <v>0</v>
      </c>
      <c r="I198" s="601">
        <v>0</v>
      </c>
      <c r="J198" s="1495">
        <v>0</v>
      </c>
      <c r="K198" s="1496">
        <v>0</v>
      </c>
      <c r="L198" s="197"/>
      <c r="M198" s="257" t="s">
        <v>6705</v>
      </c>
      <c r="N198" s="197"/>
      <c r="O198" s="258"/>
      <c r="P198" s="197"/>
      <c r="Q198" s="725"/>
      <c r="R198" s="251">
        <f t="shared" si="80"/>
        <v>0</v>
      </c>
      <c r="S198" s="725"/>
      <c r="T198" s="252">
        <f t="shared" si="81"/>
        <v>0</v>
      </c>
      <c r="U198" s="252">
        <f t="shared" si="81"/>
        <v>0</v>
      </c>
      <c r="V198" s="252">
        <f t="shared" si="81"/>
        <v>0</v>
      </c>
      <c r="W198" s="252">
        <f t="shared" si="81"/>
        <v>0</v>
      </c>
      <c r="X198" s="197"/>
      <c r="Y198" s="252">
        <f t="shared" si="82"/>
        <v>0</v>
      </c>
      <c r="Z198" s="252">
        <f t="shared" si="82"/>
        <v>0</v>
      </c>
      <c r="AA198" s="252">
        <f t="shared" si="82"/>
        <v>0</v>
      </c>
      <c r="AB198" s="252">
        <f t="shared" si="82"/>
        <v>0</v>
      </c>
      <c r="AC198" s="725"/>
      <c r="AD198" s="197"/>
      <c r="AE198" s="365" t="s">
        <v>6410</v>
      </c>
      <c r="AF198" s="858" t="s">
        <v>775</v>
      </c>
      <c r="AG198" s="802" t="s">
        <v>803</v>
      </c>
      <c r="AH198" s="802" t="s">
        <v>831</v>
      </c>
      <c r="AI198" s="802" t="s">
        <v>859</v>
      </c>
      <c r="AJ198" s="859" t="s">
        <v>887</v>
      </c>
      <c r="AK198" s="858" t="s">
        <v>915</v>
      </c>
      <c r="AL198" s="802" t="s">
        <v>943</v>
      </c>
      <c r="AM198" s="802" t="s">
        <v>971</v>
      </c>
      <c r="AN198" s="860" t="s">
        <v>978</v>
      </c>
      <c r="AO198" s="857"/>
      <c r="AP198" s="197"/>
      <c r="AQ198" s="197"/>
      <c r="AR198" s="197"/>
      <c r="AS198" s="197"/>
    </row>
    <row r="199" spans="1:45" s="4" customFormat="1" ht="15.75" customHeight="1" thickBot="1">
      <c r="A199" s="197"/>
      <c r="B199" s="368" t="s">
        <v>2112</v>
      </c>
      <c r="C199" s="1902">
        <f>IFERROR(SUM(C192:C198), 0)</f>
        <v>0</v>
      </c>
      <c r="D199" s="1473">
        <f>IFERROR(SUM(D192:D198), 0)</f>
        <v>0</v>
      </c>
      <c r="E199" s="1473">
        <f>IFERROR(SUM(E192:E198), 0)</f>
        <v>0</v>
      </c>
      <c r="F199" s="1473">
        <f>IFERROR(SUM(F192:F198), 0)</f>
        <v>475</v>
      </c>
      <c r="G199" s="1473">
        <f t="shared" si="79"/>
        <v>475</v>
      </c>
      <c r="H199" s="1473">
        <f>IFERROR(SUM(H192:H198), 0)</f>
        <v>39.030999999999999</v>
      </c>
      <c r="I199" s="1473">
        <f>IFERROR(SUM(I192:I198), 0)</f>
        <v>0</v>
      </c>
      <c r="J199" s="1497"/>
      <c r="K199" s="1498"/>
      <c r="L199" s="197"/>
      <c r="M199" s="538" t="s">
        <v>6706</v>
      </c>
      <c r="N199" s="197"/>
      <c r="O199" s="269"/>
      <c r="P199" s="197"/>
      <c r="Q199" s="725"/>
      <c r="R199" s="251"/>
      <c r="S199" s="725"/>
      <c r="T199" s="197"/>
      <c r="U199" s="197"/>
      <c r="V199" s="197"/>
      <c r="W199" s="197"/>
      <c r="X199" s="197"/>
      <c r="Y199" s="197"/>
      <c r="Z199" s="197"/>
      <c r="AA199" s="197"/>
      <c r="AB199" s="197"/>
      <c r="AC199" s="725"/>
      <c r="AD199" s="197"/>
      <c r="AE199" s="368" t="s">
        <v>2112</v>
      </c>
      <c r="AF199" s="861" t="s">
        <v>776</v>
      </c>
      <c r="AG199" s="583" t="s">
        <v>804</v>
      </c>
      <c r="AH199" s="583" t="s">
        <v>832</v>
      </c>
      <c r="AI199" s="583" t="s">
        <v>860</v>
      </c>
      <c r="AJ199" s="583" t="s">
        <v>888</v>
      </c>
      <c r="AK199" s="583" t="s">
        <v>916</v>
      </c>
      <c r="AL199" s="583" t="s">
        <v>944</v>
      </c>
      <c r="AM199" s="862" t="s">
        <v>6707</v>
      </c>
      <c r="AN199" s="863" t="s">
        <v>6707</v>
      </c>
      <c r="AO199" s="864"/>
      <c r="AP199" s="197"/>
      <c r="AQ199" s="197"/>
      <c r="AR199" s="197"/>
      <c r="AS199" s="197"/>
    </row>
    <row r="200" spans="1:45" s="4" customFormat="1" ht="15.75" customHeight="1" thickTop="1" thickBot="1">
      <c r="A200" s="197"/>
      <c r="B200" s="865"/>
      <c r="C200" s="1487"/>
      <c r="D200" s="1488"/>
      <c r="E200" s="1488"/>
      <c r="F200" s="1488"/>
      <c r="G200" s="1488"/>
      <c r="H200" s="1487"/>
      <c r="I200" s="1487"/>
      <c r="J200" s="1499"/>
      <c r="K200" s="1499"/>
      <c r="L200" s="197"/>
      <c r="M200" s="222" t="s">
        <v>4435</v>
      </c>
      <c r="N200" s="197"/>
      <c r="O200" s="197"/>
      <c r="P200" s="197"/>
      <c r="Q200" s="725"/>
      <c r="R200" s="251"/>
      <c r="S200" s="725"/>
      <c r="T200" s="197"/>
      <c r="U200" s="197"/>
      <c r="V200" s="197"/>
      <c r="W200" s="197"/>
      <c r="X200" s="197"/>
      <c r="Y200" s="197"/>
      <c r="Z200" s="197"/>
      <c r="AA200" s="197"/>
      <c r="AB200" s="197"/>
      <c r="AC200" s="725"/>
      <c r="AD200" s="197"/>
      <c r="AE200" s="865"/>
      <c r="AF200" s="865"/>
      <c r="AG200" s="866"/>
      <c r="AH200" s="866"/>
      <c r="AI200" s="866"/>
      <c r="AJ200" s="866"/>
      <c r="AK200" s="867"/>
      <c r="AL200" s="867"/>
      <c r="AM200" s="868"/>
      <c r="AN200" s="868"/>
      <c r="AO200" s="2560"/>
      <c r="AP200" s="197"/>
      <c r="AQ200" s="197"/>
      <c r="AR200" s="197"/>
      <c r="AS200" s="197"/>
    </row>
    <row r="201" spans="1:45" s="4" customFormat="1" ht="15.75" customHeight="1" thickTop="1" thickBot="1">
      <c r="A201" s="197"/>
      <c r="B201" s="355" t="s">
        <v>6429</v>
      </c>
      <c r="C201" s="633"/>
      <c r="D201" s="1487"/>
      <c r="E201" s="1487"/>
      <c r="F201" s="1487"/>
      <c r="G201" s="1487"/>
      <c r="H201" s="1487"/>
      <c r="I201" s="1487"/>
      <c r="J201" s="1499"/>
      <c r="K201" s="1499"/>
      <c r="L201" s="197"/>
      <c r="M201" s="222" t="s">
        <v>4435</v>
      </c>
      <c r="N201" s="197"/>
      <c r="O201" s="197"/>
      <c r="P201" s="197"/>
      <c r="Q201" s="725"/>
      <c r="R201" s="251"/>
      <c r="S201" s="725"/>
      <c r="T201" s="197"/>
      <c r="U201" s="197"/>
      <c r="V201" s="197"/>
      <c r="W201" s="197"/>
      <c r="X201" s="197"/>
      <c r="Y201" s="197"/>
      <c r="Z201" s="197"/>
      <c r="AA201" s="197"/>
      <c r="AB201" s="197"/>
      <c r="AC201" s="725"/>
      <c r="AD201" s="197"/>
      <c r="AE201" s="355" t="s">
        <v>6429</v>
      </c>
      <c r="AF201" s="356"/>
      <c r="AG201" s="867"/>
      <c r="AH201" s="867"/>
      <c r="AI201" s="867"/>
      <c r="AJ201" s="867"/>
      <c r="AK201" s="867"/>
      <c r="AL201" s="867"/>
      <c r="AM201" s="868"/>
      <c r="AN201" s="868"/>
      <c r="AO201" s="2560"/>
      <c r="AP201" s="197"/>
      <c r="AQ201" s="197"/>
      <c r="AR201" s="197"/>
      <c r="AS201" s="197"/>
    </row>
    <row r="202" spans="1:45" s="4" customFormat="1" ht="15.75" customHeight="1" thickTop="1">
      <c r="A202" s="197"/>
      <c r="B202" s="358" t="s">
        <v>6430</v>
      </c>
      <c r="C202" s="1956">
        <v>113.11199999999999</v>
      </c>
      <c r="D202" s="598">
        <v>0</v>
      </c>
      <c r="E202" s="598">
        <v>0</v>
      </c>
      <c r="F202" s="598">
        <v>0</v>
      </c>
      <c r="G202" s="1479">
        <f>IFERROR(SUM(C202:F202),0)</f>
        <v>113.11199999999999</v>
      </c>
      <c r="H202" s="598">
        <v>-30.126999999999999</v>
      </c>
      <c r="I202" s="598">
        <v>0</v>
      </c>
      <c r="J202" s="1500"/>
      <c r="K202" s="1501"/>
      <c r="L202" s="197"/>
      <c r="M202" s="248" t="s">
        <v>6708</v>
      </c>
      <c r="N202" s="197"/>
      <c r="O202" s="250"/>
      <c r="P202" s="197"/>
      <c r="Q202" s="725"/>
      <c r="R202" s="251">
        <f>IF( SUM( T202:AA202 ) = 0, 0, $T$10 )</f>
        <v>0</v>
      </c>
      <c r="S202" s="725"/>
      <c r="T202" s="252">
        <f t="shared" ref="T202:W205" si="83" xml:space="preserve"> IF( ISNUMBER(C202), 0, 1 )</f>
        <v>0</v>
      </c>
      <c r="U202" s="252">
        <f t="shared" si="83"/>
        <v>0</v>
      </c>
      <c r="V202" s="252">
        <f t="shared" si="83"/>
        <v>0</v>
      </c>
      <c r="W202" s="252">
        <f t="shared" si="83"/>
        <v>0</v>
      </c>
      <c r="X202" s="197"/>
      <c r="Y202" s="252">
        <f t="shared" ref="Y202:Z205" si="84" xml:space="preserve"> IF( ISNUMBER(H202), 0, 1 )</f>
        <v>0</v>
      </c>
      <c r="Z202" s="252">
        <f t="shared" si="84"/>
        <v>0</v>
      </c>
      <c r="AA202" s="197"/>
      <c r="AB202" s="197"/>
      <c r="AC202" s="725"/>
      <c r="AD202" s="197"/>
      <c r="AE202" s="358" t="s">
        <v>6430</v>
      </c>
      <c r="AF202" s="854" t="s">
        <v>777</v>
      </c>
      <c r="AG202" s="801" t="s">
        <v>805</v>
      </c>
      <c r="AH202" s="801" t="s">
        <v>833</v>
      </c>
      <c r="AI202" s="801" t="s">
        <v>861</v>
      </c>
      <c r="AJ202" s="855" t="s">
        <v>889</v>
      </c>
      <c r="AK202" s="801" t="s">
        <v>917</v>
      </c>
      <c r="AL202" s="801" t="s">
        <v>945</v>
      </c>
      <c r="AM202" s="869"/>
      <c r="AN202" s="870"/>
      <c r="AO202" s="857"/>
      <c r="AP202" s="197"/>
      <c r="AQ202" s="197"/>
      <c r="AR202" s="197"/>
      <c r="AS202" s="197"/>
    </row>
    <row r="203" spans="1:45" s="4" customFormat="1" ht="15.75" customHeight="1">
      <c r="A203" s="197"/>
      <c r="B203" s="365" t="s">
        <v>6439</v>
      </c>
      <c r="C203" s="1957">
        <v>0</v>
      </c>
      <c r="D203" s="601">
        <v>0</v>
      </c>
      <c r="E203" s="601">
        <v>0</v>
      </c>
      <c r="F203" s="601">
        <v>0</v>
      </c>
      <c r="G203" s="1481">
        <f>IFERROR(SUM(C203:F203),0)</f>
        <v>0</v>
      </c>
      <c r="H203" s="601">
        <v>0</v>
      </c>
      <c r="I203" s="601">
        <v>0</v>
      </c>
      <c r="J203" s="1502"/>
      <c r="K203" s="1503"/>
      <c r="L203" s="197"/>
      <c r="M203" s="257" t="s">
        <v>6709</v>
      </c>
      <c r="N203" s="197"/>
      <c r="O203" s="258"/>
      <c r="P203" s="197"/>
      <c r="Q203" s="725"/>
      <c r="R203" s="251">
        <f>IF( SUM( T203:AA203 ) = 0, 0, $T$10 )</f>
        <v>0</v>
      </c>
      <c r="S203" s="725"/>
      <c r="T203" s="252">
        <f t="shared" si="83"/>
        <v>0</v>
      </c>
      <c r="U203" s="252">
        <f t="shared" si="83"/>
        <v>0</v>
      </c>
      <c r="V203" s="252">
        <f t="shared" si="83"/>
        <v>0</v>
      </c>
      <c r="W203" s="252">
        <f t="shared" si="83"/>
        <v>0</v>
      </c>
      <c r="X203" s="197"/>
      <c r="Y203" s="252">
        <f t="shared" si="84"/>
        <v>0</v>
      </c>
      <c r="Z203" s="252">
        <f t="shared" si="84"/>
        <v>0</v>
      </c>
      <c r="AA203" s="197"/>
      <c r="AB203" s="197"/>
      <c r="AC203" s="725"/>
      <c r="AD203" s="197"/>
      <c r="AE203" s="365" t="s">
        <v>6439</v>
      </c>
      <c r="AF203" s="858" t="s">
        <v>778</v>
      </c>
      <c r="AG203" s="802" t="s">
        <v>806</v>
      </c>
      <c r="AH203" s="802" t="s">
        <v>834</v>
      </c>
      <c r="AI203" s="802" t="s">
        <v>862</v>
      </c>
      <c r="AJ203" s="859" t="s">
        <v>890</v>
      </c>
      <c r="AK203" s="802" t="s">
        <v>918</v>
      </c>
      <c r="AL203" s="802" t="s">
        <v>946</v>
      </c>
      <c r="AM203" s="871"/>
      <c r="AN203" s="872"/>
      <c r="AO203" s="857"/>
      <c r="AP203" s="197"/>
      <c r="AQ203" s="197"/>
      <c r="AR203" s="197"/>
      <c r="AS203" s="197"/>
    </row>
    <row r="204" spans="1:45" s="4" customFormat="1" ht="15.75" customHeight="1">
      <c r="A204" s="197"/>
      <c r="B204" s="365" t="s">
        <v>6448</v>
      </c>
      <c r="C204" s="1957">
        <v>0</v>
      </c>
      <c r="D204" s="601">
        <v>0</v>
      </c>
      <c r="E204" s="601">
        <v>0</v>
      </c>
      <c r="F204" s="601">
        <v>0</v>
      </c>
      <c r="G204" s="1481">
        <f>IFERROR(SUM(C204:F204),0)</f>
        <v>0</v>
      </c>
      <c r="H204" s="601">
        <v>0</v>
      </c>
      <c r="I204" s="601">
        <v>0</v>
      </c>
      <c r="J204" s="1502"/>
      <c r="K204" s="1503"/>
      <c r="L204" s="197"/>
      <c r="M204" s="257" t="s">
        <v>6710</v>
      </c>
      <c r="N204" s="197"/>
      <c r="O204" s="258"/>
      <c r="P204" s="197"/>
      <c r="Q204" s="725"/>
      <c r="R204" s="251">
        <f>IF( SUM( T204:AA204 ) = 0, 0, $T$10 )</f>
        <v>0</v>
      </c>
      <c r="S204" s="725"/>
      <c r="T204" s="252">
        <f t="shared" si="83"/>
        <v>0</v>
      </c>
      <c r="U204" s="252">
        <f t="shared" si="83"/>
        <v>0</v>
      </c>
      <c r="V204" s="252">
        <f t="shared" si="83"/>
        <v>0</v>
      </c>
      <c r="W204" s="252">
        <f t="shared" si="83"/>
        <v>0</v>
      </c>
      <c r="X204" s="197"/>
      <c r="Y204" s="252">
        <f t="shared" si="84"/>
        <v>0</v>
      </c>
      <c r="Z204" s="252">
        <f t="shared" si="84"/>
        <v>0</v>
      </c>
      <c r="AA204" s="197"/>
      <c r="AB204" s="197"/>
      <c r="AC204" s="725"/>
      <c r="AD204" s="197"/>
      <c r="AE204" s="365" t="s">
        <v>6448</v>
      </c>
      <c r="AF204" s="858" t="s">
        <v>779</v>
      </c>
      <c r="AG204" s="802" t="s">
        <v>807</v>
      </c>
      <c r="AH204" s="802" t="s">
        <v>835</v>
      </c>
      <c r="AI204" s="802" t="s">
        <v>863</v>
      </c>
      <c r="AJ204" s="859" t="s">
        <v>891</v>
      </c>
      <c r="AK204" s="802" t="s">
        <v>919</v>
      </c>
      <c r="AL204" s="802" t="s">
        <v>947</v>
      </c>
      <c r="AM204" s="871"/>
      <c r="AN204" s="872"/>
      <c r="AO204" s="857"/>
      <c r="AP204" s="197"/>
      <c r="AQ204" s="197"/>
      <c r="AR204" s="197"/>
      <c r="AS204" s="197"/>
    </row>
    <row r="205" spans="1:45" s="4" customFormat="1" ht="15.75" customHeight="1">
      <c r="A205" s="197"/>
      <c r="B205" s="365" t="s">
        <v>6457</v>
      </c>
      <c r="C205" s="1957">
        <v>33.799999999999997</v>
      </c>
      <c r="D205" s="601">
        <v>0</v>
      </c>
      <c r="E205" s="601">
        <v>0</v>
      </c>
      <c r="F205" s="601">
        <v>0</v>
      </c>
      <c r="G205" s="1481">
        <f>IFERROR(SUM(C205:F205),0)</f>
        <v>33.799999999999997</v>
      </c>
      <c r="H205" s="601">
        <v>6.6929999999999996</v>
      </c>
      <c r="I205" s="601">
        <v>0</v>
      </c>
      <c r="J205" s="1502"/>
      <c r="K205" s="1503"/>
      <c r="L205" s="197"/>
      <c r="M205" s="257" t="s">
        <v>6711</v>
      </c>
      <c r="N205" s="197"/>
      <c r="O205" s="258"/>
      <c r="P205" s="197"/>
      <c r="Q205" s="725"/>
      <c r="R205" s="251">
        <f>IF( SUM( T205:AA205 ) = 0, 0, $T$10 )</f>
        <v>0</v>
      </c>
      <c r="S205" s="725"/>
      <c r="T205" s="252">
        <f t="shared" si="83"/>
        <v>0</v>
      </c>
      <c r="U205" s="252">
        <f t="shared" si="83"/>
        <v>0</v>
      </c>
      <c r="V205" s="252">
        <f t="shared" si="83"/>
        <v>0</v>
      </c>
      <c r="W205" s="252">
        <f t="shared" si="83"/>
        <v>0</v>
      </c>
      <c r="X205" s="197"/>
      <c r="Y205" s="252">
        <f t="shared" si="84"/>
        <v>0</v>
      </c>
      <c r="Z205" s="252">
        <f t="shared" si="84"/>
        <v>0</v>
      </c>
      <c r="AA205" s="197"/>
      <c r="AB205" s="197"/>
      <c r="AC205" s="725"/>
      <c r="AD205" s="197"/>
      <c r="AE205" s="365" t="s">
        <v>6457</v>
      </c>
      <c r="AF205" s="858" t="s">
        <v>780</v>
      </c>
      <c r="AG205" s="802" t="s">
        <v>808</v>
      </c>
      <c r="AH205" s="802" t="s">
        <v>836</v>
      </c>
      <c r="AI205" s="802" t="s">
        <v>864</v>
      </c>
      <c r="AJ205" s="859" t="s">
        <v>892</v>
      </c>
      <c r="AK205" s="802" t="s">
        <v>920</v>
      </c>
      <c r="AL205" s="802" t="s">
        <v>948</v>
      </c>
      <c r="AM205" s="871"/>
      <c r="AN205" s="872"/>
      <c r="AO205" s="857"/>
      <c r="AP205" s="197"/>
      <c r="AQ205" s="197"/>
      <c r="AR205" s="197"/>
      <c r="AS205" s="197"/>
    </row>
    <row r="206" spans="1:45" s="4" customFormat="1" ht="15.75" customHeight="1" thickBot="1">
      <c r="A206" s="197"/>
      <c r="B206" s="368" t="s">
        <v>2112</v>
      </c>
      <c r="C206" s="1902">
        <f>IFERROR(SUM(C202:C205), 0)</f>
        <v>146.91199999999998</v>
      </c>
      <c r="D206" s="1473">
        <f>IFERROR(SUM(D202:D205), 0)</f>
        <v>0</v>
      </c>
      <c r="E206" s="1473">
        <f>IFERROR(SUM(E202:E205), 0)</f>
        <v>0</v>
      </c>
      <c r="F206" s="1473">
        <f>IFERROR(SUM(F202:F205), 0)</f>
        <v>0</v>
      </c>
      <c r="G206" s="1473">
        <f>IFERROR(SUM(C206:F206),0)</f>
        <v>146.91199999999998</v>
      </c>
      <c r="H206" s="1473">
        <f>IFERROR(SUM(H202:H205), 0)</f>
        <v>-23.433999999999997</v>
      </c>
      <c r="I206" s="1473">
        <f>IFERROR(SUM(I202:I205), 0)</f>
        <v>0</v>
      </c>
      <c r="J206" s="1497"/>
      <c r="K206" s="1498"/>
      <c r="L206" s="197"/>
      <c r="M206" s="320" t="s">
        <v>6712</v>
      </c>
      <c r="N206" s="197"/>
      <c r="O206" s="269"/>
      <c r="P206" s="197"/>
      <c r="Q206" s="725"/>
      <c r="R206" s="251"/>
      <c r="S206" s="725"/>
      <c r="T206" s="197"/>
      <c r="U206" s="197"/>
      <c r="V206" s="197"/>
      <c r="W206" s="197"/>
      <c r="X206" s="197"/>
      <c r="Y206" s="197"/>
      <c r="Z206" s="197"/>
      <c r="AA206" s="197"/>
      <c r="AB206" s="197"/>
      <c r="AC206" s="725"/>
      <c r="AD206" s="197"/>
      <c r="AE206" s="368" t="s">
        <v>2112</v>
      </c>
      <c r="AF206" s="861" t="s">
        <v>781</v>
      </c>
      <c r="AG206" s="583" t="s">
        <v>809</v>
      </c>
      <c r="AH206" s="583" t="s">
        <v>837</v>
      </c>
      <c r="AI206" s="583" t="s">
        <v>865</v>
      </c>
      <c r="AJ206" s="583" t="s">
        <v>893</v>
      </c>
      <c r="AK206" s="583" t="s">
        <v>921</v>
      </c>
      <c r="AL206" s="583" t="s">
        <v>949</v>
      </c>
      <c r="AM206" s="862"/>
      <c r="AN206" s="863"/>
      <c r="AO206" s="857"/>
      <c r="AP206" s="197"/>
      <c r="AQ206" s="197"/>
      <c r="AR206" s="197"/>
      <c r="AS206" s="197"/>
    </row>
    <row r="207" spans="1:45" s="4" customFormat="1" ht="15.75" customHeight="1" thickTop="1" thickBot="1">
      <c r="A207" s="197"/>
      <c r="B207" s="852"/>
      <c r="C207" s="1489"/>
      <c r="D207" s="1487"/>
      <c r="E207" s="1487"/>
      <c r="F207" s="1487"/>
      <c r="G207" s="1487"/>
      <c r="H207" s="1487"/>
      <c r="I207" s="1487"/>
      <c r="J207" s="1499"/>
      <c r="K207" s="1499"/>
      <c r="L207" s="197"/>
      <c r="M207" s="197" t="s">
        <v>4435</v>
      </c>
      <c r="N207" s="197"/>
      <c r="O207" s="197"/>
      <c r="P207" s="197"/>
      <c r="Q207" s="725"/>
      <c r="R207" s="251"/>
      <c r="S207" s="725"/>
      <c r="T207" s="197"/>
      <c r="U207" s="197"/>
      <c r="V207" s="197"/>
      <c r="W207" s="197"/>
      <c r="X207" s="197"/>
      <c r="Y207" s="197"/>
      <c r="Z207" s="197"/>
      <c r="AA207" s="197"/>
      <c r="AB207" s="197"/>
      <c r="AC207" s="725"/>
      <c r="AD207" s="197"/>
      <c r="AE207" s="852"/>
      <c r="AF207" s="852"/>
      <c r="AG207" s="867"/>
      <c r="AH207" s="867"/>
      <c r="AI207" s="867"/>
      <c r="AJ207" s="867"/>
      <c r="AK207" s="867"/>
      <c r="AL207" s="867"/>
      <c r="AM207" s="868"/>
      <c r="AN207" s="868"/>
      <c r="AO207" s="197"/>
      <c r="AP207" s="197"/>
      <c r="AQ207" s="197"/>
      <c r="AR207" s="197"/>
      <c r="AS207" s="197"/>
    </row>
    <row r="208" spans="1:45" s="4" customFormat="1" ht="15.75" customHeight="1" thickTop="1" thickBot="1">
      <c r="A208" s="197"/>
      <c r="B208" s="355" t="s">
        <v>6474</v>
      </c>
      <c r="C208" s="633"/>
      <c r="D208" s="1487"/>
      <c r="E208" s="1487"/>
      <c r="F208" s="1487"/>
      <c r="G208" s="1487"/>
      <c r="H208" s="1487"/>
      <c r="I208" s="1487"/>
      <c r="J208" s="1499"/>
      <c r="K208" s="1499"/>
      <c r="L208" s="197"/>
      <c r="M208" s="222" t="s">
        <v>4435</v>
      </c>
      <c r="N208" s="197"/>
      <c r="O208" s="197"/>
      <c r="P208" s="197"/>
      <c r="Q208" s="725"/>
      <c r="R208" s="251"/>
      <c r="S208" s="725"/>
      <c r="T208" s="197"/>
      <c r="U208" s="197"/>
      <c r="V208" s="197"/>
      <c r="W208" s="197"/>
      <c r="X208" s="197"/>
      <c r="Y208" s="197"/>
      <c r="Z208" s="197"/>
      <c r="AA208" s="197"/>
      <c r="AB208" s="197"/>
      <c r="AC208" s="725"/>
      <c r="AD208" s="197"/>
      <c r="AE208" s="355" t="s">
        <v>6474</v>
      </c>
      <c r="AF208" s="356"/>
      <c r="AG208" s="867"/>
      <c r="AH208" s="867"/>
      <c r="AI208" s="867"/>
      <c r="AJ208" s="867"/>
      <c r="AK208" s="867"/>
      <c r="AL208" s="867"/>
      <c r="AM208" s="868"/>
      <c r="AN208" s="868"/>
      <c r="AO208" s="2560"/>
      <c r="AP208" s="197"/>
      <c r="AQ208" s="197"/>
      <c r="AR208" s="197"/>
      <c r="AS208" s="197"/>
    </row>
    <row r="209" spans="1:45" s="4" customFormat="1" ht="15.75" customHeight="1" thickTop="1">
      <c r="A209" s="197"/>
      <c r="B209" s="358" t="s">
        <v>6475</v>
      </c>
      <c r="C209" s="1956">
        <v>0</v>
      </c>
      <c r="D209" s="598">
        <v>0</v>
      </c>
      <c r="E209" s="598">
        <v>0</v>
      </c>
      <c r="F209" s="598">
        <v>0</v>
      </c>
      <c r="G209" s="1479">
        <f>IFERROR(SUM(C209:F209),0)</f>
        <v>0</v>
      </c>
      <c r="H209" s="598">
        <v>0</v>
      </c>
      <c r="I209" s="598">
        <v>0</v>
      </c>
      <c r="J209" s="1500"/>
      <c r="K209" s="1501"/>
      <c r="L209" s="197"/>
      <c r="M209" s="248" t="s">
        <v>6713</v>
      </c>
      <c r="N209" s="197"/>
      <c r="O209" s="250"/>
      <c r="P209" s="197"/>
      <c r="Q209" s="725"/>
      <c r="R209" s="251">
        <f>IF( SUM( T209:AA209 ) = 0, 0, $T$10 )</f>
        <v>0</v>
      </c>
      <c r="S209" s="725"/>
      <c r="T209" s="252">
        <f t="shared" ref="T209:W212" si="85" xml:space="preserve"> IF( ISNUMBER(C209), 0, 1 )</f>
        <v>0</v>
      </c>
      <c r="U209" s="252">
        <f t="shared" si="85"/>
        <v>0</v>
      </c>
      <c r="V209" s="252">
        <f t="shared" si="85"/>
        <v>0</v>
      </c>
      <c r="W209" s="252">
        <f t="shared" si="85"/>
        <v>0</v>
      </c>
      <c r="X209" s="197"/>
      <c r="Y209" s="252">
        <f t="shared" ref="Y209:Z212" si="86" xml:space="preserve"> IF( ISNUMBER(H209), 0, 1 )</f>
        <v>0</v>
      </c>
      <c r="Z209" s="252">
        <f t="shared" si="86"/>
        <v>0</v>
      </c>
      <c r="AA209" s="197"/>
      <c r="AB209" s="197"/>
      <c r="AC209" s="725"/>
      <c r="AD209" s="197"/>
      <c r="AE209" s="358" t="s">
        <v>6475</v>
      </c>
      <c r="AF209" s="854" t="s">
        <v>782</v>
      </c>
      <c r="AG209" s="801" t="s">
        <v>810</v>
      </c>
      <c r="AH209" s="801" t="s">
        <v>838</v>
      </c>
      <c r="AI209" s="801" t="s">
        <v>866</v>
      </c>
      <c r="AJ209" s="855" t="s">
        <v>894</v>
      </c>
      <c r="AK209" s="801" t="s">
        <v>922</v>
      </c>
      <c r="AL209" s="801" t="s">
        <v>950</v>
      </c>
      <c r="AM209" s="869"/>
      <c r="AN209" s="870"/>
      <c r="AO209" s="857"/>
      <c r="AP209" s="197"/>
      <c r="AQ209" s="197"/>
      <c r="AR209" s="197"/>
      <c r="AS209" s="197"/>
    </row>
    <row r="210" spans="1:45" s="4" customFormat="1" ht="15.75" customHeight="1">
      <c r="A210" s="197"/>
      <c r="B210" s="365" t="s">
        <v>6484</v>
      </c>
      <c r="C210" s="1957">
        <v>0</v>
      </c>
      <c r="D210" s="601">
        <v>0</v>
      </c>
      <c r="E210" s="601">
        <v>0</v>
      </c>
      <c r="F210" s="601">
        <v>0</v>
      </c>
      <c r="G210" s="1481">
        <f>IFERROR(SUM(C210:F210),0)</f>
        <v>0</v>
      </c>
      <c r="H210" s="601">
        <v>0</v>
      </c>
      <c r="I210" s="601">
        <v>0</v>
      </c>
      <c r="J210" s="1502"/>
      <c r="K210" s="1503"/>
      <c r="L210" s="197"/>
      <c r="M210" s="257" t="s">
        <v>6714</v>
      </c>
      <c r="N210" s="197"/>
      <c r="O210" s="258"/>
      <c r="P210" s="197"/>
      <c r="Q210" s="725"/>
      <c r="R210" s="251">
        <f>IF( SUM( T210:AA210 ) = 0, 0, $T$10 )</f>
        <v>0</v>
      </c>
      <c r="S210" s="725"/>
      <c r="T210" s="252">
        <f t="shared" si="85"/>
        <v>0</v>
      </c>
      <c r="U210" s="252">
        <f t="shared" si="85"/>
        <v>0</v>
      </c>
      <c r="V210" s="252">
        <f t="shared" si="85"/>
        <v>0</v>
      </c>
      <c r="W210" s="252">
        <f t="shared" si="85"/>
        <v>0</v>
      </c>
      <c r="X210" s="197"/>
      <c r="Y210" s="252">
        <f t="shared" si="86"/>
        <v>0</v>
      </c>
      <c r="Z210" s="252">
        <f t="shared" si="86"/>
        <v>0</v>
      </c>
      <c r="AA210" s="197"/>
      <c r="AB210" s="197"/>
      <c r="AC210" s="725"/>
      <c r="AD210" s="197"/>
      <c r="AE210" s="365" t="s">
        <v>6484</v>
      </c>
      <c r="AF210" s="858" t="s">
        <v>783</v>
      </c>
      <c r="AG210" s="802" t="s">
        <v>811</v>
      </c>
      <c r="AH210" s="802" t="s">
        <v>839</v>
      </c>
      <c r="AI210" s="802" t="s">
        <v>867</v>
      </c>
      <c r="AJ210" s="859" t="s">
        <v>895</v>
      </c>
      <c r="AK210" s="802" t="s">
        <v>923</v>
      </c>
      <c r="AL210" s="802" t="s">
        <v>951</v>
      </c>
      <c r="AM210" s="871"/>
      <c r="AN210" s="872"/>
      <c r="AO210" s="857"/>
      <c r="AP210" s="197"/>
      <c r="AQ210" s="197"/>
      <c r="AR210" s="197"/>
      <c r="AS210" s="197"/>
    </row>
    <row r="211" spans="1:45" s="4" customFormat="1" ht="15.75" customHeight="1">
      <c r="A211" s="197"/>
      <c r="B211" s="365" t="s">
        <v>6493</v>
      </c>
      <c r="C211" s="1957">
        <v>0</v>
      </c>
      <c r="D211" s="601">
        <v>0</v>
      </c>
      <c r="E211" s="601">
        <v>0</v>
      </c>
      <c r="F211" s="601">
        <v>0</v>
      </c>
      <c r="G211" s="1481">
        <f>IFERROR(SUM(C211:F211),0)</f>
        <v>0</v>
      </c>
      <c r="H211" s="601">
        <v>0</v>
      </c>
      <c r="I211" s="601">
        <v>0</v>
      </c>
      <c r="J211" s="1502"/>
      <c r="K211" s="1503"/>
      <c r="L211" s="197"/>
      <c r="M211" s="257" t="s">
        <v>6715</v>
      </c>
      <c r="N211" s="197"/>
      <c r="O211" s="258"/>
      <c r="P211" s="197"/>
      <c r="Q211" s="725"/>
      <c r="R211" s="251">
        <f>IF( SUM( T211:AA211 ) = 0, 0, $T$10 )</f>
        <v>0</v>
      </c>
      <c r="S211" s="725"/>
      <c r="T211" s="252">
        <f t="shared" si="85"/>
        <v>0</v>
      </c>
      <c r="U211" s="252">
        <f t="shared" si="85"/>
        <v>0</v>
      </c>
      <c r="V211" s="252">
        <f t="shared" si="85"/>
        <v>0</v>
      </c>
      <c r="W211" s="252">
        <f t="shared" si="85"/>
        <v>0</v>
      </c>
      <c r="X211" s="197"/>
      <c r="Y211" s="252">
        <f t="shared" si="86"/>
        <v>0</v>
      </c>
      <c r="Z211" s="252">
        <f t="shared" si="86"/>
        <v>0</v>
      </c>
      <c r="AA211" s="197"/>
      <c r="AB211" s="197"/>
      <c r="AC211" s="725"/>
      <c r="AD211" s="197"/>
      <c r="AE211" s="365" t="s">
        <v>6493</v>
      </c>
      <c r="AF211" s="858" t="s">
        <v>784</v>
      </c>
      <c r="AG211" s="802" t="s">
        <v>812</v>
      </c>
      <c r="AH211" s="802" t="s">
        <v>840</v>
      </c>
      <c r="AI211" s="802" t="s">
        <v>868</v>
      </c>
      <c r="AJ211" s="859" t="s">
        <v>896</v>
      </c>
      <c r="AK211" s="802" t="s">
        <v>924</v>
      </c>
      <c r="AL211" s="802" t="s">
        <v>952</v>
      </c>
      <c r="AM211" s="871"/>
      <c r="AN211" s="872"/>
      <c r="AO211" s="857"/>
      <c r="AP211" s="197"/>
      <c r="AQ211" s="197"/>
      <c r="AR211" s="197"/>
      <c r="AS211" s="197"/>
    </row>
    <row r="212" spans="1:45" s="4" customFormat="1" ht="15.75" customHeight="1">
      <c r="A212" s="197"/>
      <c r="B212" s="365" t="s">
        <v>6502</v>
      </c>
      <c r="C212" s="1957">
        <v>0</v>
      </c>
      <c r="D212" s="601">
        <v>0</v>
      </c>
      <c r="E212" s="601">
        <v>0</v>
      </c>
      <c r="F212" s="601">
        <v>0</v>
      </c>
      <c r="G212" s="1481">
        <f>IFERROR(SUM(C212:F212),0)</f>
        <v>0</v>
      </c>
      <c r="H212" s="601">
        <v>0</v>
      </c>
      <c r="I212" s="601">
        <v>0</v>
      </c>
      <c r="J212" s="1502"/>
      <c r="K212" s="1503"/>
      <c r="L212" s="197"/>
      <c r="M212" s="257" t="s">
        <v>6716</v>
      </c>
      <c r="N212" s="197"/>
      <c r="O212" s="258"/>
      <c r="P212" s="197"/>
      <c r="Q212" s="725"/>
      <c r="R212" s="251">
        <f>IF( SUM( T212:AA212 ) = 0, 0, $T$10 )</f>
        <v>0</v>
      </c>
      <c r="S212" s="725"/>
      <c r="T212" s="252">
        <f t="shared" si="85"/>
        <v>0</v>
      </c>
      <c r="U212" s="252">
        <f t="shared" si="85"/>
        <v>0</v>
      </c>
      <c r="V212" s="252">
        <f t="shared" si="85"/>
        <v>0</v>
      </c>
      <c r="W212" s="252">
        <f t="shared" si="85"/>
        <v>0</v>
      </c>
      <c r="X212" s="197"/>
      <c r="Y212" s="252">
        <f t="shared" si="86"/>
        <v>0</v>
      </c>
      <c r="Z212" s="252">
        <f t="shared" si="86"/>
        <v>0</v>
      </c>
      <c r="AA212" s="197"/>
      <c r="AB212" s="197"/>
      <c r="AC212" s="725"/>
      <c r="AD212" s="197"/>
      <c r="AE212" s="365" t="s">
        <v>6502</v>
      </c>
      <c r="AF212" s="858" t="s">
        <v>785</v>
      </c>
      <c r="AG212" s="802" t="s">
        <v>813</v>
      </c>
      <c r="AH212" s="802" t="s">
        <v>841</v>
      </c>
      <c r="AI212" s="802" t="s">
        <v>869</v>
      </c>
      <c r="AJ212" s="859" t="s">
        <v>897</v>
      </c>
      <c r="AK212" s="802" t="s">
        <v>925</v>
      </c>
      <c r="AL212" s="802" t="s">
        <v>953</v>
      </c>
      <c r="AM212" s="871"/>
      <c r="AN212" s="872"/>
      <c r="AO212" s="857"/>
      <c r="AP212" s="197"/>
      <c r="AQ212" s="197"/>
      <c r="AR212" s="197"/>
      <c r="AS212" s="197"/>
    </row>
    <row r="213" spans="1:45" s="4" customFormat="1" ht="15.75" customHeight="1" thickBot="1">
      <c r="A213" s="197"/>
      <c r="B213" s="368" t="s">
        <v>2112</v>
      </c>
      <c r="C213" s="1902">
        <f>IFERROR(SUM(C209:C212), 0)</f>
        <v>0</v>
      </c>
      <c r="D213" s="1473">
        <f>IFERROR(SUM(D209:D212), 0)</f>
        <v>0</v>
      </c>
      <c r="E213" s="1473">
        <f>IFERROR(SUM(E209:E212), 0)</f>
        <v>0</v>
      </c>
      <c r="F213" s="1473">
        <f>IFERROR(SUM(F209:F212), 0)</f>
        <v>0</v>
      </c>
      <c r="G213" s="1473">
        <f>IFERROR(SUM(C213:F213),0)</f>
        <v>0</v>
      </c>
      <c r="H213" s="1473">
        <f>IFERROR(SUM(H209:H212), 0)</f>
        <v>0</v>
      </c>
      <c r="I213" s="1473">
        <f>IFERROR(SUM(I209:I212), 0)</f>
        <v>0</v>
      </c>
      <c r="J213" s="1497"/>
      <c r="K213" s="1498"/>
      <c r="L213" s="197"/>
      <c r="M213" s="320" t="s">
        <v>6717</v>
      </c>
      <c r="N213" s="197"/>
      <c r="O213" s="269"/>
      <c r="P213" s="197"/>
      <c r="Q213" s="725"/>
      <c r="R213" s="251"/>
      <c r="S213" s="725"/>
      <c r="T213" s="197"/>
      <c r="U213" s="197"/>
      <c r="V213" s="197"/>
      <c r="W213" s="197"/>
      <c r="X213" s="197"/>
      <c r="Y213" s="197"/>
      <c r="Z213" s="197"/>
      <c r="AA213" s="197"/>
      <c r="AB213" s="197"/>
      <c r="AC213" s="725"/>
      <c r="AD213" s="197"/>
      <c r="AE213" s="368" t="s">
        <v>2112</v>
      </c>
      <c r="AF213" s="861" t="s">
        <v>786</v>
      </c>
      <c r="AG213" s="583" t="s">
        <v>814</v>
      </c>
      <c r="AH213" s="583" t="s">
        <v>842</v>
      </c>
      <c r="AI213" s="583" t="s">
        <v>870</v>
      </c>
      <c r="AJ213" s="583" t="s">
        <v>898</v>
      </c>
      <c r="AK213" s="583" t="s">
        <v>926</v>
      </c>
      <c r="AL213" s="583" t="s">
        <v>954</v>
      </c>
      <c r="AM213" s="862"/>
      <c r="AN213" s="863"/>
      <c r="AO213" s="857"/>
      <c r="AP213" s="197"/>
      <c r="AQ213" s="197"/>
      <c r="AR213" s="197"/>
      <c r="AS213" s="197"/>
    </row>
    <row r="214" spans="1:45" s="4" customFormat="1" ht="15.75" customHeight="1" thickTop="1" thickBot="1">
      <c r="A214" s="197"/>
      <c r="B214" s="852"/>
      <c r="C214" s="1490"/>
      <c r="D214" s="1487"/>
      <c r="E214" s="1487"/>
      <c r="F214" s="1487"/>
      <c r="G214" s="1487"/>
      <c r="H214" s="1487"/>
      <c r="I214" s="1487"/>
      <c r="J214" s="1499"/>
      <c r="K214" s="1499"/>
      <c r="L214" s="197"/>
      <c r="M214" s="197" t="s">
        <v>4435</v>
      </c>
      <c r="N214" s="197"/>
      <c r="O214" s="197"/>
      <c r="P214" s="197"/>
      <c r="Q214" s="725"/>
      <c r="R214" s="251"/>
      <c r="S214" s="725"/>
      <c r="T214" s="197"/>
      <c r="U214" s="197"/>
      <c r="V214" s="197"/>
      <c r="W214" s="197"/>
      <c r="X214" s="197"/>
      <c r="Y214" s="197"/>
      <c r="Z214" s="197"/>
      <c r="AA214" s="197"/>
      <c r="AB214" s="197"/>
      <c r="AC214" s="725"/>
      <c r="AD214" s="197"/>
      <c r="AE214" s="852"/>
      <c r="AF214" s="393"/>
      <c r="AG214" s="867"/>
      <c r="AH214" s="867"/>
      <c r="AI214" s="867"/>
      <c r="AJ214" s="867"/>
      <c r="AK214" s="867"/>
      <c r="AL214" s="867"/>
      <c r="AM214" s="868"/>
      <c r="AN214" s="868"/>
      <c r="AO214" s="197"/>
      <c r="AP214" s="197"/>
      <c r="AQ214" s="197"/>
      <c r="AR214" s="197"/>
      <c r="AS214" s="197"/>
    </row>
    <row r="215" spans="1:45" s="4" customFormat="1" ht="15.75" customHeight="1" thickTop="1" thickBot="1">
      <c r="A215" s="197"/>
      <c r="B215" s="355" t="s">
        <v>6519</v>
      </c>
      <c r="C215" s="633"/>
      <c r="D215" s="1487"/>
      <c r="E215" s="1487"/>
      <c r="F215" s="1487"/>
      <c r="G215" s="1487"/>
      <c r="H215" s="1487"/>
      <c r="I215" s="1487"/>
      <c r="J215" s="1499"/>
      <c r="K215" s="1499"/>
      <c r="L215" s="197"/>
      <c r="M215" s="222" t="s">
        <v>4435</v>
      </c>
      <c r="N215" s="197"/>
      <c r="O215" s="197"/>
      <c r="P215" s="197"/>
      <c r="Q215" s="725"/>
      <c r="R215" s="251"/>
      <c r="S215" s="725"/>
      <c r="T215" s="197"/>
      <c r="U215" s="197"/>
      <c r="V215" s="197"/>
      <c r="W215" s="197"/>
      <c r="X215" s="197"/>
      <c r="Y215" s="197"/>
      <c r="Z215" s="197"/>
      <c r="AA215" s="197"/>
      <c r="AB215" s="197"/>
      <c r="AC215" s="725"/>
      <c r="AD215" s="197"/>
      <c r="AE215" s="355" t="s">
        <v>6519</v>
      </c>
      <c r="AF215" s="356"/>
      <c r="AG215" s="867"/>
      <c r="AH215" s="867"/>
      <c r="AI215" s="867"/>
      <c r="AJ215" s="867"/>
      <c r="AK215" s="867"/>
      <c r="AL215" s="867"/>
      <c r="AM215" s="868"/>
      <c r="AN215" s="868"/>
      <c r="AO215" s="2560"/>
      <c r="AP215" s="197"/>
      <c r="AQ215" s="197"/>
      <c r="AR215" s="197"/>
      <c r="AS215" s="197"/>
    </row>
    <row r="216" spans="1:45" s="4" customFormat="1" ht="15.75" customHeight="1" thickTop="1">
      <c r="A216" s="197"/>
      <c r="B216" s="358" t="s">
        <v>6520</v>
      </c>
      <c r="C216" s="1956">
        <v>0</v>
      </c>
      <c r="D216" s="598">
        <v>0</v>
      </c>
      <c r="E216" s="598">
        <v>0</v>
      </c>
      <c r="F216" s="598">
        <v>0</v>
      </c>
      <c r="G216" s="1479">
        <f t="shared" ref="G216:G223" si="87">IFERROR(SUM(C216:F216),0)</f>
        <v>0</v>
      </c>
      <c r="H216" s="598">
        <v>0</v>
      </c>
      <c r="I216" s="598">
        <v>0</v>
      </c>
      <c r="J216" s="1500"/>
      <c r="K216" s="1501"/>
      <c r="L216" s="197"/>
      <c r="M216" s="248" t="s">
        <v>6718</v>
      </c>
      <c r="N216" s="197"/>
      <c r="O216" s="250"/>
      <c r="P216" s="197"/>
      <c r="Q216" s="725"/>
      <c r="R216" s="251">
        <f t="shared" ref="R216:R222" si="88">IF( SUM( T216:AA216 ) = 0, 0, $T$10 )</f>
        <v>0</v>
      </c>
      <c r="S216" s="725"/>
      <c r="T216" s="252">
        <f t="shared" ref="T216:W222" si="89" xml:space="preserve"> IF( ISNUMBER(C216), 0, 1 )</f>
        <v>0</v>
      </c>
      <c r="U216" s="252">
        <f t="shared" si="89"/>
        <v>0</v>
      </c>
      <c r="V216" s="252">
        <f t="shared" si="89"/>
        <v>0</v>
      </c>
      <c r="W216" s="252">
        <f t="shared" si="89"/>
        <v>0</v>
      </c>
      <c r="X216" s="197"/>
      <c r="Y216" s="252">
        <f t="shared" ref="Y216:Z222" si="90" xml:space="preserve"> IF( ISNUMBER(H216), 0, 1 )</f>
        <v>0</v>
      </c>
      <c r="Z216" s="252">
        <f t="shared" si="90"/>
        <v>0</v>
      </c>
      <c r="AA216" s="197"/>
      <c r="AB216" s="197"/>
      <c r="AC216" s="725"/>
      <c r="AD216" s="197"/>
      <c r="AE216" s="358" t="s">
        <v>6520</v>
      </c>
      <c r="AF216" s="854" t="s">
        <v>787</v>
      </c>
      <c r="AG216" s="801" t="s">
        <v>815</v>
      </c>
      <c r="AH216" s="801" t="s">
        <v>843</v>
      </c>
      <c r="AI216" s="801" t="s">
        <v>871</v>
      </c>
      <c r="AJ216" s="855" t="s">
        <v>899</v>
      </c>
      <c r="AK216" s="801" t="s">
        <v>927</v>
      </c>
      <c r="AL216" s="801" t="s">
        <v>955</v>
      </c>
      <c r="AM216" s="869"/>
      <c r="AN216" s="870"/>
      <c r="AO216" s="857"/>
      <c r="AP216" s="197"/>
      <c r="AQ216" s="197"/>
      <c r="AR216" s="197"/>
      <c r="AS216" s="197"/>
    </row>
    <row r="217" spans="1:45" s="4" customFormat="1" ht="15.75" customHeight="1">
      <c r="A217" s="197"/>
      <c r="B217" s="365" t="s">
        <v>6529</v>
      </c>
      <c r="C217" s="1957">
        <v>0</v>
      </c>
      <c r="D217" s="601">
        <v>0</v>
      </c>
      <c r="E217" s="601">
        <v>0</v>
      </c>
      <c r="F217" s="601">
        <v>0</v>
      </c>
      <c r="G217" s="1481">
        <f t="shared" si="87"/>
        <v>0</v>
      </c>
      <c r="H217" s="601">
        <v>0</v>
      </c>
      <c r="I217" s="601">
        <v>0</v>
      </c>
      <c r="J217" s="1502"/>
      <c r="K217" s="1503"/>
      <c r="L217" s="197"/>
      <c r="M217" s="257" t="s">
        <v>6719</v>
      </c>
      <c r="N217" s="197"/>
      <c r="O217" s="258"/>
      <c r="P217" s="197"/>
      <c r="Q217" s="725"/>
      <c r="R217" s="251">
        <f t="shared" si="88"/>
        <v>0</v>
      </c>
      <c r="S217" s="725"/>
      <c r="T217" s="252">
        <f t="shared" si="89"/>
        <v>0</v>
      </c>
      <c r="U217" s="252">
        <f t="shared" si="89"/>
        <v>0</v>
      </c>
      <c r="V217" s="252">
        <f t="shared" si="89"/>
        <v>0</v>
      </c>
      <c r="W217" s="252">
        <f t="shared" si="89"/>
        <v>0</v>
      </c>
      <c r="X217" s="197"/>
      <c r="Y217" s="252">
        <f t="shared" si="90"/>
        <v>0</v>
      </c>
      <c r="Z217" s="252">
        <f t="shared" si="90"/>
        <v>0</v>
      </c>
      <c r="AA217" s="197"/>
      <c r="AB217" s="197"/>
      <c r="AC217" s="725"/>
      <c r="AD217" s="197"/>
      <c r="AE217" s="365" t="s">
        <v>6529</v>
      </c>
      <c r="AF217" s="858" t="s">
        <v>788</v>
      </c>
      <c r="AG217" s="802" t="s">
        <v>816</v>
      </c>
      <c r="AH217" s="802" t="s">
        <v>844</v>
      </c>
      <c r="AI217" s="802" t="s">
        <v>872</v>
      </c>
      <c r="AJ217" s="859" t="s">
        <v>900</v>
      </c>
      <c r="AK217" s="802" t="s">
        <v>928</v>
      </c>
      <c r="AL217" s="802" t="s">
        <v>956</v>
      </c>
      <c r="AM217" s="871"/>
      <c r="AN217" s="872"/>
      <c r="AO217" s="857"/>
      <c r="AP217" s="197"/>
      <c r="AQ217" s="197"/>
      <c r="AR217" s="197"/>
      <c r="AS217" s="197"/>
    </row>
    <row r="218" spans="1:45" s="4" customFormat="1" ht="15.75" customHeight="1">
      <c r="A218" s="197"/>
      <c r="B218" s="365" t="s">
        <v>6538</v>
      </c>
      <c r="C218" s="1957">
        <v>0</v>
      </c>
      <c r="D218" s="601">
        <v>0</v>
      </c>
      <c r="E218" s="601">
        <v>0</v>
      </c>
      <c r="F218" s="601">
        <v>0</v>
      </c>
      <c r="G218" s="1481">
        <f t="shared" si="87"/>
        <v>0</v>
      </c>
      <c r="H218" s="601">
        <v>0</v>
      </c>
      <c r="I218" s="601">
        <v>0</v>
      </c>
      <c r="J218" s="1502"/>
      <c r="K218" s="1503"/>
      <c r="L218" s="197"/>
      <c r="M218" s="257" t="s">
        <v>6720</v>
      </c>
      <c r="N218" s="197"/>
      <c r="O218" s="258"/>
      <c r="P218" s="197"/>
      <c r="Q218" s="725"/>
      <c r="R218" s="251">
        <f t="shared" si="88"/>
        <v>0</v>
      </c>
      <c r="S218" s="725"/>
      <c r="T218" s="252">
        <f t="shared" si="89"/>
        <v>0</v>
      </c>
      <c r="U218" s="252">
        <f t="shared" si="89"/>
        <v>0</v>
      </c>
      <c r="V218" s="252">
        <f t="shared" si="89"/>
        <v>0</v>
      </c>
      <c r="W218" s="252">
        <f t="shared" si="89"/>
        <v>0</v>
      </c>
      <c r="X218" s="197"/>
      <c r="Y218" s="252">
        <f t="shared" si="90"/>
        <v>0</v>
      </c>
      <c r="Z218" s="252">
        <f t="shared" si="90"/>
        <v>0</v>
      </c>
      <c r="AA218" s="197"/>
      <c r="AB218" s="197"/>
      <c r="AC218" s="725"/>
      <c r="AD218" s="197"/>
      <c r="AE218" s="365" t="s">
        <v>6538</v>
      </c>
      <c r="AF218" s="858" t="s">
        <v>789</v>
      </c>
      <c r="AG218" s="802" t="s">
        <v>817</v>
      </c>
      <c r="AH218" s="802" t="s">
        <v>845</v>
      </c>
      <c r="AI218" s="802" t="s">
        <v>873</v>
      </c>
      <c r="AJ218" s="859" t="s">
        <v>901</v>
      </c>
      <c r="AK218" s="802" t="s">
        <v>929</v>
      </c>
      <c r="AL218" s="802" t="s">
        <v>957</v>
      </c>
      <c r="AM218" s="871"/>
      <c r="AN218" s="872"/>
      <c r="AO218" s="857"/>
      <c r="AP218" s="197"/>
      <c r="AQ218" s="197"/>
      <c r="AR218" s="197"/>
      <c r="AS218" s="197"/>
    </row>
    <row r="219" spans="1:45" s="4" customFormat="1" ht="15.75" customHeight="1">
      <c r="A219" s="197"/>
      <c r="B219" s="365" t="s">
        <v>6547</v>
      </c>
      <c r="C219" s="1957">
        <v>0</v>
      </c>
      <c r="D219" s="601">
        <v>0</v>
      </c>
      <c r="E219" s="601">
        <v>0</v>
      </c>
      <c r="F219" s="601">
        <v>0</v>
      </c>
      <c r="G219" s="1481">
        <f t="shared" si="87"/>
        <v>0</v>
      </c>
      <c r="H219" s="601">
        <v>0</v>
      </c>
      <c r="I219" s="601">
        <v>0</v>
      </c>
      <c r="J219" s="1502"/>
      <c r="K219" s="1503"/>
      <c r="L219" s="197"/>
      <c r="M219" s="257" t="s">
        <v>6721</v>
      </c>
      <c r="N219" s="197"/>
      <c r="O219" s="258"/>
      <c r="P219" s="200"/>
      <c r="Q219" s="831"/>
      <c r="R219" s="251">
        <f t="shared" si="88"/>
        <v>0</v>
      </c>
      <c r="S219" s="725"/>
      <c r="T219" s="252">
        <f t="shared" si="89"/>
        <v>0</v>
      </c>
      <c r="U219" s="252">
        <f t="shared" si="89"/>
        <v>0</v>
      </c>
      <c r="V219" s="252">
        <f t="shared" si="89"/>
        <v>0</v>
      </c>
      <c r="W219" s="252">
        <f t="shared" si="89"/>
        <v>0</v>
      </c>
      <c r="X219" s="197"/>
      <c r="Y219" s="252">
        <f t="shared" si="90"/>
        <v>0</v>
      </c>
      <c r="Z219" s="252">
        <f t="shared" si="90"/>
        <v>0</v>
      </c>
      <c r="AA219" s="197"/>
      <c r="AB219" s="197"/>
      <c r="AC219" s="725"/>
      <c r="AD219" s="197"/>
      <c r="AE219" s="365" t="s">
        <v>6547</v>
      </c>
      <c r="AF219" s="858" t="s">
        <v>790</v>
      </c>
      <c r="AG219" s="802" t="s">
        <v>818</v>
      </c>
      <c r="AH219" s="802" t="s">
        <v>846</v>
      </c>
      <c r="AI219" s="802" t="s">
        <v>874</v>
      </c>
      <c r="AJ219" s="859" t="s">
        <v>902</v>
      </c>
      <c r="AK219" s="802" t="s">
        <v>930</v>
      </c>
      <c r="AL219" s="802" t="s">
        <v>958</v>
      </c>
      <c r="AM219" s="871"/>
      <c r="AN219" s="872"/>
      <c r="AO219" s="857"/>
      <c r="AP219" s="197"/>
      <c r="AQ219" s="197"/>
      <c r="AR219" s="197"/>
      <c r="AS219" s="197"/>
    </row>
    <row r="220" spans="1:45" s="4" customFormat="1" ht="15.75" customHeight="1">
      <c r="A220" s="197"/>
      <c r="B220" s="365" t="s">
        <v>6556</v>
      </c>
      <c r="C220" s="1957">
        <v>0</v>
      </c>
      <c r="D220" s="601">
        <v>0</v>
      </c>
      <c r="E220" s="601">
        <v>0</v>
      </c>
      <c r="F220" s="601">
        <v>0</v>
      </c>
      <c r="G220" s="1481">
        <f t="shared" si="87"/>
        <v>0</v>
      </c>
      <c r="H220" s="601">
        <v>0</v>
      </c>
      <c r="I220" s="601">
        <v>0</v>
      </c>
      <c r="J220" s="1502"/>
      <c r="K220" s="1503"/>
      <c r="L220" s="197"/>
      <c r="M220" s="257" t="s">
        <v>6722</v>
      </c>
      <c r="N220" s="197"/>
      <c r="O220" s="258"/>
      <c r="P220" s="200"/>
      <c r="Q220" s="831"/>
      <c r="R220" s="251">
        <f t="shared" si="88"/>
        <v>0</v>
      </c>
      <c r="S220" s="725"/>
      <c r="T220" s="252">
        <f t="shared" si="89"/>
        <v>0</v>
      </c>
      <c r="U220" s="252">
        <f t="shared" si="89"/>
        <v>0</v>
      </c>
      <c r="V220" s="252">
        <f t="shared" si="89"/>
        <v>0</v>
      </c>
      <c r="W220" s="252">
        <f t="shared" si="89"/>
        <v>0</v>
      </c>
      <c r="X220" s="197"/>
      <c r="Y220" s="252">
        <f t="shared" si="90"/>
        <v>0</v>
      </c>
      <c r="Z220" s="252">
        <f t="shared" si="90"/>
        <v>0</v>
      </c>
      <c r="AA220" s="197"/>
      <c r="AB220" s="197"/>
      <c r="AC220" s="725"/>
      <c r="AD220" s="197"/>
      <c r="AE220" s="365" t="s">
        <v>6556</v>
      </c>
      <c r="AF220" s="858" t="s">
        <v>791</v>
      </c>
      <c r="AG220" s="802" t="s">
        <v>819</v>
      </c>
      <c r="AH220" s="802" t="s">
        <v>847</v>
      </c>
      <c r="AI220" s="802" t="s">
        <v>875</v>
      </c>
      <c r="AJ220" s="859" t="s">
        <v>903</v>
      </c>
      <c r="AK220" s="802" t="s">
        <v>931</v>
      </c>
      <c r="AL220" s="802" t="s">
        <v>959</v>
      </c>
      <c r="AM220" s="871"/>
      <c r="AN220" s="872"/>
      <c r="AO220" s="857"/>
      <c r="AP220" s="197"/>
      <c r="AQ220" s="197"/>
      <c r="AR220" s="197"/>
      <c r="AS220" s="197"/>
    </row>
    <row r="221" spans="1:45" s="4" customFormat="1" ht="15.75" customHeight="1">
      <c r="A221" s="197"/>
      <c r="B221" s="365" t="s">
        <v>6565</v>
      </c>
      <c r="C221" s="1957">
        <v>0</v>
      </c>
      <c r="D221" s="601">
        <v>0</v>
      </c>
      <c r="E221" s="601">
        <v>0</v>
      </c>
      <c r="F221" s="601">
        <v>0</v>
      </c>
      <c r="G221" s="1481">
        <f t="shared" si="87"/>
        <v>0</v>
      </c>
      <c r="H221" s="601">
        <v>0</v>
      </c>
      <c r="I221" s="601">
        <v>0</v>
      </c>
      <c r="J221" s="1502"/>
      <c r="K221" s="1503"/>
      <c r="L221" s="197"/>
      <c r="M221" s="257" t="s">
        <v>6723</v>
      </c>
      <c r="N221" s="197"/>
      <c r="O221" s="258"/>
      <c r="P221" s="200"/>
      <c r="Q221" s="831"/>
      <c r="R221" s="251">
        <f t="shared" si="88"/>
        <v>0</v>
      </c>
      <c r="S221" s="725"/>
      <c r="T221" s="252">
        <f t="shared" si="89"/>
        <v>0</v>
      </c>
      <c r="U221" s="252">
        <f t="shared" si="89"/>
        <v>0</v>
      </c>
      <c r="V221" s="252">
        <f t="shared" si="89"/>
        <v>0</v>
      </c>
      <c r="W221" s="252">
        <f t="shared" si="89"/>
        <v>0</v>
      </c>
      <c r="X221" s="197"/>
      <c r="Y221" s="252">
        <f t="shared" si="90"/>
        <v>0</v>
      </c>
      <c r="Z221" s="252">
        <f t="shared" si="90"/>
        <v>0</v>
      </c>
      <c r="AA221" s="197"/>
      <c r="AB221" s="197"/>
      <c r="AC221" s="725"/>
      <c r="AD221" s="197"/>
      <c r="AE221" s="365" t="s">
        <v>6565</v>
      </c>
      <c r="AF221" s="858" t="s">
        <v>792</v>
      </c>
      <c r="AG221" s="802" t="s">
        <v>820</v>
      </c>
      <c r="AH221" s="802" t="s">
        <v>848</v>
      </c>
      <c r="AI221" s="802" t="s">
        <v>876</v>
      </c>
      <c r="AJ221" s="859" t="s">
        <v>904</v>
      </c>
      <c r="AK221" s="802" t="s">
        <v>932</v>
      </c>
      <c r="AL221" s="802" t="s">
        <v>960</v>
      </c>
      <c r="AM221" s="871"/>
      <c r="AN221" s="872"/>
      <c r="AO221" s="857"/>
      <c r="AP221" s="197"/>
      <c r="AQ221" s="197"/>
      <c r="AR221" s="197"/>
      <c r="AS221" s="197"/>
    </row>
    <row r="222" spans="1:45" s="4" customFormat="1" ht="15.75" customHeight="1">
      <c r="A222" s="197"/>
      <c r="B222" s="365" t="s">
        <v>6574</v>
      </c>
      <c r="C222" s="1957">
        <v>0</v>
      </c>
      <c r="D222" s="601">
        <v>0</v>
      </c>
      <c r="E222" s="601">
        <v>0</v>
      </c>
      <c r="F222" s="601">
        <v>0</v>
      </c>
      <c r="G222" s="1481">
        <f t="shared" si="87"/>
        <v>0</v>
      </c>
      <c r="H222" s="601">
        <v>0</v>
      </c>
      <c r="I222" s="601">
        <v>0</v>
      </c>
      <c r="J222" s="1502"/>
      <c r="K222" s="1503"/>
      <c r="L222" s="197"/>
      <c r="M222" s="257" t="s">
        <v>6724</v>
      </c>
      <c r="N222" s="197"/>
      <c r="O222" s="258"/>
      <c r="P222" s="197"/>
      <c r="Q222" s="725"/>
      <c r="R222" s="251">
        <f t="shared" si="88"/>
        <v>0</v>
      </c>
      <c r="S222" s="725"/>
      <c r="T222" s="252">
        <f t="shared" si="89"/>
        <v>0</v>
      </c>
      <c r="U222" s="252">
        <f t="shared" si="89"/>
        <v>0</v>
      </c>
      <c r="V222" s="252">
        <f t="shared" si="89"/>
        <v>0</v>
      </c>
      <c r="W222" s="252">
        <f t="shared" si="89"/>
        <v>0</v>
      </c>
      <c r="X222" s="197"/>
      <c r="Y222" s="252">
        <f t="shared" si="90"/>
        <v>0</v>
      </c>
      <c r="Z222" s="252">
        <f t="shared" si="90"/>
        <v>0</v>
      </c>
      <c r="AA222" s="197"/>
      <c r="AB222" s="197"/>
      <c r="AC222" s="725"/>
      <c r="AD222" s="197"/>
      <c r="AE222" s="365" t="s">
        <v>6574</v>
      </c>
      <c r="AF222" s="858" t="s">
        <v>793</v>
      </c>
      <c r="AG222" s="802" t="s">
        <v>821</v>
      </c>
      <c r="AH222" s="802" t="s">
        <v>849</v>
      </c>
      <c r="AI222" s="802" t="s">
        <v>877</v>
      </c>
      <c r="AJ222" s="859" t="s">
        <v>905</v>
      </c>
      <c r="AK222" s="802" t="s">
        <v>933</v>
      </c>
      <c r="AL222" s="802" t="s">
        <v>961</v>
      </c>
      <c r="AM222" s="871"/>
      <c r="AN222" s="872"/>
      <c r="AO222" s="857"/>
      <c r="AP222" s="197"/>
      <c r="AQ222" s="197"/>
      <c r="AR222" s="197"/>
      <c r="AS222" s="197"/>
    </row>
    <row r="223" spans="1:45" s="4" customFormat="1" ht="15.75" customHeight="1" thickBot="1">
      <c r="A223" s="197"/>
      <c r="B223" s="368" t="s">
        <v>2112</v>
      </c>
      <c r="C223" s="1902">
        <f>IFERROR(SUM(C216:C222), 0)</f>
        <v>0</v>
      </c>
      <c r="D223" s="1473">
        <f>IFERROR(SUM(D216:D222), 0)</f>
        <v>0</v>
      </c>
      <c r="E223" s="1473">
        <f>IFERROR(SUM(E216:E222), 0)</f>
        <v>0</v>
      </c>
      <c r="F223" s="1473">
        <f>IFERROR(SUM(F216:F222), 0)</f>
        <v>0</v>
      </c>
      <c r="G223" s="1473">
        <f t="shared" si="87"/>
        <v>0</v>
      </c>
      <c r="H223" s="1473">
        <f>IFERROR(SUM(H216:H222), 0)</f>
        <v>0</v>
      </c>
      <c r="I223" s="1473">
        <f>IFERROR(SUM(I216:I222), 0)</f>
        <v>0</v>
      </c>
      <c r="J223" s="1497"/>
      <c r="K223" s="1498"/>
      <c r="L223" s="197"/>
      <c r="M223" s="320" t="s">
        <v>6725</v>
      </c>
      <c r="N223" s="197"/>
      <c r="O223" s="269"/>
      <c r="P223" s="197"/>
      <c r="Q223" s="725"/>
      <c r="R223" s="251"/>
      <c r="S223" s="725"/>
      <c r="T223" s="197"/>
      <c r="U223" s="197"/>
      <c r="V223" s="197"/>
      <c r="W223" s="197"/>
      <c r="X223" s="197"/>
      <c r="Y223" s="197"/>
      <c r="Z223" s="197"/>
      <c r="AA223" s="197"/>
      <c r="AB223" s="197"/>
      <c r="AC223" s="725"/>
      <c r="AD223" s="197"/>
      <c r="AE223" s="368" t="s">
        <v>2112</v>
      </c>
      <c r="AF223" s="861" t="s">
        <v>794</v>
      </c>
      <c r="AG223" s="583" t="s">
        <v>822</v>
      </c>
      <c r="AH223" s="583" t="s">
        <v>850</v>
      </c>
      <c r="AI223" s="583" t="s">
        <v>878</v>
      </c>
      <c r="AJ223" s="583" t="s">
        <v>906</v>
      </c>
      <c r="AK223" s="583" t="s">
        <v>934</v>
      </c>
      <c r="AL223" s="583" t="s">
        <v>962</v>
      </c>
      <c r="AM223" s="862"/>
      <c r="AN223" s="863"/>
      <c r="AO223" s="857"/>
      <c r="AP223" s="197"/>
      <c r="AQ223" s="197"/>
      <c r="AR223" s="197"/>
      <c r="AS223" s="197"/>
    </row>
    <row r="224" spans="1:45" s="4" customFormat="1" ht="15.75" customHeight="1" thickTop="1" thickBot="1">
      <c r="A224" s="197"/>
      <c r="B224" s="852"/>
      <c r="C224" s="1489"/>
      <c r="D224" s="1491"/>
      <c r="E224" s="1491"/>
      <c r="F224" s="1491"/>
      <c r="G224" s="1901"/>
      <c r="H224" s="1491"/>
      <c r="I224" s="1491"/>
      <c r="J224" s="1499"/>
      <c r="K224" s="1499"/>
      <c r="L224" s="197"/>
      <c r="M224" s="228" t="s">
        <v>4435</v>
      </c>
      <c r="N224" s="197"/>
      <c r="O224" s="197"/>
      <c r="P224" s="197"/>
      <c r="Q224" s="725"/>
      <c r="R224" s="251"/>
      <c r="S224" s="725"/>
      <c r="T224" s="197"/>
      <c r="U224" s="197"/>
      <c r="V224" s="197"/>
      <c r="W224" s="197"/>
      <c r="X224" s="197"/>
      <c r="Y224" s="197"/>
      <c r="Z224" s="197"/>
      <c r="AA224" s="197"/>
      <c r="AB224" s="197"/>
      <c r="AC224" s="725"/>
      <c r="AD224" s="197"/>
      <c r="AE224" s="852"/>
      <c r="AF224" s="852"/>
      <c r="AG224" s="873"/>
      <c r="AH224" s="873"/>
      <c r="AI224" s="873"/>
      <c r="AJ224" s="873"/>
      <c r="AK224" s="873"/>
      <c r="AL224" s="873"/>
      <c r="AM224" s="868"/>
      <c r="AN224" s="868"/>
      <c r="AO224" s="229"/>
      <c r="AP224" s="197"/>
      <c r="AQ224" s="197"/>
      <c r="AR224" s="197"/>
      <c r="AS224" s="197"/>
    </row>
    <row r="225" spans="1:45" s="4" customFormat="1" ht="15.75" customHeight="1" thickTop="1" thickBot="1">
      <c r="A225" s="197"/>
      <c r="B225" s="355" t="s">
        <v>6591</v>
      </c>
      <c r="C225" s="633"/>
      <c r="D225" s="1487"/>
      <c r="E225" s="1487"/>
      <c r="F225" s="1487"/>
      <c r="G225" s="1487"/>
      <c r="H225" s="1487"/>
      <c r="I225" s="1487"/>
      <c r="J225" s="1499"/>
      <c r="K225" s="1499"/>
      <c r="L225" s="197"/>
      <c r="M225" s="228" t="s">
        <v>4435</v>
      </c>
      <c r="N225" s="197"/>
      <c r="O225" s="197"/>
      <c r="P225" s="197"/>
      <c r="Q225" s="725"/>
      <c r="R225" s="251"/>
      <c r="S225" s="725"/>
      <c r="T225" s="197"/>
      <c r="U225" s="197"/>
      <c r="V225" s="197"/>
      <c r="W225" s="197"/>
      <c r="X225" s="197"/>
      <c r="Y225" s="197"/>
      <c r="Z225" s="197"/>
      <c r="AA225" s="197"/>
      <c r="AB225" s="197"/>
      <c r="AC225" s="725"/>
      <c r="AD225" s="197"/>
      <c r="AE225" s="355" t="s">
        <v>6591</v>
      </c>
      <c r="AF225" s="356"/>
      <c r="AG225" s="867"/>
      <c r="AH225" s="867"/>
      <c r="AI225" s="867"/>
      <c r="AJ225" s="867"/>
      <c r="AK225" s="867"/>
      <c r="AL225" s="867"/>
      <c r="AM225" s="868"/>
      <c r="AN225" s="868"/>
      <c r="AO225" s="229"/>
      <c r="AP225" s="197"/>
      <c r="AQ225" s="197"/>
      <c r="AR225" s="197"/>
      <c r="AS225" s="197"/>
    </row>
    <row r="226" spans="1:45" s="8" customFormat="1" ht="15.75" customHeight="1" thickTop="1" thickBot="1">
      <c r="A226" s="351"/>
      <c r="B226" s="382" t="s">
        <v>6591</v>
      </c>
      <c r="C226" s="605">
        <v>0</v>
      </c>
      <c r="D226" s="605">
        <v>0</v>
      </c>
      <c r="E226" s="605">
        <v>0</v>
      </c>
      <c r="F226" s="605">
        <v>0</v>
      </c>
      <c r="G226" s="1470">
        <f>IFERROR(SUM(C226:F226),0)</f>
        <v>0</v>
      </c>
      <c r="H226" s="605">
        <v>-4.6379999999999999</v>
      </c>
      <c r="I226" s="605">
        <v>0</v>
      </c>
      <c r="J226" s="1504"/>
      <c r="K226" s="1505"/>
      <c r="L226" s="197"/>
      <c r="M226" s="336" t="s">
        <v>6726</v>
      </c>
      <c r="N226" s="197"/>
      <c r="O226" s="878"/>
      <c r="P226" s="351"/>
      <c r="Q226" s="722"/>
      <c r="R226" s="251">
        <f>IF( SUM( T226:AA226 ) = 0, 0, $T$10 )</f>
        <v>0</v>
      </c>
      <c r="S226" s="722"/>
      <c r="T226" s="252">
        <f xml:space="preserve"> IF( ISNUMBER(C226), 0, 1 )</f>
        <v>0</v>
      </c>
      <c r="U226" s="252">
        <f xml:space="preserve"> IF( ISNUMBER(D226), 0, 1 )</f>
        <v>0</v>
      </c>
      <c r="V226" s="252">
        <f xml:space="preserve"> IF( ISNUMBER(E226), 0, 1 )</f>
        <v>0</v>
      </c>
      <c r="W226" s="252">
        <f xml:space="preserve"> IF( ISNUMBER(F226), 0, 1 )</f>
        <v>0</v>
      </c>
      <c r="X226" s="197"/>
      <c r="Y226" s="252">
        <f xml:space="preserve"> IF( ISNUMBER(H226), 0, 1 )</f>
        <v>0</v>
      </c>
      <c r="Z226" s="252">
        <f xml:space="preserve"> IF( ISNUMBER(I226), 0, 1 )</f>
        <v>0</v>
      </c>
      <c r="AA226" s="197"/>
      <c r="AB226" s="197"/>
      <c r="AC226" s="722"/>
      <c r="AD226" s="351"/>
      <c r="AE226" s="382" t="s">
        <v>6591</v>
      </c>
      <c r="AF226" s="874" t="s">
        <v>795</v>
      </c>
      <c r="AG226" s="874" t="s">
        <v>823</v>
      </c>
      <c r="AH226" s="874" t="s">
        <v>851</v>
      </c>
      <c r="AI226" s="874" t="s">
        <v>879</v>
      </c>
      <c r="AJ226" s="875" t="s">
        <v>907</v>
      </c>
      <c r="AK226" s="874" t="s">
        <v>935</v>
      </c>
      <c r="AL226" s="874" t="s">
        <v>963</v>
      </c>
      <c r="AM226" s="876"/>
      <c r="AN226" s="877"/>
      <c r="AO226" s="857"/>
      <c r="AP226" s="351"/>
      <c r="AQ226" s="351"/>
      <c r="AR226" s="351"/>
      <c r="AS226" s="351"/>
    </row>
    <row r="227" spans="1:45" s="4" customFormat="1" ht="15.75" customHeight="1" thickTop="1" thickBot="1">
      <c r="A227" s="197"/>
      <c r="B227" s="879"/>
      <c r="C227" s="1958"/>
      <c r="D227" s="1959"/>
      <c r="E227" s="1959"/>
      <c r="F227" s="1959"/>
      <c r="G227" s="1492"/>
      <c r="H227" s="1492"/>
      <c r="I227" s="1492"/>
      <c r="J227" s="1499"/>
      <c r="K227" s="1499"/>
      <c r="L227" s="197"/>
      <c r="M227" s="228" t="s">
        <v>4435</v>
      </c>
      <c r="N227" s="197"/>
      <c r="O227" s="197"/>
      <c r="P227" s="197"/>
      <c r="Q227" s="725"/>
      <c r="R227" s="251"/>
      <c r="S227" s="725"/>
      <c r="T227" s="197"/>
      <c r="U227" s="197"/>
      <c r="V227" s="197"/>
      <c r="W227" s="197"/>
      <c r="X227" s="197"/>
      <c r="Y227" s="197"/>
      <c r="Z227" s="197"/>
      <c r="AA227" s="197"/>
      <c r="AB227" s="197"/>
      <c r="AC227" s="725"/>
      <c r="AD227" s="197"/>
      <c r="AE227" s="879"/>
      <c r="AF227" s="879"/>
      <c r="AG227" s="880"/>
      <c r="AH227" s="880"/>
      <c r="AI227" s="880"/>
      <c r="AJ227" s="880"/>
      <c r="AK227" s="880"/>
      <c r="AL227" s="880"/>
      <c r="AM227" s="868"/>
      <c r="AN227" s="868"/>
      <c r="AO227" s="229"/>
      <c r="AP227" s="197"/>
      <c r="AQ227" s="197"/>
      <c r="AR227" s="197"/>
      <c r="AS227" s="197"/>
    </row>
    <row r="228" spans="1:45" s="8" customFormat="1" ht="15.75" customHeight="1" thickTop="1" thickBot="1">
      <c r="A228" s="351"/>
      <c r="B228" s="382" t="s">
        <v>6600</v>
      </c>
      <c r="C228" s="1903">
        <f>IFERROR(SUM(C199,C206,C213,C223,C226), 0)</f>
        <v>146.91199999999998</v>
      </c>
      <c r="D228" s="1470">
        <f>IFERROR(SUM(D199,D206,D213,D223,D226), 0)</f>
        <v>0</v>
      </c>
      <c r="E228" s="1470">
        <f>IFERROR(SUM(E199,E206,E213,E223,E226), 0)</f>
        <v>0</v>
      </c>
      <c r="F228" s="1470">
        <f>IFERROR(SUM(F199,F206,F213,F223,F226), 0)</f>
        <v>475</v>
      </c>
      <c r="G228" s="1470">
        <f>IFERROR(SUM(C228:F228),0)</f>
        <v>621.91200000000003</v>
      </c>
      <c r="H228" s="1470">
        <f>IFERROR(SUM(H199,H206,H213,H223,H226), 0)</f>
        <v>10.959000000000001</v>
      </c>
      <c r="I228" s="1470">
        <f>IFERROR(SUM(I199,I206,I213,I223,I226), 0)</f>
        <v>0</v>
      </c>
      <c r="J228" s="1506"/>
      <c r="K228" s="1507"/>
      <c r="L228" s="351"/>
      <c r="M228" s="336" t="s">
        <v>6727</v>
      </c>
      <c r="N228" s="197"/>
      <c r="O228" s="878"/>
      <c r="P228" s="351"/>
      <c r="Q228" s="722"/>
      <c r="R228" s="251"/>
      <c r="S228" s="722"/>
      <c r="T228" s="197"/>
      <c r="U228" s="197"/>
      <c r="V228" s="197"/>
      <c r="W228" s="197"/>
      <c r="X228" s="197"/>
      <c r="Y228" s="197"/>
      <c r="Z228" s="197"/>
      <c r="AA228" s="197"/>
      <c r="AB228" s="197"/>
      <c r="AC228" s="722"/>
      <c r="AD228" s="351"/>
      <c r="AE228" s="382" t="s">
        <v>6600</v>
      </c>
      <c r="AF228" s="881" t="s">
        <v>796</v>
      </c>
      <c r="AG228" s="334" t="s">
        <v>824</v>
      </c>
      <c r="AH228" s="334" t="s">
        <v>852</v>
      </c>
      <c r="AI228" s="334" t="s">
        <v>880</v>
      </c>
      <c r="AJ228" s="334" t="s">
        <v>908</v>
      </c>
      <c r="AK228" s="334" t="s">
        <v>936</v>
      </c>
      <c r="AL228" s="334" t="s">
        <v>964</v>
      </c>
      <c r="AM228" s="882"/>
      <c r="AN228" s="883"/>
      <c r="AO228" s="857"/>
      <c r="AP228" s="351"/>
      <c r="AQ228" s="351"/>
      <c r="AR228" s="351"/>
      <c r="AS228" s="351"/>
    </row>
    <row r="229" spans="1:45" s="4" customFormat="1" ht="16" thickTop="1">
      <c r="A229" s="197"/>
      <c r="B229" s="884"/>
      <c r="C229" s="884"/>
      <c r="D229" s="197"/>
      <c r="E229" s="197"/>
      <c r="F229" s="197"/>
      <c r="G229" s="197"/>
      <c r="H229" s="197"/>
      <c r="I229" s="197"/>
      <c r="J229" s="197"/>
      <c r="K229" s="197"/>
      <c r="L229" s="197"/>
      <c r="M229" s="641"/>
      <c r="N229" s="197"/>
      <c r="O229" s="197"/>
      <c r="P229" s="197"/>
      <c r="Q229" s="197"/>
      <c r="R229" s="251"/>
      <c r="S229" s="197"/>
      <c r="T229" s="197"/>
      <c r="U229" s="197"/>
      <c r="V229" s="197"/>
      <c r="W229" s="197"/>
      <c r="X229" s="197"/>
      <c r="Y229" s="197"/>
      <c r="Z229" s="197"/>
      <c r="AA229" s="197"/>
      <c r="AB229" s="197"/>
      <c r="AC229" s="197"/>
      <c r="AD229" s="197"/>
      <c r="AE229" s="884"/>
      <c r="AF229" s="884"/>
      <c r="AG229" s="197"/>
      <c r="AH229" s="197"/>
      <c r="AI229" s="197"/>
      <c r="AJ229" s="197"/>
      <c r="AK229" s="197"/>
      <c r="AL229" s="197"/>
      <c r="AM229" s="197"/>
      <c r="AN229" s="197"/>
      <c r="AO229" s="829"/>
      <c r="AP229" s="197"/>
      <c r="AQ229" s="197"/>
      <c r="AR229" s="197"/>
      <c r="AS229" s="197"/>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26"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7" zoomScale="80" zoomScaleNormal="80" zoomScaleSheetLayoutView="100" workbookViewId="0">
      <selection activeCell="E35" sqref="E35:J35"/>
    </sheetView>
  </sheetViews>
  <sheetFormatPr defaultColWidth="9" defaultRowHeight="15.5"/>
  <cols>
    <col min="1" max="1" width="1.58203125" style="220" customWidth="1"/>
    <col min="2" max="2" width="64.58203125" style="917" customWidth="1"/>
    <col min="3" max="3" width="5.5" style="917" bestFit="1" customWidth="1"/>
    <col min="4" max="4" width="4.58203125" style="917" bestFit="1" customWidth="1"/>
    <col min="5" max="5" width="15.58203125" style="917" bestFit="1" customWidth="1"/>
    <col min="6" max="6" width="10.58203125" style="917" bestFit="1" customWidth="1"/>
    <col min="7" max="7" width="10.08203125" style="917" bestFit="1" customWidth="1"/>
    <col min="8" max="8" width="9.08203125" style="917" bestFit="1" customWidth="1"/>
    <col min="9" max="9" width="13.08203125" style="917" bestFit="1" customWidth="1"/>
    <col min="10" max="10" width="11.58203125" style="917" customWidth="1"/>
    <col min="11" max="11" width="1.58203125" style="917" customWidth="1"/>
    <col min="12" max="12" width="15.58203125" style="919" bestFit="1" customWidth="1"/>
    <col min="13" max="13" width="1.58203125" style="226" customWidth="1"/>
    <col min="14" max="14" width="29.5" style="226" bestFit="1" customWidth="1"/>
    <col min="15" max="15" width="1.58203125" style="226" customWidth="1"/>
    <col min="16" max="16" width="1.58203125" style="105" customWidth="1"/>
    <col min="17" max="17" width="25" style="220" customWidth="1"/>
    <col min="18" max="18" width="1.58203125" style="220" customWidth="1"/>
    <col min="19" max="23" width="4.58203125" style="220" hidden="1" customWidth="1"/>
    <col min="24" max="24" width="1.58203125" style="220" hidden="1" customWidth="1"/>
    <col min="25" max="25" width="1.58203125" style="220" customWidth="1"/>
    <col min="26" max="26" width="36.08203125" style="220" customWidth="1"/>
    <col min="27" max="32" width="12.5" style="220" customWidth="1"/>
    <col min="33" max="34" width="1.58203125" style="220" customWidth="1"/>
    <col min="35" max="38" width="9" style="220"/>
    <col min="39" max="16384" width="9" style="917"/>
  </cols>
  <sheetData>
    <row r="1" spans="1:38" s="887" customFormat="1" ht="29.25" customHeight="1">
      <c r="A1" s="351"/>
      <c r="B1" s="2673" t="s">
        <v>6728</v>
      </c>
      <c r="C1" s="2673"/>
      <c r="D1" s="2673"/>
      <c r="E1" s="2673"/>
      <c r="F1" s="2673"/>
      <c r="G1" s="2673"/>
      <c r="H1" s="2673"/>
      <c r="I1" s="2673"/>
      <c r="J1" s="2673"/>
      <c r="K1" s="304"/>
      <c r="L1" s="386"/>
      <c r="M1" s="885"/>
      <c r="N1" s="885"/>
      <c r="O1" s="885"/>
      <c r="P1" s="886"/>
      <c r="Q1" s="351"/>
      <c r="R1" s="722"/>
      <c r="S1" s="351"/>
      <c r="T1" s="351"/>
      <c r="U1" s="351"/>
      <c r="V1" s="351"/>
      <c r="W1" s="351"/>
      <c r="X1" s="722"/>
      <c r="Y1" s="351"/>
      <c r="Z1" s="2673" t="s">
        <v>1887</v>
      </c>
      <c r="AA1" s="2673"/>
      <c r="AB1" s="2673"/>
      <c r="AC1" s="2673"/>
      <c r="AD1" s="2673"/>
      <c r="AE1" s="2673"/>
      <c r="AF1" s="2673"/>
      <c r="AG1" s="351"/>
      <c r="AH1" s="351"/>
      <c r="AI1" s="351"/>
      <c r="AJ1" s="351"/>
      <c r="AK1" s="351"/>
      <c r="AL1" s="351"/>
    </row>
    <row r="2" spans="1:38" s="887" customFormat="1" ht="29.25" customHeight="1">
      <c r="A2" s="351"/>
      <c r="B2" s="2673" t="str">
        <f>SelectCompany!B4</f>
        <v>Yorkshire Water</v>
      </c>
      <c r="C2" s="2673"/>
      <c r="D2" s="2673"/>
      <c r="E2" s="2673"/>
      <c r="F2" s="2673"/>
      <c r="G2" s="2673"/>
      <c r="H2" s="2673"/>
      <c r="I2" s="491"/>
      <c r="J2" s="491"/>
      <c r="K2" s="491"/>
      <c r="L2" s="491"/>
      <c r="M2" s="491"/>
      <c r="N2" s="491"/>
      <c r="O2" s="491"/>
      <c r="P2" s="886"/>
      <c r="Q2" s="351"/>
      <c r="R2" s="722"/>
      <c r="S2" s="351"/>
      <c r="T2" s="351"/>
      <c r="U2" s="351"/>
      <c r="V2" s="351"/>
      <c r="W2" s="351"/>
      <c r="X2" s="722"/>
      <c r="Y2" s="351"/>
      <c r="Z2" s="2673"/>
      <c r="AA2" s="2673"/>
      <c r="AB2" s="2673"/>
      <c r="AC2" s="2673"/>
      <c r="AD2" s="2673"/>
      <c r="AE2" s="2673"/>
      <c r="AF2" s="2673"/>
      <c r="AG2" s="351"/>
      <c r="AH2" s="351"/>
      <c r="AI2" s="351"/>
      <c r="AJ2" s="351"/>
      <c r="AK2" s="351"/>
      <c r="AL2" s="351"/>
    </row>
    <row r="3" spans="1:38" s="891" customFormat="1" ht="45" customHeight="1">
      <c r="A3" s="197"/>
      <c r="B3" s="2781" t="s">
        <v>6729</v>
      </c>
      <c r="C3" s="2781"/>
      <c r="D3" s="2781"/>
      <c r="E3" s="2781"/>
      <c r="F3" s="2781"/>
      <c r="G3" s="2781"/>
      <c r="H3" s="2781"/>
      <c r="I3" s="2781"/>
      <c r="J3" s="2781"/>
      <c r="K3" s="2781"/>
      <c r="L3" s="2781"/>
      <c r="M3" s="2781"/>
      <c r="N3" s="2781"/>
      <c r="O3" s="888"/>
      <c r="P3" s="889"/>
      <c r="Q3" s="554" t="s">
        <v>1889</v>
      </c>
      <c r="R3" s="890"/>
      <c r="S3" s="197"/>
      <c r="T3" s="197"/>
      <c r="U3" s="197"/>
      <c r="V3" s="197"/>
      <c r="W3" s="197"/>
      <c r="X3" s="725"/>
      <c r="Y3" s="197"/>
      <c r="Z3" s="2781" t="s">
        <v>6729</v>
      </c>
      <c r="AA3" s="2781"/>
      <c r="AB3" s="2781"/>
      <c r="AC3" s="2781"/>
      <c r="AD3" s="2781"/>
      <c r="AE3" s="2781"/>
      <c r="AF3" s="2781"/>
      <c r="AG3" s="197"/>
      <c r="AH3" s="197"/>
      <c r="AI3" s="197"/>
      <c r="AJ3" s="197"/>
      <c r="AK3" s="197"/>
      <c r="AL3" s="197"/>
    </row>
    <row r="4" spans="1:38" s="891" customFormat="1" ht="15" customHeight="1" thickBot="1">
      <c r="A4" s="197"/>
      <c r="B4" s="892"/>
      <c r="C4" s="892"/>
      <c r="D4" s="892"/>
      <c r="E4" s="892"/>
      <c r="F4" s="892"/>
      <c r="G4" s="892"/>
      <c r="H4" s="892"/>
      <c r="I4" s="892"/>
      <c r="J4" s="892"/>
      <c r="K4" s="893"/>
      <c r="L4" s="894"/>
      <c r="M4" s="888"/>
      <c r="N4" s="888"/>
      <c r="O4" s="888"/>
      <c r="P4" s="889"/>
      <c r="Q4" s="106"/>
      <c r="R4" s="890"/>
      <c r="S4" s="197"/>
      <c r="T4" s="197"/>
      <c r="U4" s="197"/>
      <c r="V4" s="197"/>
      <c r="W4" s="197"/>
      <c r="X4" s="725"/>
      <c r="Y4" s="197"/>
      <c r="Z4" s="892"/>
      <c r="AA4" s="892"/>
      <c r="AB4" s="892"/>
      <c r="AC4" s="892"/>
      <c r="AD4" s="892"/>
      <c r="AE4" s="892"/>
      <c r="AF4" s="892"/>
      <c r="AG4" s="197"/>
      <c r="AH4" s="197"/>
      <c r="AI4" s="197"/>
      <c r="AJ4" s="197"/>
      <c r="AK4" s="197"/>
      <c r="AL4" s="197"/>
    </row>
    <row r="5" spans="1:38" s="891" customFormat="1" ht="21.75" customHeight="1" thickTop="1">
      <c r="A5" s="197"/>
      <c r="B5" s="2815" t="s">
        <v>1891</v>
      </c>
      <c r="C5" s="2817" t="s">
        <v>1892</v>
      </c>
      <c r="D5" s="2817" t="s">
        <v>136</v>
      </c>
      <c r="E5" s="2817" t="s">
        <v>2828</v>
      </c>
      <c r="F5" s="2819" t="s">
        <v>3654</v>
      </c>
      <c r="G5" s="2819"/>
      <c r="H5" s="2819"/>
      <c r="I5" s="2819"/>
      <c r="J5" s="2820" t="s">
        <v>2112</v>
      </c>
      <c r="K5" s="893"/>
      <c r="L5" s="2782" t="s">
        <v>1896</v>
      </c>
      <c r="M5" s="444"/>
      <c r="N5" s="2782" t="s">
        <v>1897</v>
      </c>
      <c r="O5" s="444"/>
      <c r="P5" s="889"/>
      <c r="Q5" s="106"/>
      <c r="R5" s="890"/>
      <c r="S5" s="197"/>
      <c r="T5" s="197"/>
      <c r="U5" s="197"/>
      <c r="V5" s="197"/>
      <c r="W5" s="197"/>
      <c r="X5" s="725"/>
      <c r="Y5" s="197"/>
      <c r="Z5" s="2815" t="s">
        <v>1891</v>
      </c>
      <c r="AA5" s="2817" t="s">
        <v>2828</v>
      </c>
      <c r="AB5" s="2819" t="s">
        <v>3654</v>
      </c>
      <c r="AC5" s="2819"/>
      <c r="AD5" s="2819"/>
      <c r="AE5" s="2819"/>
      <c r="AF5" s="2820" t="s">
        <v>2112</v>
      </c>
      <c r="AG5" s="197"/>
      <c r="AH5" s="197"/>
      <c r="AI5" s="197"/>
      <c r="AJ5" s="197"/>
      <c r="AK5" s="197"/>
      <c r="AL5" s="197"/>
    </row>
    <row r="6" spans="1:38" s="891" customFormat="1" ht="48" customHeight="1" thickBot="1">
      <c r="A6" s="197"/>
      <c r="B6" s="2816"/>
      <c r="C6" s="2822"/>
      <c r="D6" s="2822"/>
      <c r="E6" s="2818"/>
      <c r="F6" s="895" t="s">
        <v>6730</v>
      </c>
      <c r="G6" s="895" t="s">
        <v>5704</v>
      </c>
      <c r="H6" s="895" t="s">
        <v>5705</v>
      </c>
      <c r="I6" s="895" t="s">
        <v>5706</v>
      </c>
      <c r="J6" s="2821"/>
      <c r="K6" s="893"/>
      <c r="L6" s="2783"/>
      <c r="M6" s="444"/>
      <c r="N6" s="2783"/>
      <c r="O6" s="444"/>
      <c r="P6" s="889"/>
      <c r="Q6" s="785"/>
      <c r="R6" s="896"/>
      <c r="S6" s="197"/>
      <c r="T6" s="197"/>
      <c r="U6" s="197"/>
      <c r="V6" s="197"/>
      <c r="W6" s="197"/>
      <c r="X6" s="725"/>
      <c r="Y6" s="197"/>
      <c r="Z6" s="2816"/>
      <c r="AA6" s="2818"/>
      <c r="AB6" s="895" t="s">
        <v>6730</v>
      </c>
      <c r="AC6" s="895" t="s">
        <v>5704</v>
      </c>
      <c r="AD6" s="895" t="s">
        <v>5705</v>
      </c>
      <c r="AE6" s="895" t="s">
        <v>5706</v>
      </c>
      <c r="AF6" s="2821"/>
      <c r="AG6" s="197"/>
      <c r="AH6" s="197"/>
      <c r="AI6" s="197"/>
      <c r="AJ6" s="197"/>
      <c r="AK6" s="197"/>
      <c r="AL6" s="197"/>
    </row>
    <row r="7" spans="1:38" s="891" customFormat="1" ht="15.75" customHeight="1" thickTop="1" thickBot="1">
      <c r="A7" s="197"/>
      <c r="B7" s="897"/>
      <c r="C7" s="897"/>
      <c r="D7" s="897"/>
      <c r="E7" s="893"/>
      <c r="F7" s="893"/>
      <c r="G7" s="893"/>
      <c r="H7" s="893"/>
      <c r="I7" s="893"/>
      <c r="J7" s="898"/>
      <c r="K7" s="893"/>
      <c r="L7" s="898"/>
      <c r="M7" s="86"/>
      <c r="N7" s="86"/>
      <c r="O7" s="86"/>
      <c r="P7" s="889"/>
      <c r="Q7" s="106"/>
      <c r="R7" s="890"/>
      <c r="S7" s="2662" t="s">
        <v>1890</v>
      </c>
      <c r="T7" s="2795"/>
      <c r="U7" s="2795"/>
      <c r="V7" s="2795"/>
      <c r="W7" s="2795"/>
      <c r="X7" s="2591"/>
      <c r="Y7" s="2579"/>
      <c r="Z7" s="897"/>
      <c r="AA7" s="893"/>
      <c r="AB7" s="893"/>
      <c r="AC7" s="893"/>
      <c r="AD7" s="893"/>
      <c r="AE7" s="893"/>
      <c r="AF7" s="898"/>
      <c r="AG7" s="197"/>
      <c r="AH7" s="197"/>
      <c r="AI7" s="197"/>
      <c r="AJ7" s="197"/>
      <c r="AK7" s="197"/>
      <c r="AL7" s="197"/>
    </row>
    <row r="8" spans="1:38" s="891" customFormat="1" ht="15.75" customHeight="1" thickTop="1" thickBot="1">
      <c r="A8" s="197"/>
      <c r="B8" s="33" t="s">
        <v>3147</v>
      </c>
      <c r="C8" s="356"/>
      <c r="D8" s="356"/>
      <c r="E8" s="444"/>
      <c r="F8" s="444"/>
      <c r="G8" s="444"/>
      <c r="H8" s="897"/>
      <c r="I8" s="897"/>
      <c r="J8" s="893"/>
      <c r="K8" s="893"/>
      <c r="L8" s="899"/>
      <c r="M8" s="900"/>
      <c r="N8" s="900"/>
      <c r="O8" s="900"/>
      <c r="P8" s="889"/>
      <c r="Q8" s="106"/>
      <c r="R8" s="890"/>
      <c r="S8" s="236" t="s">
        <v>1898</v>
      </c>
      <c r="T8" s="222"/>
      <c r="U8" s="222"/>
      <c r="V8" s="222"/>
      <c r="W8" s="222"/>
      <c r="X8" s="783"/>
      <c r="Y8" s="222"/>
      <c r="Z8" s="33" t="s">
        <v>3147</v>
      </c>
      <c r="AA8" s="444"/>
      <c r="AB8" s="444"/>
      <c r="AC8" s="444"/>
      <c r="AD8" s="897"/>
      <c r="AE8" s="897"/>
      <c r="AF8" s="893"/>
      <c r="AG8" s="197"/>
      <c r="AH8" s="197"/>
      <c r="AI8" s="197"/>
      <c r="AJ8" s="197"/>
      <c r="AK8" s="197"/>
      <c r="AL8" s="197"/>
    </row>
    <row r="9" spans="1:38" s="891" customFormat="1" ht="15.75" customHeight="1">
      <c r="A9" s="197"/>
      <c r="B9" s="93" t="s">
        <v>2930</v>
      </c>
      <c r="C9" s="94" t="s">
        <v>137</v>
      </c>
      <c r="D9" s="94">
        <v>3</v>
      </c>
      <c r="E9" s="1508">
        <v>5.2149999999999999</v>
      </c>
      <c r="F9" s="1508">
        <v>11.255000000000001</v>
      </c>
      <c r="G9" s="1508">
        <v>6.0000000000000001E-3</v>
      </c>
      <c r="H9" s="1508">
        <v>20.713999999999999</v>
      </c>
      <c r="I9" s="1508">
        <v>25.477</v>
      </c>
      <c r="J9" s="1509">
        <f>IFERROR(SUM(E9:I9), 0)</f>
        <v>62.667000000000002</v>
      </c>
      <c r="K9" s="893"/>
      <c r="L9" s="43" t="s">
        <v>6731</v>
      </c>
      <c r="M9" s="174"/>
      <c r="N9" s="816"/>
      <c r="O9" s="174"/>
      <c r="P9" s="889"/>
      <c r="Q9" s="251">
        <f t="shared" ref="Q9:Q15" si="0">IF( SUM( S9:W9 ) = 0, 0, $S$8 )</f>
        <v>0</v>
      </c>
      <c r="R9" s="890"/>
      <c r="S9" s="252">
        <f t="shared" ref="S9" si="1" xml:space="preserve"> IF( ISNUMBER(E9), 0, 1 )</f>
        <v>0</v>
      </c>
      <c r="T9" s="252">
        <f t="shared" ref="T9:T15" si="2" xml:space="preserve"> IF( ISNUMBER(F9), 0, 1 )</f>
        <v>0</v>
      </c>
      <c r="U9" s="252">
        <f t="shared" ref="U9:U15" si="3" xml:space="preserve"> IF( ISNUMBER(G9), 0, 1 )</f>
        <v>0</v>
      </c>
      <c r="V9" s="252">
        <f t="shared" ref="V9:V15" si="4" xml:space="preserve"> IF( ISNUMBER(H9), 0, 1 )</f>
        <v>0</v>
      </c>
      <c r="W9" s="252">
        <f t="shared" ref="W9:W15" si="5" xml:space="preserve"> IF( ISNUMBER(I9), 0, 1 )</f>
        <v>0</v>
      </c>
      <c r="X9" s="725"/>
      <c r="Y9" s="197"/>
      <c r="Z9" s="93" t="s">
        <v>2930</v>
      </c>
      <c r="AA9" s="901" t="s">
        <v>2932</v>
      </c>
      <c r="AB9" s="901" t="s">
        <v>6732</v>
      </c>
      <c r="AC9" s="901" t="s">
        <v>6733</v>
      </c>
      <c r="AD9" s="901" t="s">
        <v>6734</v>
      </c>
      <c r="AE9" s="901" t="s">
        <v>6735</v>
      </c>
      <c r="AF9" s="902" t="s">
        <v>6736</v>
      </c>
      <c r="AG9" s="197"/>
      <c r="AH9" s="197"/>
      <c r="AI9" s="197"/>
      <c r="AJ9" s="197"/>
      <c r="AK9" s="197"/>
      <c r="AL9" s="197"/>
    </row>
    <row r="10" spans="1:38" s="891" customFormat="1" ht="15.75" customHeight="1">
      <c r="A10" s="197"/>
      <c r="B10" s="96" t="s">
        <v>2938</v>
      </c>
      <c r="C10" s="97" t="s">
        <v>137</v>
      </c>
      <c r="D10" s="97">
        <v>3</v>
      </c>
      <c r="E10" s="1510">
        <v>0</v>
      </c>
      <c r="F10" s="1510">
        <v>0</v>
      </c>
      <c r="G10" s="1510">
        <v>0</v>
      </c>
      <c r="H10" s="1510">
        <v>0</v>
      </c>
      <c r="I10" s="1510">
        <v>0</v>
      </c>
      <c r="J10" s="1511">
        <f>IFERROR(SUM(E10:I10), 0)</f>
        <v>0</v>
      </c>
      <c r="K10" s="893"/>
      <c r="L10" s="52" t="s">
        <v>6737</v>
      </c>
      <c r="M10" s="174"/>
      <c r="N10" s="823"/>
      <c r="O10" s="174"/>
      <c r="P10" s="889"/>
      <c r="Q10" s="251">
        <f t="shared" si="0"/>
        <v>0</v>
      </c>
      <c r="R10" s="890"/>
      <c r="S10" s="252">
        <f t="shared" ref="S10:S15" si="6" xml:space="preserve"> IF( ISNUMBER(E10), 0, 1 )</f>
        <v>0</v>
      </c>
      <c r="T10" s="252">
        <f t="shared" si="2"/>
        <v>0</v>
      </c>
      <c r="U10" s="252">
        <f t="shared" si="3"/>
        <v>0</v>
      </c>
      <c r="V10" s="252">
        <f t="shared" si="4"/>
        <v>0</v>
      </c>
      <c r="W10" s="252">
        <f t="shared" si="5"/>
        <v>0</v>
      </c>
      <c r="X10" s="725"/>
      <c r="Y10" s="197"/>
      <c r="Z10" s="96" t="s">
        <v>2938</v>
      </c>
      <c r="AA10" s="903" t="s">
        <v>2940</v>
      </c>
      <c r="AB10" s="903" t="s">
        <v>6738</v>
      </c>
      <c r="AC10" s="903" t="s">
        <v>6739</v>
      </c>
      <c r="AD10" s="903" t="s">
        <v>6740</v>
      </c>
      <c r="AE10" s="903" t="s">
        <v>6741</v>
      </c>
      <c r="AF10" s="904" t="s">
        <v>6742</v>
      </c>
      <c r="AG10" s="197"/>
      <c r="AH10" s="197"/>
      <c r="AI10" s="197"/>
      <c r="AJ10" s="197"/>
      <c r="AK10" s="197"/>
      <c r="AL10" s="197"/>
    </row>
    <row r="11" spans="1:38" s="891" customFormat="1" ht="15.75" customHeight="1">
      <c r="A11" s="197"/>
      <c r="B11" s="96" t="s">
        <v>2955</v>
      </c>
      <c r="C11" s="97" t="s">
        <v>137</v>
      </c>
      <c r="D11" s="97">
        <v>3</v>
      </c>
      <c r="E11" s="1510">
        <v>4.0819999999999999</v>
      </c>
      <c r="F11" s="1510">
        <v>0</v>
      </c>
      <c r="G11" s="1510">
        <v>0</v>
      </c>
      <c r="H11" s="1510">
        <v>0</v>
      </c>
      <c r="I11" s="1510">
        <v>0</v>
      </c>
      <c r="J11" s="1511">
        <f t="shared" ref="J11:J14" si="7">IFERROR(SUM(E11:I11), 0)</f>
        <v>4.0819999999999999</v>
      </c>
      <c r="K11" s="893"/>
      <c r="L11" s="52" t="s">
        <v>6743</v>
      </c>
      <c r="M11" s="174"/>
      <c r="N11" s="823"/>
      <c r="O11" s="174"/>
      <c r="P11" s="889"/>
      <c r="Q11" s="251">
        <f t="shared" si="0"/>
        <v>0</v>
      </c>
      <c r="R11" s="890"/>
      <c r="S11" s="252">
        <f t="shared" si="6"/>
        <v>0</v>
      </c>
      <c r="T11" s="252">
        <f t="shared" si="2"/>
        <v>0</v>
      </c>
      <c r="U11" s="252">
        <f t="shared" si="3"/>
        <v>0</v>
      </c>
      <c r="V11" s="252">
        <f t="shared" si="4"/>
        <v>0</v>
      </c>
      <c r="W11" s="252">
        <f t="shared" si="5"/>
        <v>0</v>
      </c>
      <c r="X11" s="725"/>
      <c r="Y11" s="197"/>
      <c r="Z11" s="96" t="s">
        <v>6744</v>
      </c>
      <c r="AA11" s="903" t="s">
        <v>2957</v>
      </c>
      <c r="AB11" s="903" t="s">
        <v>6745</v>
      </c>
      <c r="AC11" s="903" t="s">
        <v>6746</v>
      </c>
      <c r="AD11" s="903" t="s">
        <v>6747</v>
      </c>
      <c r="AE11" s="903" t="s">
        <v>6748</v>
      </c>
      <c r="AF11" s="904" t="s">
        <v>6749</v>
      </c>
      <c r="AG11" s="197"/>
      <c r="AH11" s="197"/>
      <c r="AI11" s="197"/>
      <c r="AJ11" s="197"/>
      <c r="AK11" s="197"/>
      <c r="AL11" s="197"/>
    </row>
    <row r="12" spans="1:38" s="891" customFormat="1" ht="15.75" customHeight="1">
      <c r="A12" s="197"/>
      <c r="B12" s="96" t="s">
        <v>6750</v>
      </c>
      <c r="C12" s="97" t="s">
        <v>137</v>
      </c>
      <c r="D12" s="97">
        <v>3</v>
      </c>
      <c r="E12" s="1510">
        <v>0</v>
      </c>
      <c r="F12" s="1510">
        <v>0</v>
      </c>
      <c r="G12" s="1510">
        <v>0</v>
      </c>
      <c r="H12" s="1510">
        <v>0</v>
      </c>
      <c r="I12" s="1510">
        <v>0</v>
      </c>
      <c r="J12" s="1511">
        <f t="shared" si="7"/>
        <v>0</v>
      </c>
      <c r="K12" s="893"/>
      <c r="L12" s="52" t="s">
        <v>6751</v>
      </c>
      <c r="M12" s="174"/>
      <c r="N12" s="823"/>
      <c r="O12" s="174"/>
      <c r="P12" s="889"/>
      <c r="Q12" s="251">
        <f t="shared" si="0"/>
        <v>0</v>
      </c>
      <c r="R12" s="890"/>
      <c r="S12" s="252">
        <f t="shared" si="6"/>
        <v>0</v>
      </c>
      <c r="T12" s="252">
        <f t="shared" si="2"/>
        <v>0</v>
      </c>
      <c r="U12" s="252">
        <f t="shared" si="3"/>
        <v>0</v>
      </c>
      <c r="V12" s="252">
        <f t="shared" si="4"/>
        <v>0</v>
      </c>
      <c r="W12" s="252">
        <f t="shared" si="5"/>
        <v>0</v>
      </c>
      <c r="X12" s="725"/>
      <c r="Y12" s="197"/>
      <c r="Z12" s="96" t="s">
        <v>6750</v>
      </c>
      <c r="AA12" s="903" t="s">
        <v>2965</v>
      </c>
      <c r="AB12" s="903" t="s">
        <v>6752</v>
      </c>
      <c r="AC12" s="903" t="s">
        <v>6753</v>
      </c>
      <c r="AD12" s="903" t="s">
        <v>6754</v>
      </c>
      <c r="AE12" s="903" t="s">
        <v>6755</v>
      </c>
      <c r="AF12" s="904" t="s">
        <v>6756</v>
      </c>
      <c r="AG12" s="197"/>
      <c r="AH12" s="197"/>
      <c r="AI12" s="197"/>
      <c r="AJ12" s="197"/>
      <c r="AK12" s="197"/>
      <c r="AL12" s="197"/>
    </row>
    <row r="13" spans="1:38" s="891" customFormat="1" ht="15.75" customHeight="1">
      <c r="A13" s="197"/>
      <c r="B13" s="96" t="s">
        <v>6757</v>
      </c>
      <c r="C13" s="97" t="s">
        <v>137</v>
      </c>
      <c r="D13" s="97">
        <v>3</v>
      </c>
      <c r="E13" s="1510">
        <v>0</v>
      </c>
      <c r="F13" s="1510">
        <v>0</v>
      </c>
      <c r="G13" s="1510">
        <v>0</v>
      </c>
      <c r="H13" s="1510">
        <v>0</v>
      </c>
      <c r="I13" s="1510">
        <v>0</v>
      </c>
      <c r="J13" s="1511">
        <f t="shared" si="7"/>
        <v>0</v>
      </c>
      <c r="K13" s="893"/>
      <c r="L13" s="52" t="s">
        <v>6758</v>
      </c>
      <c r="M13" s="174"/>
      <c r="N13" s="823"/>
      <c r="O13" s="174"/>
      <c r="P13" s="889"/>
      <c r="Q13" s="251">
        <f t="shared" si="0"/>
        <v>0</v>
      </c>
      <c r="R13" s="890"/>
      <c r="S13" s="252">
        <f t="shared" si="6"/>
        <v>0</v>
      </c>
      <c r="T13" s="252">
        <f t="shared" si="2"/>
        <v>0</v>
      </c>
      <c r="U13" s="252">
        <f t="shared" si="3"/>
        <v>0</v>
      </c>
      <c r="V13" s="252">
        <f t="shared" si="4"/>
        <v>0</v>
      </c>
      <c r="W13" s="252">
        <f t="shared" si="5"/>
        <v>0</v>
      </c>
      <c r="X13" s="725"/>
      <c r="Y13" s="197"/>
      <c r="Z13" s="96" t="s">
        <v>6757</v>
      </c>
      <c r="AA13" s="903" t="s">
        <v>2973</v>
      </c>
      <c r="AB13" s="903" t="s">
        <v>6759</v>
      </c>
      <c r="AC13" s="903" t="s">
        <v>6760</v>
      </c>
      <c r="AD13" s="903" t="s">
        <v>6761</v>
      </c>
      <c r="AE13" s="903" t="s">
        <v>6762</v>
      </c>
      <c r="AF13" s="904" t="s">
        <v>6763</v>
      </c>
      <c r="AG13" s="197"/>
      <c r="AH13" s="197"/>
      <c r="AI13" s="197"/>
      <c r="AJ13" s="197"/>
      <c r="AK13" s="197"/>
      <c r="AL13" s="197"/>
    </row>
    <row r="14" spans="1:38" s="891" customFormat="1" ht="15.75" customHeight="1">
      <c r="A14" s="197"/>
      <c r="B14" s="96" t="s">
        <v>2981</v>
      </c>
      <c r="C14" s="97" t="s">
        <v>137</v>
      </c>
      <c r="D14" s="97">
        <v>3</v>
      </c>
      <c r="E14" s="1510">
        <v>15.265000000000001</v>
      </c>
      <c r="F14" s="1510">
        <v>2.448</v>
      </c>
      <c r="G14" s="1510">
        <v>2.2970000000000002</v>
      </c>
      <c r="H14" s="1510">
        <v>63.317999999999998</v>
      </c>
      <c r="I14" s="1510">
        <f>110.815-'4L'!J38</f>
        <v>88.501000000000005</v>
      </c>
      <c r="J14" s="1511">
        <f t="shared" si="7"/>
        <v>171.82900000000001</v>
      </c>
      <c r="K14" s="893"/>
      <c r="L14" s="52" t="s">
        <v>6764</v>
      </c>
      <c r="M14" s="174"/>
      <c r="N14" s="823"/>
      <c r="O14" s="174"/>
      <c r="P14" s="889"/>
      <c r="Q14" s="251">
        <f t="shared" si="0"/>
        <v>0</v>
      </c>
      <c r="R14" s="890"/>
      <c r="S14" s="252">
        <f t="shared" si="6"/>
        <v>0</v>
      </c>
      <c r="T14" s="252">
        <f t="shared" si="2"/>
        <v>0</v>
      </c>
      <c r="U14" s="252">
        <f t="shared" si="3"/>
        <v>0</v>
      </c>
      <c r="V14" s="252">
        <f t="shared" si="4"/>
        <v>0</v>
      </c>
      <c r="W14" s="252">
        <f t="shared" si="5"/>
        <v>0</v>
      </c>
      <c r="X14" s="725"/>
      <c r="Y14" s="197"/>
      <c r="Z14" s="96" t="s">
        <v>2981</v>
      </c>
      <c r="AA14" s="903" t="s">
        <v>6765</v>
      </c>
      <c r="AB14" s="903" t="s">
        <v>6766</v>
      </c>
      <c r="AC14" s="903" t="s">
        <v>6767</v>
      </c>
      <c r="AD14" s="903" t="s">
        <v>6768</v>
      </c>
      <c r="AE14" s="903" t="s">
        <v>6769</v>
      </c>
      <c r="AF14" s="904" t="s">
        <v>6770</v>
      </c>
      <c r="AG14" s="197"/>
      <c r="AH14" s="197"/>
      <c r="AI14" s="197"/>
      <c r="AJ14" s="197"/>
      <c r="AK14" s="197"/>
      <c r="AL14" s="197"/>
    </row>
    <row r="15" spans="1:38" s="891" customFormat="1" ht="15.75" customHeight="1">
      <c r="A15" s="197"/>
      <c r="B15" s="100" t="s">
        <v>2988</v>
      </c>
      <c r="C15" s="101" t="s">
        <v>137</v>
      </c>
      <c r="D15" s="101">
        <v>3</v>
      </c>
      <c r="E15" s="1512">
        <v>7.9210000000000003</v>
      </c>
      <c r="F15" s="1512">
        <v>1.9710000000000001</v>
      </c>
      <c r="G15" s="1512">
        <v>0.86199999999999999</v>
      </c>
      <c r="H15" s="1512">
        <v>1</v>
      </c>
      <c r="I15" s="1512">
        <v>29.265999999999998</v>
      </c>
      <c r="J15" s="1513">
        <f>IFERROR(SUM(E15:I15), 0)</f>
        <v>41.019999999999996</v>
      </c>
      <c r="K15" s="893"/>
      <c r="L15" s="54" t="s">
        <v>6771</v>
      </c>
      <c r="M15" s="174"/>
      <c r="N15" s="838"/>
      <c r="O15" s="174"/>
      <c r="P15" s="889"/>
      <c r="Q15" s="251">
        <f t="shared" si="0"/>
        <v>0</v>
      </c>
      <c r="R15" s="890"/>
      <c r="S15" s="252">
        <f t="shared" si="6"/>
        <v>0</v>
      </c>
      <c r="T15" s="252">
        <f t="shared" si="2"/>
        <v>0</v>
      </c>
      <c r="U15" s="252">
        <f t="shared" si="3"/>
        <v>0</v>
      </c>
      <c r="V15" s="252">
        <f t="shared" si="4"/>
        <v>0</v>
      </c>
      <c r="W15" s="252">
        <f t="shared" si="5"/>
        <v>0</v>
      </c>
      <c r="X15" s="725"/>
      <c r="Y15" s="197"/>
      <c r="Z15" s="100" t="s">
        <v>2988</v>
      </c>
      <c r="AA15" s="905" t="s">
        <v>2990</v>
      </c>
      <c r="AB15" s="905" t="s">
        <v>6772</v>
      </c>
      <c r="AC15" s="905" t="s">
        <v>6773</v>
      </c>
      <c r="AD15" s="905" t="s">
        <v>6774</v>
      </c>
      <c r="AE15" s="905" t="s">
        <v>6775</v>
      </c>
      <c r="AF15" s="906" t="s">
        <v>6776</v>
      </c>
      <c r="AG15" s="197"/>
      <c r="AH15" s="197"/>
      <c r="AI15" s="197"/>
      <c r="AJ15" s="197"/>
      <c r="AK15" s="197"/>
      <c r="AL15" s="197"/>
    </row>
    <row r="16" spans="1:38" s="891" customFormat="1" ht="15.75" customHeight="1" thickTop="1" thickBot="1">
      <c r="A16" s="197"/>
      <c r="B16" s="907"/>
      <c r="C16" s="907"/>
      <c r="D16" s="907"/>
      <c r="E16" s="1514"/>
      <c r="F16" s="1514"/>
      <c r="G16" s="1514"/>
      <c r="H16" s="1514"/>
      <c r="I16" s="1514"/>
      <c r="J16" s="1514"/>
      <c r="K16" s="893"/>
      <c r="L16" s="908"/>
      <c r="M16" s="909"/>
      <c r="N16" s="909"/>
      <c r="O16" s="909"/>
      <c r="P16" s="889"/>
      <c r="Q16" s="106"/>
      <c r="R16" s="890"/>
      <c r="S16" s="237"/>
      <c r="T16" s="237"/>
      <c r="U16" s="237"/>
      <c r="V16" s="237"/>
      <c r="W16" s="237"/>
      <c r="X16" s="725"/>
      <c r="Y16" s="197"/>
      <c r="Z16" s="907"/>
      <c r="AA16" s="898"/>
      <c r="AB16" s="898"/>
      <c r="AC16" s="898"/>
      <c r="AD16" s="898"/>
      <c r="AE16" s="898"/>
      <c r="AF16" s="898"/>
      <c r="AG16" s="197"/>
      <c r="AH16" s="197"/>
      <c r="AI16" s="197"/>
      <c r="AJ16" s="197"/>
      <c r="AK16" s="197"/>
      <c r="AL16" s="197"/>
    </row>
    <row r="17" spans="1:38" s="891" customFormat="1" ht="15.75" customHeight="1" thickTop="1" thickBot="1">
      <c r="A17" s="197"/>
      <c r="B17" s="33" t="s">
        <v>6777</v>
      </c>
      <c r="C17" s="356"/>
      <c r="D17" s="356"/>
      <c r="E17" s="1515"/>
      <c r="F17" s="1515"/>
      <c r="G17" s="1515"/>
      <c r="H17" s="1516"/>
      <c r="I17" s="1516"/>
      <c r="J17" s="1517"/>
      <c r="K17" s="893"/>
      <c r="L17" s="899"/>
      <c r="M17" s="900"/>
      <c r="N17" s="900"/>
      <c r="O17" s="900"/>
      <c r="P17" s="889"/>
      <c r="Q17" s="106"/>
      <c r="R17" s="890"/>
      <c r="S17" s="237"/>
      <c r="T17" s="237"/>
      <c r="U17" s="237"/>
      <c r="V17" s="237"/>
      <c r="W17" s="237"/>
      <c r="X17" s="725"/>
      <c r="Y17" s="197"/>
      <c r="Z17" s="33" t="s">
        <v>6777</v>
      </c>
      <c r="AA17" s="444"/>
      <c r="AB17" s="444"/>
      <c r="AC17" s="444"/>
      <c r="AD17" s="897"/>
      <c r="AE17" s="897"/>
      <c r="AF17" s="893"/>
      <c r="AG17" s="197"/>
      <c r="AH17" s="197"/>
      <c r="AI17" s="197"/>
      <c r="AJ17" s="197"/>
      <c r="AK17" s="197"/>
      <c r="AL17" s="197"/>
    </row>
    <row r="18" spans="1:38" s="891" customFormat="1" ht="15.75" customHeight="1">
      <c r="A18" s="197"/>
      <c r="B18" s="93" t="s">
        <v>6778</v>
      </c>
      <c r="C18" s="94" t="s">
        <v>137</v>
      </c>
      <c r="D18" s="94">
        <v>3</v>
      </c>
      <c r="E18" s="1508">
        <v>0.67900000000000005</v>
      </c>
      <c r="F18" s="1508">
        <v>0</v>
      </c>
      <c r="G18" s="1508">
        <v>0</v>
      </c>
      <c r="H18" s="1508">
        <v>0</v>
      </c>
      <c r="I18" s="1508">
        <v>0</v>
      </c>
      <c r="J18" s="1509">
        <f>IFERROR(SUM(E18:I18), 0)</f>
        <v>0.67900000000000005</v>
      </c>
      <c r="K18" s="893"/>
      <c r="L18" s="43" t="s">
        <v>6779</v>
      </c>
      <c r="M18" s="174"/>
      <c r="N18" s="816"/>
      <c r="O18" s="174"/>
      <c r="P18" s="889"/>
      <c r="Q18" s="251">
        <f t="shared" ref="Q18:Q20" si="8">IF( SUM( S18:W18 ) = 0, 0, $S$8 )</f>
        <v>0</v>
      </c>
      <c r="R18" s="890"/>
      <c r="S18" s="252">
        <f t="shared" ref="S18:S20" si="9" xml:space="preserve"> IF( ISNUMBER(E18), 0, 1 )</f>
        <v>0</v>
      </c>
      <c r="T18" s="252">
        <f t="shared" ref="T18:T20" si="10" xml:space="preserve"> IF( ISNUMBER(F18), 0, 1 )</f>
        <v>0</v>
      </c>
      <c r="U18" s="252">
        <f t="shared" ref="U18:U20" si="11" xml:space="preserve"> IF( ISNUMBER(G18), 0, 1 )</f>
        <v>0</v>
      </c>
      <c r="V18" s="252">
        <f t="shared" ref="V18:V20" si="12" xml:space="preserve"> IF( ISNUMBER(H18), 0, 1 )</f>
        <v>0</v>
      </c>
      <c r="W18" s="252">
        <f t="shared" ref="W18:W20" si="13" xml:space="preserve"> IF( ISNUMBER(I18), 0, 1 )</f>
        <v>0</v>
      </c>
      <c r="X18" s="725"/>
      <c r="Y18" s="197"/>
      <c r="Z18" s="93" t="s">
        <v>6778</v>
      </c>
      <c r="AA18" s="901" t="s">
        <v>6780</v>
      </c>
      <c r="AB18" s="901" t="s">
        <v>6781</v>
      </c>
      <c r="AC18" s="901" t="s">
        <v>6782</v>
      </c>
      <c r="AD18" s="901" t="s">
        <v>6783</v>
      </c>
      <c r="AE18" s="901" t="s">
        <v>6784</v>
      </c>
      <c r="AF18" s="902" t="s">
        <v>6785</v>
      </c>
      <c r="AG18" s="197"/>
      <c r="AH18" s="197"/>
      <c r="AI18" s="197"/>
      <c r="AJ18" s="197"/>
      <c r="AK18" s="197"/>
      <c r="AL18" s="197"/>
    </row>
    <row r="19" spans="1:38" s="891" customFormat="1" ht="15.75" customHeight="1">
      <c r="A19" s="197"/>
      <c r="B19" s="96" t="s">
        <v>6786</v>
      </c>
      <c r="C19" s="97" t="s">
        <v>137</v>
      </c>
      <c r="D19" s="97">
        <v>3</v>
      </c>
      <c r="E19" s="1510">
        <v>9.5500000000000007</v>
      </c>
      <c r="F19" s="1510">
        <v>0</v>
      </c>
      <c r="G19" s="1510">
        <v>0</v>
      </c>
      <c r="H19" s="1510">
        <v>0.251</v>
      </c>
      <c r="I19" s="1510">
        <v>0</v>
      </c>
      <c r="J19" s="1511">
        <f>IFERROR(SUM(E19:I19), 0)</f>
        <v>9.8010000000000002</v>
      </c>
      <c r="K19" s="893"/>
      <c r="L19" s="52" t="s">
        <v>6787</v>
      </c>
      <c r="M19" s="174"/>
      <c r="N19" s="823"/>
      <c r="O19" s="174"/>
      <c r="P19" s="889"/>
      <c r="Q19" s="251">
        <f t="shared" si="8"/>
        <v>0</v>
      </c>
      <c r="R19" s="890"/>
      <c r="S19" s="252">
        <f t="shared" si="9"/>
        <v>0</v>
      </c>
      <c r="T19" s="252">
        <f t="shared" si="10"/>
        <v>0</v>
      </c>
      <c r="U19" s="252">
        <f t="shared" si="11"/>
        <v>0</v>
      </c>
      <c r="V19" s="252">
        <f t="shared" si="12"/>
        <v>0</v>
      </c>
      <c r="W19" s="252">
        <f t="shared" si="13"/>
        <v>0</v>
      </c>
      <c r="X19" s="725"/>
      <c r="Y19" s="197"/>
      <c r="Z19" s="96" t="s">
        <v>6786</v>
      </c>
      <c r="AA19" s="903" t="s">
        <v>6788</v>
      </c>
      <c r="AB19" s="903" t="s">
        <v>6789</v>
      </c>
      <c r="AC19" s="903" t="s">
        <v>6790</v>
      </c>
      <c r="AD19" s="903" t="s">
        <v>6791</v>
      </c>
      <c r="AE19" s="903" t="s">
        <v>6792</v>
      </c>
      <c r="AF19" s="904" t="s">
        <v>6793</v>
      </c>
      <c r="AG19" s="197"/>
      <c r="AH19" s="197"/>
      <c r="AI19" s="197"/>
      <c r="AJ19" s="197"/>
      <c r="AK19" s="197"/>
      <c r="AL19" s="197"/>
    </row>
    <row r="20" spans="1:38" s="891" customFormat="1" ht="15.75" customHeight="1">
      <c r="A20" s="197"/>
      <c r="B20" s="100" t="s">
        <v>6794</v>
      </c>
      <c r="C20" s="101" t="s">
        <v>137</v>
      </c>
      <c r="D20" s="101">
        <v>3</v>
      </c>
      <c r="E20" s="1512">
        <v>0</v>
      </c>
      <c r="F20" s="1512">
        <v>0</v>
      </c>
      <c r="G20" s="1512">
        <v>0</v>
      </c>
      <c r="H20" s="1512">
        <v>0</v>
      </c>
      <c r="I20" s="1512">
        <v>0</v>
      </c>
      <c r="J20" s="1513">
        <f>IFERROR(SUM(E20:I20), 0)</f>
        <v>0</v>
      </c>
      <c r="K20" s="893"/>
      <c r="L20" s="54" t="s">
        <v>6795</v>
      </c>
      <c r="M20" s="174"/>
      <c r="N20" s="838"/>
      <c r="O20" s="174"/>
      <c r="P20" s="889"/>
      <c r="Q20" s="251">
        <f t="shared" si="8"/>
        <v>0</v>
      </c>
      <c r="R20" s="890"/>
      <c r="S20" s="252">
        <f t="shared" si="9"/>
        <v>0</v>
      </c>
      <c r="T20" s="252">
        <f t="shared" si="10"/>
        <v>0</v>
      </c>
      <c r="U20" s="252">
        <f t="shared" si="11"/>
        <v>0</v>
      </c>
      <c r="V20" s="252">
        <f t="shared" si="12"/>
        <v>0</v>
      </c>
      <c r="W20" s="252">
        <f t="shared" si="13"/>
        <v>0</v>
      </c>
      <c r="X20" s="725"/>
      <c r="Y20" s="197"/>
      <c r="Z20" s="100" t="s">
        <v>6794</v>
      </c>
      <c r="AA20" s="905" t="s">
        <v>6796</v>
      </c>
      <c r="AB20" s="905" t="s">
        <v>6797</v>
      </c>
      <c r="AC20" s="905" t="s">
        <v>6798</v>
      </c>
      <c r="AD20" s="905" t="s">
        <v>6799</v>
      </c>
      <c r="AE20" s="905" t="s">
        <v>6800</v>
      </c>
      <c r="AF20" s="906" t="s">
        <v>6801</v>
      </c>
      <c r="AG20" s="197"/>
      <c r="AH20" s="197"/>
      <c r="AI20" s="197"/>
      <c r="AJ20" s="197"/>
      <c r="AK20" s="197"/>
      <c r="AL20" s="197"/>
    </row>
    <row r="21" spans="1:38" s="891" customFormat="1" ht="15.75" customHeight="1">
      <c r="A21" s="197"/>
      <c r="B21" s="897"/>
      <c r="C21" s="897"/>
      <c r="D21" s="897"/>
      <c r="E21" s="1517"/>
      <c r="F21" s="1517"/>
      <c r="G21" s="1517"/>
      <c r="H21" s="1517"/>
      <c r="I21" s="1517"/>
      <c r="J21" s="1514"/>
      <c r="K21" s="893"/>
      <c r="L21" s="898"/>
      <c r="M21" s="86"/>
      <c r="N21" s="86"/>
      <c r="O21" s="86"/>
      <c r="P21" s="889"/>
      <c r="Q21" s="106"/>
      <c r="R21" s="890"/>
      <c r="S21" s="237"/>
      <c r="T21" s="237"/>
      <c r="U21" s="237"/>
      <c r="V21" s="237"/>
      <c r="W21" s="237"/>
      <c r="X21" s="725"/>
      <c r="Y21" s="197"/>
      <c r="Z21" s="897"/>
      <c r="AA21" s="893"/>
      <c r="AB21" s="893"/>
      <c r="AC21" s="893"/>
      <c r="AD21" s="893"/>
      <c r="AE21" s="893"/>
      <c r="AF21" s="898"/>
      <c r="AG21" s="197"/>
      <c r="AH21" s="197"/>
      <c r="AI21" s="197"/>
      <c r="AJ21" s="197"/>
      <c r="AK21" s="197"/>
      <c r="AL21" s="197"/>
    </row>
    <row r="22" spans="1:38" s="891" customFormat="1" ht="15.75" customHeight="1" thickTop="1" thickBot="1">
      <c r="A22" s="197"/>
      <c r="B22" s="33" t="s">
        <v>6802</v>
      </c>
      <c r="C22" s="356"/>
      <c r="D22" s="356"/>
      <c r="E22" s="1515"/>
      <c r="F22" s="1515"/>
      <c r="G22" s="1515"/>
      <c r="H22" s="1516"/>
      <c r="I22" s="1516"/>
      <c r="J22" s="1517"/>
      <c r="K22" s="893"/>
      <c r="L22" s="899"/>
      <c r="M22" s="900"/>
      <c r="N22" s="900"/>
      <c r="O22" s="900"/>
      <c r="P22" s="889"/>
      <c r="Q22" s="106"/>
      <c r="R22" s="890"/>
      <c r="S22" s="237"/>
      <c r="T22" s="237"/>
      <c r="U22" s="237"/>
      <c r="V22" s="237"/>
      <c r="W22" s="237"/>
      <c r="X22" s="725"/>
      <c r="Y22" s="197"/>
      <c r="Z22" s="33" t="s">
        <v>2981</v>
      </c>
      <c r="AA22" s="444"/>
      <c r="AB22" s="444"/>
      <c r="AC22" s="444"/>
      <c r="AD22" s="897"/>
      <c r="AE22" s="897"/>
      <c r="AF22" s="893"/>
      <c r="AG22" s="197"/>
      <c r="AH22" s="197"/>
      <c r="AI22" s="197"/>
      <c r="AJ22" s="197"/>
      <c r="AK22" s="197"/>
      <c r="AL22" s="197"/>
    </row>
    <row r="23" spans="1:38" s="891" customFormat="1" ht="15.75" customHeight="1">
      <c r="A23" s="197"/>
      <c r="B23" s="93" t="s">
        <v>6803</v>
      </c>
      <c r="C23" s="94" t="s">
        <v>137</v>
      </c>
      <c r="D23" s="94">
        <v>3</v>
      </c>
      <c r="E23" s="1508">
        <v>0</v>
      </c>
      <c r="F23" s="1508">
        <v>0</v>
      </c>
      <c r="G23" s="1508">
        <v>0</v>
      </c>
      <c r="H23" s="1508">
        <v>0</v>
      </c>
      <c r="I23" s="1508">
        <v>3.706</v>
      </c>
      <c r="J23" s="1509">
        <f>IFERROR(SUM(E23:I23), 0)</f>
        <v>3.706</v>
      </c>
      <c r="K23" s="893"/>
      <c r="L23" s="43" t="s">
        <v>6804</v>
      </c>
      <c r="M23" s="174"/>
      <c r="N23" s="816"/>
      <c r="O23" s="174"/>
      <c r="P23" s="889"/>
      <c r="Q23" s="251">
        <f t="shared" ref="Q23:Q25" si="14">IF( SUM( S23:W23 ) = 0, 0, $S$8 )</f>
        <v>0</v>
      </c>
      <c r="R23" s="890"/>
      <c r="S23" s="252">
        <f t="shared" ref="S23:S25" si="15" xml:space="preserve"> IF( ISNUMBER(E23), 0, 1 )</f>
        <v>0</v>
      </c>
      <c r="T23" s="252">
        <f t="shared" ref="T23:T25" si="16" xml:space="preserve"> IF( ISNUMBER(F23), 0, 1 )</f>
        <v>0</v>
      </c>
      <c r="U23" s="252">
        <f t="shared" ref="U23:U25" si="17" xml:space="preserve"> IF( ISNUMBER(G23), 0, 1 )</f>
        <v>0</v>
      </c>
      <c r="V23" s="252">
        <f t="shared" ref="V23:V25" si="18" xml:space="preserve"> IF( ISNUMBER(H23), 0, 1 )</f>
        <v>0</v>
      </c>
      <c r="W23" s="252">
        <f t="shared" ref="W23:W25" si="19" xml:space="preserve"> IF( ISNUMBER(I23), 0, 1 )</f>
        <v>0</v>
      </c>
      <c r="X23" s="725"/>
      <c r="Y23" s="197"/>
      <c r="Z23" s="93" t="s">
        <v>6803</v>
      </c>
      <c r="AA23" s="901" t="s">
        <v>6805</v>
      </c>
      <c r="AB23" s="901" t="s">
        <v>6806</v>
      </c>
      <c r="AC23" s="901" t="s">
        <v>6807</v>
      </c>
      <c r="AD23" s="901" t="s">
        <v>6808</v>
      </c>
      <c r="AE23" s="901" t="s">
        <v>6809</v>
      </c>
      <c r="AF23" s="902" t="s">
        <v>6810</v>
      </c>
      <c r="AG23" s="197"/>
      <c r="AH23" s="197"/>
      <c r="AI23" s="197"/>
      <c r="AJ23" s="197"/>
      <c r="AK23" s="197"/>
      <c r="AL23" s="197"/>
    </row>
    <row r="24" spans="1:38" s="891" customFormat="1" ht="15.75" customHeight="1">
      <c r="A24" s="197"/>
      <c r="B24" s="96" t="s">
        <v>6811</v>
      </c>
      <c r="C24" s="97" t="s">
        <v>137</v>
      </c>
      <c r="D24" s="97">
        <v>3</v>
      </c>
      <c r="E24" s="1510">
        <v>0</v>
      </c>
      <c r="F24" s="1510">
        <v>0</v>
      </c>
      <c r="G24" s="1510">
        <v>0</v>
      </c>
      <c r="H24" s="1510">
        <v>0</v>
      </c>
      <c r="I24" s="1510">
        <v>0</v>
      </c>
      <c r="J24" s="1511">
        <f>IFERROR(SUM(E24:I24), 0)</f>
        <v>0</v>
      </c>
      <c r="K24" s="893"/>
      <c r="L24" s="52" t="s">
        <v>6812</v>
      </c>
      <c r="M24" s="174"/>
      <c r="N24" s="823"/>
      <c r="O24" s="174"/>
      <c r="P24" s="889"/>
      <c r="Q24" s="251">
        <f t="shared" si="14"/>
        <v>0</v>
      </c>
      <c r="R24" s="890"/>
      <c r="S24" s="252">
        <f t="shared" si="15"/>
        <v>0</v>
      </c>
      <c r="T24" s="252">
        <f t="shared" si="16"/>
        <v>0</v>
      </c>
      <c r="U24" s="252">
        <f t="shared" si="17"/>
        <v>0</v>
      </c>
      <c r="V24" s="252">
        <f t="shared" si="18"/>
        <v>0</v>
      </c>
      <c r="W24" s="252">
        <f t="shared" si="19"/>
        <v>0</v>
      </c>
      <c r="X24" s="725"/>
      <c r="Y24" s="197"/>
      <c r="Z24" s="96" t="s">
        <v>6811</v>
      </c>
      <c r="AA24" s="903" t="s">
        <v>6813</v>
      </c>
      <c r="AB24" s="903" t="s">
        <v>6814</v>
      </c>
      <c r="AC24" s="903" t="s">
        <v>6815</v>
      </c>
      <c r="AD24" s="903" t="s">
        <v>6816</v>
      </c>
      <c r="AE24" s="903" t="s">
        <v>6817</v>
      </c>
      <c r="AF24" s="904" t="s">
        <v>6818</v>
      </c>
      <c r="AG24" s="197"/>
      <c r="AH24" s="197"/>
      <c r="AI24" s="197"/>
      <c r="AJ24" s="197"/>
      <c r="AK24" s="197"/>
      <c r="AL24" s="197"/>
    </row>
    <row r="25" spans="1:38" s="891" customFormat="1" ht="15.75" customHeight="1">
      <c r="A25" s="197"/>
      <c r="B25" s="100" t="s">
        <v>6819</v>
      </c>
      <c r="C25" s="101" t="s">
        <v>137</v>
      </c>
      <c r="D25" s="101">
        <v>3</v>
      </c>
      <c r="E25" s="1512">
        <v>0</v>
      </c>
      <c r="F25" s="1512">
        <v>0</v>
      </c>
      <c r="G25" s="1512">
        <v>0</v>
      </c>
      <c r="H25" s="1512">
        <v>0</v>
      </c>
      <c r="I25" s="1512">
        <v>0</v>
      </c>
      <c r="J25" s="1513">
        <f>IFERROR(SUM(E25:I25), 0)</f>
        <v>0</v>
      </c>
      <c r="K25" s="893"/>
      <c r="L25" s="54" t="s">
        <v>6820</v>
      </c>
      <c r="M25" s="174"/>
      <c r="N25" s="838"/>
      <c r="O25" s="174"/>
      <c r="P25" s="889"/>
      <c r="Q25" s="251">
        <f t="shared" si="14"/>
        <v>0</v>
      </c>
      <c r="R25" s="890"/>
      <c r="S25" s="252">
        <f t="shared" si="15"/>
        <v>0</v>
      </c>
      <c r="T25" s="252">
        <f t="shared" si="16"/>
        <v>0</v>
      </c>
      <c r="U25" s="252">
        <f t="shared" si="17"/>
        <v>0</v>
      </c>
      <c r="V25" s="252">
        <f t="shared" si="18"/>
        <v>0</v>
      </c>
      <c r="W25" s="252">
        <f t="shared" si="19"/>
        <v>0</v>
      </c>
      <c r="X25" s="725"/>
      <c r="Y25" s="197"/>
      <c r="Z25" s="100" t="s">
        <v>6819</v>
      </c>
      <c r="AA25" s="905" t="s">
        <v>6821</v>
      </c>
      <c r="AB25" s="905" t="s">
        <v>6822</v>
      </c>
      <c r="AC25" s="905" t="s">
        <v>6823</v>
      </c>
      <c r="AD25" s="905" t="s">
        <v>6824</v>
      </c>
      <c r="AE25" s="905" t="s">
        <v>6825</v>
      </c>
      <c r="AF25" s="906" t="s">
        <v>6826</v>
      </c>
      <c r="AG25" s="197"/>
      <c r="AH25" s="197"/>
      <c r="AI25" s="197"/>
      <c r="AJ25" s="197"/>
      <c r="AK25" s="197"/>
      <c r="AL25" s="197"/>
    </row>
    <row r="26" spans="1:38" s="891" customFormat="1" ht="15.75" customHeight="1" thickTop="1" thickBot="1">
      <c r="A26" s="197"/>
      <c r="B26" s="327"/>
      <c r="C26" s="327"/>
      <c r="D26" s="327"/>
      <c r="E26" s="1518"/>
      <c r="F26" s="1518"/>
      <c r="G26" s="1518"/>
      <c r="H26" s="1518"/>
      <c r="I26" s="1518"/>
      <c r="J26" s="1518"/>
      <c r="K26" s="893"/>
      <c r="L26" s="249"/>
      <c r="M26" s="174"/>
      <c r="N26" s="174"/>
      <c r="O26" s="174"/>
      <c r="P26" s="889"/>
      <c r="Q26" s="106"/>
      <c r="R26" s="890"/>
      <c r="S26" s="237"/>
      <c r="T26" s="237"/>
      <c r="U26" s="237"/>
      <c r="V26" s="237"/>
      <c r="W26" s="237"/>
      <c r="X26" s="725"/>
      <c r="Y26" s="197"/>
      <c r="Z26" s="327"/>
      <c r="AA26" s="83"/>
      <c r="AB26" s="83"/>
      <c r="AC26" s="83"/>
      <c r="AD26" s="83"/>
      <c r="AE26" s="83"/>
      <c r="AF26" s="83"/>
      <c r="AG26" s="197"/>
      <c r="AH26" s="197"/>
      <c r="AI26" s="197"/>
      <c r="AJ26" s="197"/>
      <c r="AK26" s="197"/>
      <c r="AL26" s="197"/>
    </row>
    <row r="27" spans="1:38" s="891" customFormat="1" ht="15.75" customHeight="1" thickTop="1" thickBot="1">
      <c r="A27" s="197"/>
      <c r="B27" s="192" t="s">
        <v>2996</v>
      </c>
      <c r="C27" s="910" t="s">
        <v>137</v>
      </c>
      <c r="D27" s="910">
        <v>3</v>
      </c>
      <c r="E27" s="1519">
        <f>IFERROR(SUM(E9:E15,E18:E20,E23:E25), 0)</f>
        <v>42.712000000000003</v>
      </c>
      <c r="F27" s="1519">
        <f t="shared" ref="F27:I27" si="20">IFERROR(SUM(F9:F15,F18:F20,F23:F25), 0)</f>
        <v>15.674000000000001</v>
      </c>
      <c r="G27" s="1519">
        <f t="shared" si="20"/>
        <v>3.165</v>
      </c>
      <c r="H27" s="1519">
        <f t="shared" si="20"/>
        <v>85.283000000000001</v>
      </c>
      <c r="I27" s="1519">
        <f t="shared" si="20"/>
        <v>146.94999999999999</v>
      </c>
      <c r="J27" s="1520">
        <f>IFERROR(SUM(J9:J15,J18:J20,J23:J25), 0)</f>
        <v>293.78399999999999</v>
      </c>
      <c r="K27" s="893"/>
      <c r="L27" s="59" t="s">
        <v>6827</v>
      </c>
      <c r="M27" s="174"/>
      <c r="N27" s="913"/>
      <c r="O27" s="174"/>
      <c r="P27" s="889"/>
      <c r="Q27" s="106"/>
      <c r="R27" s="890"/>
      <c r="S27" s="237"/>
      <c r="T27" s="237"/>
      <c r="U27" s="237"/>
      <c r="V27" s="237"/>
      <c r="W27" s="237"/>
      <c r="X27" s="725"/>
      <c r="Y27" s="197"/>
      <c r="Z27" s="192" t="s">
        <v>2996</v>
      </c>
      <c r="AA27" s="911" t="s">
        <v>5708</v>
      </c>
      <c r="AB27" s="911" t="s">
        <v>5709</v>
      </c>
      <c r="AC27" s="911" t="s">
        <v>5710</v>
      </c>
      <c r="AD27" s="911" t="s">
        <v>5711</v>
      </c>
      <c r="AE27" s="911" t="s">
        <v>5712</v>
      </c>
      <c r="AF27" s="912" t="s">
        <v>6828</v>
      </c>
      <c r="AG27" s="197"/>
      <c r="AH27" s="197"/>
      <c r="AI27" s="197"/>
      <c r="AJ27" s="197"/>
      <c r="AK27" s="197"/>
      <c r="AL27" s="197"/>
    </row>
    <row r="28" spans="1:38" s="891" customFormat="1" ht="15.75" customHeight="1" thickTop="1" thickBot="1">
      <c r="A28" s="197"/>
      <c r="B28" s="327"/>
      <c r="C28" s="327"/>
      <c r="D28" s="327"/>
      <c r="E28" s="1518"/>
      <c r="F28" s="1518"/>
      <c r="G28" s="1518"/>
      <c r="H28" s="1518"/>
      <c r="I28" s="1518"/>
      <c r="J28" s="1518"/>
      <c r="K28" s="893"/>
      <c r="L28" s="249"/>
      <c r="M28" s="174"/>
      <c r="N28" s="174"/>
      <c r="O28" s="174"/>
      <c r="P28" s="889"/>
      <c r="Q28" s="106"/>
      <c r="R28" s="890"/>
      <c r="S28" s="237"/>
      <c r="T28" s="237"/>
      <c r="U28" s="237"/>
      <c r="V28" s="237"/>
      <c r="W28" s="237"/>
      <c r="X28" s="725"/>
      <c r="Y28" s="197"/>
      <c r="Z28" s="327"/>
      <c r="AA28" s="83"/>
      <c r="AB28" s="83"/>
      <c r="AC28" s="83"/>
      <c r="AD28" s="83"/>
      <c r="AE28" s="83"/>
      <c r="AF28" s="83"/>
      <c r="AG28" s="197"/>
      <c r="AH28" s="197"/>
      <c r="AI28" s="197"/>
      <c r="AJ28" s="197"/>
      <c r="AK28" s="197"/>
      <c r="AL28" s="197"/>
    </row>
    <row r="29" spans="1:38" s="891" customFormat="1" ht="15.75" customHeight="1" thickTop="1" thickBot="1">
      <c r="A29" s="197"/>
      <c r="B29" s="33" t="s">
        <v>2389</v>
      </c>
      <c r="C29" s="356"/>
      <c r="D29" s="356"/>
      <c r="E29" s="1515"/>
      <c r="F29" s="1515"/>
      <c r="G29" s="1515"/>
      <c r="H29" s="1516"/>
      <c r="I29" s="1516"/>
      <c r="J29" s="1517"/>
      <c r="K29" s="893"/>
      <c r="L29" s="899"/>
      <c r="M29" s="900"/>
      <c r="N29" s="900"/>
      <c r="O29" s="900"/>
      <c r="P29" s="889"/>
      <c r="Q29" s="106"/>
      <c r="R29" s="890"/>
      <c r="S29" s="237"/>
      <c r="T29" s="237"/>
      <c r="U29" s="237"/>
      <c r="V29" s="237"/>
      <c r="W29" s="237"/>
      <c r="X29" s="725"/>
      <c r="Y29" s="197"/>
      <c r="Z29" s="33" t="s">
        <v>2389</v>
      </c>
      <c r="AA29" s="444"/>
      <c r="AB29" s="444"/>
      <c r="AC29" s="444"/>
      <c r="AD29" s="897"/>
      <c r="AE29" s="897"/>
      <c r="AF29" s="893"/>
      <c r="AG29" s="197"/>
      <c r="AH29" s="197"/>
      <c r="AI29" s="197"/>
      <c r="AJ29" s="197"/>
      <c r="AK29" s="197"/>
      <c r="AL29" s="197"/>
    </row>
    <row r="30" spans="1:38" s="891" customFormat="1" ht="15.75" customHeight="1">
      <c r="A30" s="197"/>
      <c r="B30" s="93" t="s">
        <v>6829</v>
      </c>
      <c r="C30" s="94" t="s">
        <v>137</v>
      </c>
      <c r="D30" s="94">
        <v>3</v>
      </c>
      <c r="E30" s="1508">
        <v>18.026</v>
      </c>
      <c r="F30" s="1508">
        <v>1.33</v>
      </c>
      <c r="G30" s="1508">
        <v>0</v>
      </c>
      <c r="H30" s="1508">
        <v>0</v>
      </c>
      <c r="I30" s="1508">
        <v>47.287999999999997</v>
      </c>
      <c r="J30" s="1509">
        <f>IFERROR(SUM(E30:I30), 0)</f>
        <v>66.644000000000005</v>
      </c>
      <c r="K30" s="893"/>
      <c r="L30" s="43" t="s">
        <v>6830</v>
      </c>
      <c r="M30" s="174"/>
      <c r="N30" s="816"/>
      <c r="O30" s="174"/>
      <c r="P30" s="889"/>
      <c r="Q30" s="251">
        <f t="shared" ref="Q30:Q31" si="21">IF( SUM( S30:W30 ) = 0, 0, $S$8 )</f>
        <v>0</v>
      </c>
      <c r="R30" s="890"/>
      <c r="S30" s="252">
        <f t="shared" ref="S30:S31" si="22" xml:space="preserve"> IF( ISNUMBER(E30), 0, 1 )</f>
        <v>0</v>
      </c>
      <c r="T30" s="252">
        <f t="shared" ref="T30:T31" si="23" xml:space="preserve"> IF( ISNUMBER(F30), 0, 1 )</f>
        <v>0</v>
      </c>
      <c r="U30" s="252">
        <f t="shared" ref="U30:U31" si="24" xml:space="preserve"> IF( ISNUMBER(G30), 0, 1 )</f>
        <v>0</v>
      </c>
      <c r="V30" s="252">
        <f t="shared" ref="V30:V31" si="25" xml:space="preserve"> IF( ISNUMBER(H30), 0, 1 )</f>
        <v>0</v>
      </c>
      <c r="W30" s="252">
        <f t="shared" ref="W30:W31" si="26" xml:space="preserve"> IF( ISNUMBER(I30), 0, 1 )</f>
        <v>0</v>
      </c>
      <c r="X30" s="725"/>
      <c r="Y30" s="197"/>
      <c r="Z30" s="93" t="s">
        <v>6829</v>
      </c>
      <c r="AA30" s="901" t="s">
        <v>6831</v>
      </c>
      <c r="AB30" s="901" t="s">
        <v>6832</v>
      </c>
      <c r="AC30" s="901" t="s">
        <v>6833</v>
      </c>
      <c r="AD30" s="901" t="s">
        <v>6834</v>
      </c>
      <c r="AE30" s="901" t="s">
        <v>6835</v>
      </c>
      <c r="AF30" s="902" t="s">
        <v>6836</v>
      </c>
      <c r="AG30" s="197"/>
      <c r="AH30" s="197"/>
      <c r="AI30" s="197"/>
      <c r="AJ30" s="197"/>
      <c r="AK30" s="197"/>
      <c r="AL30" s="197"/>
    </row>
    <row r="31" spans="1:38" s="891" customFormat="1" ht="15.75" customHeight="1">
      <c r="A31" s="197"/>
      <c r="B31" s="96" t="s">
        <v>6837</v>
      </c>
      <c r="C31" s="97" t="s">
        <v>137</v>
      </c>
      <c r="D31" s="97">
        <v>3</v>
      </c>
      <c r="E31" s="1510">
        <v>6.468</v>
      </c>
      <c r="F31" s="1510">
        <v>0.28699999999999998</v>
      </c>
      <c r="G31" s="1510">
        <v>0.69499999999999995</v>
      </c>
      <c r="H31" s="1510">
        <v>37.213000000000001</v>
      </c>
      <c r="I31" s="1510">
        <v>39.031999999999996</v>
      </c>
      <c r="J31" s="1511">
        <f>IFERROR(SUM(E31:I31), 0)</f>
        <v>83.694999999999993</v>
      </c>
      <c r="K31" s="893"/>
      <c r="L31" s="52" t="s">
        <v>6838</v>
      </c>
      <c r="M31" s="174"/>
      <c r="N31" s="823"/>
      <c r="O31" s="174"/>
      <c r="P31" s="889"/>
      <c r="Q31" s="251">
        <f t="shared" si="21"/>
        <v>0</v>
      </c>
      <c r="R31" s="890"/>
      <c r="S31" s="252">
        <f t="shared" si="22"/>
        <v>0</v>
      </c>
      <c r="T31" s="252">
        <f t="shared" si="23"/>
        <v>0</v>
      </c>
      <c r="U31" s="252">
        <f t="shared" si="24"/>
        <v>0</v>
      </c>
      <c r="V31" s="252">
        <f t="shared" si="25"/>
        <v>0</v>
      </c>
      <c r="W31" s="252">
        <f t="shared" si="26"/>
        <v>0</v>
      </c>
      <c r="X31" s="725"/>
      <c r="Y31" s="197"/>
      <c r="Z31" s="96" t="s">
        <v>6837</v>
      </c>
      <c r="AA31" s="903" t="s">
        <v>6839</v>
      </c>
      <c r="AB31" s="903" t="s">
        <v>6840</v>
      </c>
      <c r="AC31" s="903" t="s">
        <v>6841</v>
      </c>
      <c r="AD31" s="903" t="s">
        <v>6842</v>
      </c>
      <c r="AE31" s="903" t="s">
        <v>6843</v>
      </c>
      <c r="AF31" s="904" t="s">
        <v>6844</v>
      </c>
      <c r="AG31" s="197"/>
      <c r="AH31" s="197"/>
      <c r="AI31" s="197"/>
      <c r="AJ31" s="197"/>
      <c r="AK31" s="197"/>
      <c r="AL31" s="197"/>
    </row>
    <row r="32" spans="1:38" s="891" customFormat="1" ht="15.75" customHeight="1" thickBot="1">
      <c r="A32" s="197"/>
      <c r="B32" s="100" t="s">
        <v>6845</v>
      </c>
      <c r="C32" s="101" t="s">
        <v>137</v>
      </c>
      <c r="D32" s="101">
        <v>3</v>
      </c>
      <c r="E32" s="1521">
        <f>IFERROR(SUM(E30:E31), 0)</f>
        <v>24.494</v>
      </c>
      <c r="F32" s="1521">
        <f>IFERROR(SUM(F30:F31), 0)</f>
        <v>1.617</v>
      </c>
      <c r="G32" s="1521">
        <f>IFERROR(SUM(G30:G31), 0)</f>
        <v>0.69499999999999995</v>
      </c>
      <c r="H32" s="1521">
        <f>IFERROR(SUM(H30:H31), 0)</f>
        <v>37.213000000000001</v>
      </c>
      <c r="I32" s="1521">
        <f>IFERROR(SUM(I30:I31), 0)</f>
        <v>86.32</v>
      </c>
      <c r="J32" s="1513">
        <f>IFERROR(SUM(E32:I32), 0)</f>
        <v>150.339</v>
      </c>
      <c r="K32" s="893"/>
      <c r="L32" s="54" t="s">
        <v>6846</v>
      </c>
      <c r="M32" s="174"/>
      <c r="N32" s="838"/>
      <c r="O32" s="174"/>
      <c r="P32" s="889"/>
      <c r="Q32" s="106"/>
      <c r="R32" s="890"/>
      <c r="S32" s="237"/>
      <c r="T32" s="237"/>
      <c r="U32" s="237"/>
      <c r="V32" s="237"/>
      <c r="W32" s="237"/>
      <c r="X32" s="725"/>
      <c r="Y32" s="197"/>
      <c r="Z32" s="100" t="s">
        <v>6845</v>
      </c>
      <c r="AA32" s="914" t="s">
        <v>3055</v>
      </c>
      <c r="AB32" s="914" t="s">
        <v>5755</v>
      </c>
      <c r="AC32" s="914" t="s">
        <v>5756</v>
      </c>
      <c r="AD32" s="914" t="s">
        <v>5757</v>
      </c>
      <c r="AE32" s="914" t="s">
        <v>5758</v>
      </c>
      <c r="AF32" s="906" t="s">
        <v>6847</v>
      </c>
      <c r="AG32" s="197"/>
      <c r="AH32" s="197"/>
      <c r="AI32" s="197"/>
      <c r="AJ32" s="197"/>
      <c r="AK32" s="197"/>
      <c r="AL32" s="197"/>
    </row>
    <row r="33" spans="1:38" s="891" customFormat="1" ht="15.75" customHeight="1" thickTop="1" thickBot="1">
      <c r="A33" s="197"/>
      <c r="B33" s="327"/>
      <c r="C33" s="327"/>
      <c r="D33" s="327"/>
      <c r="E33" s="83"/>
      <c r="F33" s="83"/>
      <c r="G33" s="83"/>
      <c r="H33" s="83"/>
      <c r="I33" s="83"/>
      <c r="J33" s="83"/>
      <c r="K33" s="893"/>
      <c r="L33" s="249"/>
      <c r="M33" s="174"/>
      <c r="N33" s="174"/>
      <c r="O33" s="174"/>
      <c r="P33" s="889"/>
      <c r="Q33" s="106"/>
      <c r="R33" s="890"/>
      <c r="S33" s="237"/>
      <c r="T33" s="237"/>
      <c r="U33" s="237"/>
      <c r="V33" s="237"/>
      <c r="W33" s="237"/>
      <c r="X33" s="725"/>
      <c r="Y33" s="197"/>
      <c r="Z33" s="327"/>
      <c r="AA33" s="83"/>
      <c r="AB33" s="83"/>
      <c r="AC33" s="83"/>
      <c r="AD33" s="83"/>
      <c r="AE33" s="83"/>
      <c r="AF33" s="83"/>
      <c r="AG33" s="197"/>
      <c r="AH33" s="197"/>
      <c r="AI33" s="197"/>
      <c r="AJ33" s="197"/>
      <c r="AK33" s="197"/>
      <c r="AL33" s="197"/>
    </row>
    <row r="34" spans="1:38" s="891" customFormat="1" ht="15.75" customHeight="1" thickTop="1" thickBot="1">
      <c r="A34" s="197"/>
      <c r="B34" s="33" t="s">
        <v>6848</v>
      </c>
      <c r="C34" s="356"/>
      <c r="D34" s="356"/>
      <c r="E34" s="83"/>
      <c r="F34" s="83"/>
      <c r="G34" s="83"/>
      <c r="H34" s="83"/>
      <c r="I34" s="83"/>
      <c r="J34" s="83"/>
      <c r="K34" s="893"/>
      <c r="L34" s="249"/>
      <c r="M34" s="174"/>
      <c r="N34" s="174"/>
      <c r="O34" s="174"/>
      <c r="P34" s="889"/>
      <c r="Q34" s="106"/>
      <c r="R34" s="890"/>
      <c r="S34" s="237"/>
      <c r="T34" s="237"/>
      <c r="U34" s="237"/>
      <c r="V34" s="237"/>
      <c r="W34" s="237"/>
      <c r="X34" s="725"/>
      <c r="Y34" s="197"/>
      <c r="Z34" s="33" t="s">
        <v>6848</v>
      </c>
      <c r="AA34" s="83"/>
      <c r="AB34" s="83"/>
      <c r="AC34" s="83"/>
      <c r="AD34" s="83"/>
      <c r="AE34" s="83"/>
      <c r="AF34" s="83"/>
      <c r="AG34" s="197"/>
      <c r="AH34" s="197"/>
      <c r="AI34" s="197"/>
      <c r="AJ34" s="197"/>
      <c r="AK34" s="197"/>
      <c r="AL34" s="197"/>
    </row>
    <row r="35" spans="1:38" ht="15.75" customHeight="1">
      <c r="A35" s="197"/>
      <c r="B35" s="192" t="s">
        <v>6849</v>
      </c>
      <c r="C35" s="910" t="s">
        <v>138</v>
      </c>
      <c r="D35" s="910">
        <v>0</v>
      </c>
      <c r="E35" s="1522">
        <v>0</v>
      </c>
      <c r="F35" s="1522">
        <v>0</v>
      </c>
      <c r="G35" s="1522">
        <v>0</v>
      </c>
      <c r="H35" s="1522">
        <v>0</v>
      </c>
      <c r="I35" s="1522">
        <v>20800</v>
      </c>
      <c r="J35" s="1523">
        <f>IFERROR(SUM(E35:I35), 0)</f>
        <v>20800</v>
      </c>
      <c r="K35" s="893"/>
      <c r="L35" s="59" t="s">
        <v>6850</v>
      </c>
      <c r="M35" s="174"/>
      <c r="N35" s="913"/>
      <c r="O35" s="174"/>
      <c r="P35" s="889"/>
      <c r="Q35" s="251">
        <f t="shared" ref="Q35" si="27">IF( SUM( S35:W35 ) = 0, 0, $S$8 )</f>
        <v>0</v>
      </c>
      <c r="R35" s="916"/>
      <c r="S35" s="252">
        <f t="shared" ref="S35" si="28" xml:space="preserve"> IF( ISNUMBER(E35), 0, 1 )</f>
        <v>0</v>
      </c>
      <c r="T35" s="252">
        <f t="shared" ref="T35" si="29" xml:space="preserve"> IF( ISNUMBER(F35), 0, 1 )</f>
        <v>0</v>
      </c>
      <c r="U35" s="252">
        <f t="shared" ref="U35" si="30" xml:space="preserve"> IF( ISNUMBER(G35), 0, 1 )</f>
        <v>0</v>
      </c>
      <c r="V35" s="252">
        <f t="shared" ref="V35" si="31" xml:space="preserve"> IF( ISNUMBER(H35), 0, 1 )</f>
        <v>0</v>
      </c>
      <c r="W35" s="252">
        <f t="shared" ref="W35" si="32" xml:space="preserve"> IF( ISNUMBER(I35), 0, 1 )</f>
        <v>0</v>
      </c>
      <c r="X35" s="2578"/>
      <c r="Y35" s="2562"/>
      <c r="Z35" s="192" t="s">
        <v>6849</v>
      </c>
      <c r="AA35" s="915" t="s">
        <v>6851</v>
      </c>
      <c r="AB35" s="915" t="s">
        <v>6852</v>
      </c>
      <c r="AC35" s="915" t="s">
        <v>6853</v>
      </c>
      <c r="AD35" s="915" t="s">
        <v>6854</v>
      </c>
      <c r="AE35" s="915" t="s">
        <v>6855</v>
      </c>
      <c r="AF35" s="912" t="s">
        <v>6856</v>
      </c>
      <c r="AG35" s="2562"/>
      <c r="AH35" s="2562"/>
      <c r="AI35" s="2562"/>
      <c r="AJ35" s="2562"/>
      <c r="AK35" s="2562"/>
      <c r="AL35" s="2562"/>
    </row>
    <row r="36" spans="1:38" ht="18.75" customHeight="1" thickTop="1">
      <c r="A36" s="197"/>
      <c r="B36" s="327"/>
      <c r="C36" s="327"/>
      <c r="D36" s="327"/>
      <c r="E36" s="83"/>
      <c r="F36" s="83"/>
      <c r="G36" s="83"/>
      <c r="H36" s="83"/>
      <c r="I36" s="83"/>
      <c r="J36" s="83" t="s">
        <v>3883</v>
      </c>
      <c r="K36" s="893"/>
      <c r="L36" s="249"/>
      <c r="M36" s="174"/>
      <c r="N36" s="174"/>
      <c r="O36" s="174"/>
      <c r="P36" s="918"/>
      <c r="Q36" s="106"/>
      <c r="R36" s="324"/>
      <c r="S36" s="237"/>
      <c r="T36" s="237"/>
      <c r="U36" s="237"/>
      <c r="V36" s="237"/>
      <c r="W36" s="237"/>
      <c r="X36" s="2562"/>
      <c r="Y36" s="2562"/>
      <c r="Z36" s="429"/>
      <c r="AA36" s="345"/>
      <c r="AB36" s="345"/>
      <c r="AC36" s="345"/>
      <c r="AD36" s="345"/>
      <c r="AE36" s="345"/>
      <c r="AF36" s="345"/>
      <c r="AG36" s="2562"/>
      <c r="AH36" s="2562"/>
      <c r="AI36" s="2562"/>
      <c r="AJ36" s="2562"/>
      <c r="AK36" s="2562"/>
      <c r="AL36" s="2562"/>
    </row>
    <row r="37" spans="1:38">
      <c r="A37" s="197"/>
      <c r="B37" s="197"/>
      <c r="C37" s="197"/>
      <c r="D37" s="197"/>
      <c r="E37" s="197"/>
      <c r="F37" s="197"/>
      <c r="G37" s="197"/>
      <c r="H37" s="197"/>
      <c r="I37" s="197"/>
      <c r="J37" s="197"/>
      <c r="K37" s="197"/>
      <c r="L37" s="178"/>
      <c r="M37" s="178"/>
      <c r="N37" s="178"/>
      <c r="O37" s="178"/>
      <c r="Q37" s="2562"/>
      <c r="R37" s="2562"/>
      <c r="S37" s="237"/>
      <c r="T37" s="237"/>
      <c r="U37" s="237"/>
      <c r="V37" s="237"/>
      <c r="W37" s="237"/>
      <c r="X37" s="2562"/>
      <c r="Y37" s="2562"/>
      <c r="Z37" s="2562"/>
      <c r="AA37" s="2562"/>
      <c r="AB37" s="2562"/>
      <c r="AC37" s="2562"/>
      <c r="AD37" s="2562"/>
      <c r="AE37" s="2562"/>
      <c r="AF37" s="2562"/>
      <c r="AG37" s="2562"/>
      <c r="AH37" s="2562"/>
      <c r="AI37" s="2562"/>
      <c r="AJ37" s="2562"/>
      <c r="AK37" s="2562"/>
      <c r="AL37" s="2562"/>
    </row>
    <row r="38" spans="1:38">
      <c r="A38" s="197"/>
      <c r="B38" s="197"/>
      <c r="C38" s="197"/>
      <c r="D38" s="197"/>
      <c r="E38" s="197"/>
      <c r="F38" s="197"/>
      <c r="G38" s="197"/>
      <c r="H38" s="197"/>
      <c r="I38" s="197"/>
      <c r="J38" s="197"/>
      <c r="K38" s="197"/>
      <c r="L38" s="178"/>
      <c r="M38" s="178"/>
      <c r="N38" s="178"/>
      <c r="O38" s="178"/>
      <c r="Q38" s="2562"/>
      <c r="R38" s="2562"/>
      <c r="S38" s="237"/>
      <c r="T38" s="237"/>
      <c r="U38" s="237"/>
      <c r="V38" s="237"/>
      <c r="W38" s="237"/>
      <c r="X38" s="2562"/>
      <c r="Y38" s="2562"/>
      <c r="Z38" s="2562"/>
      <c r="AA38" s="2562"/>
      <c r="AB38" s="2562"/>
      <c r="AC38" s="2562"/>
      <c r="AD38" s="2562"/>
      <c r="AE38" s="2562"/>
      <c r="AF38" s="2562"/>
      <c r="AG38" s="2562"/>
      <c r="AH38" s="2562"/>
      <c r="AI38" s="2562"/>
      <c r="AJ38" s="2562"/>
      <c r="AK38" s="2562"/>
      <c r="AL38" s="2562"/>
    </row>
    <row r="39" spans="1:38">
      <c r="A39" s="197"/>
      <c r="B39" s="197"/>
      <c r="C39" s="197"/>
      <c r="D39" s="197"/>
      <c r="E39" s="197"/>
      <c r="F39" s="197"/>
      <c r="G39" s="197"/>
      <c r="H39" s="197"/>
      <c r="I39" s="197"/>
      <c r="J39" s="197"/>
      <c r="K39" s="197"/>
      <c r="L39" s="178"/>
      <c r="M39" s="178"/>
      <c r="N39" s="178"/>
      <c r="O39" s="178"/>
      <c r="Q39" s="2562"/>
      <c r="R39" s="2562"/>
      <c r="S39" s="237"/>
      <c r="T39" s="237"/>
      <c r="U39" s="237"/>
      <c r="V39" s="237"/>
      <c r="W39" s="237"/>
      <c r="X39" s="2562"/>
      <c r="Y39" s="2562"/>
      <c r="Z39" s="2562"/>
      <c r="AA39" s="2562"/>
      <c r="AB39" s="2562"/>
      <c r="AC39" s="2562"/>
      <c r="AD39" s="2562"/>
      <c r="AE39" s="2562"/>
      <c r="AF39" s="2562"/>
      <c r="AG39" s="2562"/>
      <c r="AH39" s="2562"/>
      <c r="AI39" s="2562"/>
      <c r="AJ39" s="2562"/>
      <c r="AK39" s="2562"/>
      <c r="AL39" s="2562"/>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25" priority="5" operator="equal">
      <formula>0</formula>
    </cfRule>
  </conditionalFormatting>
  <conditionalFormatting sqref="Q18:Q20">
    <cfRule type="cellIs" dxfId="124" priority="4" operator="equal">
      <formula>0</formula>
    </cfRule>
  </conditionalFormatting>
  <conditionalFormatting sqref="Q23:Q25">
    <cfRule type="cellIs" dxfId="123" priority="3" operator="equal">
      <formula>0</formula>
    </cfRule>
  </conditionalFormatting>
  <conditionalFormatting sqref="Q30:Q31">
    <cfRule type="cellIs" dxfId="122" priority="2" operator="equal">
      <formula>0</formula>
    </cfRule>
  </conditionalFormatting>
  <conditionalFormatting sqref="Q35">
    <cfRule type="cellIs" dxfId="121"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0" zoomScale="85" zoomScaleNormal="85" zoomScaleSheetLayoutView="100" workbookViewId="0">
      <selection activeCell="E10" sqref="E10:M40"/>
    </sheetView>
  </sheetViews>
  <sheetFormatPr defaultColWidth="9" defaultRowHeight="15.5"/>
  <cols>
    <col min="1" max="1" width="1.58203125" style="17" customWidth="1"/>
    <col min="2" max="2" width="43.08203125" style="19" customWidth="1"/>
    <col min="3" max="3" width="5.5" style="17" customWidth="1"/>
    <col min="4" max="4" width="4.58203125" style="17" bestFit="1" customWidth="1"/>
    <col min="5" max="5" width="8.58203125" style="17" customWidth="1"/>
    <col min="6" max="6" width="13.08203125" style="17" bestFit="1" customWidth="1"/>
    <col min="7" max="7" width="8.58203125" style="17" bestFit="1" customWidth="1"/>
    <col min="8" max="8" width="17.08203125" style="17" bestFit="1" customWidth="1"/>
    <col min="9" max="9" width="13" style="17" bestFit="1" customWidth="1"/>
    <col min="10" max="10" width="9.5" style="17" bestFit="1" customWidth="1"/>
    <col min="11" max="11" width="10" style="17" bestFit="1" customWidth="1"/>
    <col min="12" max="12" width="8.58203125" style="17" bestFit="1" customWidth="1"/>
    <col min="13" max="13" width="11" style="17" customWidth="1"/>
    <col min="14" max="14" width="1.58203125" style="17" customWidth="1"/>
    <col min="15" max="15" width="15.58203125" style="20" bestFit="1" customWidth="1"/>
    <col min="16" max="16" width="1.58203125" style="14" customWidth="1"/>
    <col min="17" max="17" width="29.5" style="14" bestFit="1" customWidth="1"/>
    <col min="18" max="18" width="1.58203125" style="14" customWidth="1"/>
    <col min="19" max="19" width="1.58203125" style="17" customWidth="1"/>
    <col min="20" max="20" width="25" style="17" customWidth="1"/>
    <col min="21" max="21" width="1.58203125" style="17" customWidth="1"/>
    <col min="22" max="29" width="4.08203125" style="17" hidden="1" customWidth="1"/>
    <col min="30" max="30" width="1.58203125" style="17" hidden="1" customWidth="1"/>
    <col min="31" max="31" width="1.58203125" style="17" customWidth="1"/>
    <col min="32" max="32" width="36.08203125" style="17" customWidth="1"/>
    <col min="33" max="33" width="16.08203125" style="17" customWidth="1"/>
    <col min="34" max="41" width="17" style="17" customWidth="1"/>
    <col min="42" max="42" width="1.58203125" style="17" customWidth="1"/>
    <col min="43" max="16384" width="9" style="17"/>
  </cols>
  <sheetData>
    <row r="1" spans="1:45" s="13" customFormat="1" ht="29.25" customHeight="1">
      <c r="A1" s="351"/>
      <c r="B1" s="2725" t="s">
        <v>6857</v>
      </c>
      <c r="C1" s="2725"/>
      <c r="D1" s="2725"/>
      <c r="E1" s="2725"/>
      <c r="F1" s="2725"/>
      <c r="G1" s="2725"/>
      <c r="H1" s="2725"/>
      <c r="I1" s="2725"/>
      <c r="J1" s="2725"/>
      <c r="K1" s="920"/>
      <c r="L1" s="920"/>
      <c r="M1" s="920"/>
      <c r="N1" s="920"/>
      <c r="O1" s="921"/>
      <c r="P1" s="922"/>
      <c r="Q1" s="922"/>
      <c r="R1" s="922"/>
      <c r="S1" s="722"/>
      <c r="T1" s="351"/>
      <c r="U1" s="722"/>
      <c r="V1" s="351"/>
      <c r="W1" s="351"/>
      <c r="X1" s="351"/>
      <c r="Y1" s="351"/>
      <c r="Z1" s="351"/>
      <c r="AA1" s="351"/>
      <c r="AB1" s="351"/>
      <c r="AC1" s="351"/>
      <c r="AD1" s="722"/>
      <c r="AE1" s="351"/>
      <c r="AF1" s="2725" t="s">
        <v>1887</v>
      </c>
      <c r="AG1" s="2725"/>
      <c r="AH1" s="2725"/>
      <c r="AI1" s="2725"/>
      <c r="AJ1" s="2725"/>
      <c r="AK1" s="2725"/>
      <c r="AL1" s="2725"/>
      <c r="AM1" s="2725"/>
      <c r="AN1" s="2725"/>
      <c r="AO1" s="2725"/>
      <c r="AP1" s="351"/>
      <c r="AQ1" s="351"/>
      <c r="AR1" s="351"/>
      <c r="AS1" s="351"/>
    </row>
    <row r="2" spans="1:45" s="13" customFormat="1" ht="29.25" customHeight="1">
      <c r="A2" s="351"/>
      <c r="B2" s="2725" t="str">
        <f>SelectCompany!B4</f>
        <v>Yorkshire Water</v>
      </c>
      <c r="C2" s="2725"/>
      <c r="D2" s="2725"/>
      <c r="E2" s="2725"/>
      <c r="F2" s="2725"/>
      <c r="G2" s="2725"/>
      <c r="H2" s="2725"/>
      <c r="I2" s="2725"/>
      <c r="J2" s="2725"/>
      <c r="K2" s="920"/>
      <c r="L2" s="920"/>
      <c r="M2" s="920"/>
      <c r="N2" s="920"/>
      <c r="O2" s="923"/>
      <c r="P2" s="922"/>
      <c r="Q2" s="922"/>
      <c r="R2" s="922"/>
      <c r="S2" s="722"/>
      <c r="T2" s="351"/>
      <c r="U2" s="722"/>
      <c r="V2" s="351"/>
      <c r="W2" s="351"/>
      <c r="X2" s="351"/>
      <c r="Y2" s="351"/>
      <c r="Z2" s="351"/>
      <c r="AA2" s="351"/>
      <c r="AB2" s="351"/>
      <c r="AC2" s="351"/>
      <c r="AD2" s="722"/>
      <c r="AE2" s="351"/>
      <c r="AF2" s="2725"/>
      <c r="AG2" s="2725"/>
      <c r="AH2" s="2725"/>
      <c r="AI2" s="2725"/>
      <c r="AJ2" s="2725"/>
      <c r="AK2" s="2725"/>
      <c r="AL2" s="2725"/>
      <c r="AM2" s="2725"/>
      <c r="AN2" s="2725"/>
      <c r="AO2" s="2725"/>
      <c r="AP2" s="2725"/>
      <c r="AQ2" s="2725"/>
      <c r="AR2" s="2725"/>
      <c r="AS2" s="351"/>
    </row>
    <row r="3" spans="1:45" s="23" customFormat="1" ht="46.5" customHeight="1">
      <c r="A3" s="2562"/>
      <c r="B3" s="2781" t="s">
        <v>6858</v>
      </c>
      <c r="C3" s="2781"/>
      <c r="D3" s="2781"/>
      <c r="E3" s="2781"/>
      <c r="F3" s="2781"/>
      <c r="G3" s="2781"/>
      <c r="H3" s="2781"/>
      <c r="I3" s="2781"/>
      <c r="J3" s="2781"/>
      <c r="K3" s="2781"/>
      <c r="L3" s="2781"/>
      <c r="M3" s="2781"/>
      <c r="N3" s="2781"/>
      <c r="O3" s="2781"/>
      <c r="P3" s="2781"/>
      <c r="Q3" s="2781"/>
      <c r="R3" s="922"/>
      <c r="S3" s="916"/>
      <c r="T3" s="554" t="s">
        <v>1889</v>
      </c>
      <c r="U3" s="2578"/>
      <c r="V3" s="2562"/>
      <c r="W3" s="2562"/>
      <c r="X3" s="2562"/>
      <c r="Y3" s="2562"/>
      <c r="Z3" s="2562"/>
      <c r="AA3" s="2562"/>
      <c r="AB3" s="2562"/>
      <c r="AC3" s="2562"/>
      <c r="AD3" s="2578"/>
      <c r="AE3" s="2562"/>
      <c r="AF3" s="2826" t="s">
        <v>6858</v>
      </c>
      <c r="AG3" s="2826"/>
      <c r="AH3" s="2826"/>
      <c r="AI3" s="2826"/>
      <c r="AJ3" s="2826"/>
      <c r="AK3" s="2826"/>
      <c r="AL3" s="2826"/>
      <c r="AM3" s="2826"/>
      <c r="AN3" s="2826"/>
      <c r="AO3" s="2826"/>
      <c r="AP3" s="2562"/>
      <c r="AQ3" s="2562"/>
      <c r="AR3" s="2562"/>
      <c r="AS3" s="2562"/>
    </row>
    <row r="4" spans="1:45" s="23" customFormat="1" ht="15" customHeight="1" thickBot="1">
      <c r="A4" s="2562"/>
      <c r="B4" s="492"/>
      <c r="C4" s="492"/>
      <c r="D4" s="492"/>
      <c r="E4" s="492"/>
      <c r="F4" s="492"/>
      <c r="G4" s="492"/>
      <c r="H4" s="492"/>
      <c r="I4" s="924"/>
      <c r="J4" s="924"/>
      <c r="K4" s="924"/>
      <c r="L4" s="924"/>
      <c r="M4" s="924"/>
      <c r="N4" s="925"/>
      <c r="O4" s="894"/>
      <c r="P4" s="922"/>
      <c r="Q4" s="922"/>
      <c r="R4" s="922"/>
      <c r="S4" s="916"/>
      <c r="T4" s="2562"/>
      <c r="U4" s="2578"/>
      <c r="V4" s="2562"/>
      <c r="W4" s="2562"/>
      <c r="X4" s="2562"/>
      <c r="Y4" s="2562"/>
      <c r="Z4" s="2562"/>
      <c r="AA4" s="2562"/>
      <c r="AB4" s="2562"/>
      <c r="AC4" s="2562"/>
      <c r="AD4" s="2578"/>
      <c r="AE4" s="2562"/>
      <c r="AF4" s="492"/>
      <c r="AG4" s="492"/>
      <c r="AH4" s="492"/>
      <c r="AI4" s="492"/>
      <c r="AJ4" s="492"/>
      <c r="AK4" s="924"/>
      <c r="AL4" s="924"/>
      <c r="AM4" s="924"/>
      <c r="AN4" s="924"/>
      <c r="AO4" s="924"/>
      <c r="AP4" s="2562"/>
      <c r="AQ4" s="2562"/>
      <c r="AR4" s="2562"/>
      <c r="AS4" s="2562"/>
    </row>
    <row r="5" spans="1:45" s="23" customFormat="1" ht="18" customHeight="1" thickTop="1">
      <c r="A5" s="197"/>
      <c r="B5" s="2823" t="s">
        <v>1891</v>
      </c>
      <c r="C5" s="2807" t="s">
        <v>1892</v>
      </c>
      <c r="D5" s="2807" t="s">
        <v>136</v>
      </c>
      <c r="E5" s="2787" t="s">
        <v>6859</v>
      </c>
      <c r="F5" s="2787"/>
      <c r="G5" s="2787"/>
      <c r="H5" s="2787"/>
      <c r="I5" s="2787"/>
      <c r="J5" s="2787"/>
      <c r="K5" s="2787"/>
      <c r="L5" s="2787"/>
      <c r="M5" s="2788"/>
      <c r="N5" s="893"/>
      <c r="O5" s="2763" t="s">
        <v>1896</v>
      </c>
      <c r="P5" s="926"/>
      <c r="Q5" s="2763" t="s">
        <v>1897</v>
      </c>
      <c r="R5" s="926"/>
      <c r="S5" s="916"/>
      <c r="T5" s="2562"/>
      <c r="U5" s="2578"/>
      <c r="V5" s="2562"/>
      <c r="W5" s="2562"/>
      <c r="X5" s="2562"/>
      <c r="Y5" s="2562"/>
      <c r="Z5" s="2562"/>
      <c r="AA5" s="2562"/>
      <c r="AB5" s="2562"/>
      <c r="AC5" s="2562"/>
      <c r="AD5" s="2578"/>
      <c r="AE5" s="2562"/>
      <c r="AF5" s="2823" t="s">
        <v>1891</v>
      </c>
      <c r="AG5" s="2787" t="s">
        <v>6859</v>
      </c>
      <c r="AH5" s="2787"/>
      <c r="AI5" s="2787"/>
      <c r="AJ5" s="2787"/>
      <c r="AK5" s="2787"/>
      <c r="AL5" s="2787"/>
      <c r="AM5" s="2787"/>
      <c r="AN5" s="2787"/>
      <c r="AO5" s="2788"/>
      <c r="AP5" s="2562"/>
      <c r="AQ5" s="2562"/>
      <c r="AR5" s="2562"/>
      <c r="AS5" s="2562"/>
    </row>
    <row r="6" spans="1:45" s="23" customFormat="1" ht="18" customHeight="1">
      <c r="A6" s="197"/>
      <c r="B6" s="2824"/>
      <c r="C6" s="2808"/>
      <c r="D6" s="2808"/>
      <c r="E6" s="2809" t="s">
        <v>6860</v>
      </c>
      <c r="F6" s="2809"/>
      <c r="G6" s="2809"/>
      <c r="H6" s="2809"/>
      <c r="I6" s="2809"/>
      <c r="J6" s="2802" t="s">
        <v>2831</v>
      </c>
      <c r="K6" s="2802"/>
      <c r="L6" s="2802"/>
      <c r="M6" s="2804" t="s">
        <v>2112</v>
      </c>
      <c r="N6" s="893"/>
      <c r="O6" s="2764"/>
      <c r="P6" s="926"/>
      <c r="Q6" s="2764"/>
      <c r="R6" s="926"/>
      <c r="S6" s="916"/>
      <c r="T6" s="2562"/>
      <c r="U6" s="2578"/>
      <c r="V6" s="2562"/>
      <c r="W6" s="2562"/>
      <c r="X6" s="2562"/>
      <c r="Y6" s="2562"/>
      <c r="Z6" s="2562"/>
      <c r="AA6" s="2562"/>
      <c r="AB6" s="2562"/>
      <c r="AC6" s="2562"/>
      <c r="AD6" s="2578"/>
      <c r="AE6" s="2562"/>
      <c r="AF6" s="2824"/>
      <c r="AG6" s="2809" t="s">
        <v>6860</v>
      </c>
      <c r="AH6" s="2809"/>
      <c r="AI6" s="2809"/>
      <c r="AJ6" s="2809"/>
      <c r="AK6" s="2809"/>
      <c r="AL6" s="2802" t="s">
        <v>2831</v>
      </c>
      <c r="AM6" s="2802"/>
      <c r="AN6" s="2802"/>
      <c r="AO6" s="2804" t="s">
        <v>2112</v>
      </c>
      <c r="AP6" s="2562"/>
      <c r="AQ6" s="2562"/>
      <c r="AR6" s="2562"/>
      <c r="AS6" s="2562"/>
    </row>
    <row r="7" spans="1:45" s="3" customFormat="1" ht="45" customHeight="1" thickBot="1">
      <c r="A7" s="197"/>
      <c r="B7" s="2825"/>
      <c r="C7" s="2790"/>
      <c r="D7" s="2790"/>
      <c r="E7" s="784" t="s">
        <v>5882</v>
      </c>
      <c r="F7" s="784" t="s">
        <v>5883</v>
      </c>
      <c r="G7" s="784" t="s">
        <v>5884</v>
      </c>
      <c r="H7" s="784" t="s">
        <v>5885</v>
      </c>
      <c r="I7" s="784" t="s">
        <v>6190</v>
      </c>
      <c r="J7" s="784" t="s">
        <v>6861</v>
      </c>
      <c r="K7" s="784" t="s">
        <v>6862</v>
      </c>
      <c r="L7" s="784" t="s">
        <v>6863</v>
      </c>
      <c r="M7" s="2805"/>
      <c r="N7" s="927"/>
      <c r="O7" s="2765"/>
      <c r="P7" s="928"/>
      <c r="Q7" s="2765"/>
      <c r="R7" s="928"/>
      <c r="S7" s="890"/>
      <c r="T7" s="785"/>
      <c r="U7" s="725"/>
      <c r="V7" s="197"/>
      <c r="W7" s="197"/>
      <c r="X7" s="197"/>
      <c r="Y7" s="197"/>
      <c r="Z7" s="197"/>
      <c r="AA7" s="197"/>
      <c r="AB7" s="197"/>
      <c r="AC7" s="197"/>
      <c r="AD7" s="725"/>
      <c r="AE7" s="197"/>
      <c r="AF7" s="2825"/>
      <c r="AG7" s="784" t="s">
        <v>5882</v>
      </c>
      <c r="AH7" s="784" t="s">
        <v>5883</v>
      </c>
      <c r="AI7" s="784" t="s">
        <v>5884</v>
      </c>
      <c r="AJ7" s="784" t="s">
        <v>5885</v>
      </c>
      <c r="AK7" s="784" t="s">
        <v>6190</v>
      </c>
      <c r="AL7" s="784" t="s">
        <v>6861</v>
      </c>
      <c r="AM7" s="784" t="s">
        <v>6862</v>
      </c>
      <c r="AN7" s="784" t="s">
        <v>6863</v>
      </c>
      <c r="AO7" s="2805"/>
      <c r="AP7" s="197"/>
      <c r="AQ7" s="197"/>
      <c r="AR7" s="197"/>
      <c r="AS7" s="197"/>
    </row>
    <row r="8" spans="1:45" s="3" customFormat="1" ht="15.75" customHeight="1" thickTop="1" thickBot="1">
      <c r="A8" s="197"/>
      <c r="B8" s="907"/>
      <c r="C8" s="907"/>
      <c r="D8" s="907"/>
      <c r="E8" s="907"/>
      <c r="F8" s="907"/>
      <c r="G8" s="907"/>
      <c r="H8" s="907"/>
      <c r="I8" s="893"/>
      <c r="J8" s="893"/>
      <c r="K8" s="893"/>
      <c r="L8" s="893"/>
      <c r="M8" s="893"/>
      <c r="N8" s="927"/>
      <c r="O8" s="929"/>
      <c r="P8" s="930"/>
      <c r="Q8" s="931"/>
      <c r="R8" s="930"/>
      <c r="S8" s="890"/>
      <c r="T8" s="197"/>
      <c r="U8" s="725"/>
      <c r="V8" s="2662" t="s">
        <v>1890</v>
      </c>
      <c r="W8" s="2795"/>
      <c r="X8" s="2795"/>
      <c r="Y8" s="2795"/>
      <c r="Z8" s="2795"/>
      <c r="AA8" s="2795"/>
      <c r="AB8" s="2795"/>
      <c r="AC8" s="2795"/>
      <c r="AD8" s="725"/>
      <c r="AE8" s="197"/>
      <c r="AF8" s="907"/>
      <c r="AG8" s="907"/>
      <c r="AH8" s="907"/>
      <c r="AI8" s="907"/>
      <c r="AJ8" s="907"/>
      <c r="AK8" s="893"/>
      <c r="AL8" s="893"/>
      <c r="AM8" s="893"/>
      <c r="AN8" s="893"/>
      <c r="AO8" s="893"/>
      <c r="AP8" s="197"/>
      <c r="AQ8" s="197"/>
      <c r="AR8" s="197"/>
      <c r="AS8" s="197"/>
    </row>
    <row r="9" spans="1:45" s="3" customFormat="1" ht="15.75" customHeight="1" thickTop="1" thickBot="1">
      <c r="A9" s="197"/>
      <c r="B9" s="355" t="s">
        <v>3147</v>
      </c>
      <c r="C9" s="356"/>
      <c r="D9" s="356"/>
      <c r="E9" s="932"/>
      <c r="F9" s="932"/>
      <c r="G9" s="932"/>
      <c r="H9" s="932"/>
      <c r="I9" s="241"/>
      <c r="J9" s="241"/>
      <c r="K9" s="241"/>
      <c r="L9" s="897"/>
      <c r="M9" s="897"/>
      <c r="N9" s="893"/>
      <c r="O9" s="313"/>
      <c r="P9" s="926"/>
      <c r="Q9" s="933"/>
      <c r="R9" s="926"/>
      <c r="S9" s="889"/>
      <c r="T9" s="197"/>
      <c r="U9" s="725"/>
      <c r="V9" s="236" t="s">
        <v>1898</v>
      </c>
      <c r="W9" s="197"/>
      <c r="X9" s="197"/>
      <c r="Y9" s="197"/>
      <c r="Z9" s="197"/>
      <c r="AA9" s="197"/>
      <c r="AB9" s="197"/>
      <c r="AC9" s="197"/>
      <c r="AD9" s="725"/>
      <c r="AE9" s="197"/>
      <c r="AF9" s="355" t="s">
        <v>3147</v>
      </c>
      <c r="AG9" s="932"/>
      <c r="AH9" s="932"/>
      <c r="AI9" s="932"/>
      <c r="AJ9" s="932"/>
      <c r="AK9" s="241"/>
      <c r="AL9" s="241"/>
      <c r="AM9" s="241"/>
      <c r="AN9" s="897"/>
      <c r="AO9" s="897"/>
      <c r="AP9" s="197"/>
      <c r="AQ9" s="197"/>
      <c r="AR9" s="197"/>
      <c r="AS9" s="197"/>
    </row>
    <row r="10" spans="1:45" s="3" customFormat="1" ht="15.75" customHeight="1">
      <c r="A10" s="197"/>
      <c r="B10" s="413" t="s">
        <v>2930</v>
      </c>
      <c r="C10" s="244" t="s">
        <v>137</v>
      </c>
      <c r="D10" s="244">
        <v>3</v>
      </c>
      <c r="E10" s="598">
        <v>4.5629999999999997</v>
      </c>
      <c r="F10" s="598">
        <v>1.637</v>
      </c>
      <c r="G10" s="598">
        <v>0.46</v>
      </c>
      <c r="H10" s="598">
        <v>48.176000000000002</v>
      </c>
      <c r="I10" s="598">
        <v>0.38500000000000001</v>
      </c>
      <c r="J10" s="598">
        <v>0</v>
      </c>
      <c r="K10" s="598">
        <v>-7.34</v>
      </c>
      <c r="L10" s="598">
        <v>2.7E-2</v>
      </c>
      <c r="M10" s="1480">
        <f>IFERROR(SUM(E10:L10), 0)</f>
        <v>47.908000000000001</v>
      </c>
      <c r="N10" s="934"/>
      <c r="O10" s="935" t="s">
        <v>6864</v>
      </c>
      <c r="P10" s="926"/>
      <c r="Q10" s="250"/>
      <c r="R10" s="926"/>
      <c r="S10" s="889"/>
      <c r="T10" s="251">
        <f>IF( SUM( V10:AC10 ) = 0, 0, $V$9 )</f>
        <v>0</v>
      </c>
      <c r="U10" s="725"/>
      <c r="V10" s="252">
        <f xml:space="preserve"> IF( ISNUMBER(E10), 0, 1 )</f>
        <v>0</v>
      </c>
      <c r="W10" s="252">
        <f t="shared" ref="W10:W16" si="0" xml:space="preserve"> IF( ISNUMBER(F10), 0, 1 )</f>
        <v>0</v>
      </c>
      <c r="X10" s="252">
        <f t="shared" ref="X10:X16" si="1" xml:space="preserve"> IF( ISNUMBER(G10), 0, 1 )</f>
        <v>0</v>
      </c>
      <c r="Y10" s="252">
        <f t="shared" ref="Y10:Y16" si="2" xml:space="preserve"> IF( ISNUMBER(H10), 0, 1 )</f>
        <v>0</v>
      </c>
      <c r="Z10" s="252">
        <f t="shared" ref="Z10:Z16" si="3" xml:space="preserve"> IF( ISNUMBER(I10), 0, 1 )</f>
        <v>0</v>
      </c>
      <c r="AA10" s="252">
        <f t="shared" ref="AA10:AA16" si="4" xml:space="preserve"> IF( ISNUMBER(J10), 0, 1 )</f>
        <v>0</v>
      </c>
      <c r="AB10" s="252">
        <f t="shared" ref="AB10:AB16" si="5" xml:space="preserve"> IF( ISNUMBER(K10), 0, 1 )</f>
        <v>0</v>
      </c>
      <c r="AC10" s="252">
        <f t="shared" ref="AC10:AC16" si="6" xml:space="preserve"> IF( ISNUMBER(L10), 0, 1 )</f>
        <v>0</v>
      </c>
      <c r="AD10" s="725"/>
      <c r="AE10" s="197"/>
      <c r="AF10" s="413" t="s">
        <v>2930</v>
      </c>
      <c r="AG10" s="801" t="s">
        <v>6865</v>
      </c>
      <c r="AH10" s="801" t="s">
        <v>6866</v>
      </c>
      <c r="AI10" s="801" t="s">
        <v>6867</v>
      </c>
      <c r="AJ10" s="801" t="s">
        <v>6868</v>
      </c>
      <c r="AK10" s="801" t="s">
        <v>6869</v>
      </c>
      <c r="AL10" s="801" t="s">
        <v>6870</v>
      </c>
      <c r="AM10" s="801" t="s">
        <v>6871</v>
      </c>
      <c r="AN10" s="801" t="s">
        <v>6872</v>
      </c>
      <c r="AO10" s="378" t="s">
        <v>6873</v>
      </c>
      <c r="AP10" s="197"/>
      <c r="AQ10" s="197"/>
      <c r="AR10" s="197"/>
      <c r="AS10" s="197"/>
    </row>
    <row r="11" spans="1:45" s="3" customFormat="1" ht="15.75" customHeight="1">
      <c r="A11" s="197"/>
      <c r="B11" s="422" t="s">
        <v>2938</v>
      </c>
      <c r="C11" s="253" t="s">
        <v>137</v>
      </c>
      <c r="D11" s="253">
        <v>3</v>
      </c>
      <c r="E11" s="601">
        <v>0</v>
      </c>
      <c r="F11" s="601">
        <v>0</v>
      </c>
      <c r="G11" s="601">
        <v>0</v>
      </c>
      <c r="H11" s="601">
        <v>0</v>
      </c>
      <c r="I11" s="601">
        <v>0</v>
      </c>
      <c r="J11" s="601">
        <v>0</v>
      </c>
      <c r="K11" s="601">
        <v>-1.7709999999999999</v>
      </c>
      <c r="L11" s="601">
        <v>0</v>
      </c>
      <c r="M11" s="1482">
        <f t="shared" ref="M11:M16" si="7">IFERROR(SUM(E11:L11), 0)</f>
        <v>-1.7709999999999999</v>
      </c>
      <c r="N11" s="934"/>
      <c r="O11" s="936" t="s">
        <v>6874</v>
      </c>
      <c r="P11" s="926"/>
      <c r="Q11" s="258"/>
      <c r="R11" s="926"/>
      <c r="S11" s="889"/>
      <c r="T11" s="251">
        <f t="shared" ref="T11:T16" si="8">IF( SUM( V11:AC11 ) = 0, 0, $V$9 )</f>
        <v>0</v>
      </c>
      <c r="U11" s="725"/>
      <c r="V11" s="252">
        <f t="shared" ref="V11:V16" si="9" xml:space="preserve"> IF( ISNUMBER(E11), 0, 1 )</f>
        <v>0</v>
      </c>
      <c r="W11" s="252">
        <f t="shared" si="0"/>
        <v>0</v>
      </c>
      <c r="X11" s="252">
        <f t="shared" si="1"/>
        <v>0</v>
      </c>
      <c r="Y11" s="252">
        <f t="shared" si="2"/>
        <v>0</v>
      </c>
      <c r="Z11" s="252">
        <f t="shared" si="3"/>
        <v>0</v>
      </c>
      <c r="AA11" s="252">
        <f t="shared" si="4"/>
        <v>0</v>
      </c>
      <c r="AB11" s="252">
        <f t="shared" si="5"/>
        <v>0</v>
      </c>
      <c r="AC11" s="252">
        <f t="shared" si="6"/>
        <v>0</v>
      </c>
      <c r="AD11" s="725"/>
      <c r="AE11" s="197"/>
      <c r="AF11" s="422" t="s">
        <v>2938</v>
      </c>
      <c r="AG11" s="802" t="s">
        <v>6875</v>
      </c>
      <c r="AH11" s="802" t="s">
        <v>6876</v>
      </c>
      <c r="AI11" s="802" t="s">
        <v>6877</v>
      </c>
      <c r="AJ11" s="802" t="s">
        <v>6878</v>
      </c>
      <c r="AK11" s="802" t="s">
        <v>6879</v>
      </c>
      <c r="AL11" s="802" t="s">
        <v>6880</v>
      </c>
      <c r="AM11" s="802" t="s">
        <v>6881</v>
      </c>
      <c r="AN11" s="802" t="s">
        <v>6882</v>
      </c>
      <c r="AO11" s="790" t="s">
        <v>6883</v>
      </c>
      <c r="AP11" s="197"/>
      <c r="AQ11" s="197"/>
      <c r="AR11" s="197"/>
      <c r="AS11" s="197"/>
    </row>
    <row r="12" spans="1:45" s="3" customFormat="1" ht="15.75" customHeight="1">
      <c r="A12" s="197"/>
      <c r="B12" s="422" t="s">
        <v>2955</v>
      </c>
      <c r="C12" s="253" t="s">
        <v>137</v>
      </c>
      <c r="D12" s="253">
        <v>3</v>
      </c>
      <c r="E12" s="601">
        <v>0</v>
      </c>
      <c r="F12" s="601">
        <v>0</v>
      </c>
      <c r="G12" s="601">
        <v>0</v>
      </c>
      <c r="H12" s="601">
        <v>0</v>
      </c>
      <c r="I12" s="601">
        <v>0</v>
      </c>
      <c r="J12" s="601">
        <v>0</v>
      </c>
      <c r="K12" s="601">
        <v>0</v>
      </c>
      <c r="L12" s="601">
        <v>0</v>
      </c>
      <c r="M12" s="1482">
        <f t="shared" si="7"/>
        <v>0</v>
      </c>
      <c r="N12" s="934"/>
      <c r="O12" s="936" t="s">
        <v>6884</v>
      </c>
      <c r="P12" s="926"/>
      <c r="Q12" s="258"/>
      <c r="R12" s="926"/>
      <c r="S12" s="889"/>
      <c r="T12" s="251">
        <f t="shared" si="8"/>
        <v>0</v>
      </c>
      <c r="U12" s="725"/>
      <c r="V12" s="252">
        <f t="shared" si="9"/>
        <v>0</v>
      </c>
      <c r="W12" s="252">
        <f t="shared" si="0"/>
        <v>0</v>
      </c>
      <c r="X12" s="252">
        <f t="shared" si="1"/>
        <v>0</v>
      </c>
      <c r="Y12" s="252">
        <f t="shared" si="2"/>
        <v>0</v>
      </c>
      <c r="Z12" s="252">
        <f t="shared" si="3"/>
        <v>0</v>
      </c>
      <c r="AA12" s="252">
        <f t="shared" si="4"/>
        <v>0</v>
      </c>
      <c r="AB12" s="252">
        <f t="shared" si="5"/>
        <v>0</v>
      </c>
      <c r="AC12" s="252">
        <f t="shared" si="6"/>
        <v>0</v>
      </c>
      <c r="AD12" s="725"/>
      <c r="AE12" s="197"/>
      <c r="AF12" s="422" t="s">
        <v>6885</v>
      </c>
      <c r="AG12" s="802" t="s">
        <v>6886</v>
      </c>
      <c r="AH12" s="802" t="s">
        <v>6887</v>
      </c>
      <c r="AI12" s="802" t="s">
        <v>6888</v>
      </c>
      <c r="AJ12" s="802" t="s">
        <v>6889</v>
      </c>
      <c r="AK12" s="802" t="s">
        <v>6890</v>
      </c>
      <c r="AL12" s="802" t="s">
        <v>6891</v>
      </c>
      <c r="AM12" s="802" t="s">
        <v>6892</v>
      </c>
      <c r="AN12" s="802" t="s">
        <v>6893</v>
      </c>
      <c r="AO12" s="790" t="s">
        <v>6894</v>
      </c>
      <c r="AP12" s="197"/>
      <c r="AQ12" s="197"/>
      <c r="AR12" s="197"/>
      <c r="AS12" s="197"/>
    </row>
    <row r="13" spans="1:45" s="3" customFormat="1" ht="15.75" customHeight="1">
      <c r="A13" s="197"/>
      <c r="B13" s="422" t="s">
        <v>6750</v>
      </c>
      <c r="C13" s="253" t="s">
        <v>137</v>
      </c>
      <c r="D13" s="253">
        <v>3</v>
      </c>
      <c r="E13" s="601">
        <v>0</v>
      </c>
      <c r="F13" s="601">
        <v>0</v>
      </c>
      <c r="G13" s="601">
        <v>0</v>
      </c>
      <c r="H13" s="601">
        <v>0</v>
      </c>
      <c r="I13" s="601">
        <v>0</v>
      </c>
      <c r="J13" s="601">
        <v>0</v>
      </c>
      <c r="K13" s="601">
        <v>0</v>
      </c>
      <c r="L13" s="601">
        <v>0</v>
      </c>
      <c r="M13" s="1482">
        <f t="shared" si="7"/>
        <v>0</v>
      </c>
      <c r="N13" s="934"/>
      <c r="O13" s="936" t="s">
        <v>6895</v>
      </c>
      <c r="P13" s="926"/>
      <c r="Q13" s="258"/>
      <c r="R13" s="926"/>
      <c r="S13" s="889"/>
      <c r="T13" s="251">
        <f t="shared" si="8"/>
        <v>0</v>
      </c>
      <c r="U13" s="725"/>
      <c r="V13" s="252">
        <f t="shared" si="9"/>
        <v>0</v>
      </c>
      <c r="W13" s="252">
        <f t="shared" si="0"/>
        <v>0</v>
      </c>
      <c r="X13" s="252">
        <f t="shared" si="1"/>
        <v>0</v>
      </c>
      <c r="Y13" s="252">
        <f t="shared" si="2"/>
        <v>0</v>
      </c>
      <c r="Z13" s="252">
        <f t="shared" si="3"/>
        <v>0</v>
      </c>
      <c r="AA13" s="252">
        <f t="shared" si="4"/>
        <v>0</v>
      </c>
      <c r="AB13" s="252">
        <f t="shared" si="5"/>
        <v>0</v>
      </c>
      <c r="AC13" s="252">
        <f t="shared" si="6"/>
        <v>0</v>
      </c>
      <c r="AD13" s="725"/>
      <c r="AE13" s="197"/>
      <c r="AF13" s="422" t="s">
        <v>6750</v>
      </c>
      <c r="AG13" s="802" t="s">
        <v>6896</v>
      </c>
      <c r="AH13" s="802" t="s">
        <v>6897</v>
      </c>
      <c r="AI13" s="802" t="s">
        <v>6898</v>
      </c>
      <c r="AJ13" s="802" t="s">
        <v>6899</v>
      </c>
      <c r="AK13" s="802" t="s">
        <v>6900</v>
      </c>
      <c r="AL13" s="802" t="s">
        <v>6901</v>
      </c>
      <c r="AM13" s="802" t="s">
        <v>6902</v>
      </c>
      <c r="AN13" s="802" t="s">
        <v>6903</v>
      </c>
      <c r="AO13" s="790" t="s">
        <v>6904</v>
      </c>
      <c r="AP13" s="197"/>
      <c r="AQ13" s="197"/>
      <c r="AR13" s="197"/>
      <c r="AS13" s="197"/>
    </row>
    <row r="14" spans="1:45" s="3" customFormat="1" ht="15.75" customHeight="1">
      <c r="A14" s="197"/>
      <c r="B14" s="422" t="s">
        <v>6757</v>
      </c>
      <c r="C14" s="253" t="s">
        <v>137</v>
      </c>
      <c r="D14" s="253">
        <v>3</v>
      </c>
      <c r="E14" s="601">
        <v>0</v>
      </c>
      <c r="F14" s="601">
        <v>0</v>
      </c>
      <c r="G14" s="601">
        <v>0</v>
      </c>
      <c r="H14" s="601">
        <v>0</v>
      </c>
      <c r="I14" s="601">
        <v>0</v>
      </c>
      <c r="J14" s="601">
        <v>0</v>
      </c>
      <c r="K14" s="601">
        <v>0</v>
      </c>
      <c r="L14" s="601">
        <v>0</v>
      </c>
      <c r="M14" s="1482">
        <f t="shared" si="7"/>
        <v>0</v>
      </c>
      <c r="N14" s="934"/>
      <c r="O14" s="936" t="s">
        <v>6905</v>
      </c>
      <c r="P14" s="926"/>
      <c r="Q14" s="258"/>
      <c r="R14" s="926"/>
      <c r="S14" s="889"/>
      <c r="T14" s="251">
        <f t="shared" si="8"/>
        <v>0</v>
      </c>
      <c r="U14" s="725"/>
      <c r="V14" s="252">
        <f t="shared" si="9"/>
        <v>0</v>
      </c>
      <c r="W14" s="252">
        <f t="shared" si="0"/>
        <v>0</v>
      </c>
      <c r="X14" s="252">
        <f t="shared" si="1"/>
        <v>0</v>
      </c>
      <c r="Y14" s="252">
        <f t="shared" si="2"/>
        <v>0</v>
      </c>
      <c r="Z14" s="252">
        <f t="shared" si="3"/>
        <v>0</v>
      </c>
      <c r="AA14" s="252">
        <f t="shared" si="4"/>
        <v>0</v>
      </c>
      <c r="AB14" s="252">
        <f t="shared" si="5"/>
        <v>0</v>
      </c>
      <c r="AC14" s="252">
        <f t="shared" si="6"/>
        <v>0</v>
      </c>
      <c r="AD14" s="725"/>
      <c r="AE14" s="197"/>
      <c r="AF14" s="422" t="s">
        <v>6757</v>
      </c>
      <c r="AG14" s="802" t="s">
        <v>6906</v>
      </c>
      <c r="AH14" s="802" t="s">
        <v>6907</v>
      </c>
      <c r="AI14" s="802" t="s">
        <v>6908</v>
      </c>
      <c r="AJ14" s="802" t="s">
        <v>6909</v>
      </c>
      <c r="AK14" s="802" t="s">
        <v>6910</v>
      </c>
      <c r="AL14" s="802" t="s">
        <v>6911</v>
      </c>
      <c r="AM14" s="802" t="s">
        <v>6912</v>
      </c>
      <c r="AN14" s="802" t="s">
        <v>6913</v>
      </c>
      <c r="AO14" s="790" t="s">
        <v>6914</v>
      </c>
      <c r="AP14" s="197"/>
      <c r="AQ14" s="197"/>
      <c r="AR14" s="197"/>
      <c r="AS14" s="197"/>
    </row>
    <row r="15" spans="1:45" s="3" customFormat="1" ht="15.75" customHeight="1">
      <c r="A15" s="197"/>
      <c r="B15" s="422" t="s">
        <v>2981</v>
      </c>
      <c r="C15" s="253" t="s">
        <v>137</v>
      </c>
      <c r="D15" s="253">
        <v>3</v>
      </c>
      <c r="E15" s="601">
        <v>34.919431045207048</v>
      </c>
      <c r="F15" s="601">
        <v>4.4080702372084737</v>
      </c>
      <c r="G15" s="601">
        <v>13.141779666418373</v>
      </c>
      <c r="H15" s="601">
        <v>38.713999999999999</v>
      </c>
      <c r="I15" s="601">
        <v>-0.40799999999999997</v>
      </c>
      <c r="J15" s="601">
        <v>9.6319999999999997</v>
      </c>
      <c r="K15" s="601">
        <v>22.452000000000002</v>
      </c>
      <c r="L15" s="601">
        <v>9.1199999999999992</v>
      </c>
      <c r="M15" s="1482">
        <f t="shared" si="7"/>
        <v>131.97928094883389</v>
      </c>
      <c r="N15" s="934"/>
      <c r="O15" s="936" t="s">
        <v>6915</v>
      </c>
      <c r="P15" s="926"/>
      <c r="Q15" s="258"/>
      <c r="R15" s="926"/>
      <c r="S15" s="889"/>
      <c r="T15" s="251">
        <f t="shared" si="8"/>
        <v>0</v>
      </c>
      <c r="U15" s="725"/>
      <c r="V15" s="252">
        <f t="shared" si="9"/>
        <v>0</v>
      </c>
      <c r="W15" s="252">
        <f t="shared" si="0"/>
        <v>0</v>
      </c>
      <c r="X15" s="252">
        <f t="shared" si="1"/>
        <v>0</v>
      </c>
      <c r="Y15" s="252">
        <f t="shared" si="2"/>
        <v>0</v>
      </c>
      <c r="Z15" s="252">
        <f t="shared" si="3"/>
        <v>0</v>
      </c>
      <c r="AA15" s="252">
        <f t="shared" si="4"/>
        <v>0</v>
      </c>
      <c r="AB15" s="252">
        <f t="shared" si="5"/>
        <v>0</v>
      </c>
      <c r="AC15" s="252">
        <f t="shared" si="6"/>
        <v>0</v>
      </c>
      <c r="AD15" s="725"/>
      <c r="AE15" s="197"/>
      <c r="AF15" s="422" t="s">
        <v>2981</v>
      </c>
      <c r="AG15" s="802" t="s">
        <v>6916</v>
      </c>
      <c r="AH15" s="802" t="s">
        <v>6917</v>
      </c>
      <c r="AI15" s="802" t="s">
        <v>6918</v>
      </c>
      <c r="AJ15" s="802" t="s">
        <v>6919</v>
      </c>
      <c r="AK15" s="802" t="s">
        <v>6920</v>
      </c>
      <c r="AL15" s="802" t="s">
        <v>6921</v>
      </c>
      <c r="AM15" s="802" t="s">
        <v>6922</v>
      </c>
      <c r="AN15" s="802" t="s">
        <v>6923</v>
      </c>
      <c r="AO15" s="790" t="s">
        <v>6924</v>
      </c>
      <c r="AP15" s="197"/>
      <c r="AQ15" s="197"/>
      <c r="AR15" s="197"/>
      <c r="AS15" s="197"/>
    </row>
    <row r="16" spans="1:45" s="3" customFormat="1" ht="15.75" customHeight="1">
      <c r="A16" s="197"/>
      <c r="B16" s="425" t="s">
        <v>2988</v>
      </c>
      <c r="C16" s="319" t="s">
        <v>137</v>
      </c>
      <c r="D16" s="319">
        <v>3</v>
      </c>
      <c r="E16" s="1524">
        <v>3.1E-2</v>
      </c>
      <c r="F16" s="1524">
        <v>3.0000000000000001E-3</v>
      </c>
      <c r="G16" s="1524">
        <v>1.0999999999999999E-2</v>
      </c>
      <c r="H16" s="1524">
        <v>15.337999999999999</v>
      </c>
      <c r="I16" s="1524">
        <v>0</v>
      </c>
      <c r="J16" s="1524">
        <v>0</v>
      </c>
      <c r="K16" s="1524">
        <v>1.288</v>
      </c>
      <c r="L16" s="1524">
        <v>0</v>
      </c>
      <c r="M16" s="1483">
        <f t="shared" si="7"/>
        <v>16.670999999999999</v>
      </c>
      <c r="N16" s="934"/>
      <c r="O16" s="938" t="s">
        <v>6925</v>
      </c>
      <c r="P16" s="239"/>
      <c r="Q16" s="269"/>
      <c r="R16" s="239"/>
      <c r="S16" s="889"/>
      <c r="T16" s="251">
        <f t="shared" si="8"/>
        <v>0</v>
      </c>
      <c r="U16" s="725"/>
      <c r="V16" s="252">
        <f t="shared" si="9"/>
        <v>0</v>
      </c>
      <c r="W16" s="252">
        <f t="shared" si="0"/>
        <v>0</v>
      </c>
      <c r="X16" s="252">
        <f t="shared" si="1"/>
        <v>0</v>
      </c>
      <c r="Y16" s="252">
        <f t="shared" si="2"/>
        <v>0</v>
      </c>
      <c r="Z16" s="252">
        <f t="shared" si="3"/>
        <v>0</v>
      </c>
      <c r="AA16" s="252">
        <f t="shared" si="4"/>
        <v>0</v>
      </c>
      <c r="AB16" s="252">
        <f t="shared" si="5"/>
        <v>0</v>
      </c>
      <c r="AC16" s="252">
        <f t="shared" si="6"/>
        <v>0</v>
      </c>
      <c r="AD16" s="725"/>
      <c r="AE16" s="197"/>
      <c r="AF16" s="425" t="s">
        <v>2988</v>
      </c>
      <c r="AG16" s="937" t="s">
        <v>6926</v>
      </c>
      <c r="AH16" s="937" t="s">
        <v>6927</v>
      </c>
      <c r="AI16" s="937" t="s">
        <v>6928</v>
      </c>
      <c r="AJ16" s="937" t="s">
        <v>6929</v>
      </c>
      <c r="AK16" s="937" t="s">
        <v>6930</v>
      </c>
      <c r="AL16" s="937" t="s">
        <v>6931</v>
      </c>
      <c r="AM16" s="937" t="s">
        <v>6932</v>
      </c>
      <c r="AN16" s="937" t="s">
        <v>6933</v>
      </c>
      <c r="AO16" s="379" t="s">
        <v>6934</v>
      </c>
      <c r="AP16" s="197"/>
      <c r="AQ16" s="197"/>
      <c r="AR16" s="197"/>
      <c r="AS16" s="197"/>
    </row>
    <row r="17" spans="1:45" s="3" customFormat="1" ht="15.75" customHeight="1" thickTop="1" thickBot="1">
      <c r="A17" s="197"/>
      <c r="B17" s="377"/>
      <c r="C17" s="377"/>
      <c r="D17" s="377"/>
      <c r="E17" s="1525"/>
      <c r="F17" s="1525"/>
      <c r="G17" s="1525"/>
      <c r="H17" s="1525"/>
      <c r="I17" s="1514"/>
      <c r="J17" s="1514"/>
      <c r="K17" s="1514"/>
      <c r="L17" s="1514"/>
      <c r="M17" s="1514"/>
      <c r="N17" s="898"/>
      <c r="O17" s="313"/>
      <c r="P17" s="939"/>
      <c r="Q17" s="940"/>
      <c r="R17" s="939"/>
      <c r="S17" s="889"/>
      <c r="T17" s="251"/>
      <c r="U17" s="725"/>
      <c r="V17" s="197"/>
      <c r="W17" s="197"/>
      <c r="X17" s="197"/>
      <c r="Y17" s="197"/>
      <c r="Z17" s="197"/>
      <c r="AA17" s="197"/>
      <c r="AB17" s="197"/>
      <c r="AC17" s="197"/>
      <c r="AD17" s="725"/>
      <c r="AE17" s="197"/>
      <c r="AF17" s="377"/>
      <c r="AG17" s="377"/>
      <c r="AH17" s="377"/>
      <c r="AI17" s="377"/>
      <c r="AJ17" s="377"/>
      <c r="AK17" s="898"/>
      <c r="AL17" s="898"/>
      <c r="AM17" s="898"/>
      <c r="AN17" s="898"/>
      <c r="AO17" s="898"/>
      <c r="AP17" s="197"/>
      <c r="AQ17" s="197"/>
      <c r="AR17" s="197"/>
      <c r="AS17" s="197"/>
    </row>
    <row r="18" spans="1:45" s="3" customFormat="1" ht="15.75" customHeight="1" thickTop="1" thickBot="1">
      <c r="A18" s="197"/>
      <c r="B18" s="355" t="s">
        <v>6777</v>
      </c>
      <c r="C18" s="356"/>
      <c r="D18" s="356"/>
      <c r="E18" s="1526"/>
      <c r="F18" s="1526"/>
      <c r="G18" s="1526"/>
      <c r="H18" s="1526"/>
      <c r="I18" s="1527"/>
      <c r="J18" s="1527"/>
      <c r="K18" s="1527"/>
      <c r="L18" s="1516"/>
      <c r="M18" s="1516"/>
      <c r="N18" s="893"/>
      <c r="O18" s="313"/>
      <c r="P18" s="927"/>
      <c r="Q18" s="941"/>
      <c r="R18" s="927"/>
      <c r="S18" s="889"/>
      <c r="T18" s="251"/>
      <c r="U18" s="725"/>
      <c r="V18" s="197"/>
      <c r="W18" s="197"/>
      <c r="X18" s="197"/>
      <c r="Y18" s="197"/>
      <c r="Z18" s="197"/>
      <c r="AA18" s="197"/>
      <c r="AB18" s="197"/>
      <c r="AC18" s="197"/>
      <c r="AD18" s="725"/>
      <c r="AE18" s="197"/>
      <c r="AF18" s="355" t="s">
        <v>6777</v>
      </c>
      <c r="AG18" s="932"/>
      <c r="AH18" s="932"/>
      <c r="AI18" s="932"/>
      <c r="AJ18" s="932"/>
      <c r="AK18" s="241"/>
      <c r="AL18" s="241"/>
      <c r="AM18" s="241"/>
      <c r="AN18" s="897"/>
      <c r="AO18" s="897"/>
      <c r="AP18" s="197"/>
      <c r="AQ18" s="197"/>
      <c r="AR18" s="197"/>
      <c r="AS18" s="197"/>
    </row>
    <row r="19" spans="1:45" s="3" customFormat="1" ht="30" customHeight="1">
      <c r="A19" s="197"/>
      <c r="B19" s="413" t="s">
        <v>6778</v>
      </c>
      <c r="C19" s="244" t="s">
        <v>137</v>
      </c>
      <c r="D19" s="244">
        <v>3</v>
      </c>
      <c r="E19" s="598">
        <v>0</v>
      </c>
      <c r="F19" s="598">
        <v>0</v>
      </c>
      <c r="G19" s="598">
        <v>0.28000000000000003</v>
      </c>
      <c r="H19" s="598">
        <v>0</v>
      </c>
      <c r="I19" s="598">
        <v>0</v>
      </c>
      <c r="J19" s="598">
        <v>0</v>
      </c>
      <c r="K19" s="598">
        <v>0</v>
      </c>
      <c r="L19" s="598">
        <v>0</v>
      </c>
      <c r="M19" s="1480">
        <f>IFERROR(SUM(E19:L19), 0)</f>
        <v>0.28000000000000003</v>
      </c>
      <c r="N19" s="934"/>
      <c r="O19" s="935" t="s">
        <v>6935</v>
      </c>
      <c r="P19" s="927"/>
      <c r="Q19" s="250"/>
      <c r="R19" s="927"/>
      <c r="S19" s="889"/>
      <c r="T19" s="251">
        <f t="shared" ref="T19:T21" si="10">IF( SUM( V19:AC19 ) = 0, 0, $V$9 )</f>
        <v>0</v>
      </c>
      <c r="U19" s="725"/>
      <c r="V19" s="252">
        <f t="shared" ref="V19:V21" si="11" xml:space="preserve"> IF( ISNUMBER(E19), 0, 1 )</f>
        <v>0</v>
      </c>
      <c r="W19" s="252">
        <f t="shared" ref="W19:W21" si="12" xml:space="preserve"> IF( ISNUMBER(F19), 0, 1 )</f>
        <v>0</v>
      </c>
      <c r="X19" s="252">
        <f t="shared" ref="X19:X21" si="13" xml:space="preserve"> IF( ISNUMBER(G19), 0, 1 )</f>
        <v>0</v>
      </c>
      <c r="Y19" s="252">
        <f t="shared" ref="Y19:Y21" si="14" xml:space="preserve"> IF( ISNUMBER(H19), 0, 1 )</f>
        <v>0</v>
      </c>
      <c r="Z19" s="252">
        <f t="shared" ref="Z19:Z21" si="15" xml:space="preserve"> IF( ISNUMBER(I19), 0, 1 )</f>
        <v>0</v>
      </c>
      <c r="AA19" s="252">
        <f t="shared" ref="AA19:AA21" si="16" xml:space="preserve"> IF( ISNUMBER(J19), 0, 1 )</f>
        <v>0</v>
      </c>
      <c r="AB19" s="252">
        <f t="shared" ref="AB19:AB21" si="17" xml:space="preserve"> IF( ISNUMBER(K19), 0, 1 )</f>
        <v>0</v>
      </c>
      <c r="AC19" s="252">
        <f t="shared" ref="AC19:AC21" si="18" xml:space="preserve"> IF( ISNUMBER(L19), 0, 1 )</f>
        <v>0</v>
      </c>
      <c r="AD19" s="725"/>
      <c r="AE19" s="197"/>
      <c r="AF19" s="413" t="s">
        <v>6936</v>
      </c>
      <c r="AG19" s="801" t="s">
        <v>6937</v>
      </c>
      <c r="AH19" s="801" t="s">
        <v>6938</v>
      </c>
      <c r="AI19" s="801" t="s">
        <v>6939</v>
      </c>
      <c r="AJ19" s="801" t="s">
        <v>6940</v>
      </c>
      <c r="AK19" s="801" t="s">
        <v>6941</v>
      </c>
      <c r="AL19" s="801" t="s">
        <v>6942</v>
      </c>
      <c r="AM19" s="801" t="s">
        <v>6943</v>
      </c>
      <c r="AN19" s="801" t="s">
        <v>6944</v>
      </c>
      <c r="AO19" s="378" t="s">
        <v>6945</v>
      </c>
      <c r="AP19" s="197"/>
      <c r="AQ19" s="197"/>
      <c r="AR19" s="197"/>
      <c r="AS19" s="197"/>
    </row>
    <row r="20" spans="1:45" s="3" customFormat="1" ht="29.25" customHeight="1">
      <c r="A20" s="197"/>
      <c r="B20" s="422" t="s">
        <v>6946</v>
      </c>
      <c r="C20" s="253" t="s">
        <v>137</v>
      </c>
      <c r="D20" s="253">
        <v>3</v>
      </c>
      <c r="E20" s="601">
        <v>1.5940000000000001</v>
      </c>
      <c r="F20" s="601">
        <v>0.58599999999999997</v>
      </c>
      <c r="G20" s="601">
        <v>0.192</v>
      </c>
      <c r="H20" s="601">
        <v>3.64</v>
      </c>
      <c r="I20" s="601">
        <v>0</v>
      </c>
      <c r="J20" s="601">
        <v>0</v>
      </c>
      <c r="K20" s="601">
        <v>0</v>
      </c>
      <c r="L20" s="601">
        <v>0.214</v>
      </c>
      <c r="M20" s="1482">
        <f t="shared" ref="M20:M21" si="19">IFERROR(SUM(E20:L20), 0)</f>
        <v>6.2260000000000009</v>
      </c>
      <c r="N20" s="934"/>
      <c r="O20" s="936" t="s">
        <v>6947</v>
      </c>
      <c r="P20" s="927"/>
      <c r="Q20" s="258"/>
      <c r="R20" s="927"/>
      <c r="S20" s="889"/>
      <c r="T20" s="251">
        <f t="shared" si="10"/>
        <v>0</v>
      </c>
      <c r="U20" s="725"/>
      <c r="V20" s="252">
        <f t="shared" si="11"/>
        <v>0</v>
      </c>
      <c r="W20" s="252">
        <f t="shared" si="12"/>
        <v>0</v>
      </c>
      <c r="X20" s="252">
        <f t="shared" si="13"/>
        <v>0</v>
      </c>
      <c r="Y20" s="252">
        <f t="shared" si="14"/>
        <v>0</v>
      </c>
      <c r="Z20" s="252">
        <f t="shared" si="15"/>
        <v>0</v>
      </c>
      <c r="AA20" s="252">
        <f t="shared" si="16"/>
        <v>0</v>
      </c>
      <c r="AB20" s="252">
        <f t="shared" si="17"/>
        <v>0</v>
      </c>
      <c r="AC20" s="252">
        <f t="shared" si="18"/>
        <v>0</v>
      </c>
      <c r="AD20" s="725"/>
      <c r="AE20" s="197"/>
      <c r="AF20" s="422" t="s">
        <v>6948</v>
      </c>
      <c r="AG20" s="802" t="s">
        <v>6949</v>
      </c>
      <c r="AH20" s="802" t="s">
        <v>6950</v>
      </c>
      <c r="AI20" s="802" t="s">
        <v>6951</v>
      </c>
      <c r="AJ20" s="802" t="s">
        <v>6952</v>
      </c>
      <c r="AK20" s="802" t="s">
        <v>6953</v>
      </c>
      <c r="AL20" s="802" t="s">
        <v>6954</v>
      </c>
      <c r="AM20" s="802" t="s">
        <v>6955</v>
      </c>
      <c r="AN20" s="802" t="s">
        <v>6956</v>
      </c>
      <c r="AO20" s="790" t="s">
        <v>6957</v>
      </c>
      <c r="AP20" s="197"/>
      <c r="AQ20" s="197"/>
      <c r="AR20" s="197"/>
      <c r="AS20" s="197"/>
    </row>
    <row r="21" spans="1:45" s="3" customFormat="1" ht="15.75" customHeight="1">
      <c r="A21" s="197"/>
      <c r="B21" s="425" t="s">
        <v>6794</v>
      </c>
      <c r="C21" s="319" t="s">
        <v>137</v>
      </c>
      <c r="D21" s="319">
        <v>3</v>
      </c>
      <c r="E21" s="1524">
        <v>0</v>
      </c>
      <c r="F21" s="1524">
        <v>0</v>
      </c>
      <c r="G21" s="1524">
        <v>0</v>
      </c>
      <c r="H21" s="1524">
        <v>0</v>
      </c>
      <c r="I21" s="1524">
        <v>0</v>
      </c>
      <c r="J21" s="1524">
        <v>0</v>
      </c>
      <c r="K21" s="1524">
        <v>0</v>
      </c>
      <c r="L21" s="1524">
        <v>0</v>
      </c>
      <c r="M21" s="1483">
        <f t="shared" si="19"/>
        <v>0</v>
      </c>
      <c r="N21" s="934"/>
      <c r="O21" s="938" t="s">
        <v>6958</v>
      </c>
      <c r="P21" s="927"/>
      <c r="Q21" s="269"/>
      <c r="R21" s="927"/>
      <c r="S21" s="889"/>
      <c r="T21" s="251">
        <f t="shared" si="10"/>
        <v>0</v>
      </c>
      <c r="U21" s="725"/>
      <c r="V21" s="252">
        <f t="shared" si="11"/>
        <v>0</v>
      </c>
      <c r="W21" s="252">
        <f t="shared" si="12"/>
        <v>0</v>
      </c>
      <c r="X21" s="252">
        <f t="shared" si="13"/>
        <v>0</v>
      </c>
      <c r="Y21" s="252">
        <f t="shared" si="14"/>
        <v>0</v>
      </c>
      <c r="Z21" s="252">
        <f t="shared" si="15"/>
        <v>0</v>
      </c>
      <c r="AA21" s="252">
        <f t="shared" si="16"/>
        <v>0</v>
      </c>
      <c r="AB21" s="252">
        <f t="shared" si="17"/>
        <v>0</v>
      </c>
      <c r="AC21" s="252">
        <f t="shared" si="18"/>
        <v>0</v>
      </c>
      <c r="AD21" s="725"/>
      <c r="AE21" s="197"/>
      <c r="AF21" s="425" t="s">
        <v>6959</v>
      </c>
      <c r="AG21" s="937" t="s">
        <v>6960</v>
      </c>
      <c r="AH21" s="937" t="s">
        <v>6961</v>
      </c>
      <c r="AI21" s="937" t="s">
        <v>6962</v>
      </c>
      <c r="AJ21" s="937" t="s">
        <v>6963</v>
      </c>
      <c r="AK21" s="937" t="s">
        <v>6964</v>
      </c>
      <c r="AL21" s="937" t="s">
        <v>6965</v>
      </c>
      <c r="AM21" s="937" t="s">
        <v>6966</v>
      </c>
      <c r="AN21" s="937" t="s">
        <v>6967</v>
      </c>
      <c r="AO21" s="379" t="s">
        <v>6968</v>
      </c>
      <c r="AP21" s="197"/>
      <c r="AQ21" s="197"/>
      <c r="AR21" s="197"/>
      <c r="AS21" s="197"/>
    </row>
    <row r="22" spans="1:45" s="3" customFormat="1" ht="15.75" customHeight="1">
      <c r="A22" s="197"/>
      <c r="B22" s="907"/>
      <c r="C22" s="907"/>
      <c r="D22" s="907"/>
      <c r="E22" s="1528"/>
      <c r="F22" s="1528"/>
      <c r="G22" s="1528"/>
      <c r="H22" s="1528"/>
      <c r="I22" s="1517"/>
      <c r="J22" s="1517"/>
      <c r="K22" s="1517"/>
      <c r="L22" s="1517"/>
      <c r="M22" s="1517"/>
      <c r="N22" s="927"/>
      <c r="O22" s="929"/>
      <c r="P22" s="930"/>
      <c r="Q22" s="931"/>
      <c r="R22" s="930"/>
      <c r="S22" s="890"/>
      <c r="T22" s="251"/>
      <c r="U22" s="725"/>
      <c r="V22" s="197"/>
      <c r="W22" s="197"/>
      <c r="X22" s="197"/>
      <c r="Y22" s="197"/>
      <c r="Z22" s="197"/>
      <c r="AA22" s="197"/>
      <c r="AB22" s="197"/>
      <c r="AC22" s="197"/>
      <c r="AD22" s="725"/>
      <c r="AE22" s="197"/>
      <c r="AF22" s="907"/>
      <c r="AG22" s="907"/>
      <c r="AH22" s="907"/>
      <c r="AI22" s="907"/>
      <c r="AJ22" s="907"/>
      <c r="AK22" s="893"/>
      <c r="AL22" s="893"/>
      <c r="AM22" s="893"/>
      <c r="AN22" s="893"/>
      <c r="AO22" s="893"/>
      <c r="AP22" s="197"/>
      <c r="AQ22" s="197"/>
      <c r="AR22" s="197"/>
      <c r="AS22" s="197"/>
    </row>
    <row r="23" spans="1:45" s="3" customFormat="1" ht="15.75" customHeight="1">
      <c r="A23" s="197"/>
      <c r="B23" s="355" t="s">
        <v>6802</v>
      </c>
      <c r="C23" s="356"/>
      <c r="D23" s="356"/>
      <c r="E23" s="1526"/>
      <c r="F23" s="1526"/>
      <c r="G23" s="1526"/>
      <c r="H23" s="1526"/>
      <c r="I23" s="1527"/>
      <c r="J23" s="1527"/>
      <c r="K23" s="1527"/>
      <c r="L23" s="1516"/>
      <c r="M23" s="1516"/>
      <c r="N23" s="893"/>
      <c r="O23" s="313"/>
      <c r="P23" s="926"/>
      <c r="Q23" s="933"/>
      <c r="R23" s="926"/>
      <c r="S23" s="889"/>
      <c r="T23" s="251"/>
      <c r="U23" s="725"/>
      <c r="V23" s="197"/>
      <c r="W23" s="197"/>
      <c r="X23" s="197"/>
      <c r="Y23" s="197"/>
      <c r="Z23" s="197"/>
      <c r="AA23" s="197"/>
      <c r="AB23" s="197"/>
      <c r="AC23" s="197"/>
      <c r="AD23" s="725"/>
      <c r="AE23" s="197"/>
      <c r="AF23" s="355" t="s">
        <v>6969</v>
      </c>
      <c r="AG23" s="932"/>
      <c r="AH23" s="932"/>
      <c r="AI23" s="932"/>
      <c r="AJ23" s="932"/>
      <c r="AK23" s="241"/>
      <c r="AL23" s="241"/>
      <c r="AM23" s="241"/>
      <c r="AN23" s="897"/>
      <c r="AO23" s="897"/>
      <c r="AP23" s="197"/>
      <c r="AQ23" s="197"/>
      <c r="AR23" s="197"/>
      <c r="AS23" s="197"/>
    </row>
    <row r="24" spans="1:45" s="3" customFormat="1" ht="15.75" customHeight="1">
      <c r="A24" s="197"/>
      <c r="B24" s="413" t="s">
        <v>6803</v>
      </c>
      <c r="C24" s="244" t="s">
        <v>137</v>
      </c>
      <c r="D24" s="244">
        <v>3</v>
      </c>
      <c r="E24" s="598">
        <v>8.9568954792952252E-2</v>
      </c>
      <c r="F24" s="598">
        <v>3.2929762791526561E-2</v>
      </c>
      <c r="G24" s="598">
        <v>9.2203335816274379E-3</v>
      </c>
      <c r="H24" s="598">
        <v>0</v>
      </c>
      <c r="I24" s="598">
        <v>0</v>
      </c>
      <c r="J24" s="598">
        <v>0</v>
      </c>
      <c r="K24" s="598">
        <v>0</v>
      </c>
      <c r="L24" s="598">
        <v>0</v>
      </c>
      <c r="M24" s="1480">
        <f>IFERROR(SUM(E24:L24), 0)</f>
        <v>0.13171905116610624</v>
      </c>
      <c r="N24" s="934"/>
      <c r="O24" s="935" t="s">
        <v>6970</v>
      </c>
      <c r="P24" s="926"/>
      <c r="Q24" s="250"/>
      <c r="R24" s="926"/>
      <c r="S24" s="889"/>
      <c r="T24" s="251">
        <f t="shared" ref="T24:T26" si="20">IF( SUM( V24:AC24 ) = 0, 0, $V$9 )</f>
        <v>0</v>
      </c>
      <c r="U24" s="725"/>
      <c r="V24" s="252">
        <f t="shared" ref="V24:V26" si="21" xml:space="preserve"> IF( ISNUMBER(E24), 0, 1 )</f>
        <v>0</v>
      </c>
      <c r="W24" s="252">
        <f t="shared" ref="W24:W26" si="22" xml:space="preserve"> IF( ISNUMBER(F24), 0, 1 )</f>
        <v>0</v>
      </c>
      <c r="X24" s="252">
        <f t="shared" ref="X24:X26" si="23" xml:space="preserve"> IF( ISNUMBER(G24), 0, 1 )</f>
        <v>0</v>
      </c>
      <c r="Y24" s="252">
        <f t="shared" ref="Y24:Y26" si="24" xml:space="preserve"> IF( ISNUMBER(H24), 0, 1 )</f>
        <v>0</v>
      </c>
      <c r="Z24" s="252">
        <f t="shared" ref="Z24:Z26" si="25" xml:space="preserve"> IF( ISNUMBER(I24), 0, 1 )</f>
        <v>0</v>
      </c>
      <c r="AA24" s="252">
        <f t="shared" ref="AA24:AA26" si="26" xml:space="preserve"> IF( ISNUMBER(J24), 0, 1 )</f>
        <v>0</v>
      </c>
      <c r="AB24" s="252">
        <f t="shared" ref="AB24:AB26" si="27" xml:space="preserve"> IF( ISNUMBER(K24), 0, 1 )</f>
        <v>0</v>
      </c>
      <c r="AC24" s="252">
        <f t="shared" ref="AC24:AC26" si="28" xml:space="preserve"> IF( ISNUMBER(L24), 0, 1 )</f>
        <v>0</v>
      </c>
      <c r="AD24" s="725"/>
      <c r="AE24" s="197"/>
      <c r="AF24" s="413" t="s">
        <v>6803</v>
      </c>
      <c r="AG24" s="801" t="s">
        <v>6971</v>
      </c>
      <c r="AH24" s="801" t="s">
        <v>6972</v>
      </c>
      <c r="AI24" s="801" t="s">
        <v>6973</v>
      </c>
      <c r="AJ24" s="801" t="s">
        <v>6974</v>
      </c>
      <c r="AK24" s="801" t="s">
        <v>6975</v>
      </c>
      <c r="AL24" s="801" t="s">
        <v>6976</v>
      </c>
      <c r="AM24" s="801" t="s">
        <v>6977</v>
      </c>
      <c r="AN24" s="801" t="s">
        <v>6978</v>
      </c>
      <c r="AO24" s="378" t="s">
        <v>6979</v>
      </c>
      <c r="AP24" s="197"/>
      <c r="AQ24" s="197"/>
      <c r="AR24" s="197"/>
      <c r="AS24" s="197"/>
    </row>
    <row r="25" spans="1:45" s="3" customFormat="1" ht="15.75" customHeight="1">
      <c r="A25" s="197"/>
      <c r="B25" s="422" t="s">
        <v>6811</v>
      </c>
      <c r="C25" s="253" t="s">
        <v>137</v>
      </c>
      <c r="D25" s="253">
        <v>3</v>
      </c>
      <c r="E25" s="601">
        <v>0</v>
      </c>
      <c r="F25" s="601">
        <v>0</v>
      </c>
      <c r="G25" s="601">
        <v>0</v>
      </c>
      <c r="H25" s="601">
        <v>0</v>
      </c>
      <c r="I25" s="601">
        <v>0</v>
      </c>
      <c r="J25" s="601">
        <v>0</v>
      </c>
      <c r="K25" s="601">
        <v>0</v>
      </c>
      <c r="L25" s="601">
        <v>0</v>
      </c>
      <c r="M25" s="1482">
        <f t="shared" ref="M25:M26" si="29">IFERROR(SUM(E25:L25), 0)</f>
        <v>0</v>
      </c>
      <c r="N25" s="934"/>
      <c r="O25" s="936" t="s">
        <v>6980</v>
      </c>
      <c r="P25" s="239"/>
      <c r="Q25" s="258"/>
      <c r="R25" s="239"/>
      <c r="S25" s="889"/>
      <c r="T25" s="251">
        <f t="shared" si="20"/>
        <v>0</v>
      </c>
      <c r="U25" s="725"/>
      <c r="V25" s="252">
        <f t="shared" si="21"/>
        <v>0</v>
      </c>
      <c r="W25" s="252">
        <f t="shared" si="22"/>
        <v>0</v>
      </c>
      <c r="X25" s="252">
        <f t="shared" si="23"/>
        <v>0</v>
      </c>
      <c r="Y25" s="252">
        <f t="shared" si="24"/>
        <v>0</v>
      </c>
      <c r="Z25" s="252">
        <f t="shared" si="25"/>
        <v>0</v>
      </c>
      <c r="AA25" s="252">
        <f t="shared" si="26"/>
        <v>0</v>
      </c>
      <c r="AB25" s="252">
        <f t="shared" si="27"/>
        <v>0</v>
      </c>
      <c r="AC25" s="252">
        <f t="shared" si="28"/>
        <v>0</v>
      </c>
      <c r="AD25" s="725"/>
      <c r="AE25" s="197"/>
      <c r="AF25" s="422" t="s">
        <v>6811</v>
      </c>
      <c r="AG25" s="802" t="s">
        <v>6981</v>
      </c>
      <c r="AH25" s="802" t="s">
        <v>6982</v>
      </c>
      <c r="AI25" s="802" t="s">
        <v>6983</v>
      </c>
      <c r="AJ25" s="802" t="s">
        <v>6984</v>
      </c>
      <c r="AK25" s="802" t="s">
        <v>6985</v>
      </c>
      <c r="AL25" s="802" t="s">
        <v>6986</v>
      </c>
      <c r="AM25" s="802" t="s">
        <v>6987</v>
      </c>
      <c r="AN25" s="802" t="s">
        <v>6988</v>
      </c>
      <c r="AO25" s="790" t="s">
        <v>6989</v>
      </c>
      <c r="AP25" s="197"/>
      <c r="AQ25" s="197"/>
      <c r="AR25" s="197"/>
      <c r="AS25" s="197"/>
    </row>
    <row r="26" spans="1:45" s="3" customFormat="1" ht="31.5" thickBot="1">
      <c r="A26" s="197"/>
      <c r="B26" s="425" t="s">
        <v>6990</v>
      </c>
      <c r="C26" s="319" t="s">
        <v>137</v>
      </c>
      <c r="D26" s="319">
        <v>3</v>
      </c>
      <c r="E26" s="601">
        <v>0</v>
      </c>
      <c r="F26" s="601">
        <v>0</v>
      </c>
      <c r="G26" s="601">
        <v>0</v>
      </c>
      <c r="H26" s="601">
        <v>0</v>
      </c>
      <c r="I26" s="601">
        <v>0</v>
      </c>
      <c r="J26" s="601">
        <v>0</v>
      </c>
      <c r="K26" s="601">
        <v>0</v>
      </c>
      <c r="L26" s="601">
        <v>0</v>
      </c>
      <c r="M26" s="1483">
        <f t="shared" si="29"/>
        <v>0</v>
      </c>
      <c r="N26" s="934"/>
      <c r="O26" s="938" t="s">
        <v>6991</v>
      </c>
      <c r="P26" s="939"/>
      <c r="Q26" s="269"/>
      <c r="R26" s="939"/>
      <c r="S26" s="889"/>
      <c r="T26" s="251">
        <f t="shared" si="20"/>
        <v>0</v>
      </c>
      <c r="U26" s="725"/>
      <c r="V26" s="252">
        <f t="shared" si="21"/>
        <v>0</v>
      </c>
      <c r="W26" s="252">
        <f t="shared" si="22"/>
        <v>0</v>
      </c>
      <c r="X26" s="252">
        <f t="shared" si="23"/>
        <v>0</v>
      </c>
      <c r="Y26" s="252">
        <f t="shared" si="24"/>
        <v>0</v>
      </c>
      <c r="Z26" s="252">
        <f t="shared" si="25"/>
        <v>0</v>
      </c>
      <c r="AA26" s="252">
        <f t="shared" si="26"/>
        <v>0</v>
      </c>
      <c r="AB26" s="252">
        <f t="shared" si="27"/>
        <v>0</v>
      </c>
      <c r="AC26" s="252">
        <f t="shared" si="28"/>
        <v>0</v>
      </c>
      <c r="AD26" s="725"/>
      <c r="AE26" s="197"/>
      <c r="AF26" s="425" t="s">
        <v>6992</v>
      </c>
      <c r="AG26" s="937" t="s">
        <v>6993</v>
      </c>
      <c r="AH26" s="937" t="s">
        <v>6994</v>
      </c>
      <c r="AI26" s="937" t="s">
        <v>6995</v>
      </c>
      <c r="AJ26" s="937" t="s">
        <v>6996</v>
      </c>
      <c r="AK26" s="937" t="s">
        <v>6997</v>
      </c>
      <c r="AL26" s="937" t="s">
        <v>6998</v>
      </c>
      <c r="AM26" s="937" t="s">
        <v>6999</v>
      </c>
      <c r="AN26" s="937" t="s">
        <v>7000</v>
      </c>
      <c r="AO26" s="379" t="s">
        <v>7001</v>
      </c>
      <c r="AP26" s="197"/>
      <c r="AQ26" s="197"/>
      <c r="AR26" s="197"/>
      <c r="AS26" s="197"/>
    </row>
    <row r="27" spans="1:45" s="3" customFormat="1" ht="15.75" customHeight="1" thickTop="1" thickBot="1">
      <c r="A27" s="197"/>
      <c r="B27" s="327"/>
      <c r="C27" s="327"/>
      <c r="D27" s="327"/>
      <c r="E27" s="1529"/>
      <c r="F27" s="1529"/>
      <c r="G27" s="1529"/>
      <c r="H27" s="1529"/>
      <c r="I27" s="1529"/>
      <c r="J27" s="1529"/>
      <c r="K27" s="1529"/>
      <c r="L27" s="1529"/>
      <c r="M27" s="1529"/>
      <c r="N27" s="934"/>
      <c r="O27" s="174"/>
      <c r="P27" s="927"/>
      <c r="Q27" s="941"/>
      <c r="R27" s="927"/>
      <c r="S27" s="889"/>
      <c r="T27" s="251"/>
      <c r="U27" s="725"/>
      <c r="V27" s="197"/>
      <c r="W27" s="197"/>
      <c r="X27" s="197"/>
      <c r="Y27" s="197"/>
      <c r="Z27" s="197"/>
      <c r="AA27" s="197"/>
      <c r="AB27" s="197"/>
      <c r="AC27" s="197"/>
      <c r="AD27" s="725"/>
      <c r="AE27" s="197"/>
      <c r="AF27" s="327"/>
      <c r="AG27" s="934"/>
      <c r="AH27" s="934"/>
      <c r="AI27" s="934"/>
      <c r="AJ27" s="934"/>
      <c r="AK27" s="934"/>
      <c r="AL27" s="934"/>
      <c r="AM27" s="934"/>
      <c r="AN27" s="934"/>
      <c r="AO27" s="934"/>
      <c r="AP27" s="197"/>
      <c r="AQ27" s="197"/>
      <c r="AR27" s="197"/>
      <c r="AS27" s="197"/>
    </row>
    <row r="28" spans="1:45" s="3" customFormat="1" ht="15.75" customHeight="1" thickTop="1" thickBot="1">
      <c r="A28" s="197"/>
      <c r="B28" s="431" t="s">
        <v>2996</v>
      </c>
      <c r="C28" s="333" t="s">
        <v>137</v>
      </c>
      <c r="D28" s="333">
        <v>3</v>
      </c>
      <c r="E28" s="1470">
        <f>IFERROR(SUM(E10:E16,E19:E21,E24:E26), 0)</f>
        <v>41.197000000000003</v>
      </c>
      <c r="F28" s="1470">
        <f t="shared" ref="F28:L28" si="30">IFERROR(SUM(F10:F16,F19:F21,F24:F26), 0)</f>
        <v>6.6670000000000007</v>
      </c>
      <c r="G28" s="1470">
        <f t="shared" si="30"/>
        <v>14.093999999999999</v>
      </c>
      <c r="H28" s="1470">
        <f t="shared" si="30"/>
        <v>105.86799999999999</v>
      </c>
      <c r="I28" s="1470">
        <f t="shared" si="30"/>
        <v>-2.2999999999999965E-2</v>
      </c>
      <c r="J28" s="1470">
        <f t="shared" si="30"/>
        <v>9.6319999999999997</v>
      </c>
      <c r="K28" s="1470">
        <f t="shared" si="30"/>
        <v>14.629000000000001</v>
      </c>
      <c r="L28" s="1470">
        <f t="shared" si="30"/>
        <v>9.3609999999999989</v>
      </c>
      <c r="M28" s="1465">
        <f>IFERROR(SUM(M10:M16,M19:M21,M24:M26), 0)</f>
        <v>201.42499999999998</v>
      </c>
      <c r="N28" s="934"/>
      <c r="O28" s="943" t="s">
        <v>7002</v>
      </c>
      <c r="P28" s="927"/>
      <c r="Q28" s="337"/>
      <c r="R28" s="927"/>
      <c r="S28" s="889"/>
      <c r="T28" s="251"/>
      <c r="U28" s="725"/>
      <c r="V28" s="197"/>
      <c r="W28" s="197"/>
      <c r="X28" s="197"/>
      <c r="Y28" s="197"/>
      <c r="Z28" s="197"/>
      <c r="AA28" s="197"/>
      <c r="AB28" s="197"/>
      <c r="AC28" s="197"/>
      <c r="AD28" s="725"/>
      <c r="AE28" s="197"/>
      <c r="AF28" s="431" t="s">
        <v>2996</v>
      </c>
      <c r="AG28" s="875" t="s">
        <v>5891</v>
      </c>
      <c r="AH28" s="875" t="s">
        <v>5892</v>
      </c>
      <c r="AI28" s="875" t="s">
        <v>5893</v>
      </c>
      <c r="AJ28" s="875" t="s">
        <v>5894</v>
      </c>
      <c r="AK28" s="875" t="s">
        <v>5895</v>
      </c>
      <c r="AL28" s="875" t="s">
        <v>5896</v>
      </c>
      <c r="AM28" s="875" t="s">
        <v>5897</v>
      </c>
      <c r="AN28" s="875" t="s">
        <v>5898</v>
      </c>
      <c r="AO28" s="591" t="s">
        <v>7003</v>
      </c>
      <c r="AP28" s="197"/>
      <c r="AQ28" s="197"/>
      <c r="AR28" s="197"/>
      <c r="AS28" s="197"/>
    </row>
    <row r="29" spans="1:45" s="3" customFormat="1" ht="15.75" customHeight="1" thickTop="1" thickBot="1">
      <c r="A29" s="197"/>
      <c r="B29" s="327"/>
      <c r="C29" s="327"/>
      <c r="D29" s="327"/>
      <c r="E29" s="1526"/>
      <c r="F29" s="1526"/>
      <c r="G29" s="1526"/>
      <c r="H29" s="1530"/>
      <c r="I29" s="1529"/>
      <c r="J29" s="1529"/>
      <c r="K29" s="1529"/>
      <c r="L29" s="1529"/>
      <c r="M29" s="1529"/>
      <c r="N29" s="934"/>
      <c r="O29" s="174"/>
      <c r="P29" s="927"/>
      <c r="Q29" s="941"/>
      <c r="R29" s="927"/>
      <c r="S29" s="889"/>
      <c r="T29" s="251"/>
      <c r="U29" s="725"/>
      <c r="V29" s="197"/>
      <c r="W29" s="197"/>
      <c r="X29" s="197"/>
      <c r="Y29" s="197"/>
      <c r="Z29" s="197"/>
      <c r="AA29" s="197"/>
      <c r="AB29" s="197"/>
      <c r="AC29" s="197"/>
      <c r="AD29" s="725"/>
      <c r="AE29" s="197"/>
      <c r="AF29" s="327"/>
      <c r="AG29" s="932"/>
      <c r="AH29" s="932"/>
      <c r="AI29" s="932"/>
      <c r="AJ29" s="327"/>
      <c r="AK29" s="934"/>
      <c r="AL29" s="934"/>
      <c r="AM29" s="934"/>
      <c r="AN29" s="934"/>
      <c r="AO29" s="934"/>
      <c r="AP29" s="197"/>
      <c r="AQ29" s="197"/>
      <c r="AR29" s="197"/>
      <c r="AS29" s="197"/>
    </row>
    <row r="30" spans="1:45" s="3" customFormat="1" ht="15.75" customHeight="1" thickTop="1" thickBot="1">
      <c r="A30" s="197"/>
      <c r="B30" s="355" t="s">
        <v>2389</v>
      </c>
      <c r="C30" s="356"/>
      <c r="D30" s="356"/>
      <c r="E30" s="1526"/>
      <c r="F30" s="1526"/>
      <c r="G30" s="1526"/>
      <c r="H30" s="1526"/>
      <c r="I30" s="1531"/>
      <c r="J30" s="1529"/>
      <c r="K30" s="1529"/>
      <c r="L30" s="1529"/>
      <c r="M30" s="1529"/>
      <c r="N30" s="934"/>
      <c r="O30" s="83"/>
      <c r="P30" s="926"/>
      <c r="Q30" s="933"/>
      <c r="R30" s="926"/>
      <c r="S30" s="889"/>
      <c r="T30" s="251"/>
      <c r="U30" s="725"/>
      <c r="V30" s="197"/>
      <c r="W30" s="197"/>
      <c r="X30" s="197"/>
      <c r="Y30" s="197"/>
      <c r="Z30" s="197"/>
      <c r="AA30" s="197"/>
      <c r="AB30" s="197"/>
      <c r="AC30" s="197"/>
      <c r="AD30" s="725"/>
      <c r="AE30" s="197"/>
      <c r="AF30" s="355" t="s">
        <v>2389</v>
      </c>
      <c r="AG30" s="932"/>
      <c r="AH30" s="932"/>
      <c r="AI30" s="932"/>
      <c r="AJ30" s="932"/>
      <c r="AK30" s="944"/>
      <c r="AL30" s="934"/>
      <c r="AM30" s="934"/>
      <c r="AN30" s="934"/>
      <c r="AO30" s="934"/>
      <c r="AP30" s="197"/>
      <c r="AQ30" s="197"/>
      <c r="AR30" s="197"/>
      <c r="AS30" s="197"/>
    </row>
    <row r="31" spans="1:45" s="3" customFormat="1" ht="31">
      <c r="A31" s="197"/>
      <c r="B31" s="413" t="s">
        <v>6829</v>
      </c>
      <c r="C31" s="244" t="s">
        <v>137</v>
      </c>
      <c r="D31" s="244">
        <v>3</v>
      </c>
      <c r="E31" s="598">
        <v>48.39</v>
      </c>
      <c r="F31" s="598">
        <v>16.375</v>
      </c>
      <c r="G31" s="598">
        <v>3.7789999999999999</v>
      </c>
      <c r="H31" s="598">
        <v>1.6819999999999999</v>
      </c>
      <c r="I31" s="598">
        <v>0</v>
      </c>
      <c r="J31" s="598">
        <v>0</v>
      </c>
      <c r="K31" s="598">
        <v>0</v>
      </c>
      <c r="L31" s="598">
        <v>0</v>
      </c>
      <c r="M31" s="1480">
        <f>IFERROR(SUM(E31:L31), 0)</f>
        <v>70.225999999999999</v>
      </c>
      <c r="N31" s="934"/>
      <c r="O31" s="935" t="s">
        <v>7004</v>
      </c>
      <c r="P31" s="926"/>
      <c r="Q31" s="250"/>
      <c r="R31" s="926"/>
      <c r="S31" s="889"/>
      <c r="T31" s="251">
        <f t="shared" ref="T31:T32" si="31">IF( SUM( V31:AC31 ) = 0, 0, $V$9 )</f>
        <v>0</v>
      </c>
      <c r="U31" s="725"/>
      <c r="V31" s="252">
        <f t="shared" ref="V31:V32" si="32" xml:space="preserve"> IF( ISNUMBER(E31), 0, 1 )</f>
        <v>0</v>
      </c>
      <c r="W31" s="252">
        <f t="shared" ref="W31:W32" si="33" xml:space="preserve"> IF( ISNUMBER(F31), 0, 1 )</f>
        <v>0</v>
      </c>
      <c r="X31" s="252">
        <f t="shared" ref="X31:X32" si="34" xml:space="preserve"> IF( ISNUMBER(G31), 0, 1 )</f>
        <v>0</v>
      </c>
      <c r="Y31" s="252">
        <f t="shared" ref="Y31:Y32" si="35" xml:space="preserve"> IF( ISNUMBER(H31), 0, 1 )</f>
        <v>0</v>
      </c>
      <c r="Z31" s="252">
        <f t="shared" ref="Z31:Z32" si="36" xml:space="preserve"> IF( ISNUMBER(I31), 0, 1 )</f>
        <v>0</v>
      </c>
      <c r="AA31" s="252">
        <f t="shared" ref="AA31:AA32" si="37" xml:space="preserve"> IF( ISNUMBER(J31), 0, 1 )</f>
        <v>0</v>
      </c>
      <c r="AB31" s="252">
        <f t="shared" ref="AB31:AB32" si="38" xml:space="preserve"> IF( ISNUMBER(K31), 0, 1 )</f>
        <v>0</v>
      </c>
      <c r="AC31" s="252">
        <f t="shared" ref="AC31:AC32" si="39" xml:space="preserve"> IF( ISNUMBER(L31), 0, 1 )</f>
        <v>0</v>
      </c>
      <c r="AD31" s="725"/>
      <c r="AE31" s="197"/>
      <c r="AF31" s="413" t="s">
        <v>6829</v>
      </c>
      <c r="AG31" s="801" t="s">
        <v>7005</v>
      </c>
      <c r="AH31" s="801" t="s">
        <v>7006</v>
      </c>
      <c r="AI31" s="801" t="s">
        <v>7007</v>
      </c>
      <c r="AJ31" s="801" t="s">
        <v>7008</v>
      </c>
      <c r="AK31" s="801" t="s">
        <v>7009</v>
      </c>
      <c r="AL31" s="801" t="s">
        <v>7010</v>
      </c>
      <c r="AM31" s="801" t="s">
        <v>7011</v>
      </c>
      <c r="AN31" s="801" t="s">
        <v>7012</v>
      </c>
      <c r="AO31" s="378" t="s">
        <v>7013</v>
      </c>
      <c r="AP31" s="197"/>
      <c r="AQ31" s="197"/>
      <c r="AR31" s="197"/>
      <c r="AS31" s="197"/>
    </row>
    <row r="32" spans="1:45" s="3" customFormat="1" ht="28.5" customHeight="1">
      <c r="A32" s="197"/>
      <c r="B32" s="422" t="s">
        <v>6837</v>
      </c>
      <c r="C32" s="253" t="s">
        <v>137</v>
      </c>
      <c r="D32" s="253">
        <v>3</v>
      </c>
      <c r="E32" s="601">
        <v>21.908999999999999</v>
      </c>
      <c r="F32" s="601">
        <v>7.0229999999999997</v>
      </c>
      <c r="G32" s="601">
        <v>1.7969999999999999</v>
      </c>
      <c r="H32" s="601">
        <v>69.364000000000004</v>
      </c>
      <c r="I32" s="601">
        <v>0.28699999999999998</v>
      </c>
      <c r="J32" s="601">
        <v>0.30299999999999999</v>
      </c>
      <c r="K32" s="601">
        <v>15.009</v>
      </c>
      <c r="L32" s="601">
        <v>3.6829999999999998</v>
      </c>
      <c r="M32" s="1482">
        <f t="shared" ref="M32" si="40">IFERROR(SUM(E32:L32), 0)</f>
        <v>119.375</v>
      </c>
      <c r="N32" s="934"/>
      <c r="O32" s="936" t="s">
        <v>7014</v>
      </c>
      <c r="P32" s="926"/>
      <c r="Q32" s="258"/>
      <c r="R32" s="926"/>
      <c r="S32" s="889"/>
      <c r="T32" s="251">
        <f t="shared" si="31"/>
        <v>0</v>
      </c>
      <c r="U32" s="725"/>
      <c r="V32" s="252">
        <f t="shared" si="32"/>
        <v>0</v>
      </c>
      <c r="W32" s="252">
        <f t="shared" si="33"/>
        <v>0</v>
      </c>
      <c r="X32" s="252">
        <f t="shared" si="34"/>
        <v>0</v>
      </c>
      <c r="Y32" s="252">
        <f t="shared" si="35"/>
        <v>0</v>
      </c>
      <c r="Z32" s="252">
        <f t="shared" si="36"/>
        <v>0</v>
      </c>
      <c r="AA32" s="252">
        <f t="shared" si="37"/>
        <v>0</v>
      </c>
      <c r="AB32" s="252">
        <f t="shared" si="38"/>
        <v>0</v>
      </c>
      <c r="AC32" s="252">
        <f t="shared" si="39"/>
        <v>0</v>
      </c>
      <c r="AD32" s="725"/>
      <c r="AE32" s="197"/>
      <c r="AF32" s="422" t="s">
        <v>6837</v>
      </c>
      <c r="AG32" s="802" t="s">
        <v>7015</v>
      </c>
      <c r="AH32" s="802" t="s">
        <v>7016</v>
      </c>
      <c r="AI32" s="802" t="s">
        <v>7017</v>
      </c>
      <c r="AJ32" s="802" t="s">
        <v>7018</v>
      </c>
      <c r="AK32" s="802" t="s">
        <v>7019</v>
      </c>
      <c r="AL32" s="802" t="s">
        <v>7020</v>
      </c>
      <c r="AM32" s="802" t="s">
        <v>7021</v>
      </c>
      <c r="AN32" s="802" t="s">
        <v>7022</v>
      </c>
      <c r="AO32" s="790" t="s">
        <v>7023</v>
      </c>
      <c r="AP32" s="197"/>
      <c r="AQ32" s="197"/>
      <c r="AR32" s="197"/>
      <c r="AS32" s="197"/>
    </row>
    <row r="33" spans="1:45" s="3" customFormat="1" ht="15.75" customHeight="1" thickBot="1">
      <c r="A33" s="197"/>
      <c r="B33" s="425" t="s">
        <v>6845</v>
      </c>
      <c r="C33" s="319" t="s">
        <v>137</v>
      </c>
      <c r="D33" s="319">
        <v>3</v>
      </c>
      <c r="E33" s="1473">
        <f>IFERROR(SUM(E31:E32), 0)</f>
        <v>70.299000000000007</v>
      </c>
      <c r="F33" s="1473">
        <f t="shared" ref="F33:L33" si="41">IFERROR(SUM(F31:F32), 0)</f>
        <v>23.398</v>
      </c>
      <c r="G33" s="1473">
        <f t="shared" si="41"/>
        <v>5.5759999999999996</v>
      </c>
      <c r="H33" s="1473">
        <f t="shared" si="41"/>
        <v>71.046000000000006</v>
      </c>
      <c r="I33" s="1473">
        <f t="shared" si="41"/>
        <v>0.28699999999999998</v>
      </c>
      <c r="J33" s="1473">
        <f t="shared" si="41"/>
        <v>0.30299999999999999</v>
      </c>
      <c r="K33" s="1473">
        <f t="shared" si="41"/>
        <v>15.009</v>
      </c>
      <c r="L33" s="1473">
        <f t="shared" si="41"/>
        <v>3.6829999999999998</v>
      </c>
      <c r="M33" s="1483">
        <f>IFERROR(SUM(M31:M32), 0)</f>
        <v>189.601</v>
      </c>
      <c r="N33" s="934"/>
      <c r="O33" s="938" t="s">
        <v>7024</v>
      </c>
      <c r="P33" s="926"/>
      <c r="Q33" s="269"/>
      <c r="R33" s="926"/>
      <c r="S33" s="889"/>
      <c r="T33" s="251"/>
      <c r="U33" s="725"/>
      <c r="V33" s="197"/>
      <c r="W33" s="197"/>
      <c r="X33" s="197"/>
      <c r="Y33" s="197"/>
      <c r="Z33" s="197"/>
      <c r="AA33" s="197"/>
      <c r="AB33" s="197"/>
      <c r="AC33" s="197"/>
      <c r="AD33" s="725"/>
      <c r="AE33" s="197"/>
      <c r="AF33" s="425" t="s">
        <v>6845</v>
      </c>
      <c r="AG33" s="583" t="s">
        <v>5962</v>
      </c>
      <c r="AH33" s="583" t="s">
        <v>5963</v>
      </c>
      <c r="AI33" s="583" t="s">
        <v>5964</v>
      </c>
      <c r="AJ33" s="583" t="s">
        <v>5965</v>
      </c>
      <c r="AK33" s="583" t="s">
        <v>5966</v>
      </c>
      <c r="AL33" s="583" t="s">
        <v>5967</v>
      </c>
      <c r="AM33" s="583" t="s">
        <v>5968</v>
      </c>
      <c r="AN33" s="583" t="s">
        <v>5969</v>
      </c>
      <c r="AO33" s="379" t="s">
        <v>7025</v>
      </c>
      <c r="AP33" s="197"/>
      <c r="AQ33" s="197"/>
      <c r="AR33" s="197"/>
      <c r="AS33" s="197"/>
    </row>
    <row r="34" spans="1:45" s="3" customFormat="1" ht="15.75" customHeight="1" thickTop="1" thickBot="1">
      <c r="A34" s="197"/>
      <c r="B34" s="327"/>
      <c r="C34" s="327"/>
      <c r="D34" s="327"/>
      <c r="E34" s="327"/>
      <c r="F34" s="327"/>
      <c r="G34" s="327"/>
      <c r="H34" s="327"/>
      <c r="I34" s="944"/>
      <c r="J34" s="934"/>
      <c r="K34" s="934"/>
      <c r="L34" s="934"/>
      <c r="M34" s="934"/>
      <c r="N34" s="934"/>
      <c r="O34" s="83"/>
      <c r="P34" s="926"/>
      <c r="Q34" s="933"/>
      <c r="R34" s="926"/>
      <c r="S34" s="889"/>
      <c r="T34" s="251"/>
      <c r="U34" s="725"/>
      <c r="V34" s="197"/>
      <c r="W34" s="197"/>
      <c r="X34" s="197"/>
      <c r="Y34" s="197"/>
      <c r="Z34" s="197"/>
      <c r="AA34" s="197"/>
      <c r="AB34" s="197"/>
      <c r="AC34" s="197"/>
      <c r="AD34" s="725"/>
      <c r="AE34" s="197"/>
      <c r="AF34" s="327"/>
      <c r="AG34" s="327"/>
      <c r="AH34" s="327"/>
      <c r="AI34" s="327"/>
      <c r="AJ34" s="327"/>
      <c r="AK34" s="944"/>
      <c r="AL34" s="934"/>
      <c r="AM34" s="934"/>
      <c r="AN34" s="934"/>
      <c r="AO34" s="934"/>
      <c r="AP34" s="197"/>
      <c r="AQ34" s="197"/>
      <c r="AR34" s="197"/>
      <c r="AS34" s="197"/>
    </row>
    <row r="35" spans="1:45" s="3" customFormat="1" ht="15.75" customHeight="1" thickTop="1" thickBot="1">
      <c r="A35" s="197"/>
      <c r="B35" s="355" t="s">
        <v>6848</v>
      </c>
      <c r="C35" s="356"/>
      <c r="D35" s="356"/>
      <c r="E35" s="932"/>
      <c r="F35" s="932"/>
      <c r="G35" s="932"/>
      <c r="H35" s="932"/>
      <c r="I35" s="934"/>
      <c r="J35" s="934"/>
      <c r="K35" s="934"/>
      <c r="L35" s="934"/>
      <c r="M35" s="934"/>
      <c r="N35" s="934"/>
      <c r="O35" s="174"/>
      <c r="P35" s="927"/>
      <c r="Q35" s="941"/>
      <c r="R35" s="927"/>
      <c r="S35" s="889"/>
      <c r="T35" s="251"/>
      <c r="U35" s="725"/>
      <c r="V35" s="197"/>
      <c r="W35" s="197"/>
      <c r="X35" s="197"/>
      <c r="Y35" s="197"/>
      <c r="Z35" s="197"/>
      <c r="AA35" s="197"/>
      <c r="AB35" s="197"/>
      <c r="AC35" s="197"/>
      <c r="AD35" s="725"/>
      <c r="AE35" s="197"/>
      <c r="AF35" s="355" t="s">
        <v>6848</v>
      </c>
      <c r="AG35" s="932"/>
      <c r="AH35" s="932"/>
      <c r="AI35" s="932"/>
      <c r="AJ35" s="932"/>
      <c r="AK35" s="934"/>
      <c r="AL35" s="934"/>
      <c r="AM35" s="934"/>
      <c r="AN35" s="934"/>
      <c r="AO35" s="934"/>
      <c r="AP35" s="197"/>
      <c r="AQ35" s="197"/>
      <c r="AR35" s="197"/>
      <c r="AS35" s="197"/>
    </row>
    <row r="36" spans="1:45" s="3" customFormat="1" ht="28.5" customHeight="1">
      <c r="A36" s="197"/>
      <c r="B36" s="431" t="s">
        <v>6849</v>
      </c>
      <c r="C36" s="333" t="s">
        <v>138</v>
      </c>
      <c r="D36" s="333">
        <v>0</v>
      </c>
      <c r="E36" s="1532">
        <v>551.48</v>
      </c>
      <c r="F36" s="1532">
        <v>202.75</v>
      </c>
      <c r="G36" s="1532">
        <v>56.77</v>
      </c>
      <c r="H36" s="1532">
        <v>0</v>
      </c>
      <c r="I36" s="1532">
        <v>0</v>
      </c>
      <c r="J36" s="1532">
        <v>0</v>
      </c>
      <c r="K36" s="1532">
        <v>0</v>
      </c>
      <c r="L36" s="1532">
        <v>0</v>
      </c>
      <c r="M36" s="1904">
        <f>IFERROR(SUM(E36:L36), 0)</f>
        <v>811</v>
      </c>
      <c r="N36" s="934"/>
      <c r="O36" s="943" t="s">
        <v>7026</v>
      </c>
      <c r="P36" s="926"/>
      <c r="Q36" s="337"/>
      <c r="R36" s="926"/>
      <c r="S36" s="889"/>
      <c r="T36" s="251">
        <f>IF( SUM( V36:AC36 ) = 0, 0, $V$9 )</f>
        <v>0</v>
      </c>
      <c r="U36" s="725"/>
      <c r="V36" s="252">
        <f t="shared" ref="V36" si="42" xml:space="preserve"> IF( ISNUMBER(E36), 0, 1 )</f>
        <v>0</v>
      </c>
      <c r="W36" s="252">
        <f t="shared" ref="W36" si="43" xml:space="preserve"> IF( ISNUMBER(F36), 0, 1 )</f>
        <v>0</v>
      </c>
      <c r="X36" s="252">
        <f t="shared" ref="X36" si="44" xml:space="preserve"> IF( ISNUMBER(G36), 0, 1 )</f>
        <v>0</v>
      </c>
      <c r="Y36" s="252">
        <f t="shared" ref="Y36" si="45" xml:space="preserve"> IF( ISNUMBER(H36), 0, 1 )</f>
        <v>0</v>
      </c>
      <c r="Z36" s="252">
        <f t="shared" ref="Z36" si="46" xml:space="preserve"> IF( ISNUMBER(I36), 0, 1 )</f>
        <v>0</v>
      </c>
      <c r="AA36" s="252">
        <f t="shared" ref="AA36" si="47" xml:space="preserve"> IF( ISNUMBER(J36), 0, 1 )</f>
        <v>0</v>
      </c>
      <c r="AB36" s="252">
        <f t="shared" ref="AB36" si="48" xml:space="preserve"> IF( ISNUMBER(K36), 0, 1 )</f>
        <v>0</v>
      </c>
      <c r="AC36" s="252">
        <f t="shared" ref="AC36" si="49" xml:space="preserve"> IF( ISNUMBER(L36), 0, 1 )</f>
        <v>0</v>
      </c>
      <c r="AD36" s="725"/>
      <c r="AE36" s="197"/>
      <c r="AF36" s="431" t="s">
        <v>6849</v>
      </c>
      <c r="AG36" s="874" t="s">
        <v>7027</v>
      </c>
      <c r="AH36" s="874" t="s">
        <v>7028</v>
      </c>
      <c r="AI36" s="874" t="s">
        <v>7029</v>
      </c>
      <c r="AJ36" s="874" t="s">
        <v>7030</v>
      </c>
      <c r="AK36" s="874" t="s">
        <v>7031</v>
      </c>
      <c r="AL36" s="874" t="s">
        <v>7032</v>
      </c>
      <c r="AM36" s="874" t="s">
        <v>7033</v>
      </c>
      <c r="AN36" s="874" t="s">
        <v>7034</v>
      </c>
      <c r="AO36" s="591" t="s">
        <v>7035</v>
      </c>
      <c r="AP36" s="197"/>
      <c r="AQ36" s="197"/>
      <c r="AR36" s="197"/>
      <c r="AS36" s="197"/>
    </row>
    <row r="37" spans="1:45" s="23" customFormat="1" ht="15.75" customHeight="1" thickTop="1" thickBot="1">
      <c r="A37" s="197"/>
      <c r="B37" s="377"/>
      <c r="C37" s="106"/>
      <c r="D37" s="106"/>
      <c r="E37" s="106"/>
      <c r="F37" s="106"/>
      <c r="G37" s="106"/>
      <c r="H37" s="106"/>
      <c r="I37" s="313"/>
      <c r="J37" s="313"/>
      <c r="K37" s="313"/>
      <c r="L37" s="313"/>
      <c r="M37" s="313"/>
      <c r="N37" s="313"/>
      <c r="O37" s="313"/>
      <c r="P37" s="918"/>
      <c r="Q37" s="945"/>
      <c r="R37" s="918"/>
      <c r="S37" s="889"/>
      <c r="T37" s="251"/>
      <c r="U37" s="725"/>
      <c r="V37" s="197"/>
      <c r="W37" s="197"/>
      <c r="X37" s="197"/>
      <c r="Y37" s="197"/>
      <c r="Z37" s="197"/>
      <c r="AA37" s="197"/>
      <c r="AB37" s="197"/>
      <c r="AC37" s="197"/>
      <c r="AD37" s="725"/>
      <c r="AE37" s="2562"/>
      <c r="AF37" s="377"/>
      <c r="AG37" s="106"/>
      <c r="AH37" s="106"/>
      <c r="AI37" s="106"/>
      <c r="AJ37" s="106"/>
      <c r="AK37" s="313"/>
      <c r="AL37" s="313"/>
      <c r="AM37" s="313"/>
      <c r="AN37" s="313"/>
      <c r="AO37" s="313"/>
      <c r="AP37" s="2562"/>
      <c r="AQ37" s="2562"/>
      <c r="AR37" s="2562"/>
      <c r="AS37" s="2562"/>
    </row>
    <row r="38" spans="1:45" ht="27" customHeight="1" thickTop="1" thickBot="1">
      <c r="A38" s="197"/>
      <c r="B38" s="355" t="s">
        <v>7036</v>
      </c>
      <c r="C38" s="356"/>
      <c r="D38" s="356"/>
      <c r="E38" s="932"/>
      <c r="F38" s="932"/>
      <c r="G38" s="932"/>
      <c r="H38" s="932"/>
      <c r="I38" s="944"/>
      <c r="J38" s="934"/>
      <c r="K38" s="934"/>
      <c r="L38" s="934"/>
      <c r="M38" s="934"/>
      <c r="N38" s="934"/>
      <c r="O38" s="83"/>
      <c r="P38" s="926"/>
      <c r="Q38" s="933"/>
      <c r="R38" s="918"/>
      <c r="S38" s="889"/>
      <c r="T38" s="251"/>
      <c r="U38" s="725"/>
      <c r="V38" s="197"/>
      <c r="W38" s="197"/>
      <c r="X38" s="197"/>
      <c r="Y38" s="197"/>
      <c r="Z38" s="197"/>
      <c r="AA38" s="197"/>
      <c r="AB38" s="197"/>
      <c r="AC38" s="197"/>
      <c r="AD38" s="725"/>
      <c r="AE38" s="2562"/>
      <c r="AF38" s="355" t="s">
        <v>7036</v>
      </c>
      <c r="AG38" s="932"/>
      <c r="AH38" s="932"/>
      <c r="AI38" s="932"/>
      <c r="AJ38" s="932"/>
      <c r="AK38" s="944"/>
      <c r="AL38" s="934"/>
      <c r="AM38" s="934"/>
      <c r="AN38" s="934"/>
      <c r="AO38" s="934"/>
      <c r="AP38" s="942"/>
      <c r="AQ38" s="942"/>
      <c r="AR38" s="2562"/>
      <c r="AS38" s="2562"/>
    </row>
    <row r="39" spans="1:45" ht="15.75" customHeight="1">
      <c r="A39" s="197"/>
      <c r="B39" s="413" t="s">
        <v>2930</v>
      </c>
      <c r="C39" s="244" t="s">
        <v>137</v>
      </c>
      <c r="D39" s="244">
        <v>3</v>
      </c>
      <c r="E39" s="598">
        <v>0</v>
      </c>
      <c r="F39" s="598">
        <v>0</v>
      </c>
      <c r="G39" s="598">
        <v>0</v>
      </c>
      <c r="H39" s="598">
        <f>'8C'!I40</f>
        <v>0.85508547422213077</v>
      </c>
      <c r="I39" s="598">
        <v>0</v>
      </c>
      <c r="J39" s="598">
        <v>0</v>
      </c>
      <c r="K39" s="598">
        <v>0</v>
      </c>
      <c r="L39" s="598">
        <v>0</v>
      </c>
      <c r="M39" s="1480">
        <f t="shared" ref="M39:M40" si="50">IFERROR(SUM(E39:L39), 0)</f>
        <v>0.85508547422213077</v>
      </c>
      <c r="N39" s="934"/>
      <c r="O39" s="935" t="s">
        <v>7037</v>
      </c>
      <c r="P39" s="926"/>
      <c r="Q39" s="250"/>
      <c r="R39" s="105"/>
      <c r="S39" s="889"/>
      <c r="T39" s="251">
        <f t="shared" ref="T39:T40" si="51">IF( SUM( V39:AC39 ) = 0, 0, $V$9 )</f>
        <v>0</v>
      </c>
      <c r="U39" s="725"/>
      <c r="V39" s="252">
        <f t="shared" ref="V39:V40" si="52" xml:space="preserve"> IF( ISNUMBER(E39), 0, 1 )</f>
        <v>0</v>
      </c>
      <c r="W39" s="252">
        <f t="shared" ref="W39:W40" si="53" xml:space="preserve"> IF( ISNUMBER(F39), 0, 1 )</f>
        <v>0</v>
      </c>
      <c r="X39" s="252">
        <f t="shared" ref="X39:X40" si="54" xml:space="preserve"> IF( ISNUMBER(G39), 0, 1 )</f>
        <v>0</v>
      </c>
      <c r="Y39" s="252">
        <f t="shared" ref="Y39:Y40" si="55" xml:space="preserve"> IF( ISNUMBER(H39), 0, 1 )</f>
        <v>0</v>
      </c>
      <c r="Z39" s="252">
        <f t="shared" ref="Z39:Z40" si="56" xml:space="preserve"> IF( ISNUMBER(I39), 0, 1 )</f>
        <v>0</v>
      </c>
      <c r="AA39" s="252">
        <f t="shared" ref="AA39:AA40" si="57" xml:space="preserve"> IF( ISNUMBER(J39), 0, 1 )</f>
        <v>0</v>
      </c>
      <c r="AB39" s="252">
        <f t="shared" ref="AB39:AB40" si="58" xml:space="preserve"> IF( ISNUMBER(K39), 0, 1 )</f>
        <v>0</v>
      </c>
      <c r="AC39" s="252">
        <f t="shared" ref="AC39:AC40" si="59" xml:space="preserve"> IF( ISNUMBER(L39), 0, 1 )</f>
        <v>0</v>
      </c>
      <c r="AD39" s="725"/>
      <c r="AE39" s="2562"/>
      <c r="AF39" s="413" t="s">
        <v>2930</v>
      </c>
      <c r="AG39" s="801" t="str">
        <f>CONCATENATE(AG10 &amp;"_AMP")</f>
        <v>WWS01001FL_AMP</v>
      </c>
      <c r="AH39" s="801" t="str">
        <f t="shared" ref="AH39:AO39" si="60">CONCATENATE(AH10 &amp;"_AMP")</f>
        <v>WWS01001SWD_AMP</v>
      </c>
      <c r="AI39" s="801" t="str">
        <f t="shared" si="60"/>
        <v>WWS01001HD_AMP</v>
      </c>
      <c r="AJ39" s="801" t="str">
        <f t="shared" si="60"/>
        <v>WWS01001STD_AMP</v>
      </c>
      <c r="AK39" s="801" t="str">
        <f t="shared" si="60"/>
        <v>WWS01001SLT_AMP</v>
      </c>
      <c r="AL39" s="801" t="str">
        <f t="shared" si="60"/>
        <v>WWS01001STP_AMP</v>
      </c>
      <c r="AM39" s="801" t="str">
        <f t="shared" si="60"/>
        <v>WWS01001SDT_AMP</v>
      </c>
      <c r="AN39" s="801" t="str">
        <f t="shared" si="60"/>
        <v>WWS01001SDD_AMP</v>
      </c>
      <c r="AO39" s="378" t="str">
        <f t="shared" si="60"/>
        <v>WWS01001CAS_AMP</v>
      </c>
      <c r="AP39" s="2562"/>
      <c r="AQ39" s="2562"/>
      <c r="AR39" s="2562"/>
      <c r="AS39" s="2562"/>
    </row>
    <row r="40" spans="1:45" ht="15.75" customHeight="1" thickBot="1">
      <c r="A40" s="197"/>
      <c r="B40" s="425" t="s">
        <v>2938</v>
      </c>
      <c r="C40" s="319" t="s">
        <v>137</v>
      </c>
      <c r="D40" s="319">
        <v>3</v>
      </c>
      <c r="E40" s="1524">
        <v>0</v>
      </c>
      <c r="F40" s="1524">
        <v>0</v>
      </c>
      <c r="G40" s="1524">
        <v>0</v>
      </c>
      <c r="H40" s="1524">
        <v>0</v>
      </c>
      <c r="I40" s="1524">
        <v>0</v>
      </c>
      <c r="J40" s="1524">
        <v>0</v>
      </c>
      <c r="K40" s="1524">
        <f>-'8C'!I40</f>
        <v>-0.85508547422213077</v>
      </c>
      <c r="L40" s="1524">
        <v>0</v>
      </c>
      <c r="M40" s="1483">
        <f t="shared" si="50"/>
        <v>-0.85508547422213077</v>
      </c>
      <c r="N40" s="934"/>
      <c r="O40" s="938" t="s">
        <v>7038</v>
      </c>
      <c r="P40" s="926"/>
      <c r="Q40" s="269"/>
      <c r="R40" s="105"/>
      <c r="S40" s="889"/>
      <c r="T40" s="251">
        <f t="shared" si="51"/>
        <v>0</v>
      </c>
      <c r="U40" s="725"/>
      <c r="V40" s="252">
        <f t="shared" si="52"/>
        <v>0</v>
      </c>
      <c r="W40" s="252">
        <f t="shared" si="53"/>
        <v>0</v>
      </c>
      <c r="X40" s="252">
        <f t="shared" si="54"/>
        <v>0</v>
      </c>
      <c r="Y40" s="252">
        <f t="shared" si="55"/>
        <v>0</v>
      </c>
      <c r="Z40" s="252">
        <f t="shared" si="56"/>
        <v>0</v>
      </c>
      <c r="AA40" s="252">
        <f t="shared" si="57"/>
        <v>0</v>
      </c>
      <c r="AB40" s="252">
        <f t="shared" si="58"/>
        <v>0</v>
      </c>
      <c r="AC40" s="252">
        <f t="shared" si="59"/>
        <v>0</v>
      </c>
      <c r="AD40" s="725"/>
      <c r="AE40" s="2562"/>
      <c r="AF40" s="425" t="s">
        <v>2938</v>
      </c>
      <c r="AG40" s="937" t="str">
        <f>CONCATENATE(AG11 &amp;"_AMP")</f>
        <v>WWS01002FL_AMP</v>
      </c>
      <c r="AH40" s="937" t="str">
        <f t="shared" ref="AH40:AO40" si="61">CONCATENATE(AH11 &amp;"_AMP")</f>
        <v>WWS01002SWD_AMP</v>
      </c>
      <c r="AI40" s="937" t="str">
        <f t="shared" si="61"/>
        <v>WWS01002HD_AMP</v>
      </c>
      <c r="AJ40" s="937" t="str">
        <f t="shared" si="61"/>
        <v>WWS01002STD_AMP</v>
      </c>
      <c r="AK40" s="937" t="str">
        <f t="shared" si="61"/>
        <v>WWS01002SLT_AMP</v>
      </c>
      <c r="AL40" s="937" t="str">
        <f t="shared" si="61"/>
        <v>WWS01002STP_AMP</v>
      </c>
      <c r="AM40" s="937" t="str">
        <f t="shared" si="61"/>
        <v>WWS01002SDT_AMP</v>
      </c>
      <c r="AN40" s="937" t="str">
        <f t="shared" si="61"/>
        <v>WWS01002SDD_AMP</v>
      </c>
      <c r="AO40" s="379" t="str">
        <f t="shared" si="61"/>
        <v>WWS01002CAS_AMP</v>
      </c>
      <c r="AP40" s="2562"/>
      <c r="AQ40" s="2562"/>
      <c r="AR40" s="2562"/>
      <c r="AS40" s="2562"/>
    </row>
    <row r="41" spans="1:45" ht="16" thickTop="1">
      <c r="A41" s="197"/>
      <c r="B41" s="195"/>
      <c r="C41" s="197"/>
      <c r="D41" s="197"/>
      <c r="E41" s="197"/>
      <c r="F41" s="197"/>
      <c r="G41" s="197"/>
      <c r="H41" s="197"/>
      <c r="I41" s="197"/>
      <c r="J41" s="197"/>
      <c r="K41" s="197"/>
      <c r="L41" s="197"/>
      <c r="M41" s="197"/>
      <c r="N41" s="197"/>
      <c r="O41" s="178"/>
      <c r="P41" s="105"/>
      <c r="Q41" s="946"/>
      <c r="R41" s="105"/>
      <c r="S41" s="2562"/>
      <c r="T41" s="2562"/>
      <c r="U41" s="2562"/>
      <c r="V41" s="197"/>
      <c r="W41" s="197"/>
      <c r="X41" s="197"/>
      <c r="Y41" s="197"/>
      <c r="Z41" s="197"/>
      <c r="AA41" s="197"/>
      <c r="AB41" s="197"/>
      <c r="AC41" s="197"/>
      <c r="AD41" s="2562"/>
      <c r="AE41" s="2562"/>
      <c r="AF41" s="2562"/>
      <c r="AG41" s="2562"/>
      <c r="AH41" s="2562"/>
      <c r="AI41" s="2562"/>
      <c r="AJ41" s="2562"/>
      <c r="AK41" s="2562"/>
      <c r="AL41" s="2562"/>
      <c r="AM41" s="2562"/>
      <c r="AN41" s="2562"/>
      <c r="AO41" s="2562"/>
      <c r="AP41" s="2562"/>
      <c r="AQ41" s="2562"/>
      <c r="AR41" s="2562"/>
      <c r="AS41" s="2562"/>
    </row>
    <row r="42" spans="1:45">
      <c r="A42" s="197"/>
      <c r="B42" s="195"/>
      <c r="C42" s="197"/>
      <c r="D42" s="197"/>
      <c r="E42" s="197"/>
      <c r="F42" s="197"/>
      <c r="G42" s="197"/>
      <c r="H42" s="197"/>
      <c r="I42" s="197"/>
      <c r="J42" s="197"/>
      <c r="K42" s="197"/>
      <c r="L42" s="197"/>
      <c r="M42" s="197"/>
      <c r="N42" s="197"/>
      <c r="O42" s="178"/>
      <c r="P42" s="105"/>
      <c r="Q42" s="946"/>
      <c r="R42" s="105"/>
      <c r="S42" s="2562"/>
      <c r="T42" s="2562"/>
      <c r="U42" s="2562"/>
      <c r="V42" s="197"/>
      <c r="W42" s="197"/>
      <c r="X42" s="197"/>
      <c r="Y42" s="197"/>
      <c r="Z42" s="197"/>
      <c r="AA42" s="197"/>
      <c r="AB42" s="197"/>
      <c r="AC42" s="197"/>
      <c r="AD42" s="2562"/>
      <c r="AE42" s="2562"/>
      <c r="AF42" s="2562"/>
      <c r="AG42" s="2562"/>
      <c r="AH42" s="2562"/>
      <c r="AI42" s="2562"/>
      <c r="AJ42" s="2562"/>
      <c r="AK42" s="2562"/>
      <c r="AL42" s="2562"/>
      <c r="AM42" s="2562"/>
      <c r="AN42" s="2562"/>
      <c r="AO42" s="2562"/>
      <c r="AP42" s="2562"/>
      <c r="AQ42" s="2562"/>
      <c r="AR42" s="2562"/>
      <c r="AS42" s="2562"/>
    </row>
    <row r="43" spans="1:45">
      <c r="A43" s="197"/>
      <c r="B43" s="195"/>
      <c r="C43" s="197"/>
      <c r="D43" s="197"/>
      <c r="E43" s="197"/>
      <c r="F43" s="197"/>
      <c r="G43" s="197"/>
      <c r="H43" s="197"/>
      <c r="I43" s="197"/>
      <c r="J43" s="197"/>
      <c r="K43" s="197"/>
      <c r="L43" s="197"/>
      <c r="M43" s="197"/>
      <c r="N43" s="197"/>
      <c r="O43" s="178"/>
      <c r="P43" s="105"/>
      <c r="Q43" s="946"/>
      <c r="R43" s="105"/>
      <c r="S43" s="2562"/>
      <c r="T43" s="2562"/>
      <c r="U43" s="2562"/>
      <c r="V43" s="2562"/>
      <c r="W43" s="2562"/>
      <c r="X43" s="2562"/>
      <c r="Y43" s="2562"/>
      <c r="Z43" s="2562"/>
      <c r="AA43" s="2562"/>
      <c r="AB43" s="2562"/>
      <c r="AC43" s="2562"/>
      <c r="AD43" s="2562"/>
      <c r="AE43" s="2562"/>
      <c r="AF43" s="2562"/>
      <c r="AG43" s="2562"/>
      <c r="AH43" s="2562"/>
      <c r="AI43" s="2562"/>
      <c r="AJ43" s="2562"/>
      <c r="AK43" s="2562"/>
      <c r="AL43" s="2562"/>
      <c r="AM43" s="2562"/>
      <c r="AN43" s="2562"/>
      <c r="AO43" s="2562"/>
      <c r="AP43" s="2562"/>
      <c r="AQ43" s="2562"/>
      <c r="AR43" s="2562"/>
      <c r="AS43" s="2562"/>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20" priority="1" operator="equal">
      <formula>0</formula>
    </cfRule>
  </conditionalFormatting>
  <dataValidations count="1">
    <dataValidation type="custom" allowBlank="1" showErrorMessage="1" errorTitle="Input Error" error="Please enter a numeric value." sqref="E28:L28 E19:L21 E10:L16 E31:L32 E36:L36 E39:L40 E24:L26"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70" zoomScaleNormal="70" zoomScaleSheetLayoutView="100" workbookViewId="0">
      <pane ySplit="7" topLeftCell="A110" activePane="bottomLeft" state="frozen"/>
      <selection pane="bottomLeft" activeCell="R130" sqref="R130:T130"/>
    </sheetView>
  </sheetViews>
  <sheetFormatPr defaultColWidth="9" defaultRowHeight="14"/>
  <cols>
    <col min="1" max="1" width="1.58203125" style="220" customWidth="1"/>
    <col min="2" max="2" width="104.58203125" style="950" customWidth="1"/>
    <col min="3" max="3" width="8.58203125" style="220" customWidth="1"/>
    <col min="4" max="4" width="7" style="220" customWidth="1"/>
    <col min="5" max="5" width="5.08203125" style="220" customWidth="1"/>
    <col min="6" max="6" width="9.58203125" style="220" customWidth="1"/>
    <col min="7" max="10" width="12.58203125" style="220" customWidth="1"/>
    <col min="11" max="11" width="9.58203125" style="220" customWidth="1"/>
    <col min="12" max="16" width="12.58203125" style="220" customWidth="1"/>
    <col min="17" max="17" width="9.58203125" style="220" customWidth="1"/>
    <col min="18" max="18" width="18.08203125" style="220" customWidth="1"/>
    <col min="19" max="19" width="16.58203125" style="220" customWidth="1"/>
    <col min="20" max="20" width="17" style="220" customWidth="1"/>
    <col min="21" max="21" width="2.58203125" style="220" customWidth="1"/>
    <col min="22" max="22" width="9.5" style="220" bestFit="1" customWidth="1"/>
    <col min="23" max="23" width="8.08203125" style="220" customWidth="1"/>
    <col min="24" max="24" width="21.58203125" style="220" customWidth="1"/>
    <col min="25" max="26" width="1.58203125" style="220" customWidth="1"/>
    <col min="27" max="27" width="24.58203125" style="220" customWidth="1"/>
    <col min="28" max="28" width="1.58203125" style="220" customWidth="1"/>
    <col min="29" max="43" width="6.5" style="220" hidden="1" customWidth="1"/>
    <col min="44" max="44" width="1.58203125" style="220" hidden="1" customWidth="1"/>
    <col min="45" max="45" width="1.58203125" style="220" customWidth="1"/>
    <col min="46" max="46" width="36.08203125" style="950" customWidth="1"/>
    <col min="47" max="47" width="7.08203125" style="220" bestFit="1" customWidth="1"/>
    <col min="48" max="48" width="17.08203125" style="220" bestFit="1" customWidth="1"/>
    <col min="49" max="49" width="20.58203125" style="220" bestFit="1" customWidth="1"/>
    <col min="50" max="50" width="19" style="220" bestFit="1" customWidth="1"/>
    <col min="51" max="51" width="17.08203125" style="220" bestFit="1" customWidth="1"/>
    <col min="52" max="52" width="25.58203125" style="220" bestFit="1" customWidth="1"/>
    <col min="53" max="53" width="22.08203125" style="220" bestFit="1" customWidth="1"/>
    <col min="54" max="59" width="16.08203125" style="220" customWidth="1"/>
    <col min="60" max="62" width="27.58203125" style="220" bestFit="1" customWidth="1"/>
    <col min="63" max="16384" width="9" style="220"/>
  </cols>
  <sheetData>
    <row r="1" spans="2:62" s="351" customFormat="1" ht="29.25" customHeight="1">
      <c r="B1" s="947" t="s">
        <v>7039</v>
      </c>
      <c r="C1" s="948"/>
      <c r="D1" s="948"/>
      <c r="E1" s="948"/>
      <c r="F1" s="948"/>
      <c r="G1" s="948"/>
      <c r="H1" s="948"/>
      <c r="I1" s="948"/>
      <c r="J1" s="2560"/>
      <c r="K1" s="2560"/>
      <c r="L1" s="2560"/>
      <c r="M1" s="2560"/>
      <c r="N1" s="2560"/>
      <c r="O1" s="2560"/>
      <c r="P1" s="2560"/>
      <c r="Q1" s="2560"/>
      <c r="R1" s="2560"/>
      <c r="S1" s="2560"/>
      <c r="T1" s="2560"/>
      <c r="U1" s="2837"/>
      <c r="V1" s="2837"/>
      <c r="Z1" s="949"/>
      <c r="AB1" s="722"/>
      <c r="AR1" s="722"/>
      <c r="AT1" s="947" t="s">
        <v>1887</v>
      </c>
      <c r="AU1" s="948"/>
      <c r="AV1" s="948"/>
      <c r="AW1" s="948"/>
      <c r="AX1" s="948"/>
      <c r="AY1" s="948"/>
      <c r="AZ1" s="2560"/>
      <c r="BA1" s="2560"/>
      <c r="BB1" s="2560"/>
      <c r="BC1" s="2560"/>
      <c r="BD1" s="2560"/>
      <c r="BE1" s="2560"/>
      <c r="BF1" s="2560"/>
      <c r="BG1" s="2560"/>
      <c r="BH1" s="2560"/>
      <c r="BI1" s="2560"/>
      <c r="BJ1" s="2560"/>
    </row>
    <row r="2" spans="2:62" s="351" customFormat="1" ht="29.25" customHeight="1">
      <c r="B2" s="947" t="str">
        <f>SelectCompany!B4</f>
        <v>Yorkshire Water</v>
      </c>
      <c r="C2" s="2560"/>
      <c r="D2" s="2560"/>
      <c r="E2" s="2560"/>
      <c r="F2" s="2560"/>
      <c r="G2" s="2560"/>
      <c r="H2" s="2560"/>
      <c r="I2" s="2560"/>
      <c r="J2" s="2560"/>
      <c r="K2" s="2560"/>
      <c r="L2" s="352"/>
      <c r="M2" s="352"/>
      <c r="N2" s="352"/>
      <c r="O2" s="352"/>
      <c r="P2" s="352"/>
      <c r="Q2" s="352"/>
      <c r="R2" s="352"/>
      <c r="S2" s="352"/>
      <c r="T2" s="352"/>
      <c r="U2" s="2560"/>
      <c r="V2" s="2560"/>
      <c r="Z2" s="949"/>
      <c r="AB2" s="722"/>
      <c r="AR2" s="722"/>
      <c r="AT2" s="947"/>
      <c r="AU2" s="2560"/>
      <c r="AV2" s="2560"/>
      <c r="AW2" s="2560"/>
      <c r="AX2" s="2560"/>
      <c r="AY2" s="2560"/>
      <c r="AZ2" s="2560"/>
      <c r="BA2" s="2560"/>
      <c r="BB2" s="352"/>
      <c r="BC2" s="352"/>
      <c r="BD2" s="352"/>
      <c r="BE2" s="352"/>
      <c r="BF2" s="352"/>
      <c r="BG2" s="352"/>
      <c r="BH2" s="352"/>
      <c r="BI2" s="352"/>
      <c r="BJ2" s="352"/>
    </row>
    <row r="3" spans="2:62" ht="46.5" customHeight="1">
      <c r="B3" s="2838" t="s">
        <v>7040</v>
      </c>
      <c r="C3" s="2838"/>
      <c r="D3" s="2838"/>
      <c r="E3" s="2838"/>
      <c r="F3" s="2838"/>
      <c r="G3" s="2838"/>
      <c r="H3" s="2838"/>
      <c r="I3" s="2838"/>
      <c r="J3" s="2838"/>
      <c r="K3" s="2838"/>
      <c r="L3" s="2838"/>
      <c r="M3" s="2838"/>
      <c r="N3" s="2838"/>
      <c r="O3" s="2838"/>
      <c r="P3" s="2838"/>
      <c r="Q3" s="2838"/>
      <c r="R3" s="2838"/>
      <c r="S3" s="2838"/>
      <c r="T3" s="2838"/>
      <c r="U3" s="2838"/>
      <c r="V3" s="2838"/>
      <c r="W3" s="2838"/>
      <c r="X3" s="2838"/>
      <c r="Y3" s="2562"/>
      <c r="Z3" s="2576"/>
      <c r="AA3" s="554" t="s">
        <v>1889</v>
      </c>
      <c r="AB3" s="2578"/>
      <c r="AC3" s="2562"/>
      <c r="AD3" s="2562"/>
      <c r="AE3" s="2562"/>
      <c r="AF3" s="2562"/>
      <c r="AG3" s="2562"/>
      <c r="AH3" s="2562"/>
      <c r="AI3" s="2562"/>
      <c r="AJ3" s="2562"/>
      <c r="AK3" s="2562"/>
      <c r="AL3" s="2562"/>
      <c r="AM3" s="2562"/>
      <c r="AN3" s="2562"/>
      <c r="AO3" s="2562"/>
      <c r="AP3" s="2562"/>
      <c r="AQ3" s="2562"/>
      <c r="AR3" s="2578"/>
      <c r="AS3" s="2562"/>
      <c r="AT3" s="2827" t="s">
        <v>7040</v>
      </c>
      <c r="AU3" s="2827"/>
      <c r="AV3" s="2827"/>
      <c r="AW3" s="2827"/>
      <c r="AX3" s="2827"/>
      <c r="AY3" s="2827"/>
      <c r="AZ3" s="2827"/>
      <c r="BA3" s="2827"/>
      <c r="BB3" s="2827"/>
      <c r="BC3" s="2827"/>
      <c r="BD3" s="2827"/>
      <c r="BE3" s="2827"/>
      <c r="BF3" s="2827"/>
      <c r="BG3" s="2827"/>
      <c r="BH3" s="2827"/>
      <c r="BI3" s="2827"/>
      <c r="BJ3" s="2827"/>
    </row>
    <row r="4" spans="2:62" ht="14.25" customHeight="1" thickBot="1">
      <c r="B4" s="2592"/>
      <c r="C4" s="2560"/>
      <c r="D4" s="2560"/>
      <c r="E4" s="2560"/>
      <c r="F4" s="2560"/>
      <c r="G4" s="2560"/>
      <c r="H4" s="2560"/>
      <c r="I4" s="2560"/>
      <c r="J4" s="2560"/>
      <c r="K4" s="2560"/>
      <c r="L4" s="951"/>
      <c r="M4" s="724"/>
      <c r="N4" s="724"/>
      <c r="O4" s="724"/>
      <c r="P4" s="724"/>
      <c r="Q4" s="724"/>
      <c r="R4" s="724"/>
      <c r="S4" s="724"/>
      <c r="T4" s="724"/>
      <c r="U4" s="2560"/>
      <c r="V4" s="2560"/>
      <c r="W4" s="2562"/>
      <c r="X4" s="2562"/>
      <c r="Y4" s="2562"/>
      <c r="Z4" s="2576"/>
      <c r="AA4" s="2562"/>
      <c r="AB4" s="2578"/>
      <c r="AC4" s="2562"/>
      <c r="AD4" s="2562"/>
      <c r="AE4" s="2562"/>
      <c r="AF4" s="2562"/>
      <c r="AG4" s="2562"/>
      <c r="AH4" s="2562"/>
      <c r="AI4" s="2562"/>
      <c r="AJ4" s="2562"/>
      <c r="AK4" s="2562"/>
      <c r="AL4" s="2562"/>
      <c r="AM4" s="2562"/>
      <c r="AN4" s="2562"/>
      <c r="AO4" s="2562"/>
      <c r="AP4" s="2562"/>
      <c r="AQ4" s="2562"/>
      <c r="AR4" s="2578"/>
      <c r="AS4" s="2562"/>
      <c r="AT4" s="2592"/>
      <c r="AU4" s="2560"/>
      <c r="AV4" s="2560"/>
      <c r="AW4" s="2560"/>
      <c r="AX4" s="2560"/>
      <c r="AY4" s="2560"/>
      <c r="AZ4" s="2560"/>
      <c r="BA4" s="2560"/>
      <c r="BB4" s="951"/>
      <c r="BC4" s="724"/>
      <c r="BD4" s="724"/>
      <c r="BE4" s="724"/>
      <c r="BF4" s="724"/>
      <c r="BG4" s="724"/>
      <c r="BH4" s="724"/>
      <c r="BI4" s="724"/>
      <c r="BJ4" s="724"/>
    </row>
    <row r="5" spans="2:62" s="197" customFormat="1" ht="46.4" customHeight="1" thickTop="1">
      <c r="B5" s="2828" t="s">
        <v>7041</v>
      </c>
      <c r="C5" s="2793"/>
      <c r="D5" s="2793" t="s">
        <v>1892</v>
      </c>
      <c r="E5" s="2793" t="s">
        <v>136</v>
      </c>
      <c r="F5" s="2832" t="s">
        <v>6859</v>
      </c>
      <c r="G5" s="2832"/>
      <c r="H5" s="2832"/>
      <c r="I5" s="2832"/>
      <c r="J5" s="2832"/>
      <c r="K5" s="2832"/>
      <c r="L5" s="2807" t="s">
        <v>7042</v>
      </c>
      <c r="M5" s="2807"/>
      <c r="N5" s="2807"/>
      <c r="O5" s="2807"/>
      <c r="P5" s="2807"/>
      <c r="Q5" s="2807"/>
      <c r="R5" s="2793" t="s">
        <v>7043</v>
      </c>
      <c r="S5" s="2793" t="s">
        <v>7044</v>
      </c>
      <c r="T5" s="2791" t="s">
        <v>7045</v>
      </c>
      <c r="U5" s="222"/>
      <c r="V5" s="2839" t="s">
        <v>1896</v>
      </c>
      <c r="X5" s="2763" t="s">
        <v>1897</v>
      </c>
      <c r="Z5" s="952"/>
      <c r="AB5" s="725"/>
      <c r="AR5" s="725"/>
      <c r="AT5" s="2828" t="s">
        <v>7041</v>
      </c>
      <c r="AU5" s="2793"/>
      <c r="AV5" s="2832" t="s">
        <v>6859</v>
      </c>
      <c r="AW5" s="2832"/>
      <c r="AX5" s="2832"/>
      <c r="AY5" s="2832"/>
      <c r="AZ5" s="2832"/>
      <c r="BA5" s="2832"/>
      <c r="BB5" s="2807" t="s">
        <v>7042</v>
      </c>
      <c r="BC5" s="2807"/>
      <c r="BD5" s="2807"/>
      <c r="BE5" s="2807"/>
      <c r="BF5" s="2807"/>
      <c r="BG5" s="2807"/>
      <c r="BH5" s="2793" t="s">
        <v>7043</v>
      </c>
      <c r="BI5" s="2793" t="s">
        <v>7044</v>
      </c>
      <c r="BJ5" s="2791" t="s">
        <v>7045</v>
      </c>
    </row>
    <row r="6" spans="2:62" s="197" customFormat="1" ht="31.5" customHeight="1">
      <c r="B6" s="2829"/>
      <c r="C6" s="2830"/>
      <c r="D6" s="2808"/>
      <c r="E6" s="2830"/>
      <c r="F6" s="2830" t="s">
        <v>2828</v>
      </c>
      <c r="G6" s="2834" t="s">
        <v>3654</v>
      </c>
      <c r="H6" s="2834"/>
      <c r="I6" s="2834"/>
      <c r="J6" s="2834"/>
      <c r="K6" s="2834" t="s">
        <v>2112</v>
      </c>
      <c r="L6" s="2830" t="s">
        <v>2828</v>
      </c>
      <c r="M6" s="2802" t="s">
        <v>3654</v>
      </c>
      <c r="N6" s="2802"/>
      <c r="O6" s="2802"/>
      <c r="P6" s="2802"/>
      <c r="Q6" s="2830" t="s">
        <v>2112</v>
      </c>
      <c r="R6" s="2830"/>
      <c r="S6" s="2830"/>
      <c r="T6" s="2836"/>
      <c r="U6" s="222"/>
      <c r="V6" s="2840"/>
      <c r="X6" s="2764"/>
      <c r="Z6" s="952"/>
      <c r="AB6" s="725"/>
      <c r="AR6" s="725"/>
      <c r="AT6" s="2829"/>
      <c r="AU6" s="2830"/>
      <c r="AV6" s="2830" t="s">
        <v>2828</v>
      </c>
      <c r="AW6" s="2834" t="s">
        <v>3654</v>
      </c>
      <c r="AX6" s="2834"/>
      <c r="AY6" s="2834"/>
      <c r="AZ6" s="2834"/>
      <c r="BA6" s="2834" t="s">
        <v>2112</v>
      </c>
      <c r="BB6" s="2830" t="s">
        <v>2828</v>
      </c>
      <c r="BC6" s="2802" t="s">
        <v>3654</v>
      </c>
      <c r="BD6" s="2802"/>
      <c r="BE6" s="2802"/>
      <c r="BF6" s="2802"/>
      <c r="BG6" s="2830" t="s">
        <v>2112</v>
      </c>
      <c r="BH6" s="2830"/>
      <c r="BI6" s="2830"/>
      <c r="BJ6" s="2836"/>
    </row>
    <row r="7" spans="2:62" s="197" customFormat="1" ht="29.25" customHeight="1" thickBot="1">
      <c r="B7" s="2831"/>
      <c r="C7" s="2794"/>
      <c r="D7" s="2790"/>
      <c r="E7" s="2794"/>
      <c r="F7" s="2794"/>
      <c r="G7" s="759" t="s">
        <v>5703</v>
      </c>
      <c r="H7" s="759" t="s">
        <v>5704</v>
      </c>
      <c r="I7" s="759" t="s">
        <v>5705</v>
      </c>
      <c r="J7" s="759" t="s">
        <v>5706</v>
      </c>
      <c r="K7" s="2835"/>
      <c r="L7" s="2833"/>
      <c r="M7" s="759" t="s">
        <v>5703</v>
      </c>
      <c r="N7" s="759" t="s">
        <v>5704</v>
      </c>
      <c r="O7" s="759" t="s">
        <v>5705</v>
      </c>
      <c r="P7" s="759" t="s">
        <v>5706</v>
      </c>
      <c r="Q7" s="2833"/>
      <c r="R7" s="759" t="s">
        <v>2112</v>
      </c>
      <c r="S7" s="759" t="s">
        <v>2112</v>
      </c>
      <c r="T7" s="953" t="s">
        <v>2112</v>
      </c>
      <c r="U7" s="954"/>
      <c r="V7" s="2841"/>
      <c r="X7" s="2765"/>
      <c r="Z7" s="952"/>
      <c r="AA7" s="785"/>
      <c r="AB7" s="725"/>
      <c r="AR7" s="725"/>
      <c r="AT7" s="2831"/>
      <c r="AU7" s="2794"/>
      <c r="AV7" s="2794"/>
      <c r="AW7" s="759" t="s">
        <v>5703</v>
      </c>
      <c r="AX7" s="759" t="s">
        <v>5704</v>
      </c>
      <c r="AY7" s="759" t="s">
        <v>5705</v>
      </c>
      <c r="AZ7" s="759" t="s">
        <v>5706</v>
      </c>
      <c r="BA7" s="2835"/>
      <c r="BB7" s="2833"/>
      <c r="BC7" s="759" t="s">
        <v>5703</v>
      </c>
      <c r="BD7" s="759" t="s">
        <v>5704</v>
      </c>
      <c r="BE7" s="759" t="s">
        <v>5705</v>
      </c>
      <c r="BF7" s="759" t="s">
        <v>5706</v>
      </c>
      <c r="BG7" s="2833"/>
      <c r="BH7" s="759" t="s">
        <v>2112</v>
      </c>
      <c r="BI7" s="759" t="s">
        <v>2112</v>
      </c>
      <c r="BJ7" s="953" t="s">
        <v>2112</v>
      </c>
    </row>
    <row r="8" spans="2:62" s="197" customFormat="1" ht="14.25" customHeight="1" thickTop="1" thickBot="1">
      <c r="B8" s="955"/>
      <c r="C8" s="893"/>
      <c r="D8" s="893"/>
      <c r="E8" s="893"/>
      <c r="F8" s="893"/>
      <c r="G8" s="893"/>
      <c r="H8" s="893"/>
      <c r="I8" s="893"/>
      <c r="J8" s="893"/>
      <c r="K8" s="893"/>
      <c r="L8" s="893"/>
      <c r="M8" s="893"/>
      <c r="N8" s="893"/>
      <c r="O8" s="893"/>
      <c r="P8" s="893"/>
      <c r="Q8" s="893"/>
      <c r="R8" s="893"/>
      <c r="S8" s="893"/>
      <c r="T8" s="893"/>
      <c r="U8" s="954"/>
      <c r="V8" s="893"/>
      <c r="Z8" s="952"/>
      <c r="AB8" s="725"/>
      <c r="AC8" s="2662" t="s">
        <v>1890</v>
      </c>
      <c r="AD8" s="2795"/>
      <c r="AE8" s="2795"/>
      <c r="AF8" s="2795"/>
      <c r="AG8" s="2579"/>
      <c r="AH8" s="2579"/>
      <c r="AI8" s="2579"/>
      <c r="AJ8" s="2579"/>
      <c r="AK8" s="2579"/>
      <c r="AL8" s="2579"/>
      <c r="AM8" s="2579"/>
      <c r="AN8" s="2579"/>
      <c r="AO8" s="2579"/>
      <c r="AP8" s="2579"/>
      <c r="AQ8" s="2579"/>
      <c r="AR8" s="2591"/>
      <c r="AS8" s="2579"/>
      <c r="AT8" s="955"/>
      <c r="AU8" s="893"/>
      <c r="AV8" s="893"/>
      <c r="AW8" s="893"/>
      <c r="AX8" s="893"/>
      <c r="AY8" s="893"/>
      <c r="AZ8" s="893"/>
      <c r="BA8" s="893"/>
      <c r="BB8" s="893"/>
      <c r="BC8" s="893"/>
      <c r="BD8" s="893"/>
      <c r="BE8" s="893"/>
      <c r="BF8" s="893"/>
      <c r="BG8" s="893"/>
      <c r="BH8" s="893"/>
      <c r="BI8" s="893"/>
      <c r="BJ8" s="893"/>
    </row>
    <row r="9" spans="2:62" s="197" customFormat="1" ht="15.75" customHeight="1" thickTop="1" thickBot="1">
      <c r="B9" s="956" t="s">
        <v>7046</v>
      </c>
      <c r="C9" s="893"/>
      <c r="D9" s="893"/>
      <c r="E9" s="893"/>
      <c r="F9" s="893"/>
      <c r="G9" s="893"/>
      <c r="H9" s="893"/>
      <c r="I9" s="893"/>
      <c r="J9" s="893"/>
      <c r="K9" s="893"/>
      <c r="L9" s="893"/>
      <c r="M9" s="893"/>
      <c r="N9" s="893"/>
      <c r="O9" s="893"/>
      <c r="P9" s="893"/>
      <c r="Q9" s="893"/>
      <c r="R9" s="893"/>
      <c r="S9" s="893"/>
      <c r="T9" s="893"/>
      <c r="U9" s="954"/>
      <c r="V9" s="893"/>
      <c r="Z9" s="952"/>
      <c r="AB9" s="725"/>
      <c r="AC9" s="236" t="s">
        <v>1898</v>
      </c>
      <c r="AR9" s="725"/>
      <c r="AT9" s="956" t="s">
        <v>7046</v>
      </c>
      <c r="AU9" s="893"/>
      <c r="AV9" s="893"/>
      <c r="AW9" s="893"/>
      <c r="AX9" s="893"/>
      <c r="AY9" s="893"/>
      <c r="AZ9" s="893"/>
      <c r="BA9" s="893"/>
      <c r="BB9" s="893"/>
      <c r="BC9" s="893"/>
      <c r="BD9" s="893"/>
      <c r="BE9" s="893"/>
      <c r="BF9" s="893"/>
      <c r="BG9" s="893"/>
      <c r="BH9" s="893"/>
      <c r="BI9" s="893"/>
      <c r="BJ9" s="893"/>
    </row>
    <row r="10" spans="2:62" s="197" customFormat="1" ht="15.75" customHeight="1" thickTop="1">
      <c r="B10" s="957" t="s">
        <v>7047</v>
      </c>
      <c r="C10" s="958" t="s">
        <v>1692</v>
      </c>
      <c r="D10" s="244" t="s">
        <v>137</v>
      </c>
      <c r="E10" s="244">
        <v>3</v>
      </c>
      <c r="F10" s="598">
        <v>1.627</v>
      </c>
      <c r="G10" s="598">
        <v>0</v>
      </c>
      <c r="H10" s="598">
        <v>0</v>
      </c>
      <c r="I10" s="598">
        <v>0</v>
      </c>
      <c r="J10" s="598">
        <v>0</v>
      </c>
      <c r="K10" s="1479">
        <f>IFERROR(SUM(F10:J10), 0)</f>
        <v>1.627</v>
      </c>
      <c r="L10" s="1533"/>
      <c r="M10" s="1534"/>
      <c r="N10" s="1534"/>
      <c r="O10" s="1534"/>
      <c r="P10" s="1534"/>
      <c r="Q10" s="1534"/>
      <c r="R10" s="1534"/>
      <c r="S10" s="1534"/>
      <c r="T10" s="1535"/>
      <c r="U10" s="222"/>
      <c r="V10" s="961" t="s">
        <v>7048</v>
      </c>
      <c r="X10" s="250"/>
      <c r="Z10" s="952"/>
      <c r="AA10" s="251">
        <f t="shared" ref="AA10:AA27" si="0">IF( SUM( AC10:AQ10 ) = 0, 0, $AC$9 )</f>
        <v>0</v>
      </c>
      <c r="AB10" s="725"/>
      <c r="AC10" s="252">
        <f t="shared" ref="AC10" si="1" xml:space="preserve"> IF( ISNUMBER(F10), 0, 1 )</f>
        <v>0</v>
      </c>
      <c r="AD10" s="252">
        <f t="shared" ref="AD10:AD11" si="2" xml:space="preserve"> IF( ISNUMBER(G10), 0, 1 )</f>
        <v>0</v>
      </c>
      <c r="AE10" s="252">
        <f t="shared" ref="AE10:AE11" si="3" xml:space="preserve"> IF( ISNUMBER(H10), 0, 1 )</f>
        <v>0</v>
      </c>
      <c r="AF10" s="252">
        <f t="shared" ref="AF10:AF11" si="4" xml:space="preserve"> IF( ISNUMBER(I10), 0, 1 )</f>
        <v>0</v>
      </c>
      <c r="AG10" s="252">
        <f t="shared" ref="AG10:AG11" si="5" xml:space="preserve"> IF( ISNUMBER(J10), 0, 1 )</f>
        <v>0</v>
      </c>
      <c r="AH10" s="237"/>
      <c r="AI10" s="237"/>
      <c r="AJ10" s="237"/>
      <c r="AK10" s="237"/>
      <c r="AL10" s="237"/>
      <c r="AM10" s="237"/>
      <c r="AN10" s="237"/>
      <c r="AO10" s="237"/>
      <c r="AP10" s="237"/>
      <c r="AQ10" s="237"/>
      <c r="AR10" s="725"/>
      <c r="AT10" s="957" t="s">
        <v>7047</v>
      </c>
      <c r="AU10" s="958" t="s">
        <v>1692</v>
      </c>
      <c r="AV10" s="598" t="s">
        <v>7049</v>
      </c>
      <c r="AW10" s="598" t="s">
        <v>7050</v>
      </c>
      <c r="AX10" s="598" t="s">
        <v>7051</v>
      </c>
      <c r="AY10" s="598" t="s">
        <v>7052</v>
      </c>
      <c r="AZ10" s="598" t="s">
        <v>7053</v>
      </c>
      <c r="BA10" s="579" t="s">
        <v>7054</v>
      </c>
      <c r="BB10" s="959"/>
      <c r="BC10" s="371"/>
      <c r="BD10" s="371"/>
      <c r="BE10" s="371"/>
      <c r="BF10" s="371"/>
      <c r="BG10" s="371"/>
      <c r="BH10" s="371"/>
      <c r="BI10" s="371"/>
      <c r="BJ10" s="960"/>
    </row>
    <row r="11" spans="2:62" s="197" customFormat="1" ht="15.75" customHeight="1">
      <c r="B11" s="962" t="s">
        <v>7047</v>
      </c>
      <c r="C11" s="318" t="s">
        <v>1693</v>
      </c>
      <c r="D11" s="253" t="s">
        <v>137</v>
      </c>
      <c r="E11" s="253">
        <v>3</v>
      </c>
      <c r="F11" s="601">
        <v>0</v>
      </c>
      <c r="G11" s="601">
        <v>0</v>
      </c>
      <c r="H11" s="601">
        <v>0</v>
      </c>
      <c r="I11" s="601">
        <v>0</v>
      </c>
      <c r="J11" s="601">
        <v>0</v>
      </c>
      <c r="K11" s="1481">
        <f t="shared" ref="K11:K27" si="6">IFERROR(SUM(F11:J11), 0)</f>
        <v>0</v>
      </c>
      <c r="L11" s="1536"/>
      <c r="M11" s="1537"/>
      <c r="N11" s="1537"/>
      <c r="O11" s="1537"/>
      <c r="P11" s="1537"/>
      <c r="Q11" s="1537"/>
      <c r="R11" s="1537"/>
      <c r="S11" s="1537"/>
      <c r="T11" s="1538"/>
      <c r="U11" s="222"/>
      <c r="V11" s="966" t="s">
        <v>7055</v>
      </c>
      <c r="X11" s="258"/>
      <c r="Z11" s="952"/>
      <c r="AA11" s="251">
        <f t="shared" si="0"/>
        <v>0</v>
      </c>
      <c r="AB11" s="725"/>
      <c r="AC11" s="252">
        <f t="shared" ref="AC11" si="7" xml:space="preserve"> IF( ISNUMBER(F11), 0, 1 )</f>
        <v>0</v>
      </c>
      <c r="AD11" s="252">
        <f t="shared" si="2"/>
        <v>0</v>
      </c>
      <c r="AE11" s="252">
        <f t="shared" si="3"/>
        <v>0</v>
      </c>
      <c r="AF11" s="252">
        <f t="shared" si="4"/>
        <v>0</v>
      </c>
      <c r="AG11" s="252">
        <f t="shared" si="5"/>
        <v>0</v>
      </c>
      <c r="AH11" s="237"/>
      <c r="AI11" s="237"/>
      <c r="AJ11" s="237"/>
      <c r="AK11" s="237"/>
      <c r="AL11" s="237"/>
      <c r="AM11" s="237"/>
      <c r="AN11" s="237"/>
      <c r="AO11" s="237"/>
      <c r="AP11" s="237"/>
      <c r="AQ11" s="237"/>
      <c r="AR11" s="725"/>
      <c r="AT11" s="962" t="s">
        <v>7047</v>
      </c>
      <c r="AU11" s="318" t="s">
        <v>1693</v>
      </c>
      <c r="AV11" s="601" t="s">
        <v>7056</v>
      </c>
      <c r="AW11" s="601" t="s">
        <v>7057</v>
      </c>
      <c r="AX11" s="601" t="s">
        <v>7058</v>
      </c>
      <c r="AY11" s="601" t="s">
        <v>7059</v>
      </c>
      <c r="AZ11" s="601" t="s">
        <v>7060</v>
      </c>
      <c r="BA11" s="581" t="s">
        <v>7061</v>
      </c>
      <c r="BB11" s="963"/>
      <c r="BC11" s="964"/>
      <c r="BD11" s="964"/>
      <c r="BE11" s="964"/>
      <c r="BF11" s="964"/>
      <c r="BG11" s="964"/>
      <c r="BH11" s="964"/>
      <c r="BI11" s="964"/>
      <c r="BJ11" s="965"/>
    </row>
    <row r="12" spans="2:62" s="197" customFormat="1" ht="15.75" customHeight="1">
      <c r="B12" s="962" t="s">
        <v>7047</v>
      </c>
      <c r="C12" s="318" t="s">
        <v>1694</v>
      </c>
      <c r="D12" s="253" t="s">
        <v>137</v>
      </c>
      <c r="E12" s="253">
        <v>3</v>
      </c>
      <c r="F12" s="1481">
        <f>IFERROR(SUM(F10:F11), 0)</f>
        <v>1.627</v>
      </c>
      <c r="G12" s="1481">
        <f t="shared" ref="G12:J12" si="8">IFERROR(SUM(G10:G11), 0)</f>
        <v>0</v>
      </c>
      <c r="H12" s="1481">
        <f t="shared" si="8"/>
        <v>0</v>
      </c>
      <c r="I12" s="1481">
        <f>IFERROR(SUM(I10:I11), 0)</f>
        <v>0</v>
      </c>
      <c r="J12" s="1481">
        <f t="shared" si="8"/>
        <v>0</v>
      </c>
      <c r="K12" s="1481">
        <f t="shared" si="6"/>
        <v>1.627</v>
      </c>
      <c r="L12" s="1536"/>
      <c r="M12" s="1537"/>
      <c r="N12" s="1537"/>
      <c r="O12" s="1537"/>
      <c r="P12" s="1537"/>
      <c r="Q12" s="1537"/>
      <c r="R12" s="601">
        <v>4.3289999999999997</v>
      </c>
      <c r="S12" s="601">
        <v>6.1870000000000003</v>
      </c>
      <c r="T12" s="602">
        <v>9.0660000000000007</v>
      </c>
      <c r="U12" s="222"/>
      <c r="V12" s="966" t="s">
        <v>7062</v>
      </c>
      <c r="X12" s="258"/>
      <c r="Z12" s="952"/>
      <c r="AA12" s="251">
        <f t="shared" si="0"/>
        <v>0</v>
      </c>
      <c r="AB12" s="725"/>
      <c r="AC12" s="237"/>
      <c r="AD12" s="237"/>
      <c r="AE12" s="237"/>
      <c r="AF12" s="237"/>
      <c r="AG12" s="237"/>
      <c r="AH12" s="237"/>
      <c r="AI12" s="237"/>
      <c r="AJ12" s="237"/>
      <c r="AK12" s="237"/>
      <c r="AL12" s="237"/>
      <c r="AM12" s="237"/>
      <c r="AN12" s="237"/>
      <c r="AO12" s="252">
        <f t="shared" ref="AO12" si="9" xml:space="preserve"> IF( ISNUMBER(R12), 0, 1 )</f>
        <v>0</v>
      </c>
      <c r="AP12" s="252">
        <f t="shared" ref="AP12" si="10" xml:space="preserve"> IF( ISNUMBER(S12), 0, 1 )</f>
        <v>0</v>
      </c>
      <c r="AQ12" s="252">
        <f t="shared" ref="AQ12" si="11" xml:space="preserve"> IF( ISNUMBER(T12), 0, 1 )</f>
        <v>0</v>
      </c>
      <c r="AR12" s="725"/>
      <c r="AT12" s="962" t="s">
        <v>7047</v>
      </c>
      <c r="AU12" s="318" t="s">
        <v>1694</v>
      </c>
      <c r="AV12" s="581" t="s">
        <v>7063</v>
      </c>
      <c r="AW12" s="581" t="s">
        <v>7064</v>
      </c>
      <c r="AX12" s="581" t="s">
        <v>7065</v>
      </c>
      <c r="AY12" s="581" t="s">
        <v>7066</v>
      </c>
      <c r="AZ12" s="581" t="s">
        <v>7067</v>
      </c>
      <c r="BA12" s="581" t="s">
        <v>7068</v>
      </c>
      <c r="BB12" s="963"/>
      <c r="BC12" s="964"/>
      <c r="BD12" s="964"/>
      <c r="BE12" s="964"/>
      <c r="BF12" s="964"/>
      <c r="BG12" s="964"/>
      <c r="BH12" s="967" t="s">
        <v>7069</v>
      </c>
      <c r="BI12" s="967" t="s">
        <v>7070</v>
      </c>
      <c r="BJ12" s="968" t="s">
        <v>7071</v>
      </c>
    </row>
    <row r="13" spans="2:62" s="197" customFormat="1" ht="15.75" customHeight="1">
      <c r="B13" s="962" t="s">
        <v>7072</v>
      </c>
      <c r="C13" s="318" t="s">
        <v>1692</v>
      </c>
      <c r="D13" s="253" t="s">
        <v>137</v>
      </c>
      <c r="E13" s="253">
        <v>3</v>
      </c>
      <c r="F13" s="601">
        <v>2.0310000000000001</v>
      </c>
      <c r="G13" s="601">
        <v>0</v>
      </c>
      <c r="H13" s="601">
        <v>0</v>
      </c>
      <c r="I13" s="601">
        <v>0</v>
      </c>
      <c r="J13" s="601">
        <v>0</v>
      </c>
      <c r="K13" s="1481">
        <f t="shared" si="6"/>
        <v>2.0310000000000001</v>
      </c>
      <c r="L13" s="1539"/>
      <c r="M13" s="1539"/>
      <c r="N13" s="1539"/>
      <c r="O13" s="1539"/>
      <c r="P13" s="1539"/>
      <c r="Q13" s="1539"/>
      <c r="R13" s="1539"/>
      <c r="S13" s="1539"/>
      <c r="T13" s="1540"/>
      <c r="U13" s="222"/>
      <c r="V13" s="966" t="s">
        <v>7073</v>
      </c>
      <c r="X13" s="258"/>
      <c r="Z13" s="952"/>
      <c r="AA13" s="251">
        <f t="shared" si="0"/>
        <v>0</v>
      </c>
      <c r="AB13" s="725"/>
      <c r="AC13" s="252">
        <f t="shared" ref="AC13:AC14" si="12" xml:space="preserve"> IF( ISNUMBER(F13), 0, 1 )</f>
        <v>0</v>
      </c>
      <c r="AD13" s="252">
        <f t="shared" ref="AD13:AD14" si="13" xml:space="preserve"> IF( ISNUMBER(G13), 0, 1 )</f>
        <v>0</v>
      </c>
      <c r="AE13" s="252">
        <f t="shared" ref="AE13:AE14" si="14" xml:space="preserve"> IF( ISNUMBER(H13), 0, 1 )</f>
        <v>0</v>
      </c>
      <c r="AF13" s="252">
        <f t="shared" ref="AF13:AF14" si="15" xml:space="preserve"> IF( ISNUMBER(I13), 0, 1 )</f>
        <v>0</v>
      </c>
      <c r="AG13" s="252">
        <f t="shared" ref="AG13:AG14" si="16" xml:space="preserve"> IF( ISNUMBER(J13), 0, 1 )</f>
        <v>0</v>
      </c>
      <c r="AH13" s="237"/>
      <c r="AI13" s="237"/>
      <c r="AJ13" s="237"/>
      <c r="AK13" s="237"/>
      <c r="AL13" s="237"/>
      <c r="AM13" s="237"/>
      <c r="AN13" s="237"/>
      <c r="AO13" s="237"/>
      <c r="AP13" s="237"/>
      <c r="AQ13" s="237"/>
      <c r="AR13" s="725"/>
      <c r="AT13" s="962" t="s">
        <v>7072</v>
      </c>
      <c r="AU13" s="318" t="s">
        <v>1692</v>
      </c>
      <c r="AV13" s="601" t="s">
        <v>7074</v>
      </c>
      <c r="AW13" s="601" t="s">
        <v>7075</v>
      </c>
      <c r="AX13" s="601" t="s">
        <v>7076</v>
      </c>
      <c r="AY13" s="601" t="s">
        <v>7077</v>
      </c>
      <c r="AZ13" s="601" t="s">
        <v>7078</v>
      </c>
      <c r="BA13" s="581" t="s">
        <v>7079</v>
      </c>
      <c r="BB13" s="969"/>
      <c r="BC13" s="969"/>
      <c r="BD13" s="969"/>
      <c r="BE13" s="969"/>
      <c r="BF13" s="969"/>
      <c r="BG13" s="969"/>
      <c r="BH13" s="969"/>
      <c r="BI13" s="969"/>
      <c r="BJ13" s="970"/>
    </row>
    <row r="14" spans="2:62" s="197" customFormat="1" ht="15.75" customHeight="1">
      <c r="B14" s="962" t="s">
        <v>7072</v>
      </c>
      <c r="C14" s="318" t="s">
        <v>1693</v>
      </c>
      <c r="D14" s="253" t="s">
        <v>137</v>
      </c>
      <c r="E14" s="253">
        <v>3</v>
      </c>
      <c r="F14" s="601">
        <v>0</v>
      </c>
      <c r="G14" s="601">
        <v>0</v>
      </c>
      <c r="H14" s="601">
        <v>0</v>
      </c>
      <c r="I14" s="601">
        <v>0</v>
      </c>
      <c r="J14" s="601">
        <v>0</v>
      </c>
      <c r="K14" s="1481">
        <f t="shared" si="6"/>
        <v>0</v>
      </c>
      <c r="L14" s="1539"/>
      <c r="M14" s="1539"/>
      <c r="N14" s="1539"/>
      <c r="O14" s="1539"/>
      <c r="P14" s="1539"/>
      <c r="Q14" s="1539"/>
      <c r="R14" s="1539"/>
      <c r="S14" s="1539"/>
      <c r="T14" s="1540"/>
      <c r="U14" s="222"/>
      <c r="V14" s="966" t="s">
        <v>7080</v>
      </c>
      <c r="X14" s="258"/>
      <c r="Z14" s="952"/>
      <c r="AA14" s="251">
        <f t="shared" si="0"/>
        <v>0</v>
      </c>
      <c r="AB14" s="725"/>
      <c r="AC14" s="252">
        <f t="shared" si="12"/>
        <v>0</v>
      </c>
      <c r="AD14" s="252">
        <f t="shared" si="13"/>
        <v>0</v>
      </c>
      <c r="AE14" s="252">
        <f t="shared" si="14"/>
        <v>0</v>
      </c>
      <c r="AF14" s="252">
        <f t="shared" si="15"/>
        <v>0</v>
      </c>
      <c r="AG14" s="252">
        <f t="shared" si="16"/>
        <v>0</v>
      </c>
      <c r="AH14" s="237"/>
      <c r="AI14" s="237"/>
      <c r="AJ14" s="237"/>
      <c r="AK14" s="237"/>
      <c r="AL14" s="237"/>
      <c r="AM14" s="237"/>
      <c r="AN14" s="237"/>
      <c r="AO14" s="237"/>
      <c r="AP14" s="237"/>
      <c r="AQ14" s="237"/>
      <c r="AR14" s="725"/>
      <c r="AT14" s="962" t="s">
        <v>7072</v>
      </c>
      <c r="AU14" s="318" t="s">
        <v>1693</v>
      </c>
      <c r="AV14" s="601" t="s">
        <v>7081</v>
      </c>
      <c r="AW14" s="601" t="s">
        <v>7082</v>
      </c>
      <c r="AX14" s="601" t="s">
        <v>7083</v>
      </c>
      <c r="AY14" s="601" t="s">
        <v>7084</v>
      </c>
      <c r="AZ14" s="601" t="s">
        <v>7085</v>
      </c>
      <c r="BA14" s="581" t="s">
        <v>7086</v>
      </c>
      <c r="BB14" s="969"/>
      <c r="BC14" s="969"/>
      <c r="BD14" s="969"/>
      <c r="BE14" s="969"/>
      <c r="BF14" s="969"/>
      <c r="BG14" s="969"/>
      <c r="BH14" s="969"/>
      <c r="BI14" s="969"/>
      <c r="BJ14" s="970"/>
    </row>
    <row r="15" spans="2:62" s="197" customFormat="1" ht="15.75" customHeight="1">
      <c r="B15" s="962" t="s">
        <v>7072</v>
      </c>
      <c r="C15" s="318" t="s">
        <v>1694</v>
      </c>
      <c r="D15" s="253" t="s">
        <v>137</v>
      </c>
      <c r="E15" s="253">
        <v>3</v>
      </c>
      <c r="F15" s="1481">
        <f>IFERROR(SUM(F13:F14), 0)</f>
        <v>2.0310000000000001</v>
      </c>
      <c r="G15" s="1481">
        <f t="shared" ref="G15:J15" si="17">IFERROR(SUM(G13:G14), 0)</f>
        <v>0</v>
      </c>
      <c r="H15" s="1481">
        <f t="shared" si="17"/>
        <v>0</v>
      </c>
      <c r="I15" s="1481">
        <f t="shared" si="17"/>
        <v>0</v>
      </c>
      <c r="J15" s="1481">
        <f t="shared" si="17"/>
        <v>0</v>
      </c>
      <c r="K15" s="1481">
        <f t="shared" si="6"/>
        <v>2.0310000000000001</v>
      </c>
      <c r="L15" s="1539"/>
      <c r="M15" s="1541"/>
      <c r="N15" s="1541"/>
      <c r="O15" s="1541"/>
      <c r="P15" s="1541"/>
      <c r="Q15" s="1542"/>
      <c r="R15" s="601">
        <v>4.2930000000000001</v>
      </c>
      <c r="S15" s="601">
        <v>0</v>
      </c>
      <c r="T15" s="602">
        <v>0</v>
      </c>
      <c r="U15" s="222"/>
      <c r="V15" s="966" t="s">
        <v>7087</v>
      </c>
      <c r="X15" s="258"/>
      <c r="Z15" s="952"/>
      <c r="AA15" s="251">
        <f t="shared" si="0"/>
        <v>0</v>
      </c>
      <c r="AB15" s="725"/>
      <c r="AC15" s="237"/>
      <c r="AD15" s="237"/>
      <c r="AE15" s="237"/>
      <c r="AF15" s="237"/>
      <c r="AG15" s="237"/>
      <c r="AH15" s="237"/>
      <c r="AI15" s="237"/>
      <c r="AJ15" s="237"/>
      <c r="AK15" s="237"/>
      <c r="AL15" s="237"/>
      <c r="AM15" s="237"/>
      <c r="AN15" s="237"/>
      <c r="AO15" s="252">
        <f t="shared" ref="AO15" si="18" xml:space="preserve"> IF( ISNUMBER(R15), 0, 1 )</f>
        <v>0</v>
      </c>
      <c r="AP15" s="252">
        <f t="shared" ref="AP15" si="19" xml:space="preserve"> IF( ISNUMBER(S15), 0, 1 )</f>
        <v>0</v>
      </c>
      <c r="AQ15" s="252">
        <f t="shared" ref="AQ15" si="20" xml:space="preserve"> IF( ISNUMBER(T15), 0, 1 )</f>
        <v>0</v>
      </c>
      <c r="AR15" s="725"/>
      <c r="AT15" s="962" t="s">
        <v>7072</v>
      </c>
      <c r="AU15" s="318" t="s">
        <v>1694</v>
      </c>
      <c r="AV15" s="581" t="s">
        <v>7088</v>
      </c>
      <c r="AW15" s="581" t="s">
        <v>7089</v>
      </c>
      <c r="AX15" s="581" t="s">
        <v>7090</v>
      </c>
      <c r="AY15" s="581" t="s">
        <v>7091</v>
      </c>
      <c r="AZ15" s="581" t="s">
        <v>7092</v>
      </c>
      <c r="BA15" s="581" t="s">
        <v>7093</v>
      </c>
      <c r="BB15" s="969"/>
      <c r="BC15" s="971"/>
      <c r="BD15" s="971"/>
      <c r="BE15" s="971"/>
      <c r="BF15" s="971"/>
      <c r="BG15" s="972"/>
      <c r="BH15" s="967" t="s">
        <v>7094</v>
      </c>
      <c r="BI15" s="967" t="s">
        <v>7095</v>
      </c>
      <c r="BJ15" s="968" t="s">
        <v>7096</v>
      </c>
    </row>
    <row r="16" spans="2:62" s="197" customFormat="1" ht="15.75" customHeight="1">
      <c r="B16" s="962" t="s">
        <v>7097</v>
      </c>
      <c r="C16" s="318" t="s">
        <v>1692</v>
      </c>
      <c r="D16" s="253" t="s">
        <v>137</v>
      </c>
      <c r="E16" s="253">
        <v>3</v>
      </c>
      <c r="F16" s="601">
        <v>6.5000000000000002E-2</v>
      </c>
      <c r="G16" s="601">
        <v>0.67900000000000005</v>
      </c>
      <c r="H16" s="601">
        <v>0</v>
      </c>
      <c r="I16" s="601">
        <v>0</v>
      </c>
      <c r="J16" s="601">
        <v>0</v>
      </c>
      <c r="K16" s="1481">
        <f t="shared" si="6"/>
        <v>0.74399999999999999</v>
      </c>
      <c r="L16" s="1539"/>
      <c r="M16" s="1541"/>
      <c r="N16" s="1541"/>
      <c r="O16" s="1541"/>
      <c r="P16" s="1541"/>
      <c r="Q16" s="1542"/>
      <c r="R16" s="1541"/>
      <c r="S16" s="1541"/>
      <c r="T16" s="1543"/>
      <c r="U16" s="222"/>
      <c r="V16" s="966" t="s">
        <v>7098</v>
      </c>
      <c r="X16" s="258"/>
      <c r="Z16" s="952"/>
      <c r="AA16" s="251">
        <f t="shared" si="0"/>
        <v>0</v>
      </c>
      <c r="AB16" s="725"/>
      <c r="AC16" s="252">
        <f t="shared" ref="AC16:AC17" si="21" xml:space="preserve"> IF( ISNUMBER(F16), 0, 1 )</f>
        <v>0</v>
      </c>
      <c r="AD16" s="252">
        <f t="shared" ref="AD16:AD17" si="22" xml:space="preserve"> IF( ISNUMBER(G16), 0, 1 )</f>
        <v>0</v>
      </c>
      <c r="AE16" s="252">
        <f t="shared" ref="AE16:AE17" si="23" xml:space="preserve"> IF( ISNUMBER(H16), 0, 1 )</f>
        <v>0</v>
      </c>
      <c r="AF16" s="252">
        <f t="shared" ref="AF16:AF17" si="24" xml:space="preserve"> IF( ISNUMBER(I16), 0, 1 )</f>
        <v>0</v>
      </c>
      <c r="AG16" s="252">
        <f t="shared" ref="AG16:AG17" si="25" xml:space="preserve"> IF( ISNUMBER(J16), 0, 1 )</f>
        <v>0</v>
      </c>
      <c r="AH16" s="237"/>
      <c r="AI16" s="237"/>
      <c r="AJ16" s="237"/>
      <c r="AK16" s="237"/>
      <c r="AL16" s="237"/>
      <c r="AM16" s="237"/>
      <c r="AN16" s="237"/>
      <c r="AO16" s="237"/>
      <c r="AP16" s="237"/>
      <c r="AQ16" s="237"/>
      <c r="AR16" s="725"/>
      <c r="AT16" s="962" t="s">
        <v>7097</v>
      </c>
      <c r="AU16" s="318" t="s">
        <v>1692</v>
      </c>
      <c r="AV16" s="601" t="s">
        <v>7099</v>
      </c>
      <c r="AW16" s="601" t="s">
        <v>7100</v>
      </c>
      <c r="AX16" s="601" t="s">
        <v>7101</v>
      </c>
      <c r="AY16" s="601" t="s">
        <v>7102</v>
      </c>
      <c r="AZ16" s="601" t="s">
        <v>7103</v>
      </c>
      <c r="BA16" s="581" t="s">
        <v>7104</v>
      </c>
      <c r="BB16" s="969"/>
      <c r="BC16" s="971"/>
      <c r="BD16" s="971"/>
      <c r="BE16" s="971"/>
      <c r="BF16" s="971"/>
      <c r="BG16" s="972"/>
      <c r="BH16" s="971"/>
      <c r="BI16" s="971"/>
      <c r="BJ16" s="973"/>
    </row>
    <row r="17" spans="1:62" ht="15.75" customHeight="1">
      <c r="A17" s="197"/>
      <c r="B17" s="962" t="s">
        <v>7097</v>
      </c>
      <c r="C17" s="318" t="s">
        <v>1693</v>
      </c>
      <c r="D17" s="253" t="s">
        <v>137</v>
      </c>
      <c r="E17" s="253">
        <v>3</v>
      </c>
      <c r="F17" s="601">
        <v>0</v>
      </c>
      <c r="G17" s="601">
        <v>0</v>
      </c>
      <c r="H17" s="601">
        <v>0</v>
      </c>
      <c r="I17" s="601">
        <v>0</v>
      </c>
      <c r="J17" s="601">
        <v>0</v>
      </c>
      <c r="K17" s="1481">
        <f t="shared" si="6"/>
        <v>0</v>
      </c>
      <c r="L17" s="1544"/>
      <c r="M17" s="1544"/>
      <c r="N17" s="1544"/>
      <c r="O17" s="1544"/>
      <c r="P17" s="1544"/>
      <c r="Q17" s="1542"/>
      <c r="R17" s="1544"/>
      <c r="S17" s="1544"/>
      <c r="T17" s="1543"/>
      <c r="U17" s="222"/>
      <c r="V17" s="966" t="s">
        <v>7105</v>
      </c>
      <c r="W17" s="197"/>
      <c r="X17" s="258"/>
      <c r="Y17" s="197"/>
      <c r="Z17" s="2576"/>
      <c r="AA17" s="251">
        <f t="shared" si="0"/>
        <v>0</v>
      </c>
      <c r="AB17" s="2578"/>
      <c r="AC17" s="252">
        <f t="shared" si="21"/>
        <v>0</v>
      </c>
      <c r="AD17" s="252">
        <f t="shared" si="22"/>
        <v>0</v>
      </c>
      <c r="AE17" s="252">
        <f t="shared" si="23"/>
        <v>0</v>
      </c>
      <c r="AF17" s="252">
        <f t="shared" si="24"/>
        <v>0</v>
      </c>
      <c r="AG17" s="252">
        <f t="shared" si="25"/>
        <v>0</v>
      </c>
      <c r="AH17" s="237"/>
      <c r="AI17" s="237"/>
      <c r="AJ17" s="237"/>
      <c r="AK17" s="237"/>
      <c r="AL17" s="237"/>
      <c r="AM17" s="237"/>
      <c r="AN17" s="237"/>
      <c r="AO17" s="237"/>
      <c r="AP17" s="237"/>
      <c r="AQ17" s="237"/>
      <c r="AR17" s="2578"/>
      <c r="AS17" s="2562"/>
      <c r="AT17" s="962" t="s">
        <v>7097</v>
      </c>
      <c r="AU17" s="318" t="s">
        <v>1693</v>
      </c>
      <c r="AV17" s="601" t="s">
        <v>7106</v>
      </c>
      <c r="AW17" s="601" t="s">
        <v>7107</v>
      </c>
      <c r="AX17" s="601" t="s">
        <v>7108</v>
      </c>
      <c r="AY17" s="601" t="s">
        <v>7109</v>
      </c>
      <c r="AZ17" s="601" t="s">
        <v>7110</v>
      </c>
      <c r="BA17" s="581" t="s">
        <v>7111</v>
      </c>
      <c r="BB17" s="974"/>
      <c r="BC17" s="974"/>
      <c r="BD17" s="974"/>
      <c r="BE17" s="974"/>
      <c r="BF17" s="974"/>
      <c r="BG17" s="972"/>
      <c r="BH17" s="974"/>
      <c r="BI17" s="974"/>
      <c r="BJ17" s="973"/>
    </row>
    <row r="18" spans="1:62" ht="15.75" customHeight="1">
      <c r="A18" s="197"/>
      <c r="B18" s="962" t="s">
        <v>7097</v>
      </c>
      <c r="C18" s="318" t="s">
        <v>1694</v>
      </c>
      <c r="D18" s="253" t="s">
        <v>137</v>
      </c>
      <c r="E18" s="253">
        <v>3</v>
      </c>
      <c r="F18" s="1481">
        <f>IFERROR(SUM(F16:F17), 0)</f>
        <v>6.5000000000000002E-2</v>
      </c>
      <c r="G18" s="1481">
        <f t="shared" ref="G18:I18" si="26">IFERROR(SUM(G16:G17), 0)</f>
        <v>0.67900000000000005</v>
      </c>
      <c r="H18" s="1481">
        <f t="shared" si="26"/>
        <v>0</v>
      </c>
      <c r="I18" s="1481">
        <f t="shared" si="26"/>
        <v>0</v>
      </c>
      <c r="J18" s="1481">
        <f>IFERROR(SUM(J16:J17), 0)</f>
        <v>0</v>
      </c>
      <c r="K18" s="1481">
        <f>IFERROR(SUM(F18:J18), 0)</f>
        <v>0.74399999999999999</v>
      </c>
      <c r="L18" s="1539"/>
      <c r="M18" s="1544"/>
      <c r="N18" s="1544"/>
      <c r="O18" s="1544"/>
      <c r="P18" s="1544"/>
      <c r="Q18" s="1542"/>
      <c r="R18" s="601">
        <v>1.76</v>
      </c>
      <c r="S18" s="601">
        <v>5.9450000000000003</v>
      </c>
      <c r="T18" s="602">
        <v>9.1940000000000008</v>
      </c>
      <c r="U18" s="222"/>
      <c r="V18" s="966" t="s">
        <v>7112</v>
      </c>
      <c r="W18" s="197"/>
      <c r="X18" s="258"/>
      <c r="Y18" s="197"/>
      <c r="Z18" s="2576"/>
      <c r="AA18" s="251">
        <f t="shared" si="0"/>
        <v>0</v>
      </c>
      <c r="AB18" s="725"/>
      <c r="AC18" s="237"/>
      <c r="AD18" s="237"/>
      <c r="AE18" s="237"/>
      <c r="AF18" s="237"/>
      <c r="AG18" s="237"/>
      <c r="AH18" s="237"/>
      <c r="AI18" s="237"/>
      <c r="AJ18" s="237"/>
      <c r="AK18" s="237"/>
      <c r="AL18" s="237"/>
      <c r="AM18" s="237"/>
      <c r="AN18" s="237"/>
      <c r="AO18" s="252">
        <f t="shared" ref="AO18" si="27" xml:space="preserve"> IF( ISNUMBER(R18), 0, 1 )</f>
        <v>0</v>
      </c>
      <c r="AP18" s="252">
        <f t="shared" ref="AP18" si="28" xml:space="preserve"> IF( ISNUMBER(S18), 0, 1 )</f>
        <v>0</v>
      </c>
      <c r="AQ18" s="252">
        <f t="shared" ref="AQ18" si="29" xml:space="preserve"> IF( ISNUMBER(T18), 0, 1 )</f>
        <v>0</v>
      </c>
      <c r="AR18" s="2578"/>
      <c r="AS18" s="2562"/>
      <c r="AT18" s="962" t="s">
        <v>7097</v>
      </c>
      <c r="AU18" s="318" t="s">
        <v>1694</v>
      </c>
      <c r="AV18" s="581" t="s">
        <v>7113</v>
      </c>
      <c r="AW18" s="581" t="s">
        <v>7114</v>
      </c>
      <c r="AX18" s="581" t="s">
        <v>7115</v>
      </c>
      <c r="AY18" s="581" t="s">
        <v>7116</v>
      </c>
      <c r="AZ18" s="581" t="s">
        <v>7117</v>
      </c>
      <c r="BA18" s="581" t="s">
        <v>7118</v>
      </c>
      <c r="BB18" s="969"/>
      <c r="BC18" s="974"/>
      <c r="BD18" s="974"/>
      <c r="BE18" s="974"/>
      <c r="BF18" s="974"/>
      <c r="BG18" s="972"/>
      <c r="BH18" s="967" t="s">
        <v>7119</v>
      </c>
      <c r="BI18" s="967" t="s">
        <v>7120</v>
      </c>
      <c r="BJ18" s="968" t="s">
        <v>7121</v>
      </c>
    </row>
    <row r="19" spans="1:62" ht="15.75" customHeight="1">
      <c r="A19" s="197"/>
      <c r="B19" s="962" t="s">
        <v>7122</v>
      </c>
      <c r="C19" s="318" t="s">
        <v>1692</v>
      </c>
      <c r="D19" s="253" t="s">
        <v>137</v>
      </c>
      <c r="E19" s="253">
        <v>3</v>
      </c>
      <c r="F19" s="601">
        <v>2.1440000000000001</v>
      </c>
      <c r="G19" s="601">
        <v>0</v>
      </c>
      <c r="H19" s="601">
        <v>0</v>
      </c>
      <c r="I19" s="601">
        <v>-1.0999999999999999E-2</v>
      </c>
      <c r="J19" s="601">
        <v>0</v>
      </c>
      <c r="K19" s="1481">
        <f t="shared" si="6"/>
        <v>2.133</v>
      </c>
      <c r="L19" s="1539"/>
      <c r="M19" s="1544"/>
      <c r="N19" s="1544"/>
      <c r="O19" s="1544"/>
      <c r="P19" s="1544"/>
      <c r="Q19" s="1542"/>
      <c r="R19" s="1544"/>
      <c r="S19" s="1544"/>
      <c r="T19" s="1543"/>
      <c r="U19" s="222"/>
      <c r="V19" s="966" t="s">
        <v>7123</v>
      </c>
      <c r="W19" s="197"/>
      <c r="X19" s="258"/>
      <c r="Y19" s="197"/>
      <c r="Z19" s="2576"/>
      <c r="AA19" s="251">
        <f t="shared" si="0"/>
        <v>0</v>
      </c>
      <c r="AB19" s="2578"/>
      <c r="AC19" s="252">
        <f t="shared" ref="AC19:AC20" si="30" xml:space="preserve"> IF( ISNUMBER(F19), 0, 1 )</f>
        <v>0</v>
      </c>
      <c r="AD19" s="252">
        <f t="shared" ref="AD19:AD20" si="31" xml:space="preserve"> IF( ISNUMBER(G19), 0, 1 )</f>
        <v>0</v>
      </c>
      <c r="AE19" s="252">
        <f t="shared" ref="AE19:AE20" si="32" xml:space="preserve"> IF( ISNUMBER(H19), 0, 1 )</f>
        <v>0</v>
      </c>
      <c r="AF19" s="252">
        <f t="shared" ref="AF19:AF20" si="33" xml:space="preserve"> IF( ISNUMBER(I19), 0, 1 )</f>
        <v>0</v>
      </c>
      <c r="AG19" s="252">
        <f t="shared" ref="AG19:AG20" si="34" xml:space="preserve"> IF( ISNUMBER(J19), 0, 1 )</f>
        <v>0</v>
      </c>
      <c r="AH19" s="237"/>
      <c r="AI19" s="237"/>
      <c r="AJ19" s="237"/>
      <c r="AK19" s="237"/>
      <c r="AL19" s="237"/>
      <c r="AM19" s="237"/>
      <c r="AN19" s="237"/>
      <c r="AO19" s="237"/>
      <c r="AP19" s="237"/>
      <c r="AQ19" s="237"/>
      <c r="AR19" s="2578"/>
      <c r="AS19" s="2562"/>
      <c r="AT19" s="962" t="s">
        <v>7122</v>
      </c>
      <c r="AU19" s="318" t="s">
        <v>1692</v>
      </c>
      <c r="AV19" s="601" t="s">
        <v>7124</v>
      </c>
      <c r="AW19" s="601" t="s">
        <v>7125</v>
      </c>
      <c r="AX19" s="601" t="s">
        <v>7126</v>
      </c>
      <c r="AY19" s="601" t="s">
        <v>7127</v>
      </c>
      <c r="AZ19" s="601" t="s">
        <v>7128</v>
      </c>
      <c r="BA19" s="581" t="s">
        <v>7129</v>
      </c>
      <c r="BB19" s="969"/>
      <c r="BC19" s="974"/>
      <c r="BD19" s="974"/>
      <c r="BE19" s="974"/>
      <c r="BF19" s="974"/>
      <c r="BG19" s="972"/>
      <c r="BH19" s="974"/>
      <c r="BI19" s="974"/>
      <c r="BJ19" s="973"/>
    </row>
    <row r="20" spans="1:62" ht="15.75" customHeight="1">
      <c r="A20" s="197"/>
      <c r="B20" s="962" t="s">
        <v>7122</v>
      </c>
      <c r="C20" s="318" t="s">
        <v>1693</v>
      </c>
      <c r="D20" s="253" t="s">
        <v>137</v>
      </c>
      <c r="E20" s="253">
        <v>3</v>
      </c>
      <c r="F20" s="601">
        <v>0</v>
      </c>
      <c r="G20" s="601">
        <v>0</v>
      </c>
      <c r="H20" s="601">
        <v>0</v>
      </c>
      <c r="I20" s="601">
        <v>0</v>
      </c>
      <c r="J20" s="601">
        <v>0</v>
      </c>
      <c r="K20" s="1481">
        <f t="shared" si="6"/>
        <v>0</v>
      </c>
      <c r="L20" s="1539"/>
      <c r="M20" s="1544"/>
      <c r="N20" s="1544"/>
      <c r="O20" s="1544"/>
      <c r="P20" s="1544"/>
      <c r="Q20" s="1542"/>
      <c r="R20" s="1544"/>
      <c r="S20" s="1544"/>
      <c r="T20" s="1543"/>
      <c r="U20" s="222"/>
      <c r="V20" s="966" t="s">
        <v>7130</v>
      </c>
      <c r="W20" s="197"/>
      <c r="X20" s="258"/>
      <c r="Y20" s="197"/>
      <c r="Z20" s="2576"/>
      <c r="AA20" s="251">
        <f t="shared" si="0"/>
        <v>0</v>
      </c>
      <c r="AB20" s="2578"/>
      <c r="AC20" s="252">
        <f t="shared" si="30"/>
        <v>0</v>
      </c>
      <c r="AD20" s="252">
        <f t="shared" si="31"/>
        <v>0</v>
      </c>
      <c r="AE20" s="252">
        <f t="shared" si="32"/>
        <v>0</v>
      </c>
      <c r="AF20" s="252">
        <f t="shared" si="33"/>
        <v>0</v>
      </c>
      <c r="AG20" s="252">
        <f t="shared" si="34"/>
        <v>0</v>
      </c>
      <c r="AH20" s="237"/>
      <c r="AI20" s="237"/>
      <c r="AJ20" s="237"/>
      <c r="AK20" s="237"/>
      <c r="AL20" s="237"/>
      <c r="AM20" s="237"/>
      <c r="AN20" s="237"/>
      <c r="AO20" s="237"/>
      <c r="AP20" s="237"/>
      <c r="AQ20" s="237"/>
      <c r="AR20" s="2578"/>
      <c r="AS20" s="2562"/>
      <c r="AT20" s="962" t="s">
        <v>7122</v>
      </c>
      <c r="AU20" s="318" t="s">
        <v>1693</v>
      </c>
      <c r="AV20" s="601" t="s">
        <v>7131</v>
      </c>
      <c r="AW20" s="601" t="s">
        <v>7132</v>
      </c>
      <c r="AX20" s="601" t="s">
        <v>7133</v>
      </c>
      <c r="AY20" s="601" t="s">
        <v>7134</v>
      </c>
      <c r="AZ20" s="601" t="s">
        <v>7135</v>
      </c>
      <c r="BA20" s="581" t="s">
        <v>7136</v>
      </c>
      <c r="BB20" s="969"/>
      <c r="BC20" s="974"/>
      <c r="BD20" s="974"/>
      <c r="BE20" s="974"/>
      <c r="BF20" s="974"/>
      <c r="BG20" s="972"/>
      <c r="BH20" s="974"/>
      <c r="BI20" s="974"/>
      <c r="BJ20" s="973"/>
    </row>
    <row r="21" spans="1:62" ht="15.75" customHeight="1">
      <c r="A21" s="197"/>
      <c r="B21" s="962" t="s">
        <v>7122</v>
      </c>
      <c r="C21" s="318" t="s">
        <v>1694</v>
      </c>
      <c r="D21" s="253" t="s">
        <v>137</v>
      </c>
      <c r="E21" s="253">
        <v>3</v>
      </c>
      <c r="F21" s="1481">
        <f>IFERROR(SUM(F19:F20), 0)</f>
        <v>2.1440000000000001</v>
      </c>
      <c r="G21" s="1481">
        <f>IFERROR(SUM(G19:G20), 0)</f>
        <v>0</v>
      </c>
      <c r="H21" s="1481">
        <f>IFERROR(SUM(H19:H20), 0)</f>
        <v>0</v>
      </c>
      <c r="I21" s="1481">
        <f>IFERROR(SUM(I19:I20), 0)</f>
        <v>-1.0999999999999999E-2</v>
      </c>
      <c r="J21" s="1481">
        <f>IFERROR(SUM(J19:J20), 0)</f>
        <v>0</v>
      </c>
      <c r="K21" s="1481">
        <f>IFERROR(SUM(F21:J21), 0)</f>
        <v>2.133</v>
      </c>
      <c r="L21" s="1539"/>
      <c r="M21" s="1539"/>
      <c r="N21" s="1539"/>
      <c r="O21" s="1539"/>
      <c r="P21" s="1539"/>
      <c r="Q21" s="1539"/>
      <c r="R21" s="601">
        <v>5.0659999999999998</v>
      </c>
      <c r="S21" s="601">
        <v>14.97</v>
      </c>
      <c r="T21" s="602">
        <v>23.193000000000001</v>
      </c>
      <c r="U21" s="222"/>
      <c r="V21" s="966" t="s">
        <v>7137</v>
      </c>
      <c r="W21" s="197"/>
      <c r="X21" s="258"/>
      <c r="Y21" s="197"/>
      <c r="Z21" s="2576"/>
      <c r="AA21" s="251">
        <f t="shared" si="0"/>
        <v>0</v>
      </c>
      <c r="AB21" s="725"/>
      <c r="AC21" s="237"/>
      <c r="AD21" s="237"/>
      <c r="AE21" s="237"/>
      <c r="AF21" s="237"/>
      <c r="AG21" s="237"/>
      <c r="AH21" s="237"/>
      <c r="AI21" s="237"/>
      <c r="AJ21" s="237"/>
      <c r="AK21" s="237"/>
      <c r="AL21" s="237"/>
      <c r="AM21" s="237"/>
      <c r="AN21" s="237"/>
      <c r="AO21" s="252">
        <f t="shared" ref="AO21" si="35" xml:space="preserve"> IF( ISNUMBER(R21), 0, 1 )</f>
        <v>0</v>
      </c>
      <c r="AP21" s="252">
        <f t="shared" ref="AP21" si="36" xml:space="preserve"> IF( ISNUMBER(S21), 0, 1 )</f>
        <v>0</v>
      </c>
      <c r="AQ21" s="252">
        <f t="shared" ref="AQ21" si="37" xml:space="preserve"> IF( ISNUMBER(T21), 0, 1 )</f>
        <v>0</v>
      </c>
      <c r="AR21" s="2578"/>
      <c r="AS21" s="2562"/>
      <c r="AT21" s="962" t="s">
        <v>7122</v>
      </c>
      <c r="AU21" s="318" t="s">
        <v>1694</v>
      </c>
      <c r="AV21" s="581" t="s">
        <v>7138</v>
      </c>
      <c r="AW21" s="581" t="s">
        <v>7139</v>
      </c>
      <c r="AX21" s="581" t="s">
        <v>7140</v>
      </c>
      <c r="AY21" s="581" t="s">
        <v>7141</v>
      </c>
      <c r="AZ21" s="581" t="s">
        <v>7142</v>
      </c>
      <c r="BA21" s="581" t="s">
        <v>7143</v>
      </c>
      <c r="BB21" s="969"/>
      <c r="BC21" s="969"/>
      <c r="BD21" s="969"/>
      <c r="BE21" s="969"/>
      <c r="BF21" s="969"/>
      <c r="BG21" s="969"/>
      <c r="BH21" s="967" t="s">
        <v>7144</v>
      </c>
      <c r="BI21" s="967" t="s">
        <v>7145</v>
      </c>
      <c r="BJ21" s="968" t="s">
        <v>7146</v>
      </c>
    </row>
    <row r="22" spans="1:62" ht="15.75" customHeight="1">
      <c r="A22" s="197"/>
      <c r="B22" s="962" t="s">
        <v>7147</v>
      </c>
      <c r="C22" s="318" t="s">
        <v>1692</v>
      </c>
      <c r="D22" s="253" t="s">
        <v>137</v>
      </c>
      <c r="E22" s="253">
        <v>3</v>
      </c>
      <c r="F22" s="601">
        <v>0.35</v>
      </c>
      <c r="G22" s="601">
        <v>0</v>
      </c>
      <c r="H22" s="601">
        <v>0</v>
      </c>
      <c r="I22" s="601">
        <v>0</v>
      </c>
      <c r="J22" s="601">
        <v>0</v>
      </c>
      <c r="K22" s="1481">
        <f t="shared" si="6"/>
        <v>0.35</v>
      </c>
      <c r="L22" s="1539"/>
      <c r="M22" s="1539"/>
      <c r="N22" s="1539"/>
      <c r="O22" s="1539"/>
      <c r="P22" s="1539"/>
      <c r="Q22" s="1539"/>
      <c r="R22" s="1539"/>
      <c r="S22" s="1539"/>
      <c r="T22" s="1540"/>
      <c r="U22" s="222"/>
      <c r="V22" s="966" t="s">
        <v>7148</v>
      </c>
      <c r="W22" s="197"/>
      <c r="X22" s="258"/>
      <c r="Y22" s="197"/>
      <c r="Z22" s="2576"/>
      <c r="AA22" s="251">
        <f t="shared" si="0"/>
        <v>0</v>
      </c>
      <c r="AB22" s="2578"/>
      <c r="AC22" s="252">
        <f t="shared" ref="AC22:AC23" si="38" xml:space="preserve"> IF( ISNUMBER(F22), 0, 1 )</f>
        <v>0</v>
      </c>
      <c r="AD22" s="252">
        <f t="shared" ref="AD22:AD23" si="39" xml:space="preserve"> IF( ISNUMBER(G22), 0, 1 )</f>
        <v>0</v>
      </c>
      <c r="AE22" s="252">
        <f t="shared" ref="AE22:AE23" si="40" xml:space="preserve"> IF( ISNUMBER(H22), 0, 1 )</f>
        <v>0</v>
      </c>
      <c r="AF22" s="252">
        <f t="shared" ref="AF22:AF23" si="41" xml:space="preserve"> IF( ISNUMBER(I22), 0, 1 )</f>
        <v>0</v>
      </c>
      <c r="AG22" s="252">
        <f t="shared" ref="AG22:AG23" si="42" xml:space="preserve"> IF( ISNUMBER(J22), 0, 1 )</f>
        <v>0</v>
      </c>
      <c r="AH22" s="237"/>
      <c r="AI22" s="237"/>
      <c r="AJ22" s="237"/>
      <c r="AK22" s="237"/>
      <c r="AL22" s="237"/>
      <c r="AM22" s="237"/>
      <c r="AN22" s="237"/>
      <c r="AO22" s="237"/>
      <c r="AP22" s="237"/>
      <c r="AQ22" s="237"/>
      <c r="AR22" s="2578"/>
      <c r="AS22" s="2562"/>
      <c r="AT22" s="962" t="s">
        <v>7149</v>
      </c>
      <c r="AU22" s="318" t="s">
        <v>1692</v>
      </c>
      <c r="AV22" s="601" t="s">
        <v>7150</v>
      </c>
      <c r="AW22" s="601" t="s">
        <v>7151</v>
      </c>
      <c r="AX22" s="601" t="s">
        <v>7152</v>
      </c>
      <c r="AY22" s="601" t="s">
        <v>7153</v>
      </c>
      <c r="AZ22" s="601" t="s">
        <v>7154</v>
      </c>
      <c r="BA22" s="581" t="s">
        <v>7155</v>
      </c>
      <c r="BB22" s="969"/>
      <c r="BC22" s="969"/>
      <c r="BD22" s="969"/>
      <c r="BE22" s="969"/>
      <c r="BF22" s="969"/>
      <c r="BG22" s="969"/>
      <c r="BH22" s="969"/>
      <c r="BI22" s="969"/>
      <c r="BJ22" s="970"/>
    </row>
    <row r="23" spans="1:62" ht="15.75" customHeight="1">
      <c r="A23" s="197"/>
      <c r="B23" s="962" t="s">
        <v>7147</v>
      </c>
      <c r="C23" s="318" t="s">
        <v>1693</v>
      </c>
      <c r="D23" s="253" t="s">
        <v>137</v>
      </c>
      <c r="E23" s="253">
        <v>3</v>
      </c>
      <c r="F23" s="601">
        <v>0</v>
      </c>
      <c r="G23" s="601">
        <v>0</v>
      </c>
      <c r="H23" s="601">
        <v>0</v>
      </c>
      <c r="I23" s="601">
        <v>0</v>
      </c>
      <c r="J23" s="601">
        <v>0</v>
      </c>
      <c r="K23" s="1481">
        <f t="shared" si="6"/>
        <v>0</v>
      </c>
      <c r="L23" s="1539"/>
      <c r="M23" s="1544"/>
      <c r="N23" s="1544"/>
      <c r="O23" s="1544"/>
      <c r="P23" s="1544"/>
      <c r="Q23" s="1542"/>
      <c r="R23" s="1544"/>
      <c r="S23" s="1544"/>
      <c r="T23" s="1543"/>
      <c r="U23" s="222"/>
      <c r="V23" s="966" t="s">
        <v>7156</v>
      </c>
      <c r="W23" s="197"/>
      <c r="X23" s="258"/>
      <c r="Y23" s="197"/>
      <c r="Z23" s="2576"/>
      <c r="AA23" s="251">
        <f t="shared" si="0"/>
        <v>0</v>
      </c>
      <c r="AB23" s="2578"/>
      <c r="AC23" s="252">
        <f t="shared" si="38"/>
        <v>0</v>
      </c>
      <c r="AD23" s="252">
        <f t="shared" si="39"/>
        <v>0</v>
      </c>
      <c r="AE23" s="252">
        <f t="shared" si="40"/>
        <v>0</v>
      </c>
      <c r="AF23" s="252">
        <f t="shared" si="41"/>
        <v>0</v>
      </c>
      <c r="AG23" s="252">
        <f t="shared" si="42"/>
        <v>0</v>
      </c>
      <c r="AH23" s="237"/>
      <c r="AI23" s="237"/>
      <c r="AJ23" s="237"/>
      <c r="AK23" s="237"/>
      <c r="AL23" s="237"/>
      <c r="AM23" s="237"/>
      <c r="AN23" s="237"/>
      <c r="AO23" s="237"/>
      <c r="AP23" s="237"/>
      <c r="AQ23" s="237"/>
      <c r="AR23" s="2578"/>
      <c r="AS23" s="2562"/>
      <c r="AT23" s="962" t="s">
        <v>7149</v>
      </c>
      <c r="AU23" s="318" t="s">
        <v>1693</v>
      </c>
      <c r="AV23" s="601" t="s">
        <v>7157</v>
      </c>
      <c r="AW23" s="601" t="s">
        <v>7158</v>
      </c>
      <c r="AX23" s="601" t="s">
        <v>7159</v>
      </c>
      <c r="AY23" s="601" t="s">
        <v>7160</v>
      </c>
      <c r="AZ23" s="601" t="s">
        <v>7161</v>
      </c>
      <c r="BA23" s="581" t="s">
        <v>7162</v>
      </c>
      <c r="BB23" s="969"/>
      <c r="BC23" s="974"/>
      <c r="BD23" s="974"/>
      <c r="BE23" s="974"/>
      <c r="BF23" s="974"/>
      <c r="BG23" s="972"/>
      <c r="BH23" s="974"/>
      <c r="BI23" s="974"/>
      <c r="BJ23" s="973"/>
    </row>
    <row r="24" spans="1:62" ht="15.75" customHeight="1">
      <c r="A24" s="197"/>
      <c r="B24" s="962" t="s">
        <v>7147</v>
      </c>
      <c r="C24" s="318" t="s">
        <v>1694</v>
      </c>
      <c r="D24" s="253" t="s">
        <v>137</v>
      </c>
      <c r="E24" s="253">
        <v>3</v>
      </c>
      <c r="F24" s="1481">
        <f>IFERROR(SUM(F22:F23), 0)</f>
        <v>0.35</v>
      </c>
      <c r="G24" s="1481">
        <f>IFERROR(SUM(G22:G23), 0)</f>
        <v>0</v>
      </c>
      <c r="H24" s="1481">
        <f>IFERROR(SUM(H22:H23), 0)</f>
        <v>0</v>
      </c>
      <c r="I24" s="1481">
        <f>IFERROR(SUM(I22:I23), 0)</f>
        <v>0</v>
      </c>
      <c r="J24" s="1481">
        <f>IFERROR(SUM(J22:J23), 0)</f>
        <v>0</v>
      </c>
      <c r="K24" s="1481">
        <f t="shared" si="6"/>
        <v>0.35</v>
      </c>
      <c r="L24" s="1539"/>
      <c r="M24" s="1544"/>
      <c r="N24" s="1544"/>
      <c r="O24" s="1544"/>
      <c r="P24" s="1544"/>
      <c r="Q24" s="1542"/>
      <c r="R24" s="601">
        <v>0.59799999999999998</v>
      </c>
      <c r="S24" s="601">
        <v>6.6689999999999996</v>
      </c>
      <c r="T24" s="602">
        <v>9.9949999999999992</v>
      </c>
      <c r="U24" s="222"/>
      <c r="V24" s="966" t="s">
        <v>7163</v>
      </c>
      <c r="W24" s="197"/>
      <c r="X24" s="258"/>
      <c r="Y24" s="197"/>
      <c r="Z24" s="2576"/>
      <c r="AA24" s="251">
        <f t="shared" si="0"/>
        <v>0</v>
      </c>
      <c r="AB24" s="725"/>
      <c r="AC24" s="237"/>
      <c r="AD24" s="237"/>
      <c r="AE24" s="237"/>
      <c r="AF24" s="237"/>
      <c r="AG24" s="237"/>
      <c r="AH24" s="237"/>
      <c r="AI24" s="237"/>
      <c r="AJ24" s="237"/>
      <c r="AK24" s="237"/>
      <c r="AL24" s="237"/>
      <c r="AM24" s="237"/>
      <c r="AN24" s="237"/>
      <c r="AO24" s="252">
        <f t="shared" ref="AO24" si="43" xml:space="preserve"> IF( ISNUMBER(R24), 0, 1 )</f>
        <v>0</v>
      </c>
      <c r="AP24" s="252">
        <f t="shared" ref="AP24" si="44" xml:space="preserve"> IF( ISNUMBER(S24), 0, 1 )</f>
        <v>0</v>
      </c>
      <c r="AQ24" s="252">
        <f t="shared" ref="AQ24" si="45" xml:space="preserve"> IF( ISNUMBER(T24), 0, 1 )</f>
        <v>0</v>
      </c>
      <c r="AR24" s="2578"/>
      <c r="AS24" s="2562"/>
      <c r="AT24" s="962" t="s">
        <v>7149</v>
      </c>
      <c r="AU24" s="318" t="s">
        <v>1694</v>
      </c>
      <c r="AV24" s="581" t="s">
        <v>7164</v>
      </c>
      <c r="AW24" s="581" t="s">
        <v>7165</v>
      </c>
      <c r="AX24" s="581" t="s">
        <v>7166</v>
      </c>
      <c r="AY24" s="581" t="s">
        <v>7167</v>
      </c>
      <c r="AZ24" s="581" t="s">
        <v>7168</v>
      </c>
      <c r="BA24" s="581" t="s">
        <v>7169</v>
      </c>
      <c r="BB24" s="969"/>
      <c r="BC24" s="974"/>
      <c r="BD24" s="974"/>
      <c r="BE24" s="974"/>
      <c r="BF24" s="974"/>
      <c r="BG24" s="972"/>
      <c r="BH24" s="967" t="s">
        <v>7170</v>
      </c>
      <c r="BI24" s="967" t="s">
        <v>7171</v>
      </c>
      <c r="BJ24" s="968" t="s">
        <v>7172</v>
      </c>
    </row>
    <row r="25" spans="1:62" ht="15.75" customHeight="1">
      <c r="A25" s="197"/>
      <c r="B25" s="962" t="s">
        <v>7173</v>
      </c>
      <c r="C25" s="318" t="s">
        <v>1692</v>
      </c>
      <c r="D25" s="253" t="s">
        <v>137</v>
      </c>
      <c r="E25" s="253">
        <v>3</v>
      </c>
      <c r="F25" s="601">
        <v>1.607</v>
      </c>
      <c r="G25" s="601">
        <v>0</v>
      </c>
      <c r="H25" s="601">
        <v>0</v>
      </c>
      <c r="I25" s="601">
        <v>0</v>
      </c>
      <c r="J25" s="601">
        <v>0</v>
      </c>
      <c r="K25" s="1481">
        <f>IFERROR(SUM(F25:J25), 0)</f>
        <v>1.607</v>
      </c>
      <c r="L25" s="2227">
        <v>0</v>
      </c>
      <c r="M25" s="2227">
        <v>0</v>
      </c>
      <c r="N25" s="2227">
        <v>0</v>
      </c>
      <c r="O25" s="2227">
        <v>0</v>
      </c>
      <c r="P25" s="2227">
        <v>0</v>
      </c>
      <c r="Q25" s="2228">
        <f>IFERROR(SUM(L25:P25), 0)</f>
        <v>0</v>
      </c>
      <c r="R25" s="1544"/>
      <c r="S25" s="1544"/>
      <c r="T25" s="1543"/>
      <c r="U25" s="222"/>
      <c r="V25" s="966" t="s">
        <v>7174</v>
      </c>
      <c r="W25" s="197"/>
      <c r="X25" s="258"/>
      <c r="Y25" s="197"/>
      <c r="Z25" s="2576"/>
      <c r="AA25" s="251">
        <f t="shared" si="0"/>
        <v>0</v>
      </c>
      <c r="AB25" s="2578"/>
      <c r="AC25" s="252">
        <f t="shared" ref="AC25:AC26" si="46" xml:space="preserve"> IF( ISNUMBER(F25), 0, 1 )</f>
        <v>0</v>
      </c>
      <c r="AD25" s="252">
        <f t="shared" ref="AD25:AD26" si="47" xml:space="preserve"> IF( ISNUMBER(G25), 0, 1 )</f>
        <v>0</v>
      </c>
      <c r="AE25" s="252">
        <f t="shared" ref="AE25:AE26" si="48" xml:space="preserve"> IF( ISNUMBER(H25), 0, 1 )</f>
        <v>0</v>
      </c>
      <c r="AF25" s="252">
        <f t="shared" ref="AF25:AF26" si="49" xml:space="preserve"> IF( ISNUMBER(I25), 0, 1 )</f>
        <v>0</v>
      </c>
      <c r="AG25" s="252">
        <f t="shared" ref="AG25:AG26" si="50" xml:space="preserve"> IF( ISNUMBER(J25), 0, 1 )</f>
        <v>0</v>
      </c>
      <c r="AH25" s="237"/>
      <c r="AI25" s="237"/>
      <c r="AJ25" s="237"/>
      <c r="AK25" s="237"/>
      <c r="AL25" s="237"/>
      <c r="AM25" s="237"/>
      <c r="AN25" s="237"/>
      <c r="AO25" s="237"/>
      <c r="AP25" s="237"/>
      <c r="AQ25" s="237"/>
      <c r="AR25" s="2578"/>
      <c r="AS25" s="2562"/>
      <c r="AT25" s="962" t="s">
        <v>7173</v>
      </c>
      <c r="AU25" s="318" t="s">
        <v>1692</v>
      </c>
      <c r="AV25" s="601" t="s">
        <v>7175</v>
      </c>
      <c r="AW25" s="601" t="s">
        <v>7176</v>
      </c>
      <c r="AX25" s="601" t="s">
        <v>7177</v>
      </c>
      <c r="AY25" s="601" t="s">
        <v>7178</v>
      </c>
      <c r="AZ25" s="601" t="s">
        <v>7179</v>
      </c>
      <c r="BA25" s="581" t="s">
        <v>7180</v>
      </c>
      <c r="BB25" s="2227" t="s">
        <v>979</v>
      </c>
      <c r="BC25" s="2227" t="s">
        <v>980</v>
      </c>
      <c r="BD25" s="2227" t="s">
        <v>981</v>
      </c>
      <c r="BE25" s="2227" t="s">
        <v>982</v>
      </c>
      <c r="BF25" s="2227" t="s">
        <v>983</v>
      </c>
      <c r="BG25" s="2228" t="s">
        <v>984</v>
      </c>
      <c r="BH25" s="974"/>
      <c r="BI25" s="974"/>
      <c r="BJ25" s="973"/>
    </row>
    <row r="26" spans="1:62" ht="15.75" customHeight="1">
      <c r="A26" s="197"/>
      <c r="B26" s="962" t="s">
        <v>7173</v>
      </c>
      <c r="C26" s="318" t="s">
        <v>1693</v>
      </c>
      <c r="D26" s="253" t="s">
        <v>137</v>
      </c>
      <c r="E26" s="253">
        <v>3</v>
      </c>
      <c r="F26" s="601">
        <v>0</v>
      </c>
      <c r="G26" s="601">
        <v>0</v>
      </c>
      <c r="H26" s="601">
        <v>0</v>
      </c>
      <c r="I26" s="601">
        <v>0</v>
      </c>
      <c r="J26" s="601">
        <v>0</v>
      </c>
      <c r="K26" s="1481">
        <f t="shared" si="6"/>
        <v>0</v>
      </c>
      <c r="L26" s="2227">
        <v>0</v>
      </c>
      <c r="M26" s="2227">
        <v>0</v>
      </c>
      <c r="N26" s="2227">
        <v>0</v>
      </c>
      <c r="O26" s="2227">
        <v>0</v>
      </c>
      <c r="P26" s="2227">
        <v>0</v>
      </c>
      <c r="Q26" s="2228">
        <f>IFERROR(SUM(L26:P26), 0)</f>
        <v>0</v>
      </c>
      <c r="R26" s="1544"/>
      <c r="S26" s="1544"/>
      <c r="T26" s="1543"/>
      <c r="U26" s="222"/>
      <c r="V26" s="966" t="s">
        <v>7181</v>
      </c>
      <c r="W26" s="197"/>
      <c r="X26" s="258"/>
      <c r="Y26" s="197"/>
      <c r="Z26" s="2576"/>
      <c r="AA26" s="251">
        <f t="shared" si="0"/>
        <v>0</v>
      </c>
      <c r="AB26" s="2578"/>
      <c r="AC26" s="252">
        <f t="shared" si="46"/>
        <v>0</v>
      </c>
      <c r="AD26" s="252">
        <f t="shared" si="47"/>
        <v>0</v>
      </c>
      <c r="AE26" s="252">
        <f t="shared" si="48"/>
        <v>0</v>
      </c>
      <c r="AF26" s="252">
        <f t="shared" si="49"/>
        <v>0</v>
      </c>
      <c r="AG26" s="252">
        <f t="shared" si="50"/>
        <v>0</v>
      </c>
      <c r="AH26" s="237"/>
      <c r="AI26" s="237"/>
      <c r="AJ26" s="237"/>
      <c r="AK26" s="237"/>
      <c r="AL26" s="237"/>
      <c r="AM26" s="237"/>
      <c r="AN26" s="237"/>
      <c r="AO26" s="237"/>
      <c r="AP26" s="237"/>
      <c r="AQ26" s="237"/>
      <c r="AR26" s="2578"/>
      <c r="AS26" s="2562"/>
      <c r="AT26" s="962" t="s">
        <v>7173</v>
      </c>
      <c r="AU26" s="318" t="s">
        <v>1693</v>
      </c>
      <c r="AV26" s="601" t="s">
        <v>7182</v>
      </c>
      <c r="AW26" s="601" t="s">
        <v>7183</v>
      </c>
      <c r="AX26" s="601" t="s">
        <v>7184</v>
      </c>
      <c r="AY26" s="601" t="s">
        <v>7185</v>
      </c>
      <c r="AZ26" s="601" t="s">
        <v>7186</v>
      </c>
      <c r="BA26" s="581" t="s">
        <v>7187</v>
      </c>
      <c r="BB26" s="2227" t="s">
        <v>985</v>
      </c>
      <c r="BC26" s="2227" t="s">
        <v>986</v>
      </c>
      <c r="BD26" s="2227" t="s">
        <v>987</v>
      </c>
      <c r="BE26" s="2227" t="s">
        <v>988</v>
      </c>
      <c r="BF26" s="2227" t="s">
        <v>989</v>
      </c>
      <c r="BG26" s="2228" t="s">
        <v>990</v>
      </c>
      <c r="BH26" s="974"/>
      <c r="BI26" s="974"/>
      <c r="BJ26" s="973"/>
    </row>
    <row r="27" spans="1:62" ht="15.75" customHeight="1">
      <c r="A27" s="197"/>
      <c r="B27" s="962" t="s">
        <v>7173</v>
      </c>
      <c r="C27" s="318" t="s">
        <v>1694</v>
      </c>
      <c r="D27" s="253" t="s">
        <v>137</v>
      </c>
      <c r="E27" s="253">
        <v>3</v>
      </c>
      <c r="F27" s="1481">
        <f>IFERROR(SUM(F25:F26), 0)</f>
        <v>1.607</v>
      </c>
      <c r="G27" s="1481">
        <f>IFERROR(SUM(G25:G26), 0)</f>
        <v>0</v>
      </c>
      <c r="H27" s="1481">
        <f>IFERROR(SUM(H25:H26), 0)</f>
        <v>0</v>
      </c>
      <c r="I27" s="1481">
        <f>IFERROR(SUM(I25:I26), 0)</f>
        <v>0</v>
      </c>
      <c r="J27" s="1481">
        <f>IFERROR(SUM(J25:J26), 0)</f>
        <v>0</v>
      </c>
      <c r="K27" s="1481">
        <f t="shared" si="6"/>
        <v>1.607</v>
      </c>
      <c r="L27" s="2229">
        <f>IFERROR(SUM(L25:L26), 0)</f>
        <v>0</v>
      </c>
      <c r="M27" s="2229">
        <f>IFERROR(SUM(M25:M26), 0)</f>
        <v>0</v>
      </c>
      <c r="N27" s="2229">
        <f t="shared" ref="N27:P27" si="51">IFERROR(SUM(N25:N26), 0)</f>
        <v>0</v>
      </c>
      <c r="O27" s="2229">
        <f t="shared" si="51"/>
        <v>0</v>
      </c>
      <c r="P27" s="2229">
        <f t="shared" si="51"/>
        <v>0</v>
      </c>
      <c r="Q27" s="2228">
        <f>IFERROR(SUM(L27:P27), 0)</f>
        <v>0</v>
      </c>
      <c r="R27" s="601">
        <v>2.4870000000000001</v>
      </c>
      <c r="S27" s="601">
        <v>0</v>
      </c>
      <c r="T27" s="602">
        <v>0</v>
      </c>
      <c r="U27" s="222"/>
      <c r="V27" s="966" t="s">
        <v>7188</v>
      </c>
      <c r="W27" s="197"/>
      <c r="X27" s="258"/>
      <c r="Y27" s="197"/>
      <c r="Z27" s="2576"/>
      <c r="AA27" s="251">
        <f t="shared" si="0"/>
        <v>0</v>
      </c>
      <c r="AB27" s="725"/>
      <c r="AC27" s="237"/>
      <c r="AD27" s="237"/>
      <c r="AE27" s="237"/>
      <c r="AF27" s="237"/>
      <c r="AG27" s="237"/>
      <c r="AH27" s="237"/>
      <c r="AI27" s="237"/>
      <c r="AJ27" s="237"/>
      <c r="AK27" s="237"/>
      <c r="AL27" s="237"/>
      <c r="AM27" s="237"/>
      <c r="AN27" s="237"/>
      <c r="AO27" s="252">
        <f t="shared" ref="AO27" si="52" xml:space="preserve"> IF( ISNUMBER(R27), 0, 1 )</f>
        <v>0</v>
      </c>
      <c r="AP27" s="252">
        <f t="shared" ref="AP27" si="53" xml:space="preserve"> IF( ISNUMBER(S27), 0, 1 )</f>
        <v>0</v>
      </c>
      <c r="AQ27" s="252">
        <f t="shared" ref="AQ27" si="54" xml:space="preserve"> IF( ISNUMBER(T27), 0, 1 )</f>
        <v>0</v>
      </c>
      <c r="AR27" s="2578"/>
      <c r="AS27" s="2562"/>
      <c r="AT27" s="962" t="s">
        <v>7173</v>
      </c>
      <c r="AU27" s="318" t="s">
        <v>1694</v>
      </c>
      <c r="AV27" s="581" t="s">
        <v>7189</v>
      </c>
      <c r="AW27" s="581" t="s">
        <v>7190</v>
      </c>
      <c r="AX27" s="581" t="s">
        <v>7191</v>
      </c>
      <c r="AY27" s="581" t="s">
        <v>7192</v>
      </c>
      <c r="AZ27" s="581" t="s">
        <v>7193</v>
      </c>
      <c r="BA27" s="581" t="s">
        <v>7194</v>
      </c>
      <c r="BB27" s="2229" t="s">
        <v>991</v>
      </c>
      <c r="BC27" s="2229" t="s">
        <v>992</v>
      </c>
      <c r="BD27" s="2229" t="s">
        <v>993</v>
      </c>
      <c r="BE27" s="2229" t="s">
        <v>994</v>
      </c>
      <c r="BF27" s="2229" t="s">
        <v>995</v>
      </c>
      <c r="BG27" s="2228" t="s">
        <v>996</v>
      </c>
      <c r="BH27" s="967" t="s">
        <v>7195</v>
      </c>
      <c r="BI27" s="967" t="s">
        <v>7196</v>
      </c>
      <c r="BJ27" s="968" t="s">
        <v>7197</v>
      </c>
    </row>
    <row r="28" spans="1:62" ht="15.75" customHeight="1" thickBot="1">
      <c r="A28" s="197"/>
      <c r="B28" s="975" t="s">
        <v>7198</v>
      </c>
      <c r="C28" s="976" t="s">
        <v>1694</v>
      </c>
      <c r="D28" s="319" t="s">
        <v>137</v>
      </c>
      <c r="E28" s="319">
        <v>3</v>
      </c>
      <c r="F28" s="1473">
        <f>IFERROR(SUM(F12,F15,F18,F21,F24,F27), 0)</f>
        <v>7.8240000000000007</v>
      </c>
      <c r="G28" s="1473">
        <f t="shared" ref="G28:I28" si="55">IFERROR(SUM(G12,G15,G18,G21,G24,G27), 0)</f>
        <v>0.67900000000000005</v>
      </c>
      <c r="H28" s="1473">
        <f t="shared" si="55"/>
        <v>0</v>
      </c>
      <c r="I28" s="1473">
        <f t="shared" si="55"/>
        <v>-1.0999999999999999E-2</v>
      </c>
      <c r="J28" s="1473">
        <f>IFERROR(SUM(J12,J15,J18,J21,J24,J27), 0)</f>
        <v>0</v>
      </c>
      <c r="K28" s="1473">
        <f>IFERROR(SUM(F28:J28), 0)</f>
        <v>8.4920000000000009</v>
      </c>
      <c r="L28" s="1545"/>
      <c r="M28" s="1546"/>
      <c r="N28" s="1546"/>
      <c r="O28" s="1546"/>
      <c r="P28" s="1546"/>
      <c r="Q28" s="1547"/>
      <c r="R28" s="1548">
        <f>IFERROR(SUM(R27,R24,R21,R18,R15,R12), 0)</f>
        <v>18.533000000000001</v>
      </c>
      <c r="S28" s="1548">
        <f>IFERROR(SUM(S27,S24,S21,S18,S15,S12), 0)</f>
        <v>33.771000000000001</v>
      </c>
      <c r="T28" s="1549">
        <f>IFERROR(SUM(T27,T24,T21,T18,T15,T12), 0)</f>
        <v>51.448000000000008</v>
      </c>
      <c r="U28" s="222"/>
      <c r="V28" s="980" t="s">
        <v>7199</v>
      </c>
      <c r="W28" s="197"/>
      <c r="X28" s="269"/>
      <c r="Y28" s="197"/>
      <c r="Z28" s="2576"/>
      <c r="AA28" s="2562"/>
      <c r="AB28" s="2578"/>
      <c r="AC28" s="237"/>
      <c r="AD28" s="237"/>
      <c r="AE28" s="237"/>
      <c r="AF28" s="237"/>
      <c r="AG28" s="237"/>
      <c r="AH28" s="237"/>
      <c r="AI28" s="237"/>
      <c r="AJ28" s="237"/>
      <c r="AK28" s="237"/>
      <c r="AL28" s="237"/>
      <c r="AM28" s="237"/>
      <c r="AN28" s="237"/>
      <c r="AO28" s="237"/>
      <c r="AP28" s="237"/>
      <c r="AQ28" s="237"/>
      <c r="AR28" s="2578"/>
      <c r="AS28" s="2562"/>
      <c r="AT28" s="975" t="s">
        <v>7198</v>
      </c>
      <c r="AU28" s="976" t="s">
        <v>1694</v>
      </c>
      <c r="AV28" s="583" t="s">
        <v>7200</v>
      </c>
      <c r="AW28" s="583" t="s">
        <v>7201</v>
      </c>
      <c r="AX28" s="583" t="s">
        <v>7202</v>
      </c>
      <c r="AY28" s="583" t="s">
        <v>7203</v>
      </c>
      <c r="AZ28" s="583" t="s">
        <v>7204</v>
      </c>
      <c r="BA28" s="583" t="s">
        <v>7205</v>
      </c>
      <c r="BB28" s="2420"/>
      <c r="BC28" s="2420"/>
      <c r="BD28" s="2420"/>
      <c r="BE28" s="2420"/>
      <c r="BF28" s="2420"/>
      <c r="BG28" s="2421"/>
      <c r="BH28" s="979" t="s">
        <v>7206</v>
      </c>
      <c r="BI28" s="979" t="s">
        <v>7207</v>
      </c>
      <c r="BJ28" s="704" t="s">
        <v>7208</v>
      </c>
    </row>
    <row r="29" spans="1:62" ht="15.75" customHeight="1" thickTop="1" thickBot="1">
      <c r="A29" s="197"/>
      <c r="B29" s="981"/>
      <c r="C29" s="197"/>
      <c r="D29" s="197"/>
      <c r="E29" s="197"/>
      <c r="F29" s="440"/>
      <c r="G29" s="440"/>
      <c r="H29" s="440"/>
      <c r="I29" s="440"/>
      <c r="J29" s="440"/>
      <c r="K29" s="440"/>
      <c r="L29" s="440"/>
      <c r="M29" s="1550"/>
      <c r="N29" s="1550"/>
      <c r="O29" s="1550"/>
      <c r="P29" s="1550"/>
      <c r="Q29" s="1551"/>
      <c r="R29" s="1550"/>
      <c r="S29" s="1550"/>
      <c r="T29" s="1551"/>
      <c r="U29" s="222"/>
      <c r="V29" s="222"/>
      <c r="W29" s="197"/>
      <c r="X29" s="197"/>
      <c r="Y29" s="197"/>
      <c r="Z29" s="2576"/>
      <c r="AA29" s="2562"/>
      <c r="AB29" s="2578"/>
      <c r="AC29" s="237"/>
      <c r="AD29" s="237"/>
      <c r="AE29" s="237"/>
      <c r="AF29" s="237"/>
      <c r="AG29" s="237"/>
      <c r="AH29" s="237"/>
      <c r="AI29" s="237"/>
      <c r="AJ29" s="237"/>
      <c r="AK29" s="237"/>
      <c r="AL29" s="237"/>
      <c r="AM29" s="237"/>
      <c r="AN29" s="237"/>
      <c r="AO29" s="237"/>
      <c r="AP29" s="237"/>
      <c r="AQ29" s="237"/>
      <c r="AR29" s="2578"/>
      <c r="AS29" s="2562"/>
      <c r="AT29" s="981"/>
      <c r="AU29" s="197"/>
      <c r="AV29" s="197"/>
      <c r="AW29" s="197"/>
      <c r="AX29" s="197"/>
      <c r="AY29" s="197"/>
      <c r="AZ29" s="197"/>
      <c r="BA29" s="197"/>
      <c r="BB29" s="197"/>
      <c r="BC29" s="200"/>
      <c r="BD29" s="200"/>
      <c r="BE29" s="200"/>
      <c r="BF29" s="200"/>
      <c r="BG29" s="982"/>
      <c r="BH29" s="200"/>
      <c r="BI29" s="200"/>
      <c r="BJ29" s="982"/>
    </row>
    <row r="30" spans="1:62" ht="15.75" customHeight="1" thickTop="1" thickBot="1">
      <c r="A30" s="197"/>
      <c r="B30" s="956" t="s">
        <v>7209</v>
      </c>
      <c r="C30" s="197"/>
      <c r="D30" s="197"/>
      <c r="E30" s="197"/>
      <c r="F30" s="440"/>
      <c r="G30" s="440"/>
      <c r="H30" s="440"/>
      <c r="I30" s="440"/>
      <c r="J30" s="440"/>
      <c r="K30" s="440"/>
      <c r="L30" s="440"/>
      <c r="M30" s="1550"/>
      <c r="N30" s="1550"/>
      <c r="O30" s="1550"/>
      <c r="P30" s="1550"/>
      <c r="Q30" s="1551"/>
      <c r="R30" s="1550"/>
      <c r="S30" s="1550"/>
      <c r="T30" s="1551"/>
      <c r="U30" s="222"/>
      <c r="V30" s="222"/>
      <c r="W30" s="197"/>
      <c r="X30" s="197"/>
      <c r="Y30" s="197"/>
      <c r="Z30" s="2576"/>
      <c r="AA30" s="2562"/>
      <c r="AB30" s="2578"/>
      <c r="AC30" s="237"/>
      <c r="AD30" s="237"/>
      <c r="AE30" s="237"/>
      <c r="AF30" s="237"/>
      <c r="AG30" s="237"/>
      <c r="AH30" s="237"/>
      <c r="AI30" s="237"/>
      <c r="AJ30" s="237"/>
      <c r="AK30" s="237"/>
      <c r="AL30" s="237"/>
      <c r="AM30" s="237"/>
      <c r="AN30" s="237"/>
      <c r="AO30" s="237"/>
      <c r="AP30" s="237"/>
      <c r="AQ30" s="237"/>
      <c r="AR30" s="2578"/>
      <c r="AS30" s="2562"/>
      <c r="AT30" s="956" t="s">
        <v>7209</v>
      </c>
      <c r="AU30" s="197"/>
      <c r="AV30" s="197"/>
      <c r="AW30" s="197"/>
      <c r="AX30" s="197"/>
      <c r="AY30" s="197"/>
      <c r="AZ30" s="197"/>
      <c r="BA30" s="197"/>
      <c r="BB30" s="197"/>
      <c r="BC30" s="200"/>
      <c r="BD30" s="200"/>
      <c r="BE30" s="200"/>
      <c r="BF30" s="200"/>
      <c r="BG30" s="982"/>
      <c r="BH30" s="200"/>
      <c r="BI30" s="200"/>
      <c r="BJ30" s="982"/>
    </row>
    <row r="31" spans="1:62" ht="32.25" customHeight="1" thickTop="1">
      <c r="A31" s="197"/>
      <c r="B31" s="957" t="s">
        <v>8</v>
      </c>
      <c r="C31" s="958" t="s">
        <v>1692</v>
      </c>
      <c r="D31" s="244" t="s">
        <v>137</v>
      </c>
      <c r="E31" s="244">
        <v>3</v>
      </c>
      <c r="F31" s="598">
        <v>0</v>
      </c>
      <c r="G31" s="598">
        <v>0</v>
      </c>
      <c r="H31" s="598">
        <v>0</v>
      </c>
      <c r="I31" s="598">
        <v>0</v>
      </c>
      <c r="J31" s="598">
        <v>0</v>
      </c>
      <c r="K31" s="1479">
        <f>IFERROR(SUM(F31:J31), 0)</f>
        <v>0</v>
      </c>
      <c r="L31" s="601">
        <v>0</v>
      </c>
      <c r="M31" s="601">
        <v>0</v>
      </c>
      <c r="N31" s="601">
        <v>0</v>
      </c>
      <c r="O31" s="601">
        <v>0</v>
      </c>
      <c r="P31" s="601">
        <v>0</v>
      </c>
      <c r="Q31" s="2230">
        <f>IFERROR(SUM(L31:P31), 0)</f>
        <v>0</v>
      </c>
      <c r="R31" s="1552"/>
      <c r="S31" s="1552"/>
      <c r="T31" s="1553"/>
      <c r="U31" s="222"/>
      <c r="V31" s="961" t="s">
        <v>7210</v>
      </c>
      <c r="W31" s="197"/>
      <c r="X31" s="250"/>
      <c r="Y31" s="197"/>
      <c r="Z31" s="2576"/>
      <c r="AA31" s="251">
        <f t="shared" ref="AA31:AA48" si="56">IF( SUM( AC31:AQ31 ) = 0, 0, $AC$9 )</f>
        <v>0</v>
      </c>
      <c r="AB31" s="2578"/>
      <c r="AC31" s="252">
        <f t="shared" ref="AC31:AC32" si="57" xml:space="preserve"> IF( ISNUMBER(F31), 0, 1 )</f>
        <v>0</v>
      </c>
      <c r="AD31" s="252">
        <f t="shared" ref="AD31:AD32" si="58" xml:space="preserve"> IF( ISNUMBER(G31), 0, 1 )</f>
        <v>0</v>
      </c>
      <c r="AE31" s="252">
        <f t="shared" ref="AE31:AE32" si="59" xml:space="preserve"> IF( ISNUMBER(H31), 0, 1 )</f>
        <v>0</v>
      </c>
      <c r="AF31" s="252">
        <f t="shared" ref="AF31:AF32" si="60" xml:space="preserve"> IF( ISNUMBER(I31), 0, 1 )</f>
        <v>0</v>
      </c>
      <c r="AG31" s="252">
        <f t="shared" ref="AG31:AG32" si="61" xml:space="preserve"> IF( ISNUMBER(J31), 0, 1 )</f>
        <v>0</v>
      </c>
      <c r="AH31" s="237"/>
      <c r="AI31" s="237"/>
      <c r="AJ31" s="237"/>
      <c r="AK31" s="237"/>
      <c r="AL31" s="237"/>
      <c r="AM31" s="237"/>
      <c r="AN31" s="237"/>
      <c r="AO31" s="237"/>
      <c r="AP31" s="237"/>
      <c r="AQ31" s="237"/>
      <c r="AR31" s="2578"/>
      <c r="AS31" s="2562"/>
      <c r="AT31" s="957" t="s">
        <v>8</v>
      </c>
      <c r="AU31" s="958" t="s">
        <v>1692</v>
      </c>
      <c r="AV31" s="598" t="s">
        <v>7211</v>
      </c>
      <c r="AW31" s="598" t="s">
        <v>7212</v>
      </c>
      <c r="AX31" s="598" t="s">
        <v>7213</v>
      </c>
      <c r="AY31" s="598" t="s">
        <v>7214</v>
      </c>
      <c r="AZ31" s="598" t="s">
        <v>7215</v>
      </c>
      <c r="BA31" s="579" t="s">
        <v>7216</v>
      </c>
      <c r="BB31" s="2413" t="s">
        <v>997</v>
      </c>
      <c r="BC31" s="2413" t="s">
        <v>998</v>
      </c>
      <c r="BD31" s="2413" t="s">
        <v>999</v>
      </c>
      <c r="BE31" s="2413" t="s">
        <v>1000</v>
      </c>
      <c r="BF31" s="2413" t="s">
        <v>1001</v>
      </c>
      <c r="BG31" s="2230" t="s">
        <v>1002</v>
      </c>
      <c r="BH31" s="983"/>
      <c r="BI31" s="983"/>
      <c r="BJ31" s="984"/>
    </row>
    <row r="32" spans="1:62" ht="32.25" customHeight="1">
      <c r="A32" s="197"/>
      <c r="B32" s="962" t="s">
        <v>8</v>
      </c>
      <c r="C32" s="318" t="s">
        <v>1693</v>
      </c>
      <c r="D32" s="253" t="s">
        <v>137</v>
      </c>
      <c r="E32" s="253">
        <v>3</v>
      </c>
      <c r="F32" s="601">
        <v>0</v>
      </c>
      <c r="G32" s="601">
        <v>0</v>
      </c>
      <c r="H32" s="601">
        <v>0</v>
      </c>
      <c r="I32" s="601">
        <v>0</v>
      </c>
      <c r="J32" s="601">
        <v>0</v>
      </c>
      <c r="K32" s="1481">
        <f t="shared" ref="K32:K49" si="62">IFERROR(SUM(F32:J32), 0)</f>
        <v>0</v>
      </c>
      <c r="L32" s="601">
        <v>0</v>
      </c>
      <c r="M32" s="601">
        <v>0</v>
      </c>
      <c r="N32" s="601">
        <v>0</v>
      </c>
      <c r="O32" s="601">
        <v>0</v>
      </c>
      <c r="P32" s="601">
        <v>0</v>
      </c>
      <c r="Q32" s="2228">
        <f>IFERROR(SUM(L32:P32), 0)</f>
        <v>0</v>
      </c>
      <c r="R32" s="1544"/>
      <c r="S32" s="1544"/>
      <c r="T32" s="1543"/>
      <c r="U32" s="222"/>
      <c r="V32" s="966" t="s">
        <v>7217</v>
      </c>
      <c r="W32" s="197"/>
      <c r="X32" s="258"/>
      <c r="Y32" s="197"/>
      <c r="Z32" s="2576"/>
      <c r="AA32" s="251">
        <f t="shared" si="56"/>
        <v>0</v>
      </c>
      <c r="AB32" s="2578"/>
      <c r="AC32" s="252">
        <f t="shared" si="57"/>
        <v>0</v>
      </c>
      <c r="AD32" s="252">
        <f t="shared" si="58"/>
        <v>0</v>
      </c>
      <c r="AE32" s="252">
        <f t="shared" si="59"/>
        <v>0</v>
      </c>
      <c r="AF32" s="252">
        <f t="shared" si="60"/>
        <v>0</v>
      </c>
      <c r="AG32" s="252">
        <f t="shared" si="61"/>
        <v>0</v>
      </c>
      <c r="AH32" s="237"/>
      <c r="AI32" s="237"/>
      <c r="AJ32" s="237"/>
      <c r="AK32" s="237"/>
      <c r="AL32" s="237"/>
      <c r="AM32" s="237"/>
      <c r="AN32" s="237"/>
      <c r="AO32" s="237"/>
      <c r="AP32" s="237"/>
      <c r="AQ32" s="237"/>
      <c r="AR32" s="2578"/>
      <c r="AS32" s="2562"/>
      <c r="AT32" s="962" t="s">
        <v>8</v>
      </c>
      <c r="AU32" s="318" t="s">
        <v>1693</v>
      </c>
      <c r="AV32" s="601" t="s">
        <v>7218</v>
      </c>
      <c r="AW32" s="601" t="s">
        <v>7219</v>
      </c>
      <c r="AX32" s="601" t="s">
        <v>7220</v>
      </c>
      <c r="AY32" s="601" t="s">
        <v>7221</v>
      </c>
      <c r="AZ32" s="601" t="s">
        <v>7222</v>
      </c>
      <c r="BA32" s="581" t="s">
        <v>7223</v>
      </c>
      <c r="BB32" s="2227" t="s">
        <v>1003</v>
      </c>
      <c r="BC32" s="2227" t="s">
        <v>1004</v>
      </c>
      <c r="BD32" s="2227" t="s">
        <v>1005</v>
      </c>
      <c r="BE32" s="2227" t="s">
        <v>1006</v>
      </c>
      <c r="BF32" s="2227" t="s">
        <v>1007</v>
      </c>
      <c r="BG32" s="2228" t="s">
        <v>1008</v>
      </c>
      <c r="BH32" s="974"/>
      <c r="BI32" s="974"/>
      <c r="BJ32" s="973"/>
    </row>
    <row r="33" spans="1:62" ht="32.25" customHeight="1">
      <c r="A33" s="197"/>
      <c r="B33" s="962" t="s">
        <v>8</v>
      </c>
      <c r="C33" s="318" t="s">
        <v>1694</v>
      </c>
      <c r="D33" s="253" t="s">
        <v>137</v>
      </c>
      <c r="E33" s="253">
        <v>3</v>
      </c>
      <c r="F33" s="1481">
        <f>IFERROR(SUM(F31:F32), 0)</f>
        <v>0</v>
      </c>
      <c r="G33" s="1481">
        <f t="shared" ref="G33:I33" si="63">IFERROR(SUM(G31:G32), 0)</f>
        <v>0</v>
      </c>
      <c r="H33" s="1481">
        <f t="shared" si="63"/>
        <v>0</v>
      </c>
      <c r="I33" s="1481">
        <f t="shared" si="63"/>
        <v>0</v>
      </c>
      <c r="J33" s="1481">
        <f>IFERROR(SUM(J31:J32), 0)</f>
        <v>0</v>
      </c>
      <c r="K33" s="1481">
        <f>IFERROR(SUM(F33:J33), 0)</f>
        <v>0</v>
      </c>
      <c r="L33" s="2229">
        <f>IFERROR(SUM(L31:L32), 0)</f>
        <v>0</v>
      </c>
      <c r="M33" s="2229">
        <f>IFERROR(SUM(M31:M32), 0)</f>
        <v>0</v>
      </c>
      <c r="N33" s="2229">
        <f t="shared" ref="N33:P33" si="64">IFERROR(SUM(N31:N32), 0)</f>
        <v>0</v>
      </c>
      <c r="O33" s="2229">
        <f t="shared" si="64"/>
        <v>0</v>
      </c>
      <c r="P33" s="2229">
        <f t="shared" si="64"/>
        <v>0</v>
      </c>
      <c r="Q33" s="2228">
        <f>IFERROR(SUM(L33:P33), 0)</f>
        <v>0</v>
      </c>
      <c r="R33" s="601">
        <v>1.0960000000000001</v>
      </c>
      <c r="S33" s="601">
        <v>0</v>
      </c>
      <c r="T33" s="602">
        <v>0</v>
      </c>
      <c r="U33" s="222"/>
      <c r="V33" s="966" t="s">
        <v>7224</v>
      </c>
      <c r="W33" s="197"/>
      <c r="X33" s="258"/>
      <c r="Y33" s="197"/>
      <c r="Z33" s="2576"/>
      <c r="AA33" s="251">
        <f t="shared" si="56"/>
        <v>0</v>
      </c>
      <c r="AB33" s="725"/>
      <c r="AC33" s="237"/>
      <c r="AD33" s="237"/>
      <c r="AE33" s="237"/>
      <c r="AF33" s="237"/>
      <c r="AG33" s="237"/>
      <c r="AH33" s="237"/>
      <c r="AI33" s="237"/>
      <c r="AJ33" s="237"/>
      <c r="AK33" s="237"/>
      <c r="AL33" s="237"/>
      <c r="AM33" s="237"/>
      <c r="AN33" s="237"/>
      <c r="AO33" s="252">
        <f t="shared" ref="AO33" si="65" xml:space="preserve"> IF( ISNUMBER(R33), 0, 1 )</f>
        <v>0</v>
      </c>
      <c r="AP33" s="252">
        <f t="shared" ref="AP33" si="66" xml:space="preserve"> IF( ISNUMBER(S33), 0, 1 )</f>
        <v>0</v>
      </c>
      <c r="AQ33" s="252">
        <f t="shared" ref="AQ33" si="67" xml:space="preserve"> IF( ISNUMBER(T33), 0, 1 )</f>
        <v>0</v>
      </c>
      <c r="AR33" s="2578"/>
      <c r="AS33" s="2562"/>
      <c r="AT33" s="962" t="s">
        <v>8</v>
      </c>
      <c r="AU33" s="318" t="s">
        <v>1694</v>
      </c>
      <c r="AV33" s="581" t="s">
        <v>7225</v>
      </c>
      <c r="AW33" s="581" t="s">
        <v>7226</v>
      </c>
      <c r="AX33" s="581" t="s">
        <v>7227</v>
      </c>
      <c r="AY33" s="581" t="s">
        <v>7228</v>
      </c>
      <c r="AZ33" s="581" t="s">
        <v>7229</v>
      </c>
      <c r="BA33" s="581" t="s">
        <v>7230</v>
      </c>
      <c r="BB33" s="2229" t="s">
        <v>1009</v>
      </c>
      <c r="BC33" s="2229" t="s">
        <v>1010</v>
      </c>
      <c r="BD33" s="2229" t="s">
        <v>1011</v>
      </c>
      <c r="BE33" s="2229" t="s">
        <v>1012</v>
      </c>
      <c r="BF33" s="2229" t="s">
        <v>1013</v>
      </c>
      <c r="BG33" s="2228" t="s">
        <v>1014</v>
      </c>
      <c r="BH33" s="967" t="s">
        <v>7231</v>
      </c>
      <c r="BI33" s="967" t="s">
        <v>7232</v>
      </c>
      <c r="BJ33" s="968" t="s">
        <v>7233</v>
      </c>
    </row>
    <row r="34" spans="1:62" ht="32.25" customHeight="1">
      <c r="A34" s="197"/>
      <c r="B34" s="962" t="s">
        <v>12</v>
      </c>
      <c r="C34" s="318" t="s">
        <v>1692</v>
      </c>
      <c r="D34" s="253" t="s">
        <v>137</v>
      </c>
      <c r="E34" s="253">
        <v>3</v>
      </c>
      <c r="F34" s="601">
        <v>0</v>
      </c>
      <c r="G34" s="601">
        <v>0</v>
      </c>
      <c r="H34" s="601">
        <v>0</v>
      </c>
      <c r="I34" s="601">
        <v>0</v>
      </c>
      <c r="J34" s="601">
        <v>0</v>
      </c>
      <c r="K34" s="1481">
        <f t="shared" si="62"/>
        <v>0</v>
      </c>
      <c r="L34" s="1544"/>
      <c r="M34" s="1544"/>
      <c r="N34" s="1544"/>
      <c r="O34" s="1544"/>
      <c r="P34" s="1544"/>
      <c r="Q34" s="1542"/>
      <c r="R34" s="1544"/>
      <c r="S34" s="1544"/>
      <c r="T34" s="1543"/>
      <c r="U34" s="222"/>
      <c r="V34" s="966" t="s">
        <v>7234</v>
      </c>
      <c r="W34" s="197"/>
      <c r="X34" s="258"/>
      <c r="Y34" s="197"/>
      <c r="Z34" s="2576"/>
      <c r="AA34" s="251">
        <f t="shared" si="56"/>
        <v>0</v>
      </c>
      <c r="AB34" s="2578"/>
      <c r="AC34" s="252">
        <f t="shared" ref="AC34:AC35" si="68" xml:space="preserve"> IF( ISNUMBER(F34), 0, 1 )</f>
        <v>0</v>
      </c>
      <c r="AD34" s="252">
        <f t="shared" ref="AD34:AD35" si="69" xml:space="preserve"> IF( ISNUMBER(G34), 0, 1 )</f>
        <v>0</v>
      </c>
      <c r="AE34" s="252">
        <f t="shared" ref="AE34:AE35" si="70" xml:space="preserve"> IF( ISNUMBER(H34), 0, 1 )</f>
        <v>0</v>
      </c>
      <c r="AF34" s="252">
        <f t="shared" ref="AF34:AF35" si="71" xml:space="preserve"> IF( ISNUMBER(I34), 0, 1 )</f>
        <v>0</v>
      </c>
      <c r="AG34" s="252">
        <f t="shared" ref="AG34:AG35" si="72" xml:space="preserve"> IF( ISNUMBER(J34), 0, 1 )</f>
        <v>0</v>
      </c>
      <c r="AH34" s="237"/>
      <c r="AI34" s="237"/>
      <c r="AJ34" s="237"/>
      <c r="AK34" s="237"/>
      <c r="AL34" s="237"/>
      <c r="AM34" s="237"/>
      <c r="AN34" s="237"/>
      <c r="AO34" s="237"/>
      <c r="AP34" s="237"/>
      <c r="AQ34" s="237"/>
      <c r="AR34" s="2578"/>
      <c r="AS34" s="2562"/>
      <c r="AT34" s="962" t="s">
        <v>12</v>
      </c>
      <c r="AU34" s="318" t="s">
        <v>1692</v>
      </c>
      <c r="AV34" s="601" t="s">
        <v>7235</v>
      </c>
      <c r="AW34" s="601" t="s">
        <v>7236</v>
      </c>
      <c r="AX34" s="601" t="s">
        <v>7237</v>
      </c>
      <c r="AY34" s="601" t="s">
        <v>7238</v>
      </c>
      <c r="AZ34" s="601" t="s">
        <v>7239</v>
      </c>
      <c r="BA34" s="581" t="s">
        <v>7240</v>
      </c>
      <c r="BB34" s="974"/>
      <c r="BC34" s="974"/>
      <c r="BD34" s="974"/>
      <c r="BE34" s="974"/>
      <c r="BF34" s="974"/>
      <c r="BG34" s="972"/>
      <c r="BH34" s="974"/>
      <c r="BI34" s="974"/>
      <c r="BJ34" s="973"/>
    </row>
    <row r="35" spans="1:62" ht="32.25" customHeight="1">
      <c r="A35" s="197"/>
      <c r="B35" s="962" t="s">
        <v>12</v>
      </c>
      <c r="C35" s="318" t="s">
        <v>1693</v>
      </c>
      <c r="D35" s="253" t="s">
        <v>137</v>
      </c>
      <c r="E35" s="253">
        <v>3</v>
      </c>
      <c r="F35" s="601">
        <v>0</v>
      </c>
      <c r="G35" s="601">
        <v>0</v>
      </c>
      <c r="H35" s="601">
        <v>0</v>
      </c>
      <c r="I35" s="601">
        <v>0</v>
      </c>
      <c r="J35" s="601">
        <v>0</v>
      </c>
      <c r="K35" s="1481">
        <f t="shared" si="62"/>
        <v>0</v>
      </c>
      <c r="L35" s="1544"/>
      <c r="M35" s="1544"/>
      <c r="N35" s="1544"/>
      <c r="O35" s="1544"/>
      <c r="P35" s="1544"/>
      <c r="Q35" s="1542"/>
      <c r="R35" s="1544"/>
      <c r="S35" s="1544"/>
      <c r="T35" s="1543"/>
      <c r="U35" s="222"/>
      <c r="V35" s="966" t="s">
        <v>7241</v>
      </c>
      <c r="W35" s="197"/>
      <c r="X35" s="258"/>
      <c r="Y35" s="197"/>
      <c r="Z35" s="2576"/>
      <c r="AA35" s="251">
        <f t="shared" si="56"/>
        <v>0</v>
      </c>
      <c r="AB35" s="2578"/>
      <c r="AC35" s="252">
        <f t="shared" si="68"/>
        <v>0</v>
      </c>
      <c r="AD35" s="252">
        <f t="shared" si="69"/>
        <v>0</v>
      </c>
      <c r="AE35" s="252">
        <f t="shared" si="70"/>
        <v>0</v>
      </c>
      <c r="AF35" s="252">
        <f t="shared" si="71"/>
        <v>0</v>
      </c>
      <c r="AG35" s="252">
        <f t="shared" si="72"/>
        <v>0</v>
      </c>
      <c r="AH35" s="237"/>
      <c r="AI35" s="237"/>
      <c r="AJ35" s="237"/>
      <c r="AK35" s="237"/>
      <c r="AL35" s="237"/>
      <c r="AM35" s="237"/>
      <c r="AN35" s="237"/>
      <c r="AO35" s="237"/>
      <c r="AP35" s="237"/>
      <c r="AQ35" s="237"/>
      <c r="AR35" s="2578"/>
      <c r="AS35" s="2562"/>
      <c r="AT35" s="962" t="s">
        <v>12</v>
      </c>
      <c r="AU35" s="318" t="s">
        <v>1693</v>
      </c>
      <c r="AV35" s="601" t="s">
        <v>7242</v>
      </c>
      <c r="AW35" s="601" t="s">
        <v>7243</v>
      </c>
      <c r="AX35" s="601" t="s">
        <v>7244</v>
      </c>
      <c r="AY35" s="601" t="s">
        <v>7245</v>
      </c>
      <c r="AZ35" s="601" t="s">
        <v>7246</v>
      </c>
      <c r="BA35" s="581" t="s">
        <v>7247</v>
      </c>
      <c r="BB35" s="974"/>
      <c r="BC35" s="974"/>
      <c r="BD35" s="974"/>
      <c r="BE35" s="974"/>
      <c r="BF35" s="974"/>
      <c r="BG35" s="972"/>
      <c r="BH35" s="974"/>
      <c r="BI35" s="974"/>
      <c r="BJ35" s="973"/>
    </row>
    <row r="36" spans="1:62" ht="32.25" customHeight="1">
      <c r="A36" s="197"/>
      <c r="B36" s="962" t="s">
        <v>12</v>
      </c>
      <c r="C36" s="318" t="s">
        <v>1694</v>
      </c>
      <c r="D36" s="253" t="s">
        <v>137</v>
      </c>
      <c r="E36" s="253">
        <v>3</v>
      </c>
      <c r="F36" s="1481">
        <f>IFERROR(SUM(F34:F35), 0)</f>
        <v>0</v>
      </c>
      <c r="G36" s="1481">
        <f t="shared" ref="G36:J36" si="73">IFERROR(SUM(G34:G35), 0)</f>
        <v>0</v>
      </c>
      <c r="H36" s="1481">
        <f t="shared" si="73"/>
        <v>0</v>
      </c>
      <c r="I36" s="1481">
        <f>IFERROR(SUM(I34:I35), 0)</f>
        <v>0</v>
      </c>
      <c r="J36" s="1481">
        <f t="shared" si="73"/>
        <v>0</v>
      </c>
      <c r="K36" s="1481">
        <f t="shared" si="62"/>
        <v>0</v>
      </c>
      <c r="L36" s="1544"/>
      <c r="M36" s="1544"/>
      <c r="N36" s="1544"/>
      <c r="O36" s="1544"/>
      <c r="P36" s="1544"/>
      <c r="Q36" s="1542"/>
      <c r="R36" s="601">
        <v>0</v>
      </c>
      <c r="S36" s="601">
        <v>0</v>
      </c>
      <c r="T36" s="602">
        <v>0</v>
      </c>
      <c r="U36" s="222"/>
      <c r="V36" s="966" t="s">
        <v>7248</v>
      </c>
      <c r="W36" s="197"/>
      <c r="X36" s="258"/>
      <c r="Y36" s="197"/>
      <c r="Z36" s="2576"/>
      <c r="AA36" s="251">
        <f t="shared" si="56"/>
        <v>0</v>
      </c>
      <c r="AB36" s="725"/>
      <c r="AC36" s="237"/>
      <c r="AD36" s="237"/>
      <c r="AE36" s="237"/>
      <c r="AF36" s="237"/>
      <c r="AG36" s="237"/>
      <c r="AH36" s="237"/>
      <c r="AI36" s="237"/>
      <c r="AJ36" s="237"/>
      <c r="AK36" s="237"/>
      <c r="AL36" s="237"/>
      <c r="AM36" s="237"/>
      <c r="AN36" s="237"/>
      <c r="AO36" s="252">
        <f t="shared" ref="AO36" si="74" xml:space="preserve"> IF( ISNUMBER(R36), 0, 1 )</f>
        <v>0</v>
      </c>
      <c r="AP36" s="252">
        <f t="shared" ref="AP36" si="75" xml:space="preserve"> IF( ISNUMBER(S36), 0, 1 )</f>
        <v>0</v>
      </c>
      <c r="AQ36" s="252">
        <f t="shared" ref="AQ36" si="76" xml:space="preserve"> IF( ISNUMBER(T36), 0, 1 )</f>
        <v>0</v>
      </c>
      <c r="AR36" s="2578"/>
      <c r="AS36" s="2562"/>
      <c r="AT36" s="962" t="s">
        <v>12</v>
      </c>
      <c r="AU36" s="318" t="s">
        <v>1694</v>
      </c>
      <c r="AV36" s="581" t="s">
        <v>7249</v>
      </c>
      <c r="AW36" s="581" t="s">
        <v>7250</v>
      </c>
      <c r="AX36" s="581" t="s">
        <v>7251</v>
      </c>
      <c r="AY36" s="581" t="s">
        <v>7252</v>
      </c>
      <c r="AZ36" s="581" t="s">
        <v>7253</v>
      </c>
      <c r="BA36" s="581" t="s">
        <v>7254</v>
      </c>
      <c r="BB36" s="974"/>
      <c r="BC36" s="974"/>
      <c r="BD36" s="974"/>
      <c r="BE36" s="974"/>
      <c r="BF36" s="974"/>
      <c r="BG36" s="972"/>
      <c r="BH36" s="967" t="s">
        <v>7255</v>
      </c>
      <c r="BI36" s="967" t="s">
        <v>7256</v>
      </c>
      <c r="BJ36" s="968" t="s">
        <v>7257</v>
      </c>
    </row>
    <row r="37" spans="1:62" ht="15.75" customHeight="1">
      <c r="A37" s="197"/>
      <c r="B37" s="962" t="s">
        <v>7258</v>
      </c>
      <c r="C37" s="318" t="s">
        <v>1692</v>
      </c>
      <c r="D37" s="253" t="s">
        <v>137</v>
      </c>
      <c r="E37" s="253">
        <v>3</v>
      </c>
      <c r="F37" s="601">
        <v>0</v>
      </c>
      <c r="G37" s="601">
        <v>0</v>
      </c>
      <c r="H37" s="601">
        <v>0</v>
      </c>
      <c r="I37" s="601">
        <v>0</v>
      </c>
      <c r="J37" s="601">
        <v>11.615</v>
      </c>
      <c r="K37" s="1481">
        <f t="shared" si="62"/>
        <v>11.615</v>
      </c>
      <c r="L37" s="601">
        <v>0</v>
      </c>
      <c r="M37" s="601">
        <v>0</v>
      </c>
      <c r="N37" s="601">
        <v>0</v>
      </c>
      <c r="O37" s="601">
        <v>0</v>
      </c>
      <c r="P37" s="601">
        <v>0</v>
      </c>
      <c r="Q37" s="1554">
        <f>IFERROR(SUM(L37:P37), 0)</f>
        <v>0</v>
      </c>
      <c r="R37" s="1544"/>
      <c r="S37" s="1544"/>
      <c r="T37" s="1543"/>
      <c r="U37" s="222"/>
      <c r="V37" s="966" t="s">
        <v>7259</v>
      </c>
      <c r="W37" s="197"/>
      <c r="X37" s="258"/>
      <c r="Y37" s="197"/>
      <c r="Z37" s="2576"/>
      <c r="AA37" s="251">
        <f t="shared" si="56"/>
        <v>0</v>
      </c>
      <c r="AB37" s="2578"/>
      <c r="AC37" s="252">
        <f t="shared" ref="AC37:AC38" si="77" xml:space="preserve"> IF( ISNUMBER(F37), 0, 1 )</f>
        <v>0</v>
      </c>
      <c r="AD37" s="252">
        <f t="shared" ref="AD37:AD38" si="78" xml:space="preserve"> IF( ISNUMBER(G37), 0, 1 )</f>
        <v>0</v>
      </c>
      <c r="AE37" s="252">
        <f t="shared" ref="AE37:AE38" si="79" xml:space="preserve"> IF( ISNUMBER(H37), 0, 1 )</f>
        <v>0</v>
      </c>
      <c r="AF37" s="252">
        <f t="shared" ref="AF37:AF38" si="80" xml:space="preserve"> IF( ISNUMBER(I37), 0, 1 )</f>
        <v>0</v>
      </c>
      <c r="AG37" s="252">
        <f t="shared" ref="AG37:AG38" si="81" xml:space="preserve"> IF( ISNUMBER(J37), 0, 1 )</f>
        <v>0</v>
      </c>
      <c r="AH37" s="237"/>
      <c r="AI37" s="252">
        <f t="shared" ref="AI37:AI38" si="82" xml:space="preserve"> IF( ISNUMBER(L37), 0, 1 )</f>
        <v>0</v>
      </c>
      <c r="AJ37" s="252">
        <f t="shared" ref="AJ37:AJ38" si="83" xml:space="preserve"> IF( ISNUMBER(M37), 0, 1 )</f>
        <v>0</v>
      </c>
      <c r="AK37" s="252">
        <f t="shared" ref="AK37:AK38" si="84" xml:space="preserve"> IF( ISNUMBER(N37), 0, 1 )</f>
        <v>0</v>
      </c>
      <c r="AL37" s="252">
        <f t="shared" ref="AL37:AL38" si="85" xml:space="preserve"> IF( ISNUMBER(O37), 0, 1 )</f>
        <v>0</v>
      </c>
      <c r="AM37" s="252">
        <f t="shared" ref="AM37:AM38" si="86" xml:space="preserve"> IF( ISNUMBER(P37), 0, 1 )</f>
        <v>0</v>
      </c>
      <c r="AN37" s="237"/>
      <c r="AO37" s="237"/>
      <c r="AP37" s="237"/>
      <c r="AQ37" s="237"/>
      <c r="AR37" s="2578"/>
      <c r="AS37" s="2562"/>
      <c r="AT37" s="962" t="s">
        <v>7258</v>
      </c>
      <c r="AU37" s="318" t="s">
        <v>1692</v>
      </c>
      <c r="AV37" s="601" t="s">
        <v>7260</v>
      </c>
      <c r="AW37" s="601" t="s">
        <v>7261</v>
      </c>
      <c r="AX37" s="601" t="s">
        <v>7262</v>
      </c>
      <c r="AY37" s="601" t="s">
        <v>7263</v>
      </c>
      <c r="AZ37" s="601" t="s">
        <v>7264</v>
      </c>
      <c r="BA37" s="581" t="s">
        <v>7265</v>
      </c>
      <c r="BB37" s="601" t="s">
        <v>7266</v>
      </c>
      <c r="BC37" s="601" t="s">
        <v>7267</v>
      </c>
      <c r="BD37" s="601" t="s">
        <v>7268</v>
      </c>
      <c r="BE37" s="601" t="s">
        <v>7269</v>
      </c>
      <c r="BF37" s="601" t="s">
        <v>7270</v>
      </c>
      <c r="BG37" s="694" t="s">
        <v>7271</v>
      </c>
      <c r="BH37" s="974"/>
      <c r="BI37" s="974"/>
      <c r="BJ37" s="973"/>
    </row>
    <row r="38" spans="1:62" ht="15.75" customHeight="1">
      <c r="A38" s="197"/>
      <c r="B38" s="962" t="s">
        <v>7258</v>
      </c>
      <c r="C38" s="318" t="s">
        <v>1693</v>
      </c>
      <c r="D38" s="253" t="s">
        <v>137</v>
      </c>
      <c r="E38" s="253">
        <v>3</v>
      </c>
      <c r="F38" s="601">
        <v>0</v>
      </c>
      <c r="G38" s="601">
        <v>0</v>
      </c>
      <c r="H38" s="601">
        <v>0</v>
      </c>
      <c r="I38" s="601">
        <v>0</v>
      </c>
      <c r="J38" s="601">
        <v>22.314</v>
      </c>
      <c r="K38" s="1481">
        <f t="shared" si="62"/>
        <v>22.314</v>
      </c>
      <c r="L38" s="601">
        <v>0</v>
      </c>
      <c r="M38" s="601">
        <v>0</v>
      </c>
      <c r="N38" s="601">
        <v>0</v>
      </c>
      <c r="O38" s="601">
        <v>0</v>
      </c>
      <c r="P38" s="601">
        <v>0</v>
      </c>
      <c r="Q38" s="1554">
        <f>IFERROR(SUM(L38:P38), 0)</f>
        <v>0</v>
      </c>
      <c r="R38" s="1544"/>
      <c r="S38" s="1544"/>
      <c r="T38" s="1543"/>
      <c r="U38" s="222"/>
      <c r="V38" s="966" t="s">
        <v>7272</v>
      </c>
      <c r="W38" s="197"/>
      <c r="X38" s="258"/>
      <c r="Y38" s="197"/>
      <c r="Z38" s="2576"/>
      <c r="AA38" s="251">
        <f t="shared" si="56"/>
        <v>0</v>
      </c>
      <c r="AB38" s="2578"/>
      <c r="AC38" s="252">
        <f t="shared" si="77"/>
        <v>0</v>
      </c>
      <c r="AD38" s="252">
        <f t="shared" si="78"/>
        <v>0</v>
      </c>
      <c r="AE38" s="252">
        <f t="shared" si="79"/>
        <v>0</v>
      </c>
      <c r="AF38" s="252">
        <f t="shared" si="80"/>
        <v>0</v>
      </c>
      <c r="AG38" s="252">
        <f t="shared" si="81"/>
        <v>0</v>
      </c>
      <c r="AH38" s="237"/>
      <c r="AI38" s="252">
        <f t="shared" si="82"/>
        <v>0</v>
      </c>
      <c r="AJ38" s="252">
        <f t="shared" si="83"/>
        <v>0</v>
      </c>
      <c r="AK38" s="252">
        <f t="shared" si="84"/>
        <v>0</v>
      </c>
      <c r="AL38" s="252">
        <f t="shared" si="85"/>
        <v>0</v>
      </c>
      <c r="AM38" s="252">
        <f t="shared" si="86"/>
        <v>0</v>
      </c>
      <c r="AN38" s="237"/>
      <c r="AO38" s="237"/>
      <c r="AP38" s="237"/>
      <c r="AQ38" s="237"/>
      <c r="AR38" s="2578"/>
      <c r="AS38" s="2562"/>
      <c r="AT38" s="962" t="s">
        <v>7258</v>
      </c>
      <c r="AU38" s="318" t="s">
        <v>1693</v>
      </c>
      <c r="AV38" s="601" t="s">
        <v>7273</v>
      </c>
      <c r="AW38" s="601" t="s">
        <v>7274</v>
      </c>
      <c r="AX38" s="601" t="s">
        <v>7275</v>
      </c>
      <c r="AY38" s="601" t="s">
        <v>7276</v>
      </c>
      <c r="AZ38" s="601" t="s">
        <v>7277</v>
      </c>
      <c r="BA38" s="581" t="s">
        <v>7278</v>
      </c>
      <c r="BB38" s="601" t="s">
        <v>7279</v>
      </c>
      <c r="BC38" s="601" t="s">
        <v>7280</v>
      </c>
      <c r="BD38" s="601" t="s">
        <v>7281</v>
      </c>
      <c r="BE38" s="601" t="s">
        <v>7282</v>
      </c>
      <c r="BF38" s="601" t="s">
        <v>7283</v>
      </c>
      <c r="BG38" s="694" t="s">
        <v>7284</v>
      </c>
      <c r="BH38" s="974"/>
      <c r="BI38" s="974"/>
      <c r="BJ38" s="973"/>
    </row>
    <row r="39" spans="1:62" ht="15.75" customHeight="1">
      <c r="A39" s="197"/>
      <c r="B39" s="962" t="s">
        <v>7258</v>
      </c>
      <c r="C39" s="318" t="s">
        <v>1694</v>
      </c>
      <c r="D39" s="253" t="s">
        <v>137</v>
      </c>
      <c r="E39" s="253">
        <v>3</v>
      </c>
      <c r="F39" s="1481">
        <f>IFERROR(SUM(F37:F38), 0)</f>
        <v>0</v>
      </c>
      <c r="G39" s="1481">
        <f>IFERROR(SUM(G37:G38), 0)</f>
        <v>0</v>
      </c>
      <c r="H39" s="1481">
        <f>IFERROR(SUM(H37:H38), 0)</f>
        <v>0</v>
      </c>
      <c r="I39" s="1481">
        <f t="shared" ref="I39:J39" si="87">IFERROR(SUM(I37:I38), 0)</f>
        <v>0</v>
      </c>
      <c r="J39" s="1481">
        <f t="shared" si="87"/>
        <v>33.929000000000002</v>
      </c>
      <c r="K39" s="1481">
        <f t="shared" si="62"/>
        <v>33.929000000000002</v>
      </c>
      <c r="L39" s="1554">
        <f>IFERROR(SUM(L37:L38), 0)</f>
        <v>0</v>
      </c>
      <c r="M39" s="1554">
        <f>IFERROR(SUM(M37:M38), 0)</f>
        <v>0</v>
      </c>
      <c r="N39" s="1554">
        <f t="shared" ref="N39:P39" si="88">IFERROR(SUM(N37:N38), 0)</f>
        <v>0</v>
      </c>
      <c r="O39" s="1554">
        <f t="shared" si="88"/>
        <v>0</v>
      </c>
      <c r="P39" s="1554">
        <f t="shared" si="88"/>
        <v>0</v>
      </c>
      <c r="Q39" s="1554">
        <f>IFERROR(SUM(L39:P39), 0)</f>
        <v>0</v>
      </c>
      <c r="R39" s="601">
        <v>81.534999999999997</v>
      </c>
      <c r="S39" s="601">
        <v>23.015000000000001</v>
      </c>
      <c r="T39" s="602">
        <v>33.293999999999997</v>
      </c>
      <c r="U39" s="197"/>
      <c r="V39" s="966" t="s">
        <v>7285</v>
      </c>
      <c r="W39" s="197"/>
      <c r="X39" s="258"/>
      <c r="Y39" s="197"/>
      <c r="Z39" s="2576"/>
      <c r="AA39" s="251">
        <f t="shared" si="56"/>
        <v>0</v>
      </c>
      <c r="AB39" s="725"/>
      <c r="AC39" s="237"/>
      <c r="AD39" s="237"/>
      <c r="AE39" s="237"/>
      <c r="AF39" s="237"/>
      <c r="AG39" s="237"/>
      <c r="AH39" s="237"/>
      <c r="AI39" s="237"/>
      <c r="AJ39" s="237"/>
      <c r="AK39" s="237"/>
      <c r="AL39" s="237"/>
      <c r="AM39" s="237"/>
      <c r="AN39" s="237"/>
      <c r="AO39" s="252">
        <f t="shared" ref="AO39" si="89" xml:space="preserve"> IF( ISNUMBER(R39), 0, 1 )</f>
        <v>0</v>
      </c>
      <c r="AP39" s="252">
        <f t="shared" ref="AP39" si="90" xml:space="preserve"> IF( ISNUMBER(S39), 0, 1 )</f>
        <v>0</v>
      </c>
      <c r="AQ39" s="252">
        <f t="shared" ref="AQ39" si="91" xml:space="preserve"> IF( ISNUMBER(T39), 0, 1 )</f>
        <v>0</v>
      </c>
      <c r="AR39" s="2578"/>
      <c r="AS39" s="2562"/>
      <c r="AT39" s="962" t="s">
        <v>7258</v>
      </c>
      <c r="AU39" s="318" t="s">
        <v>1694</v>
      </c>
      <c r="AV39" s="581" t="s">
        <v>7286</v>
      </c>
      <c r="AW39" s="581" t="s">
        <v>7287</v>
      </c>
      <c r="AX39" s="581" t="s">
        <v>7288</v>
      </c>
      <c r="AY39" s="581" t="s">
        <v>7289</v>
      </c>
      <c r="AZ39" s="581" t="s">
        <v>7290</v>
      </c>
      <c r="BA39" s="581" t="s">
        <v>7291</v>
      </c>
      <c r="BB39" s="694" t="s">
        <v>7292</v>
      </c>
      <c r="BC39" s="694" t="s">
        <v>7293</v>
      </c>
      <c r="BD39" s="694" t="s">
        <v>7294</v>
      </c>
      <c r="BE39" s="694" t="s">
        <v>7295</v>
      </c>
      <c r="BF39" s="694" t="s">
        <v>7296</v>
      </c>
      <c r="BG39" s="694" t="s">
        <v>7297</v>
      </c>
      <c r="BH39" s="967" t="s">
        <v>7298</v>
      </c>
      <c r="BI39" s="967" t="s">
        <v>7299</v>
      </c>
      <c r="BJ39" s="968" t="s">
        <v>7300</v>
      </c>
    </row>
    <row r="40" spans="1:62" ht="15.75" customHeight="1">
      <c r="A40" s="197"/>
      <c r="B40" s="962" t="s">
        <v>16</v>
      </c>
      <c r="C40" s="318" t="s">
        <v>1692</v>
      </c>
      <c r="D40" s="253" t="s">
        <v>137</v>
      </c>
      <c r="E40" s="253">
        <v>3</v>
      </c>
      <c r="F40" s="601">
        <v>0</v>
      </c>
      <c r="G40" s="601">
        <v>0</v>
      </c>
      <c r="H40" s="601">
        <v>0</v>
      </c>
      <c r="I40" s="601">
        <v>0</v>
      </c>
      <c r="J40" s="601">
        <v>0</v>
      </c>
      <c r="K40" s="1481">
        <f>IFERROR(SUM(F40:J40), 0)</f>
        <v>0</v>
      </c>
      <c r="L40" s="1539"/>
      <c r="M40" s="1544"/>
      <c r="N40" s="1544"/>
      <c r="O40" s="1544"/>
      <c r="P40" s="1544"/>
      <c r="Q40" s="1541"/>
      <c r="R40" s="1544"/>
      <c r="S40" s="1544"/>
      <c r="T40" s="1555"/>
      <c r="U40" s="197"/>
      <c r="V40" s="966" t="s">
        <v>7301</v>
      </c>
      <c r="W40" s="197"/>
      <c r="X40" s="258"/>
      <c r="Y40" s="197"/>
      <c r="Z40" s="2576"/>
      <c r="AA40" s="251">
        <f t="shared" si="56"/>
        <v>0</v>
      </c>
      <c r="AB40" s="2578"/>
      <c r="AC40" s="252">
        <f t="shared" ref="AC40:AC41" si="92" xml:space="preserve"> IF( ISNUMBER(F40), 0, 1 )</f>
        <v>0</v>
      </c>
      <c r="AD40" s="252">
        <f t="shared" ref="AD40:AD41" si="93" xml:space="preserve"> IF( ISNUMBER(G40), 0, 1 )</f>
        <v>0</v>
      </c>
      <c r="AE40" s="252">
        <f t="shared" ref="AE40:AE41" si="94" xml:space="preserve"> IF( ISNUMBER(H40), 0, 1 )</f>
        <v>0</v>
      </c>
      <c r="AF40" s="252">
        <f t="shared" ref="AF40:AF41" si="95" xml:space="preserve"> IF( ISNUMBER(I40), 0, 1 )</f>
        <v>0</v>
      </c>
      <c r="AG40" s="252">
        <f t="shared" ref="AG40:AG41" si="96" xml:space="preserve"> IF( ISNUMBER(J40), 0, 1 )</f>
        <v>0</v>
      </c>
      <c r="AH40" s="237"/>
      <c r="AI40" s="237"/>
      <c r="AJ40" s="237"/>
      <c r="AK40" s="237"/>
      <c r="AL40" s="237"/>
      <c r="AM40" s="237"/>
      <c r="AN40" s="237"/>
      <c r="AO40" s="237"/>
      <c r="AP40" s="237"/>
      <c r="AQ40" s="237"/>
      <c r="AR40" s="2578"/>
      <c r="AS40" s="2562"/>
      <c r="AT40" s="962" t="s">
        <v>16</v>
      </c>
      <c r="AU40" s="318" t="s">
        <v>1692</v>
      </c>
      <c r="AV40" s="601" t="s">
        <v>7302</v>
      </c>
      <c r="AW40" s="601" t="s">
        <v>7303</v>
      </c>
      <c r="AX40" s="601" t="s">
        <v>7304</v>
      </c>
      <c r="AY40" s="601" t="s">
        <v>7305</v>
      </c>
      <c r="AZ40" s="601" t="s">
        <v>7306</v>
      </c>
      <c r="BA40" s="581" t="s">
        <v>7307</v>
      </c>
      <c r="BB40" s="969"/>
      <c r="BC40" s="974"/>
      <c r="BD40" s="974"/>
      <c r="BE40" s="974"/>
      <c r="BF40" s="974"/>
      <c r="BG40" s="971"/>
      <c r="BH40" s="974"/>
      <c r="BI40" s="974"/>
      <c r="BJ40" s="985"/>
    </row>
    <row r="41" spans="1:62" ht="15.75" customHeight="1">
      <c r="A41" s="197"/>
      <c r="B41" s="962" t="s">
        <v>16</v>
      </c>
      <c r="C41" s="318" t="s">
        <v>1693</v>
      </c>
      <c r="D41" s="253" t="s">
        <v>137</v>
      </c>
      <c r="E41" s="253">
        <v>3</v>
      </c>
      <c r="F41" s="601">
        <v>0</v>
      </c>
      <c r="G41" s="601">
        <v>0</v>
      </c>
      <c r="H41" s="601">
        <v>0</v>
      </c>
      <c r="I41" s="601">
        <v>0</v>
      </c>
      <c r="J41" s="601">
        <v>0</v>
      </c>
      <c r="K41" s="1481">
        <f t="shared" si="62"/>
        <v>0</v>
      </c>
      <c r="L41" s="1539"/>
      <c r="M41" s="1544"/>
      <c r="N41" s="1544"/>
      <c r="O41" s="1544"/>
      <c r="P41" s="1544"/>
      <c r="Q41" s="1541"/>
      <c r="R41" s="1544"/>
      <c r="S41" s="1544"/>
      <c r="T41" s="1555"/>
      <c r="U41" s="197"/>
      <c r="V41" s="966" t="s">
        <v>7308</v>
      </c>
      <c r="W41" s="197"/>
      <c r="X41" s="258"/>
      <c r="Y41" s="197"/>
      <c r="Z41" s="2576"/>
      <c r="AA41" s="251">
        <f t="shared" si="56"/>
        <v>0</v>
      </c>
      <c r="AB41" s="2578"/>
      <c r="AC41" s="252">
        <f t="shared" si="92"/>
        <v>0</v>
      </c>
      <c r="AD41" s="252">
        <f t="shared" si="93"/>
        <v>0</v>
      </c>
      <c r="AE41" s="252">
        <f t="shared" si="94"/>
        <v>0</v>
      </c>
      <c r="AF41" s="252">
        <f t="shared" si="95"/>
        <v>0</v>
      </c>
      <c r="AG41" s="252">
        <f t="shared" si="96"/>
        <v>0</v>
      </c>
      <c r="AH41" s="237"/>
      <c r="AI41" s="237"/>
      <c r="AJ41" s="237"/>
      <c r="AK41" s="237"/>
      <c r="AL41" s="237"/>
      <c r="AM41" s="237"/>
      <c r="AN41" s="237"/>
      <c r="AO41" s="237"/>
      <c r="AP41" s="237"/>
      <c r="AQ41" s="237"/>
      <c r="AR41" s="2578"/>
      <c r="AS41" s="2562"/>
      <c r="AT41" s="962" t="s">
        <v>16</v>
      </c>
      <c r="AU41" s="318" t="s">
        <v>1693</v>
      </c>
      <c r="AV41" s="601" t="s">
        <v>7309</v>
      </c>
      <c r="AW41" s="601" t="s">
        <v>7310</v>
      </c>
      <c r="AX41" s="601" t="s">
        <v>7311</v>
      </c>
      <c r="AY41" s="601" t="s">
        <v>7312</v>
      </c>
      <c r="AZ41" s="601" t="s">
        <v>7313</v>
      </c>
      <c r="BA41" s="581" t="s">
        <v>7314</v>
      </c>
      <c r="BB41" s="969"/>
      <c r="BC41" s="974"/>
      <c r="BD41" s="974"/>
      <c r="BE41" s="974"/>
      <c r="BF41" s="974"/>
      <c r="BG41" s="971"/>
      <c r="BH41" s="974"/>
      <c r="BI41" s="974"/>
      <c r="BJ41" s="985"/>
    </row>
    <row r="42" spans="1:62" ht="15.75" customHeight="1">
      <c r="A42" s="197"/>
      <c r="B42" s="962" t="s">
        <v>16</v>
      </c>
      <c r="C42" s="318" t="s">
        <v>1694</v>
      </c>
      <c r="D42" s="253" t="s">
        <v>137</v>
      </c>
      <c r="E42" s="253">
        <v>3</v>
      </c>
      <c r="F42" s="1481">
        <f>IFERROR(SUM(F40:F41), 0)</f>
        <v>0</v>
      </c>
      <c r="G42" s="1481">
        <f>IFERROR(SUM(G40:G41), 0)</f>
        <v>0</v>
      </c>
      <c r="H42" s="1481">
        <f>IFERROR(SUM(H40:H41), 0)</f>
        <v>0</v>
      </c>
      <c r="I42" s="1481">
        <f>IFERROR(SUM(I40:I41), 0)</f>
        <v>0</v>
      </c>
      <c r="J42" s="1481">
        <f>IFERROR(SUM(J40:J41), 0)</f>
        <v>0</v>
      </c>
      <c r="K42" s="1481">
        <f>IFERROR(SUM(F42:J42), 0)</f>
        <v>0</v>
      </c>
      <c r="L42" s="1539"/>
      <c r="M42" s="1544"/>
      <c r="N42" s="1544"/>
      <c r="O42" s="1544"/>
      <c r="P42" s="1544"/>
      <c r="Q42" s="1544"/>
      <c r="R42" s="601">
        <v>0</v>
      </c>
      <c r="S42" s="601">
        <v>0</v>
      </c>
      <c r="T42" s="602">
        <v>0</v>
      </c>
      <c r="U42" s="197"/>
      <c r="V42" s="966" t="s">
        <v>7315</v>
      </c>
      <c r="W42" s="197"/>
      <c r="X42" s="258"/>
      <c r="Y42" s="197"/>
      <c r="Z42" s="2576"/>
      <c r="AA42" s="251">
        <f t="shared" si="56"/>
        <v>0</v>
      </c>
      <c r="AB42" s="725"/>
      <c r="AC42" s="237"/>
      <c r="AD42" s="237"/>
      <c r="AE42" s="237"/>
      <c r="AF42" s="237"/>
      <c r="AG42" s="237"/>
      <c r="AH42" s="237"/>
      <c r="AI42" s="237"/>
      <c r="AJ42" s="237"/>
      <c r="AK42" s="237"/>
      <c r="AL42" s="237"/>
      <c r="AM42" s="237"/>
      <c r="AN42" s="237"/>
      <c r="AO42" s="252">
        <f t="shared" ref="AO42" si="97" xml:space="preserve"> IF( ISNUMBER(R42), 0, 1 )</f>
        <v>0</v>
      </c>
      <c r="AP42" s="252">
        <f t="shared" ref="AP42" si="98" xml:space="preserve"> IF( ISNUMBER(S42), 0, 1 )</f>
        <v>0</v>
      </c>
      <c r="AQ42" s="252">
        <f t="shared" ref="AQ42" si="99" xml:space="preserve"> IF( ISNUMBER(T42), 0, 1 )</f>
        <v>0</v>
      </c>
      <c r="AR42" s="2578"/>
      <c r="AS42" s="2562"/>
      <c r="AT42" s="962" t="s">
        <v>16</v>
      </c>
      <c r="AU42" s="318" t="s">
        <v>1694</v>
      </c>
      <c r="AV42" s="581" t="s">
        <v>7316</v>
      </c>
      <c r="AW42" s="581" t="s">
        <v>7317</v>
      </c>
      <c r="AX42" s="581" t="s">
        <v>7318</v>
      </c>
      <c r="AY42" s="581" t="s">
        <v>7319</v>
      </c>
      <c r="AZ42" s="581" t="s">
        <v>7320</v>
      </c>
      <c r="BA42" s="581" t="s">
        <v>7321</v>
      </c>
      <c r="BB42" s="969"/>
      <c r="BC42" s="974"/>
      <c r="BD42" s="974"/>
      <c r="BE42" s="974"/>
      <c r="BF42" s="974"/>
      <c r="BG42" s="974"/>
      <c r="BH42" s="967" t="s">
        <v>7322</v>
      </c>
      <c r="BI42" s="967" t="s">
        <v>7323</v>
      </c>
      <c r="BJ42" s="968" t="s">
        <v>7324</v>
      </c>
    </row>
    <row r="43" spans="1:62" ht="32.25" customHeight="1">
      <c r="A43" s="197"/>
      <c r="B43" s="962" t="s">
        <v>7325</v>
      </c>
      <c r="C43" s="318" t="s">
        <v>1692</v>
      </c>
      <c r="D43" s="253" t="s">
        <v>137</v>
      </c>
      <c r="E43" s="253">
        <v>3</v>
      </c>
      <c r="F43" s="601">
        <v>0</v>
      </c>
      <c r="G43" s="601">
        <v>0</v>
      </c>
      <c r="H43" s="601">
        <v>0</v>
      </c>
      <c r="I43" s="601">
        <v>0</v>
      </c>
      <c r="J43" s="601">
        <v>0</v>
      </c>
      <c r="K43" s="1481">
        <f t="shared" si="62"/>
        <v>0</v>
      </c>
      <c r="L43" s="1539"/>
      <c r="M43" s="1544"/>
      <c r="N43" s="1544"/>
      <c r="O43" s="1544"/>
      <c r="P43" s="1544"/>
      <c r="Q43" s="1544"/>
      <c r="R43" s="1544"/>
      <c r="S43" s="1544"/>
      <c r="T43" s="1556"/>
      <c r="U43" s="197"/>
      <c r="V43" s="966" t="s">
        <v>7326</v>
      </c>
      <c r="W43" s="197"/>
      <c r="X43" s="258"/>
      <c r="Y43" s="197"/>
      <c r="Z43" s="2576"/>
      <c r="AA43" s="251">
        <f t="shared" si="56"/>
        <v>0</v>
      </c>
      <c r="AB43" s="2578"/>
      <c r="AC43" s="252">
        <f t="shared" ref="AC43:AC44" si="100" xml:space="preserve"> IF( ISNUMBER(F43), 0, 1 )</f>
        <v>0</v>
      </c>
      <c r="AD43" s="252">
        <f t="shared" ref="AD43:AD44" si="101" xml:space="preserve"> IF( ISNUMBER(G43), 0, 1 )</f>
        <v>0</v>
      </c>
      <c r="AE43" s="252">
        <f t="shared" ref="AE43:AE44" si="102" xml:space="preserve"> IF( ISNUMBER(H43), 0, 1 )</f>
        <v>0</v>
      </c>
      <c r="AF43" s="252">
        <f t="shared" ref="AF43:AF44" si="103" xml:space="preserve"> IF( ISNUMBER(I43), 0, 1 )</f>
        <v>0</v>
      </c>
      <c r="AG43" s="252">
        <f t="shared" ref="AG43:AG44" si="104" xml:space="preserve"> IF( ISNUMBER(J43), 0, 1 )</f>
        <v>0</v>
      </c>
      <c r="AH43" s="237"/>
      <c r="AI43" s="237"/>
      <c r="AJ43" s="237"/>
      <c r="AK43" s="237"/>
      <c r="AL43" s="237"/>
      <c r="AM43" s="237"/>
      <c r="AN43" s="237"/>
      <c r="AO43" s="237"/>
      <c r="AP43" s="237"/>
      <c r="AQ43" s="237"/>
      <c r="AR43" s="2578"/>
      <c r="AS43" s="2562"/>
      <c r="AT43" s="962" t="s">
        <v>7325</v>
      </c>
      <c r="AU43" s="318" t="s">
        <v>1692</v>
      </c>
      <c r="AV43" s="601" t="s">
        <v>7327</v>
      </c>
      <c r="AW43" s="601" t="s">
        <v>7328</v>
      </c>
      <c r="AX43" s="601" t="s">
        <v>7329</v>
      </c>
      <c r="AY43" s="601" t="s">
        <v>7330</v>
      </c>
      <c r="AZ43" s="601" t="s">
        <v>7331</v>
      </c>
      <c r="BA43" s="581" t="s">
        <v>7332</v>
      </c>
      <c r="BB43" s="969"/>
      <c r="BC43" s="974"/>
      <c r="BD43" s="974"/>
      <c r="BE43" s="974"/>
      <c r="BF43" s="974"/>
      <c r="BG43" s="974"/>
      <c r="BH43" s="974"/>
      <c r="BI43" s="974"/>
      <c r="BJ43" s="986"/>
    </row>
    <row r="44" spans="1:62" ht="32.25" customHeight="1">
      <c r="A44" s="197"/>
      <c r="B44" s="962" t="s">
        <v>7325</v>
      </c>
      <c r="C44" s="318" t="s">
        <v>1693</v>
      </c>
      <c r="D44" s="253" t="s">
        <v>137</v>
      </c>
      <c r="E44" s="253">
        <v>3</v>
      </c>
      <c r="F44" s="601">
        <v>0</v>
      </c>
      <c r="G44" s="601">
        <v>0</v>
      </c>
      <c r="H44" s="601">
        <v>0</v>
      </c>
      <c r="I44" s="601">
        <v>0</v>
      </c>
      <c r="J44" s="601">
        <v>0</v>
      </c>
      <c r="K44" s="1481">
        <f>IFERROR(SUM(F44:J44), 0)</f>
        <v>0</v>
      </c>
      <c r="L44" s="1539"/>
      <c r="M44" s="1544"/>
      <c r="N44" s="1544"/>
      <c r="O44" s="1544"/>
      <c r="P44" s="1544"/>
      <c r="Q44" s="1544"/>
      <c r="R44" s="1544"/>
      <c r="S44" s="1544"/>
      <c r="T44" s="1556"/>
      <c r="U44" s="197"/>
      <c r="V44" s="966" t="s">
        <v>7333</v>
      </c>
      <c r="W44" s="197"/>
      <c r="X44" s="258"/>
      <c r="Y44" s="197"/>
      <c r="Z44" s="2576"/>
      <c r="AA44" s="251">
        <f t="shared" si="56"/>
        <v>0</v>
      </c>
      <c r="AB44" s="2578"/>
      <c r="AC44" s="252">
        <f t="shared" si="100"/>
        <v>0</v>
      </c>
      <c r="AD44" s="252">
        <f t="shared" si="101"/>
        <v>0</v>
      </c>
      <c r="AE44" s="252">
        <f t="shared" si="102"/>
        <v>0</v>
      </c>
      <c r="AF44" s="252">
        <f t="shared" si="103"/>
        <v>0</v>
      </c>
      <c r="AG44" s="252">
        <f t="shared" si="104"/>
        <v>0</v>
      </c>
      <c r="AH44" s="237"/>
      <c r="AI44" s="237"/>
      <c r="AJ44" s="237"/>
      <c r="AK44" s="237"/>
      <c r="AL44" s="237"/>
      <c r="AM44" s="237"/>
      <c r="AN44" s="237"/>
      <c r="AO44" s="237"/>
      <c r="AP44" s="237"/>
      <c r="AQ44" s="237"/>
      <c r="AR44" s="2578"/>
      <c r="AS44" s="2562"/>
      <c r="AT44" s="962" t="s">
        <v>7325</v>
      </c>
      <c r="AU44" s="318" t="s">
        <v>1693</v>
      </c>
      <c r="AV44" s="601" t="s">
        <v>7334</v>
      </c>
      <c r="AW44" s="601" t="s">
        <v>7335</v>
      </c>
      <c r="AX44" s="601" t="s">
        <v>7336</v>
      </c>
      <c r="AY44" s="601" t="s">
        <v>7337</v>
      </c>
      <c r="AZ44" s="601" t="s">
        <v>7338</v>
      </c>
      <c r="BA44" s="581" t="s">
        <v>7339</v>
      </c>
      <c r="BB44" s="969"/>
      <c r="BC44" s="974"/>
      <c r="BD44" s="974"/>
      <c r="BE44" s="974"/>
      <c r="BF44" s="974"/>
      <c r="BG44" s="974"/>
      <c r="BH44" s="974"/>
      <c r="BI44" s="974"/>
      <c r="BJ44" s="986"/>
    </row>
    <row r="45" spans="1:62" ht="32.25" customHeight="1">
      <c r="A45" s="197"/>
      <c r="B45" s="962" t="s">
        <v>7325</v>
      </c>
      <c r="C45" s="318" t="s">
        <v>1694</v>
      </c>
      <c r="D45" s="253" t="s">
        <v>137</v>
      </c>
      <c r="E45" s="253">
        <v>3</v>
      </c>
      <c r="F45" s="1481">
        <f>IFERROR(SUM(F43:F44), 0)</f>
        <v>0</v>
      </c>
      <c r="G45" s="1481">
        <f t="shared" ref="G45:J45" si="105">IFERROR(SUM(G43:G44), 0)</f>
        <v>0</v>
      </c>
      <c r="H45" s="1481">
        <f t="shared" si="105"/>
        <v>0</v>
      </c>
      <c r="I45" s="1481">
        <f t="shared" si="105"/>
        <v>0</v>
      </c>
      <c r="J45" s="1481">
        <f t="shared" si="105"/>
        <v>0</v>
      </c>
      <c r="K45" s="1481">
        <f t="shared" si="62"/>
        <v>0</v>
      </c>
      <c r="L45" s="1539"/>
      <c r="M45" s="1544"/>
      <c r="N45" s="1544"/>
      <c r="O45" s="1544"/>
      <c r="P45" s="1544"/>
      <c r="Q45" s="1544"/>
      <c r="R45" s="601">
        <v>0</v>
      </c>
      <c r="S45" s="601">
        <v>0</v>
      </c>
      <c r="T45" s="602">
        <v>0</v>
      </c>
      <c r="U45" s="197"/>
      <c r="V45" s="966" t="s">
        <v>7340</v>
      </c>
      <c r="W45" s="197"/>
      <c r="X45" s="258"/>
      <c r="Y45" s="197"/>
      <c r="Z45" s="2576"/>
      <c r="AA45" s="251">
        <f t="shared" si="56"/>
        <v>0</v>
      </c>
      <c r="AB45" s="725"/>
      <c r="AC45" s="237"/>
      <c r="AD45" s="237"/>
      <c r="AE45" s="237"/>
      <c r="AF45" s="237"/>
      <c r="AG45" s="237"/>
      <c r="AH45" s="237"/>
      <c r="AI45" s="237"/>
      <c r="AJ45" s="237"/>
      <c r="AK45" s="237"/>
      <c r="AL45" s="237"/>
      <c r="AM45" s="237"/>
      <c r="AN45" s="237"/>
      <c r="AO45" s="252">
        <f t="shared" ref="AO45" si="106" xml:space="preserve"> IF( ISNUMBER(R45), 0, 1 )</f>
        <v>0</v>
      </c>
      <c r="AP45" s="252">
        <f t="shared" ref="AP45" si="107" xml:space="preserve"> IF( ISNUMBER(S45), 0, 1 )</f>
        <v>0</v>
      </c>
      <c r="AQ45" s="252">
        <f t="shared" ref="AQ45" si="108" xml:space="preserve"> IF( ISNUMBER(T45), 0, 1 )</f>
        <v>0</v>
      </c>
      <c r="AR45" s="2578"/>
      <c r="AS45" s="2562"/>
      <c r="AT45" s="962" t="s">
        <v>7325</v>
      </c>
      <c r="AU45" s="318" t="s">
        <v>1694</v>
      </c>
      <c r="AV45" s="581" t="s">
        <v>7341</v>
      </c>
      <c r="AW45" s="581" t="s">
        <v>7342</v>
      </c>
      <c r="AX45" s="581" t="s">
        <v>7343</v>
      </c>
      <c r="AY45" s="581" t="s">
        <v>7344</v>
      </c>
      <c r="AZ45" s="581" t="s">
        <v>7345</v>
      </c>
      <c r="BA45" s="581" t="s">
        <v>7346</v>
      </c>
      <c r="BB45" s="969"/>
      <c r="BC45" s="974"/>
      <c r="BD45" s="974"/>
      <c r="BE45" s="974"/>
      <c r="BF45" s="974"/>
      <c r="BG45" s="974"/>
      <c r="BH45" s="967" t="s">
        <v>7347</v>
      </c>
      <c r="BI45" s="967" t="s">
        <v>7348</v>
      </c>
      <c r="BJ45" s="968" t="s">
        <v>7349</v>
      </c>
    </row>
    <row r="46" spans="1:62" ht="15.75" customHeight="1">
      <c r="A46" s="197"/>
      <c r="B46" s="962" t="s">
        <v>7350</v>
      </c>
      <c r="C46" s="318" t="s">
        <v>1692</v>
      </c>
      <c r="D46" s="253" t="s">
        <v>137</v>
      </c>
      <c r="E46" s="253">
        <v>3</v>
      </c>
      <c r="F46" s="601">
        <v>0</v>
      </c>
      <c r="G46" s="601">
        <v>0</v>
      </c>
      <c r="H46" s="601">
        <v>0</v>
      </c>
      <c r="I46" s="601">
        <v>0</v>
      </c>
      <c r="J46" s="601">
        <v>0</v>
      </c>
      <c r="K46" s="1481">
        <f t="shared" si="62"/>
        <v>0</v>
      </c>
      <c r="L46" s="1539"/>
      <c r="M46" s="1544"/>
      <c r="N46" s="1544"/>
      <c r="O46" s="1544"/>
      <c r="P46" s="1544"/>
      <c r="Q46" s="1544"/>
      <c r="R46" s="1544"/>
      <c r="S46" s="1544"/>
      <c r="T46" s="1556"/>
      <c r="U46" s="197"/>
      <c r="V46" s="966" t="s">
        <v>7351</v>
      </c>
      <c r="W46" s="197"/>
      <c r="X46" s="258"/>
      <c r="Y46" s="197"/>
      <c r="Z46" s="2576"/>
      <c r="AA46" s="251">
        <f t="shared" si="56"/>
        <v>0</v>
      </c>
      <c r="AB46" s="2578"/>
      <c r="AC46" s="252">
        <f t="shared" ref="AC46:AC47" si="109" xml:space="preserve"> IF( ISNUMBER(F46), 0, 1 )</f>
        <v>0</v>
      </c>
      <c r="AD46" s="252">
        <f t="shared" ref="AD46:AD47" si="110" xml:space="preserve"> IF( ISNUMBER(G46), 0, 1 )</f>
        <v>0</v>
      </c>
      <c r="AE46" s="252">
        <f t="shared" ref="AE46:AE47" si="111" xml:space="preserve"> IF( ISNUMBER(H46), 0, 1 )</f>
        <v>0</v>
      </c>
      <c r="AF46" s="252">
        <f t="shared" ref="AF46:AF47" si="112" xml:space="preserve"> IF( ISNUMBER(I46), 0, 1 )</f>
        <v>0</v>
      </c>
      <c r="AG46" s="252">
        <f t="shared" ref="AG46:AG47" si="113" xml:space="preserve"> IF( ISNUMBER(J46), 0, 1 )</f>
        <v>0</v>
      </c>
      <c r="AH46" s="237"/>
      <c r="AI46" s="237"/>
      <c r="AJ46" s="237"/>
      <c r="AK46" s="237"/>
      <c r="AL46" s="237"/>
      <c r="AM46" s="237"/>
      <c r="AN46" s="237"/>
      <c r="AO46" s="237"/>
      <c r="AP46" s="237"/>
      <c r="AQ46" s="237"/>
      <c r="AR46" s="2578"/>
      <c r="AS46" s="2562"/>
      <c r="AT46" s="962" t="s">
        <v>7350</v>
      </c>
      <c r="AU46" s="318" t="s">
        <v>1692</v>
      </c>
      <c r="AV46" s="601" t="s">
        <v>7352</v>
      </c>
      <c r="AW46" s="601" t="s">
        <v>7353</v>
      </c>
      <c r="AX46" s="601" t="s">
        <v>7354</v>
      </c>
      <c r="AY46" s="601" t="s">
        <v>7355</v>
      </c>
      <c r="AZ46" s="601" t="s">
        <v>7356</v>
      </c>
      <c r="BA46" s="581" t="s">
        <v>7357</v>
      </c>
      <c r="BB46" s="969"/>
      <c r="BC46" s="974"/>
      <c r="BD46" s="974"/>
      <c r="BE46" s="974"/>
      <c r="BF46" s="974"/>
      <c r="BG46" s="974"/>
      <c r="BH46" s="974"/>
      <c r="BI46" s="974"/>
      <c r="BJ46" s="986"/>
    </row>
    <row r="47" spans="1:62" ht="15.75" customHeight="1">
      <c r="A47" s="197"/>
      <c r="B47" s="962" t="s">
        <v>7350</v>
      </c>
      <c r="C47" s="318" t="s">
        <v>1693</v>
      </c>
      <c r="D47" s="253" t="s">
        <v>137</v>
      </c>
      <c r="E47" s="253">
        <v>3</v>
      </c>
      <c r="F47" s="601">
        <v>0</v>
      </c>
      <c r="G47" s="601">
        <v>0</v>
      </c>
      <c r="H47" s="601">
        <v>0</v>
      </c>
      <c r="I47" s="601">
        <v>0</v>
      </c>
      <c r="J47" s="601">
        <v>0</v>
      </c>
      <c r="K47" s="1481">
        <f t="shared" si="62"/>
        <v>0</v>
      </c>
      <c r="L47" s="1539"/>
      <c r="M47" s="1544"/>
      <c r="N47" s="1544"/>
      <c r="O47" s="1544"/>
      <c r="P47" s="1544"/>
      <c r="Q47" s="1544"/>
      <c r="R47" s="1544"/>
      <c r="S47" s="1544"/>
      <c r="T47" s="1556"/>
      <c r="U47" s="197"/>
      <c r="V47" s="966" t="s">
        <v>7358</v>
      </c>
      <c r="W47" s="197"/>
      <c r="X47" s="258"/>
      <c r="Y47" s="197"/>
      <c r="Z47" s="2576"/>
      <c r="AA47" s="251">
        <f t="shared" si="56"/>
        <v>0</v>
      </c>
      <c r="AB47" s="2578"/>
      <c r="AC47" s="252">
        <f t="shared" si="109"/>
        <v>0</v>
      </c>
      <c r="AD47" s="252">
        <f t="shared" si="110"/>
        <v>0</v>
      </c>
      <c r="AE47" s="252">
        <f t="shared" si="111"/>
        <v>0</v>
      </c>
      <c r="AF47" s="252">
        <f t="shared" si="112"/>
        <v>0</v>
      </c>
      <c r="AG47" s="252">
        <f t="shared" si="113"/>
        <v>0</v>
      </c>
      <c r="AH47" s="237"/>
      <c r="AI47" s="237"/>
      <c r="AJ47" s="237"/>
      <c r="AK47" s="237"/>
      <c r="AL47" s="237"/>
      <c r="AM47" s="237"/>
      <c r="AN47" s="237"/>
      <c r="AO47" s="237"/>
      <c r="AP47" s="237"/>
      <c r="AQ47" s="237"/>
      <c r="AR47" s="2578"/>
      <c r="AS47" s="2562"/>
      <c r="AT47" s="962" t="s">
        <v>7350</v>
      </c>
      <c r="AU47" s="318" t="s">
        <v>1693</v>
      </c>
      <c r="AV47" s="601" t="s">
        <v>7359</v>
      </c>
      <c r="AW47" s="601" t="s">
        <v>7360</v>
      </c>
      <c r="AX47" s="601" t="s">
        <v>7361</v>
      </c>
      <c r="AY47" s="601" t="s">
        <v>7362</v>
      </c>
      <c r="AZ47" s="601" t="s">
        <v>7363</v>
      </c>
      <c r="BA47" s="581" t="s">
        <v>7364</v>
      </c>
      <c r="BB47" s="969"/>
      <c r="BC47" s="974"/>
      <c r="BD47" s="974"/>
      <c r="BE47" s="974"/>
      <c r="BF47" s="974"/>
      <c r="BG47" s="974"/>
      <c r="BH47" s="974"/>
      <c r="BI47" s="974"/>
      <c r="BJ47" s="986"/>
    </row>
    <row r="48" spans="1:62" ht="15.75" customHeight="1">
      <c r="A48" s="197"/>
      <c r="B48" s="962" t="s">
        <v>7350</v>
      </c>
      <c r="C48" s="318" t="s">
        <v>1694</v>
      </c>
      <c r="D48" s="253" t="s">
        <v>137</v>
      </c>
      <c r="E48" s="253">
        <v>3</v>
      </c>
      <c r="F48" s="1481">
        <f>IFERROR(SUM(F46:F47), 0)</f>
        <v>0</v>
      </c>
      <c r="G48" s="1481">
        <f>IFERROR(SUM(G46:G47), 0)</f>
        <v>0</v>
      </c>
      <c r="H48" s="1481">
        <f>IFERROR(SUM(H46:H47), 0)</f>
        <v>0</v>
      </c>
      <c r="I48" s="1481">
        <f>IFERROR(SUM(I46:I47), 0)</f>
        <v>0</v>
      </c>
      <c r="J48" s="1481">
        <f>IFERROR(SUM(J46:J47), 0)</f>
        <v>0</v>
      </c>
      <c r="K48" s="1481">
        <f>IFERROR(SUM(F48:J48), 0)</f>
        <v>0</v>
      </c>
      <c r="L48" s="1539"/>
      <c r="M48" s="1544"/>
      <c r="N48" s="1544"/>
      <c r="O48" s="1544"/>
      <c r="P48" s="1544"/>
      <c r="Q48" s="1544"/>
      <c r="R48" s="601">
        <v>0</v>
      </c>
      <c r="S48" s="601">
        <v>0</v>
      </c>
      <c r="T48" s="602">
        <v>0</v>
      </c>
      <c r="U48" s="197"/>
      <c r="V48" s="966" t="s">
        <v>7365</v>
      </c>
      <c r="W48" s="197"/>
      <c r="X48" s="258"/>
      <c r="Y48" s="197"/>
      <c r="Z48" s="2576"/>
      <c r="AA48" s="251">
        <f t="shared" si="56"/>
        <v>0</v>
      </c>
      <c r="AB48" s="725"/>
      <c r="AC48" s="237"/>
      <c r="AD48" s="237"/>
      <c r="AE48" s="237"/>
      <c r="AF48" s="237"/>
      <c r="AG48" s="237"/>
      <c r="AH48" s="237"/>
      <c r="AI48" s="237"/>
      <c r="AJ48" s="237"/>
      <c r="AK48" s="237"/>
      <c r="AL48" s="237"/>
      <c r="AM48" s="237"/>
      <c r="AN48" s="237"/>
      <c r="AO48" s="252">
        <f t="shared" ref="AO48" si="114" xml:space="preserve"> IF( ISNUMBER(R48), 0, 1 )</f>
        <v>0</v>
      </c>
      <c r="AP48" s="252">
        <f t="shared" ref="AP48" si="115" xml:space="preserve"> IF( ISNUMBER(S48), 0, 1 )</f>
        <v>0</v>
      </c>
      <c r="AQ48" s="252">
        <f t="shared" ref="AQ48" si="116" xml:space="preserve"> IF( ISNUMBER(T48), 0, 1 )</f>
        <v>0</v>
      </c>
      <c r="AR48" s="2578"/>
      <c r="AS48" s="2562"/>
      <c r="AT48" s="962" t="s">
        <v>7350</v>
      </c>
      <c r="AU48" s="318" t="s">
        <v>1694</v>
      </c>
      <c r="AV48" s="581" t="s">
        <v>7366</v>
      </c>
      <c r="AW48" s="581" t="s">
        <v>7367</v>
      </c>
      <c r="AX48" s="581" t="s">
        <v>7368</v>
      </c>
      <c r="AY48" s="581" t="s">
        <v>7369</v>
      </c>
      <c r="AZ48" s="581" t="s">
        <v>7370</v>
      </c>
      <c r="BA48" s="581" t="s">
        <v>7371</v>
      </c>
      <c r="BB48" s="969"/>
      <c r="BC48" s="974"/>
      <c r="BD48" s="974"/>
      <c r="BE48" s="974"/>
      <c r="BF48" s="974"/>
      <c r="BG48" s="974"/>
      <c r="BH48" s="967" t="s">
        <v>7372</v>
      </c>
      <c r="BI48" s="967" t="s">
        <v>7373</v>
      </c>
      <c r="BJ48" s="968" t="s">
        <v>7374</v>
      </c>
    </row>
    <row r="49" spans="1:62" ht="15.75" customHeight="1" thickBot="1">
      <c r="A49" s="197"/>
      <c r="B49" s="975" t="s">
        <v>7375</v>
      </c>
      <c r="C49" s="976" t="s">
        <v>1694</v>
      </c>
      <c r="D49" s="319" t="s">
        <v>137</v>
      </c>
      <c r="E49" s="319">
        <v>3</v>
      </c>
      <c r="F49" s="1473">
        <f>IFERROR(SUM(F33,F36,F39,F42,F45,F48), 0)</f>
        <v>0</v>
      </c>
      <c r="G49" s="1473">
        <f>IFERROR(SUM(G33,G36,G39,G42,G45,G48), 0)</f>
        <v>0</v>
      </c>
      <c r="H49" s="1473">
        <f>IFERROR(SUM(H33,H36,H39,H42,H45,H48), 0)</f>
        <v>0</v>
      </c>
      <c r="I49" s="1473">
        <f>IFERROR(SUM(I33,I36,I39,I42,I45,I48), 0)</f>
        <v>0</v>
      </c>
      <c r="J49" s="1473">
        <f>IFERROR(SUM(J33,J36,J39,J42,J45,J48), 0)</f>
        <v>33.929000000000002</v>
      </c>
      <c r="K49" s="1473">
        <f t="shared" si="62"/>
        <v>33.929000000000002</v>
      </c>
      <c r="L49" s="1557"/>
      <c r="M49" s="1557"/>
      <c r="N49" s="1557"/>
      <c r="O49" s="1557"/>
      <c r="P49" s="1557"/>
      <c r="Q49" s="1546"/>
      <c r="R49" s="1473">
        <f>IFERROR(SUM(R48,R45,R42,R39,R36,R33), 0)</f>
        <v>82.631</v>
      </c>
      <c r="S49" s="1473">
        <f>IFERROR(SUM(S48,S45,S42,S39,S36,S33), 0)</f>
        <v>23.015000000000001</v>
      </c>
      <c r="T49" s="1549">
        <f>IFERROR(SUM(T48,T45,T42,T39,T36,T33), 0)</f>
        <v>33.293999999999997</v>
      </c>
      <c r="U49" s="197"/>
      <c r="V49" s="980" t="s">
        <v>7376</v>
      </c>
      <c r="W49" s="197"/>
      <c r="X49" s="269"/>
      <c r="Y49" s="197"/>
      <c r="Z49" s="2576"/>
      <c r="AA49" s="2562"/>
      <c r="AB49" s="2578"/>
      <c r="AC49" s="237"/>
      <c r="AD49" s="237"/>
      <c r="AE49" s="237"/>
      <c r="AF49" s="237"/>
      <c r="AG49" s="237"/>
      <c r="AH49" s="237"/>
      <c r="AI49" s="237"/>
      <c r="AJ49" s="237"/>
      <c r="AK49" s="237"/>
      <c r="AL49" s="237"/>
      <c r="AM49" s="237"/>
      <c r="AN49" s="237"/>
      <c r="AO49" s="237"/>
      <c r="AP49" s="237"/>
      <c r="AQ49" s="237"/>
      <c r="AR49" s="2578"/>
      <c r="AS49" s="2562"/>
      <c r="AT49" s="975" t="s">
        <v>7375</v>
      </c>
      <c r="AU49" s="976" t="s">
        <v>1694</v>
      </c>
      <c r="AV49" s="583" t="s">
        <v>7377</v>
      </c>
      <c r="AW49" s="583" t="s">
        <v>7378</v>
      </c>
      <c r="AX49" s="583" t="s">
        <v>7379</v>
      </c>
      <c r="AY49" s="583" t="s">
        <v>7380</v>
      </c>
      <c r="AZ49" s="583" t="s">
        <v>7381</v>
      </c>
      <c r="BA49" s="583" t="s">
        <v>7382</v>
      </c>
      <c r="BB49" s="375"/>
      <c r="BC49" s="375"/>
      <c r="BD49" s="375"/>
      <c r="BE49" s="375"/>
      <c r="BF49" s="375"/>
      <c r="BG49" s="978"/>
      <c r="BH49" s="583" t="s">
        <v>7383</v>
      </c>
      <c r="BI49" s="583" t="s">
        <v>7384</v>
      </c>
      <c r="BJ49" s="704" t="s">
        <v>7385</v>
      </c>
    </row>
    <row r="50" spans="1:62" ht="15.75" customHeight="1" thickTop="1" thickBot="1">
      <c r="A50" s="197"/>
      <c r="B50" s="981"/>
      <c r="C50" s="197"/>
      <c r="D50" s="197"/>
      <c r="E50" s="197"/>
      <c r="F50" s="440"/>
      <c r="G50" s="440"/>
      <c r="H50" s="440"/>
      <c r="I50" s="440"/>
      <c r="J50" s="440"/>
      <c r="K50" s="440"/>
      <c r="L50" s="440"/>
      <c r="M50" s="1550"/>
      <c r="N50" s="1550"/>
      <c r="O50" s="1550"/>
      <c r="P50" s="1550"/>
      <c r="Q50" s="1551"/>
      <c r="R50" s="1550"/>
      <c r="S50" s="1550"/>
      <c r="T50" s="1551"/>
      <c r="U50" s="222"/>
      <c r="V50" s="222"/>
      <c r="W50" s="197"/>
      <c r="X50" s="197"/>
      <c r="Y50" s="197"/>
      <c r="Z50" s="2576"/>
      <c r="AA50" s="2562"/>
      <c r="AB50" s="2578"/>
      <c r="AC50" s="237"/>
      <c r="AD50" s="237"/>
      <c r="AE50" s="237"/>
      <c r="AF50" s="237"/>
      <c r="AG50" s="237"/>
      <c r="AH50" s="237"/>
      <c r="AI50" s="237"/>
      <c r="AJ50" s="237"/>
      <c r="AK50" s="237"/>
      <c r="AL50" s="237"/>
      <c r="AM50" s="237"/>
      <c r="AN50" s="237"/>
      <c r="AO50" s="237"/>
      <c r="AP50" s="237"/>
      <c r="AQ50" s="237"/>
      <c r="AR50" s="2578"/>
      <c r="AS50" s="2562"/>
      <c r="AT50" s="981"/>
      <c r="AU50" s="197"/>
      <c r="AV50" s="197"/>
      <c r="AW50" s="197"/>
      <c r="AX50" s="197"/>
      <c r="AY50" s="197"/>
      <c r="AZ50" s="197"/>
      <c r="BA50" s="197"/>
      <c r="BB50" s="197"/>
      <c r="BC50" s="200"/>
      <c r="BD50" s="200"/>
      <c r="BE50" s="200"/>
      <c r="BF50" s="200"/>
      <c r="BG50" s="982"/>
      <c r="BH50" s="200"/>
      <c r="BI50" s="200"/>
      <c r="BJ50" s="982"/>
    </row>
    <row r="51" spans="1:62" ht="15.75" customHeight="1" thickTop="1" thickBot="1">
      <c r="A51" s="197"/>
      <c r="B51" s="956" t="s">
        <v>7386</v>
      </c>
      <c r="C51" s="197"/>
      <c r="D51" s="197"/>
      <c r="E51" s="197"/>
      <c r="F51" s="440"/>
      <c r="G51" s="440"/>
      <c r="H51" s="440"/>
      <c r="I51" s="440"/>
      <c r="J51" s="440"/>
      <c r="K51" s="440"/>
      <c r="L51" s="440"/>
      <c r="M51" s="1550"/>
      <c r="N51" s="1550"/>
      <c r="O51" s="1550"/>
      <c r="P51" s="1550"/>
      <c r="Q51" s="1551"/>
      <c r="R51" s="1550"/>
      <c r="S51" s="1550"/>
      <c r="T51" s="1551"/>
      <c r="U51" s="222"/>
      <c r="V51" s="222"/>
      <c r="W51" s="197"/>
      <c r="X51" s="197"/>
      <c r="Y51" s="197"/>
      <c r="Z51" s="2576"/>
      <c r="AA51" s="2562"/>
      <c r="AB51" s="2578"/>
      <c r="AC51" s="237"/>
      <c r="AD51" s="237"/>
      <c r="AE51" s="237"/>
      <c r="AF51" s="237"/>
      <c r="AG51" s="237"/>
      <c r="AH51" s="237"/>
      <c r="AI51" s="237"/>
      <c r="AJ51" s="237"/>
      <c r="AK51" s="237"/>
      <c r="AL51" s="237"/>
      <c r="AM51" s="237"/>
      <c r="AN51" s="237"/>
      <c r="AO51" s="237"/>
      <c r="AP51" s="237"/>
      <c r="AQ51" s="237"/>
      <c r="AR51" s="2578"/>
      <c r="AS51" s="2562"/>
      <c r="AT51" s="956" t="s">
        <v>7386</v>
      </c>
      <c r="AU51" s="197"/>
      <c r="AV51" s="197"/>
      <c r="AW51" s="197"/>
      <c r="AX51" s="197"/>
      <c r="AY51" s="197"/>
      <c r="AZ51" s="197"/>
      <c r="BA51" s="197"/>
      <c r="BB51" s="197"/>
      <c r="BC51" s="200"/>
      <c r="BD51" s="200"/>
      <c r="BE51" s="200"/>
      <c r="BF51" s="200"/>
      <c r="BG51" s="982"/>
      <c r="BH51" s="200"/>
      <c r="BI51" s="200"/>
      <c r="BJ51" s="982"/>
    </row>
    <row r="52" spans="1:62" ht="15.75" customHeight="1" thickTop="1">
      <c r="A52" s="197"/>
      <c r="B52" s="957" t="s">
        <v>7387</v>
      </c>
      <c r="C52" s="958" t="s">
        <v>1692</v>
      </c>
      <c r="D52" s="244" t="s">
        <v>137</v>
      </c>
      <c r="E52" s="244">
        <v>3</v>
      </c>
      <c r="F52" s="987"/>
      <c r="G52" s="987"/>
      <c r="H52" s="987"/>
      <c r="I52" s="987"/>
      <c r="J52" s="598">
        <v>5.19</v>
      </c>
      <c r="K52" s="1479">
        <f t="shared" ref="K52:K76" si="117">SUM(J52)</f>
        <v>5.19</v>
      </c>
      <c r="L52" s="1558"/>
      <c r="M52" s="1559"/>
      <c r="N52" s="1559"/>
      <c r="O52" s="1559"/>
      <c r="P52" s="1559"/>
      <c r="Q52" s="1552"/>
      <c r="R52" s="1559"/>
      <c r="S52" s="1559"/>
      <c r="T52" s="1560"/>
      <c r="U52" s="197"/>
      <c r="V52" s="961" t="s">
        <v>7388</v>
      </c>
      <c r="W52" s="197"/>
      <c r="X52" s="250"/>
      <c r="Y52" s="197"/>
      <c r="Z52" s="2576"/>
      <c r="AA52" s="251">
        <f t="shared" ref="AA52:AA53" si="118">IF( SUM( AC52:AQ52 ) = 0, 0, $AC$9 )</f>
        <v>0</v>
      </c>
      <c r="AB52" s="2578"/>
      <c r="AC52" s="237"/>
      <c r="AD52" s="237"/>
      <c r="AE52" s="237"/>
      <c r="AF52" s="237"/>
      <c r="AG52" s="252">
        <f t="shared" ref="AG52:AG74" si="119" xml:space="preserve"> IF( ISNUMBER(J52), 0, 1 )</f>
        <v>0</v>
      </c>
      <c r="AH52" s="237"/>
      <c r="AI52" s="237"/>
      <c r="AJ52" s="237"/>
      <c r="AK52" s="237"/>
      <c r="AL52" s="237"/>
      <c r="AM52" s="237"/>
      <c r="AN52" s="237"/>
      <c r="AO52" s="237"/>
      <c r="AP52" s="237"/>
      <c r="AQ52" s="237"/>
      <c r="AR52" s="2578"/>
      <c r="AS52" s="2562"/>
      <c r="AT52" s="957" t="s">
        <v>7387</v>
      </c>
      <c r="AU52" s="958" t="s">
        <v>1692</v>
      </c>
      <c r="AV52" s="987"/>
      <c r="AW52" s="987"/>
      <c r="AX52" s="987"/>
      <c r="AY52" s="987"/>
      <c r="AZ52" s="598" t="s">
        <v>7389</v>
      </c>
      <c r="BA52" s="579" t="s">
        <v>7390</v>
      </c>
      <c r="BB52" s="988"/>
      <c r="BC52" s="989"/>
      <c r="BD52" s="989"/>
      <c r="BE52" s="989"/>
      <c r="BF52" s="989"/>
      <c r="BG52" s="983"/>
      <c r="BH52" s="989"/>
      <c r="BI52" s="989"/>
      <c r="BJ52" s="990"/>
    </row>
    <row r="53" spans="1:62" ht="15.75" customHeight="1">
      <c r="A53" s="197"/>
      <c r="B53" s="962" t="s">
        <v>7387</v>
      </c>
      <c r="C53" s="318" t="s">
        <v>1693</v>
      </c>
      <c r="D53" s="253" t="s">
        <v>137</v>
      </c>
      <c r="E53" s="253">
        <v>3</v>
      </c>
      <c r="F53" s="991"/>
      <c r="G53" s="991"/>
      <c r="H53" s="991"/>
      <c r="I53" s="991"/>
      <c r="J53" s="601">
        <v>0</v>
      </c>
      <c r="K53" s="1481">
        <f t="shared" si="117"/>
        <v>0</v>
      </c>
      <c r="L53" s="1539"/>
      <c r="M53" s="1541"/>
      <c r="N53" s="1541"/>
      <c r="O53" s="1541"/>
      <c r="P53" s="1541"/>
      <c r="Q53" s="1544"/>
      <c r="R53" s="1541"/>
      <c r="S53" s="1541"/>
      <c r="T53" s="1556"/>
      <c r="U53" s="197"/>
      <c r="V53" s="966" t="s">
        <v>7391</v>
      </c>
      <c r="W53" s="197"/>
      <c r="X53" s="258"/>
      <c r="Y53" s="197"/>
      <c r="Z53" s="2576"/>
      <c r="AA53" s="251">
        <f t="shared" si="118"/>
        <v>0</v>
      </c>
      <c r="AB53" s="2578"/>
      <c r="AC53" s="237"/>
      <c r="AD53" s="237"/>
      <c r="AE53" s="237"/>
      <c r="AF53" s="237"/>
      <c r="AG53" s="252">
        <f t="shared" si="119"/>
        <v>0</v>
      </c>
      <c r="AH53" s="237"/>
      <c r="AI53" s="237"/>
      <c r="AJ53" s="237"/>
      <c r="AK53" s="237"/>
      <c r="AL53" s="237"/>
      <c r="AM53" s="237"/>
      <c r="AN53" s="237"/>
      <c r="AO53" s="237"/>
      <c r="AP53" s="237"/>
      <c r="AQ53" s="237"/>
      <c r="AR53" s="2578"/>
      <c r="AS53" s="2562"/>
      <c r="AT53" s="962" t="s">
        <v>7387</v>
      </c>
      <c r="AU53" s="318" t="s">
        <v>1693</v>
      </c>
      <c r="AV53" s="991"/>
      <c r="AW53" s="991"/>
      <c r="AX53" s="991"/>
      <c r="AY53" s="991"/>
      <c r="AZ53" s="601" t="s">
        <v>7392</v>
      </c>
      <c r="BA53" s="581" t="s">
        <v>7393</v>
      </c>
      <c r="BB53" s="969"/>
      <c r="BC53" s="971"/>
      <c r="BD53" s="971"/>
      <c r="BE53" s="971"/>
      <c r="BF53" s="971"/>
      <c r="BG53" s="974"/>
      <c r="BH53" s="971"/>
      <c r="BI53" s="971"/>
      <c r="BJ53" s="986"/>
    </row>
    <row r="54" spans="1:62" ht="15.75" customHeight="1">
      <c r="A54" s="197"/>
      <c r="B54" s="962" t="s">
        <v>7387</v>
      </c>
      <c r="C54" s="318" t="s">
        <v>1694</v>
      </c>
      <c r="D54" s="253" t="s">
        <v>137</v>
      </c>
      <c r="E54" s="253">
        <v>3</v>
      </c>
      <c r="F54" s="1561"/>
      <c r="G54" s="1561"/>
      <c r="H54" s="1561"/>
      <c r="I54" s="1561"/>
      <c r="J54" s="1481">
        <f>IFERROR(SUM(J52:J53), 0)</f>
        <v>5.19</v>
      </c>
      <c r="K54" s="1481">
        <f t="shared" si="117"/>
        <v>5.19</v>
      </c>
      <c r="L54" s="1539"/>
      <c r="M54" s="1541"/>
      <c r="N54" s="1541"/>
      <c r="O54" s="1541"/>
      <c r="P54" s="1541"/>
      <c r="Q54" s="1544"/>
      <c r="R54" s="1544"/>
      <c r="S54" s="1544"/>
      <c r="T54" s="1556"/>
      <c r="U54" s="197"/>
      <c r="V54" s="966" t="s">
        <v>7394</v>
      </c>
      <c r="W54" s="197"/>
      <c r="X54" s="258"/>
      <c r="Y54" s="197"/>
      <c r="Z54" s="2576"/>
      <c r="AA54" s="2562"/>
      <c r="AB54" s="2578"/>
      <c r="AC54" s="237"/>
      <c r="AD54" s="237"/>
      <c r="AE54" s="237"/>
      <c r="AF54" s="237"/>
      <c r="AG54" s="237"/>
      <c r="AH54" s="237"/>
      <c r="AI54" s="237"/>
      <c r="AJ54" s="237"/>
      <c r="AK54" s="237"/>
      <c r="AL54" s="237"/>
      <c r="AM54" s="237"/>
      <c r="AN54" s="237"/>
      <c r="AO54" s="237"/>
      <c r="AP54" s="237"/>
      <c r="AQ54" s="237"/>
      <c r="AR54" s="2578"/>
      <c r="AS54" s="2562"/>
      <c r="AT54" s="962" t="s">
        <v>7387</v>
      </c>
      <c r="AU54" s="318" t="s">
        <v>1694</v>
      </c>
      <c r="AV54" s="992"/>
      <c r="AW54" s="992"/>
      <c r="AX54" s="992"/>
      <c r="AY54" s="992"/>
      <c r="AZ54" s="581" t="s">
        <v>7395</v>
      </c>
      <c r="BA54" s="581" t="s">
        <v>7396</v>
      </c>
      <c r="BB54" s="969"/>
      <c r="BC54" s="971"/>
      <c r="BD54" s="971"/>
      <c r="BE54" s="971"/>
      <c r="BF54" s="971"/>
      <c r="BG54" s="974"/>
      <c r="BH54" s="974"/>
      <c r="BI54" s="974"/>
      <c r="BJ54" s="986"/>
    </row>
    <row r="55" spans="1:62" ht="32.25" customHeight="1">
      <c r="A55" s="197"/>
      <c r="B55" s="962" t="s">
        <v>7397</v>
      </c>
      <c r="C55" s="318" t="s">
        <v>1692</v>
      </c>
      <c r="D55" s="253" t="s">
        <v>137</v>
      </c>
      <c r="E55" s="253">
        <v>3</v>
      </c>
      <c r="F55" s="991"/>
      <c r="G55" s="991"/>
      <c r="H55" s="991"/>
      <c r="I55" s="991"/>
      <c r="J55" s="601">
        <v>0</v>
      </c>
      <c r="K55" s="1481">
        <f t="shared" si="117"/>
        <v>0</v>
      </c>
      <c r="L55" s="1539"/>
      <c r="M55" s="1544"/>
      <c r="N55" s="1544"/>
      <c r="O55" s="1544"/>
      <c r="P55" s="1544"/>
      <c r="Q55" s="1544"/>
      <c r="R55" s="1544"/>
      <c r="S55" s="1544"/>
      <c r="T55" s="1556"/>
      <c r="U55" s="197"/>
      <c r="V55" s="966" t="s">
        <v>7398</v>
      </c>
      <c r="W55" s="197"/>
      <c r="X55" s="258"/>
      <c r="Y55" s="197"/>
      <c r="Z55" s="2576"/>
      <c r="AA55" s="251">
        <f t="shared" ref="AA55:AA56" si="120">IF( SUM( AC55:AQ55 ) = 0, 0, $AC$9 )</f>
        <v>0</v>
      </c>
      <c r="AB55" s="2578"/>
      <c r="AC55" s="237"/>
      <c r="AD55" s="237"/>
      <c r="AE55" s="237"/>
      <c r="AF55" s="237"/>
      <c r="AG55" s="252">
        <f t="shared" si="119"/>
        <v>0</v>
      </c>
      <c r="AH55" s="237"/>
      <c r="AI55" s="237"/>
      <c r="AJ55" s="237"/>
      <c r="AK55" s="237"/>
      <c r="AL55" s="237"/>
      <c r="AM55" s="237"/>
      <c r="AN55" s="237"/>
      <c r="AO55" s="237"/>
      <c r="AP55" s="237"/>
      <c r="AQ55" s="237"/>
      <c r="AR55" s="2578"/>
      <c r="AS55" s="2562"/>
      <c r="AT55" s="962" t="s">
        <v>7397</v>
      </c>
      <c r="AU55" s="318" t="s">
        <v>1692</v>
      </c>
      <c r="AV55" s="991"/>
      <c r="AW55" s="991"/>
      <c r="AX55" s="991"/>
      <c r="AY55" s="991"/>
      <c r="AZ55" s="601" t="s">
        <v>7399</v>
      </c>
      <c r="BA55" s="581" t="s">
        <v>7400</v>
      </c>
      <c r="BB55" s="969"/>
      <c r="BC55" s="974"/>
      <c r="BD55" s="974"/>
      <c r="BE55" s="974"/>
      <c r="BF55" s="974"/>
      <c r="BG55" s="974"/>
      <c r="BH55" s="974"/>
      <c r="BI55" s="974"/>
      <c r="BJ55" s="986"/>
    </row>
    <row r="56" spans="1:62" ht="32.25" customHeight="1">
      <c r="A56" s="197"/>
      <c r="B56" s="962" t="s">
        <v>7397</v>
      </c>
      <c r="C56" s="318" t="s">
        <v>1693</v>
      </c>
      <c r="D56" s="253" t="s">
        <v>137</v>
      </c>
      <c r="E56" s="253">
        <v>3</v>
      </c>
      <c r="F56" s="991"/>
      <c r="G56" s="991"/>
      <c r="H56" s="991"/>
      <c r="I56" s="991"/>
      <c r="J56" s="601">
        <v>0</v>
      </c>
      <c r="K56" s="1481">
        <f t="shared" si="117"/>
        <v>0</v>
      </c>
      <c r="L56" s="1539"/>
      <c r="M56" s="1544"/>
      <c r="N56" s="1544"/>
      <c r="O56" s="1544"/>
      <c r="P56" s="1544"/>
      <c r="Q56" s="1544"/>
      <c r="R56" s="1544"/>
      <c r="S56" s="1544"/>
      <c r="T56" s="1556"/>
      <c r="U56" s="197"/>
      <c r="V56" s="966" t="s">
        <v>7401</v>
      </c>
      <c r="W56" s="197"/>
      <c r="X56" s="258"/>
      <c r="Y56" s="197"/>
      <c r="Z56" s="2576"/>
      <c r="AA56" s="251">
        <f t="shared" si="120"/>
        <v>0</v>
      </c>
      <c r="AB56" s="2578"/>
      <c r="AC56" s="237"/>
      <c r="AD56" s="237"/>
      <c r="AE56" s="237"/>
      <c r="AF56" s="237"/>
      <c r="AG56" s="252">
        <f t="shared" si="119"/>
        <v>0</v>
      </c>
      <c r="AH56" s="237"/>
      <c r="AI56" s="237"/>
      <c r="AJ56" s="237"/>
      <c r="AK56" s="237"/>
      <c r="AL56" s="237"/>
      <c r="AM56" s="237"/>
      <c r="AN56" s="237"/>
      <c r="AO56" s="237"/>
      <c r="AP56" s="237"/>
      <c r="AQ56" s="237"/>
      <c r="AR56" s="2578"/>
      <c r="AS56" s="2562"/>
      <c r="AT56" s="962" t="s">
        <v>7397</v>
      </c>
      <c r="AU56" s="318" t="s">
        <v>1693</v>
      </c>
      <c r="AV56" s="991"/>
      <c r="AW56" s="991"/>
      <c r="AX56" s="991"/>
      <c r="AY56" s="991"/>
      <c r="AZ56" s="601" t="s">
        <v>7402</v>
      </c>
      <c r="BA56" s="581" t="s">
        <v>7403</v>
      </c>
      <c r="BB56" s="969"/>
      <c r="BC56" s="974"/>
      <c r="BD56" s="974"/>
      <c r="BE56" s="974"/>
      <c r="BF56" s="974"/>
      <c r="BG56" s="974"/>
      <c r="BH56" s="974"/>
      <c r="BI56" s="974"/>
      <c r="BJ56" s="986"/>
    </row>
    <row r="57" spans="1:62" ht="32.25" customHeight="1">
      <c r="A57" s="197"/>
      <c r="B57" s="962" t="s">
        <v>7397</v>
      </c>
      <c r="C57" s="318" t="s">
        <v>1694</v>
      </c>
      <c r="D57" s="253" t="s">
        <v>137</v>
      </c>
      <c r="E57" s="253">
        <v>3</v>
      </c>
      <c r="F57" s="1561"/>
      <c r="G57" s="1561"/>
      <c r="H57" s="1561"/>
      <c r="I57" s="1561"/>
      <c r="J57" s="1481">
        <f>IFERROR(SUM(J55:J56), 0)</f>
        <v>0</v>
      </c>
      <c r="K57" s="1481">
        <f t="shared" si="117"/>
        <v>0</v>
      </c>
      <c r="L57" s="1539"/>
      <c r="M57" s="1544"/>
      <c r="N57" s="1544"/>
      <c r="O57" s="1544"/>
      <c r="P57" s="1544"/>
      <c r="Q57" s="1544"/>
      <c r="R57" s="1544"/>
      <c r="S57" s="1544"/>
      <c r="T57" s="1556"/>
      <c r="U57" s="197"/>
      <c r="V57" s="966" t="s">
        <v>7404</v>
      </c>
      <c r="W57" s="197"/>
      <c r="X57" s="258"/>
      <c r="Y57" s="197"/>
      <c r="Z57" s="2576"/>
      <c r="AA57" s="2562"/>
      <c r="AB57" s="2578"/>
      <c r="AC57" s="237"/>
      <c r="AD57" s="237"/>
      <c r="AE57" s="237"/>
      <c r="AF57" s="237"/>
      <c r="AG57" s="237"/>
      <c r="AH57" s="237"/>
      <c r="AI57" s="237"/>
      <c r="AJ57" s="237"/>
      <c r="AK57" s="237"/>
      <c r="AL57" s="237"/>
      <c r="AM57" s="237"/>
      <c r="AN57" s="237"/>
      <c r="AO57" s="237"/>
      <c r="AP57" s="237"/>
      <c r="AQ57" s="237"/>
      <c r="AR57" s="2578"/>
      <c r="AS57" s="2562"/>
      <c r="AT57" s="962" t="s">
        <v>7397</v>
      </c>
      <c r="AU57" s="318" t="s">
        <v>1694</v>
      </c>
      <c r="AV57" s="992"/>
      <c r="AW57" s="992"/>
      <c r="AX57" s="992"/>
      <c r="AY57" s="992"/>
      <c r="AZ57" s="581" t="s">
        <v>7405</v>
      </c>
      <c r="BA57" s="581" t="s">
        <v>7406</v>
      </c>
      <c r="BB57" s="969"/>
      <c r="BC57" s="974"/>
      <c r="BD57" s="974"/>
      <c r="BE57" s="974"/>
      <c r="BF57" s="974"/>
      <c r="BG57" s="974"/>
      <c r="BH57" s="974"/>
      <c r="BI57" s="974"/>
      <c r="BJ57" s="986"/>
    </row>
    <row r="58" spans="1:62" ht="15.75" customHeight="1">
      <c r="A58" s="197"/>
      <c r="B58" s="962" t="s">
        <v>7407</v>
      </c>
      <c r="C58" s="318" t="s">
        <v>1692</v>
      </c>
      <c r="D58" s="253" t="s">
        <v>137</v>
      </c>
      <c r="E58" s="253">
        <v>3</v>
      </c>
      <c r="F58" s="991"/>
      <c r="G58" s="991"/>
      <c r="H58" s="991"/>
      <c r="I58" s="991"/>
      <c r="J58" s="601">
        <v>0</v>
      </c>
      <c r="K58" s="1481">
        <f t="shared" si="117"/>
        <v>0</v>
      </c>
      <c r="L58" s="1539"/>
      <c r="M58" s="1544"/>
      <c r="N58" s="1544"/>
      <c r="O58" s="1544"/>
      <c r="P58" s="1544"/>
      <c r="Q58" s="1544"/>
      <c r="R58" s="1544"/>
      <c r="S58" s="1544"/>
      <c r="T58" s="1556"/>
      <c r="U58" s="197"/>
      <c r="V58" s="966" t="s">
        <v>7408</v>
      </c>
      <c r="W58" s="197"/>
      <c r="X58" s="258"/>
      <c r="Y58" s="197"/>
      <c r="Z58" s="2576"/>
      <c r="AA58" s="251">
        <f t="shared" ref="AA58:AA59" si="121">IF( SUM( AC58:AQ58 ) = 0, 0, $AC$9 )</f>
        <v>0</v>
      </c>
      <c r="AB58" s="2578"/>
      <c r="AC58" s="237"/>
      <c r="AD58" s="237"/>
      <c r="AE58" s="237"/>
      <c r="AF58" s="237"/>
      <c r="AG58" s="252">
        <f t="shared" si="119"/>
        <v>0</v>
      </c>
      <c r="AH58" s="237"/>
      <c r="AI58" s="237"/>
      <c r="AJ58" s="237"/>
      <c r="AK58" s="237"/>
      <c r="AL58" s="237"/>
      <c r="AM58" s="237"/>
      <c r="AN58" s="237"/>
      <c r="AO58" s="237"/>
      <c r="AP58" s="237"/>
      <c r="AQ58" s="237"/>
      <c r="AR58" s="2578"/>
      <c r="AS58" s="2562"/>
      <c r="AT58" s="962" t="s">
        <v>7407</v>
      </c>
      <c r="AU58" s="318" t="s">
        <v>1692</v>
      </c>
      <c r="AV58" s="991"/>
      <c r="AW58" s="991"/>
      <c r="AX58" s="991"/>
      <c r="AY58" s="991"/>
      <c r="AZ58" s="601" t="s">
        <v>7409</v>
      </c>
      <c r="BA58" s="581" t="s">
        <v>7410</v>
      </c>
      <c r="BB58" s="969"/>
      <c r="BC58" s="974"/>
      <c r="BD58" s="974"/>
      <c r="BE58" s="974"/>
      <c r="BF58" s="974"/>
      <c r="BG58" s="974"/>
      <c r="BH58" s="974"/>
      <c r="BI58" s="974"/>
      <c r="BJ58" s="986"/>
    </row>
    <row r="59" spans="1:62" ht="15.75" customHeight="1">
      <c r="A59" s="197"/>
      <c r="B59" s="962" t="s">
        <v>7407</v>
      </c>
      <c r="C59" s="318" t="s">
        <v>1693</v>
      </c>
      <c r="D59" s="253" t="s">
        <v>137</v>
      </c>
      <c r="E59" s="253">
        <v>3</v>
      </c>
      <c r="F59" s="991"/>
      <c r="G59" s="991"/>
      <c r="H59" s="991"/>
      <c r="I59" s="991"/>
      <c r="J59" s="601">
        <v>0</v>
      </c>
      <c r="K59" s="1481">
        <f t="shared" si="117"/>
        <v>0</v>
      </c>
      <c r="L59" s="1539"/>
      <c r="M59" s="1544"/>
      <c r="N59" s="1544"/>
      <c r="O59" s="1544"/>
      <c r="P59" s="1544"/>
      <c r="Q59" s="1544"/>
      <c r="R59" s="1544"/>
      <c r="S59" s="1544"/>
      <c r="T59" s="1556"/>
      <c r="U59" s="197"/>
      <c r="V59" s="966" t="s">
        <v>7411</v>
      </c>
      <c r="W59" s="197"/>
      <c r="X59" s="258"/>
      <c r="Y59" s="197"/>
      <c r="Z59" s="2576"/>
      <c r="AA59" s="251">
        <f t="shared" si="121"/>
        <v>0</v>
      </c>
      <c r="AB59" s="2578"/>
      <c r="AC59" s="237"/>
      <c r="AD59" s="237"/>
      <c r="AE59" s="237"/>
      <c r="AF59" s="237"/>
      <c r="AG59" s="252">
        <f t="shared" si="119"/>
        <v>0</v>
      </c>
      <c r="AH59" s="237"/>
      <c r="AI59" s="237"/>
      <c r="AJ59" s="237"/>
      <c r="AK59" s="237"/>
      <c r="AL59" s="237"/>
      <c r="AM59" s="237"/>
      <c r="AN59" s="237"/>
      <c r="AO59" s="237"/>
      <c r="AP59" s="237"/>
      <c r="AQ59" s="237"/>
      <c r="AR59" s="2578"/>
      <c r="AS59" s="2562"/>
      <c r="AT59" s="962" t="s">
        <v>7407</v>
      </c>
      <c r="AU59" s="318" t="s">
        <v>1693</v>
      </c>
      <c r="AV59" s="991"/>
      <c r="AW59" s="991"/>
      <c r="AX59" s="991"/>
      <c r="AY59" s="991"/>
      <c r="AZ59" s="601" t="s">
        <v>7412</v>
      </c>
      <c r="BA59" s="581" t="s">
        <v>7413</v>
      </c>
      <c r="BB59" s="969"/>
      <c r="BC59" s="974"/>
      <c r="BD59" s="974"/>
      <c r="BE59" s="974"/>
      <c r="BF59" s="974"/>
      <c r="BG59" s="974"/>
      <c r="BH59" s="974"/>
      <c r="BI59" s="974"/>
      <c r="BJ59" s="986"/>
    </row>
    <row r="60" spans="1:62" ht="15.75" customHeight="1">
      <c r="A60" s="197"/>
      <c r="B60" s="993" t="s">
        <v>7407</v>
      </c>
      <c r="C60" s="318" t="s">
        <v>1694</v>
      </c>
      <c r="D60" s="253" t="s">
        <v>137</v>
      </c>
      <c r="E60" s="253">
        <v>3</v>
      </c>
      <c r="F60" s="1561"/>
      <c r="G60" s="1561"/>
      <c r="H60" s="1561"/>
      <c r="I60" s="1561"/>
      <c r="J60" s="1481">
        <f>IFERROR(SUM(J58:J59), 0)</f>
        <v>0</v>
      </c>
      <c r="K60" s="1481">
        <f t="shared" si="117"/>
        <v>0</v>
      </c>
      <c r="L60" s="1539"/>
      <c r="M60" s="1544"/>
      <c r="N60" s="1544"/>
      <c r="O60" s="1544"/>
      <c r="P60" s="1544"/>
      <c r="Q60" s="1544"/>
      <c r="R60" s="1544"/>
      <c r="S60" s="1544"/>
      <c r="T60" s="1556"/>
      <c r="U60" s="197"/>
      <c r="V60" s="966" t="s">
        <v>7414</v>
      </c>
      <c r="W60" s="197"/>
      <c r="X60" s="258"/>
      <c r="Y60" s="197"/>
      <c r="Z60" s="2576"/>
      <c r="AA60" s="2562"/>
      <c r="AB60" s="2578"/>
      <c r="AC60" s="237"/>
      <c r="AD60" s="237"/>
      <c r="AE60" s="237"/>
      <c r="AF60" s="237"/>
      <c r="AG60" s="237"/>
      <c r="AH60" s="237"/>
      <c r="AI60" s="237"/>
      <c r="AJ60" s="237"/>
      <c r="AK60" s="237"/>
      <c r="AL60" s="237"/>
      <c r="AM60" s="237"/>
      <c r="AN60" s="237"/>
      <c r="AO60" s="237"/>
      <c r="AP60" s="237"/>
      <c r="AQ60" s="237"/>
      <c r="AR60" s="2578"/>
      <c r="AS60" s="2562"/>
      <c r="AT60" s="993" t="s">
        <v>7407</v>
      </c>
      <c r="AU60" s="318" t="s">
        <v>1694</v>
      </c>
      <c r="AV60" s="992"/>
      <c r="AW60" s="992"/>
      <c r="AX60" s="992"/>
      <c r="AY60" s="992"/>
      <c r="AZ60" s="581" t="s">
        <v>7415</v>
      </c>
      <c r="BA60" s="581" t="s">
        <v>7416</v>
      </c>
      <c r="BB60" s="969"/>
      <c r="BC60" s="974"/>
      <c r="BD60" s="974"/>
      <c r="BE60" s="974"/>
      <c r="BF60" s="974"/>
      <c r="BG60" s="974"/>
      <c r="BH60" s="974"/>
      <c r="BI60" s="974"/>
      <c r="BJ60" s="986"/>
    </row>
    <row r="61" spans="1:62" ht="15.75" customHeight="1">
      <c r="A61" s="197"/>
      <c r="B61" s="993" t="s">
        <v>7417</v>
      </c>
      <c r="C61" s="318" t="s">
        <v>1692</v>
      </c>
      <c r="D61" s="253" t="s">
        <v>137</v>
      </c>
      <c r="E61" s="253">
        <v>3</v>
      </c>
      <c r="F61" s="1561"/>
      <c r="G61" s="1561"/>
      <c r="H61" s="1561"/>
      <c r="I61" s="1561"/>
      <c r="J61" s="601">
        <v>0</v>
      </c>
      <c r="K61" s="1481">
        <f t="shared" ref="K61:K69" si="122">SUM(J61)</f>
        <v>0</v>
      </c>
      <c r="L61" s="1539"/>
      <c r="M61" s="1544"/>
      <c r="N61" s="1544"/>
      <c r="O61" s="1544"/>
      <c r="P61" s="1544"/>
      <c r="Q61" s="1544"/>
      <c r="R61" s="1544"/>
      <c r="S61" s="1544"/>
      <c r="T61" s="1556"/>
      <c r="U61" s="197"/>
      <c r="V61" s="966" t="s">
        <v>7418</v>
      </c>
      <c r="W61" s="197"/>
      <c r="X61" s="258"/>
      <c r="Y61" s="197"/>
      <c r="Z61" s="2576"/>
      <c r="AA61" s="2562"/>
      <c r="AB61" s="2578"/>
      <c r="AC61" s="237"/>
      <c r="AD61" s="237"/>
      <c r="AE61" s="237"/>
      <c r="AF61" s="237"/>
      <c r="AG61" s="237"/>
      <c r="AH61" s="237"/>
      <c r="AI61" s="237"/>
      <c r="AJ61" s="237"/>
      <c r="AK61" s="237"/>
      <c r="AL61" s="237"/>
      <c r="AM61" s="237"/>
      <c r="AN61" s="237"/>
      <c r="AO61" s="237"/>
      <c r="AP61" s="237"/>
      <c r="AQ61" s="237"/>
      <c r="AR61" s="2578"/>
      <c r="AS61" s="2562"/>
      <c r="AT61" s="993" t="s">
        <v>7419</v>
      </c>
      <c r="AU61" s="318"/>
      <c r="AV61" s="992"/>
      <c r="AW61" s="992"/>
      <c r="AX61" s="992"/>
      <c r="AY61" s="992"/>
      <c r="AZ61" s="581" t="s">
        <v>1007</v>
      </c>
      <c r="BA61" s="581" t="s">
        <v>1008</v>
      </c>
      <c r="BB61" s="969"/>
      <c r="BC61" s="974"/>
      <c r="BD61" s="974"/>
      <c r="BE61" s="974"/>
      <c r="BF61" s="974"/>
      <c r="BG61" s="974"/>
      <c r="BH61" s="974"/>
      <c r="BI61" s="974"/>
      <c r="BJ61" s="986"/>
    </row>
    <row r="62" spans="1:62" ht="15.75" customHeight="1">
      <c r="A62" s="197"/>
      <c r="B62" s="993" t="s">
        <v>7417</v>
      </c>
      <c r="C62" s="318" t="s">
        <v>1693</v>
      </c>
      <c r="D62" s="253" t="s">
        <v>137</v>
      </c>
      <c r="E62" s="253">
        <v>3</v>
      </c>
      <c r="F62" s="1561"/>
      <c r="G62" s="1561"/>
      <c r="H62" s="1561"/>
      <c r="I62" s="1561"/>
      <c r="J62" s="601">
        <v>0</v>
      </c>
      <c r="K62" s="1481">
        <f t="shared" si="122"/>
        <v>0</v>
      </c>
      <c r="L62" s="1539"/>
      <c r="M62" s="1544"/>
      <c r="N62" s="1544"/>
      <c r="O62" s="1544"/>
      <c r="P62" s="1544"/>
      <c r="Q62" s="1544"/>
      <c r="R62" s="1544"/>
      <c r="S62" s="1544"/>
      <c r="T62" s="1556"/>
      <c r="U62" s="197"/>
      <c r="V62" s="966" t="s">
        <v>7420</v>
      </c>
      <c r="W62" s="197"/>
      <c r="X62" s="258"/>
      <c r="Y62" s="197"/>
      <c r="Z62" s="2576"/>
      <c r="AA62" s="2562"/>
      <c r="AB62" s="2578"/>
      <c r="AC62" s="237"/>
      <c r="AD62" s="237"/>
      <c r="AE62" s="237"/>
      <c r="AF62" s="237"/>
      <c r="AG62" s="237"/>
      <c r="AH62" s="237"/>
      <c r="AI62" s="237"/>
      <c r="AJ62" s="237"/>
      <c r="AK62" s="237"/>
      <c r="AL62" s="237"/>
      <c r="AM62" s="237"/>
      <c r="AN62" s="237"/>
      <c r="AO62" s="237"/>
      <c r="AP62" s="237"/>
      <c r="AQ62" s="237"/>
      <c r="AR62" s="2578"/>
      <c r="AS62" s="2562"/>
      <c r="AT62" s="993" t="s">
        <v>7419</v>
      </c>
      <c r="AU62" s="318"/>
      <c r="AV62" s="992"/>
      <c r="AW62" s="992"/>
      <c r="AX62" s="992"/>
      <c r="AY62" s="992"/>
      <c r="AZ62" s="581" t="s">
        <v>1013</v>
      </c>
      <c r="BA62" s="581" t="s">
        <v>1014</v>
      </c>
      <c r="BB62" s="969"/>
      <c r="BC62" s="974"/>
      <c r="BD62" s="974"/>
      <c r="BE62" s="974"/>
      <c r="BF62" s="974"/>
      <c r="BG62" s="974"/>
      <c r="BH62" s="974"/>
      <c r="BI62" s="974"/>
      <c r="BJ62" s="986"/>
    </row>
    <row r="63" spans="1:62" ht="15.75" customHeight="1">
      <c r="A63" s="197"/>
      <c r="B63" s="993" t="s">
        <v>7417</v>
      </c>
      <c r="C63" s="318" t="s">
        <v>1694</v>
      </c>
      <c r="D63" s="253" t="s">
        <v>137</v>
      </c>
      <c r="E63" s="253">
        <v>3</v>
      </c>
      <c r="F63" s="1561"/>
      <c r="G63" s="1561"/>
      <c r="H63" s="1561"/>
      <c r="I63" s="1561"/>
      <c r="J63" s="1481">
        <f>IFERROR(SUM(J61:J62), 0)</f>
        <v>0</v>
      </c>
      <c r="K63" s="1481">
        <f t="shared" si="122"/>
        <v>0</v>
      </c>
      <c r="L63" s="1539"/>
      <c r="M63" s="1544"/>
      <c r="N63" s="1544"/>
      <c r="O63" s="1544"/>
      <c r="P63" s="1544"/>
      <c r="Q63" s="1544"/>
      <c r="R63" s="1544"/>
      <c r="S63" s="1544"/>
      <c r="T63" s="1556"/>
      <c r="U63" s="197"/>
      <c r="V63" s="966" t="s">
        <v>7421</v>
      </c>
      <c r="W63" s="197"/>
      <c r="X63" s="258"/>
      <c r="Y63" s="197"/>
      <c r="Z63" s="2576"/>
      <c r="AA63" s="2562"/>
      <c r="AB63" s="2578"/>
      <c r="AC63" s="237"/>
      <c r="AD63" s="237"/>
      <c r="AE63" s="237"/>
      <c r="AF63" s="237"/>
      <c r="AG63" s="237"/>
      <c r="AH63" s="237"/>
      <c r="AI63" s="237"/>
      <c r="AJ63" s="237"/>
      <c r="AK63" s="237"/>
      <c r="AL63" s="237"/>
      <c r="AM63" s="237"/>
      <c r="AN63" s="237"/>
      <c r="AO63" s="237"/>
      <c r="AP63" s="237"/>
      <c r="AQ63" s="237"/>
      <c r="AR63" s="2578"/>
      <c r="AS63" s="2562"/>
      <c r="AT63" s="993" t="s">
        <v>7419</v>
      </c>
      <c r="AU63" s="318"/>
      <c r="AV63" s="992"/>
      <c r="AW63" s="992"/>
      <c r="AX63" s="992"/>
      <c r="AY63" s="992"/>
      <c r="AZ63" s="581" t="s">
        <v>1015</v>
      </c>
      <c r="BA63" s="581" t="s">
        <v>1016</v>
      </c>
      <c r="BB63" s="969"/>
      <c r="BC63" s="974"/>
      <c r="BD63" s="974"/>
      <c r="BE63" s="974"/>
      <c r="BF63" s="974"/>
      <c r="BG63" s="974"/>
      <c r="BH63" s="974"/>
      <c r="BI63" s="974"/>
      <c r="BJ63" s="986"/>
    </row>
    <row r="64" spans="1:62" ht="15.75" customHeight="1">
      <c r="A64" s="197"/>
      <c r="B64" s="993" t="s">
        <v>7422</v>
      </c>
      <c r="C64" s="318" t="s">
        <v>1692</v>
      </c>
      <c r="D64" s="253" t="s">
        <v>137</v>
      </c>
      <c r="E64" s="253">
        <v>3</v>
      </c>
      <c r="F64" s="1561"/>
      <c r="G64" s="1561"/>
      <c r="H64" s="1561"/>
      <c r="I64" s="1561"/>
      <c r="J64" s="601">
        <v>0</v>
      </c>
      <c r="K64" s="1481">
        <f t="shared" si="122"/>
        <v>0</v>
      </c>
      <c r="L64" s="1539"/>
      <c r="M64" s="1544"/>
      <c r="N64" s="1544"/>
      <c r="O64" s="1544"/>
      <c r="P64" s="1544"/>
      <c r="Q64" s="1544"/>
      <c r="R64" s="1544"/>
      <c r="S64" s="1544"/>
      <c r="T64" s="1556"/>
      <c r="U64" s="197"/>
      <c r="V64" s="966" t="s">
        <v>7423</v>
      </c>
      <c r="W64" s="197"/>
      <c r="X64" s="258"/>
      <c r="Y64" s="197"/>
      <c r="Z64" s="2576"/>
      <c r="AA64" s="2562"/>
      <c r="AB64" s="2578"/>
      <c r="AC64" s="237"/>
      <c r="AD64" s="237"/>
      <c r="AE64" s="237"/>
      <c r="AF64" s="237"/>
      <c r="AG64" s="237"/>
      <c r="AH64" s="237"/>
      <c r="AI64" s="237"/>
      <c r="AJ64" s="237"/>
      <c r="AK64" s="237"/>
      <c r="AL64" s="237"/>
      <c r="AM64" s="237"/>
      <c r="AN64" s="237"/>
      <c r="AO64" s="237"/>
      <c r="AP64" s="237"/>
      <c r="AQ64" s="237"/>
      <c r="AR64" s="2578"/>
      <c r="AS64" s="2562"/>
      <c r="AT64" s="993" t="s">
        <v>7419</v>
      </c>
      <c r="AU64" s="318"/>
      <c r="AV64" s="992"/>
      <c r="AW64" s="992"/>
      <c r="AX64" s="992"/>
      <c r="AY64" s="992"/>
      <c r="AZ64" s="581" t="s">
        <v>1017</v>
      </c>
      <c r="BA64" s="581" t="s">
        <v>1018</v>
      </c>
      <c r="BB64" s="969"/>
      <c r="BC64" s="974"/>
      <c r="BD64" s="974"/>
      <c r="BE64" s="974"/>
      <c r="BF64" s="974"/>
      <c r="BG64" s="974"/>
      <c r="BH64" s="974"/>
      <c r="BI64" s="974"/>
      <c r="BJ64" s="986"/>
    </row>
    <row r="65" spans="1:62" ht="15.75" customHeight="1">
      <c r="A65" s="197"/>
      <c r="B65" s="993" t="s">
        <v>7422</v>
      </c>
      <c r="C65" s="318" t="s">
        <v>1693</v>
      </c>
      <c r="D65" s="253" t="s">
        <v>137</v>
      </c>
      <c r="E65" s="253">
        <v>3</v>
      </c>
      <c r="F65" s="1561"/>
      <c r="G65" s="1561"/>
      <c r="H65" s="1561"/>
      <c r="I65" s="1561"/>
      <c r="J65" s="601">
        <v>0</v>
      </c>
      <c r="K65" s="1481">
        <f t="shared" si="122"/>
        <v>0</v>
      </c>
      <c r="L65" s="1539"/>
      <c r="M65" s="1544"/>
      <c r="N65" s="1544"/>
      <c r="O65" s="1544"/>
      <c r="P65" s="1544"/>
      <c r="Q65" s="1544"/>
      <c r="R65" s="1544"/>
      <c r="S65" s="1544"/>
      <c r="T65" s="1556"/>
      <c r="U65" s="197"/>
      <c r="V65" s="966" t="s">
        <v>7424</v>
      </c>
      <c r="W65" s="197"/>
      <c r="X65" s="258"/>
      <c r="Y65" s="197"/>
      <c r="Z65" s="2576"/>
      <c r="AA65" s="2562"/>
      <c r="AB65" s="2578"/>
      <c r="AC65" s="237"/>
      <c r="AD65" s="237"/>
      <c r="AE65" s="237"/>
      <c r="AF65" s="237"/>
      <c r="AG65" s="237"/>
      <c r="AH65" s="237"/>
      <c r="AI65" s="237"/>
      <c r="AJ65" s="237"/>
      <c r="AK65" s="237"/>
      <c r="AL65" s="237"/>
      <c r="AM65" s="237"/>
      <c r="AN65" s="237"/>
      <c r="AO65" s="237"/>
      <c r="AP65" s="237"/>
      <c r="AQ65" s="237"/>
      <c r="AR65" s="2578"/>
      <c r="AS65" s="2562"/>
      <c r="AT65" s="993" t="s">
        <v>7419</v>
      </c>
      <c r="AU65" s="318"/>
      <c r="AV65" s="992"/>
      <c r="AW65" s="992"/>
      <c r="AX65" s="992"/>
      <c r="AY65" s="992"/>
      <c r="AZ65" s="581" t="s">
        <v>1019</v>
      </c>
      <c r="BA65" s="581" t="s">
        <v>1020</v>
      </c>
      <c r="BB65" s="969"/>
      <c r="BC65" s="974"/>
      <c r="BD65" s="974"/>
      <c r="BE65" s="974"/>
      <c r="BF65" s="974"/>
      <c r="BG65" s="974"/>
      <c r="BH65" s="974"/>
      <c r="BI65" s="974"/>
      <c r="BJ65" s="986"/>
    </row>
    <row r="66" spans="1:62" ht="15.75" customHeight="1">
      <c r="A66" s="197"/>
      <c r="B66" s="993" t="s">
        <v>7422</v>
      </c>
      <c r="C66" s="318" t="s">
        <v>1694</v>
      </c>
      <c r="D66" s="253" t="s">
        <v>137</v>
      </c>
      <c r="E66" s="253">
        <v>3</v>
      </c>
      <c r="F66" s="1561"/>
      <c r="G66" s="1561"/>
      <c r="H66" s="1561"/>
      <c r="I66" s="1561"/>
      <c r="J66" s="1481">
        <f>IFERROR(SUM(J64:J65), 0)</f>
        <v>0</v>
      </c>
      <c r="K66" s="1481">
        <f t="shared" si="122"/>
        <v>0</v>
      </c>
      <c r="L66" s="1539"/>
      <c r="M66" s="1544"/>
      <c r="N66" s="1544"/>
      <c r="O66" s="1544"/>
      <c r="P66" s="1544"/>
      <c r="Q66" s="1544"/>
      <c r="R66" s="1544"/>
      <c r="S66" s="1544"/>
      <c r="T66" s="1556"/>
      <c r="U66" s="197"/>
      <c r="V66" s="966" t="s">
        <v>7425</v>
      </c>
      <c r="W66" s="197"/>
      <c r="X66" s="258"/>
      <c r="Y66" s="197"/>
      <c r="Z66" s="2576"/>
      <c r="AA66" s="2562"/>
      <c r="AB66" s="2578"/>
      <c r="AC66" s="237"/>
      <c r="AD66" s="237"/>
      <c r="AE66" s="237"/>
      <c r="AF66" s="237"/>
      <c r="AG66" s="237"/>
      <c r="AH66" s="237"/>
      <c r="AI66" s="237"/>
      <c r="AJ66" s="237"/>
      <c r="AK66" s="237"/>
      <c r="AL66" s="237"/>
      <c r="AM66" s="237"/>
      <c r="AN66" s="237"/>
      <c r="AO66" s="237"/>
      <c r="AP66" s="237"/>
      <c r="AQ66" s="237"/>
      <c r="AR66" s="2578"/>
      <c r="AS66" s="2562"/>
      <c r="AT66" s="993" t="s">
        <v>7419</v>
      </c>
      <c r="AU66" s="318"/>
      <c r="AV66" s="992"/>
      <c r="AW66" s="992"/>
      <c r="AX66" s="992"/>
      <c r="AY66" s="992"/>
      <c r="AZ66" s="581" t="s">
        <v>1021</v>
      </c>
      <c r="BA66" s="581" t="s">
        <v>1022</v>
      </c>
      <c r="BB66" s="969"/>
      <c r="BC66" s="974"/>
      <c r="BD66" s="974"/>
      <c r="BE66" s="974"/>
      <c r="BF66" s="974"/>
      <c r="BG66" s="974"/>
      <c r="BH66" s="974"/>
      <c r="BI66" s="974"/>
      <c r="BJ66" s="986"/>
    </row>
    <row r="67" spans="1:62" ht="15.75" customHeight="1">
      <c r="A67" s="197"/>
      <c r="B67" s="993" t="s">
        <v>7426</v>
      </c>
      <c r="C67" s="318" t="s">
        <v>1692</v>
      </c>
      <c r="D67" s="253" t="s">
        <v>137</v>
      </c>
      <c r="E67" s="253">
        <v>3</v>
      </c>
      <c r="F67" s="991"/>
      <c r="G67" s="991"/>
      <c r="H67" s="991"/>
      <c r="I67" s="1561"/>
      <c r="J67" s="601">
        <v>0</v>
      </c>
      <c r="K67" s="1481">
        <f t="shared" si="122"/>
        <v>0</v>
      </c>
      <c r="L67" s="1539"/>
      <c r="M67" s="1544"/>
      <c r="N67" s="1544"/>
      <c r="O67" s="1544"/>
      <c r="P67" s="1544"/>
      <c r="Q67" s="1544"/>
      <c r="R67" s="1544"/>
      <c r="S67" s="1544"/>
      <c r="T67" s="1556"/>
      <c r="U67" s="197"/>
      <c r="V67" s="966" t="s">
        <v>7427</v>
      </c>
      <c r="W67" s="197"/>
      <c r="X67" s="258"/>
      <c r="Y67" s="197"/>
      <c r="Z67" s="2576"/>
      <c r="AA67" s="251">
        <f t="shared" ref="AA67:AA68" si="123">IF( SUM( AC67:AQ67 ) = 0, 0, $AC$9 )</f>
        <v>0</v>
      </c>
      <c r="AB67" s="2578"/>
      <c r="AC67" s="237"/>
      <c r="AD67" s="237"/>
      <c r="AE67" s="237"/>
      <c r="AF67" s="237"/>
      <c r="AG67" s="252">
        <f t="shared" ref="AG67:AG68" si="124" xml:space="preserve"> IF( ISNUMBER(J67), 0, 1 )</f>
        <v>0</v>
      </c>
      <c r="AH67" s="237"/>
      <c r="AI67" s="237"/>
      <c r="AJ67" s="237"/>
      <c r="AK67" s="237"/>
      <c r="AL67" s="237"/>
      <c r="AM67" s="237"/>
      <c r="AN67" s="237"/>
      <c r="AO67" s="237"/>
      <c r="AP67" s="237"/>
      <c r="AQ67" s="237"/>
      <c r="AR67" s="2578"/>
      <c r="AS67" s="2562"/>
      <c r="AT67" s="993" t="str">
        <f>B67</f>
        <v>Replacement of existing basic meters with AMR or AMI meters for business customers</v>
      </c>
      <c r="AU67" s="318" t="s">
        <v>1692</v>
      </c>
      <c r="AV67" s="991"/>
      <c r="AW67" s="991"/>
      <c r="AX67" s="991"/>
      <c r="AY67" s="992"/>
      <c r="AZ67" s="601" t="s">
        <v>7428</v>
      </c>
      <c r="BA67" s="581" t="s">
        <v>7429</v>
      </c>
      <c r="BB67" s="969"/>
      <c r="BC67" s="974"/>
      <c r="BD67" s="974"/>
      <c r="BE67" s="974"/>
      <c r="BF67" s="974"/>
      <c r="BG67" s="974"/>
      <c r="BH67" s="974"/>
      <c r="BI67" s="974"/>
      <c r="BJ67" s="986"/>
    </row>
    <row r="68" spans="1:62" ht="15.75" customHeight="1">
      <c r="A68" s="197"/>
      <c r="B68" s="993" t="s">
        <v>7426</v>
      </c>
      <c r="C68" s="318" t="s">
        <v>1693</v>
      </c>
      <c r="D68" s="253" t="s">
        <v>137</v>
      </c>
      <c r="E68" s="253">
        <v>3</v>
      </c>
      <c r="F68" s="991"/>
      <c r="G68" s="991"/>
      <c r="H68" s="991"/>
      <c r="I68" s="1561"/>
      <c r="J68" s="601">
        <v>0</v>
      </c>
      <c r="K68" s="1481">
        <f t="shared" si="122"/>
        <v>0</v>
      </c>
      <c r="L68" s="1539"/>
      <c r="M68" s="1544"/>
      <c r="N68" s="1544"/>
      <c r="O68" s="1544"/>
      <c r="P68" s="1544"/>
      <c r="Q68" s="1544"/>
      <c r="R68" s="1544"/>
      <c r="S68" s="1544"/>
      <c r="T68" s="1556"/>
      <c r="U68" s="197"/>
      <c r="V68" s="966" t="s">
        <v>7430</v>
      </c>
      <c r="W68" s="197"/>
      <c r="X68" s="258"/>
      <c r="Y68" s="197"/>
      <c r="Z68" s="2576"/>
      <c r="AA68" s="251">
        <f t="shared" si="123"/>
        <v>0</v>
      </c>
      <c r="AB68" s="2578"/>
      <c r="AC68" s="237"/>
      <c r="AD68" s="237"/>
      <c r="AE68" s="237"/>
      <c r="AF68" s="237"/>
      <c r="AG68" s="252">
        <f t="shared" si="124"/>
        <v>0</v>
      </c>
      <c r="AH68" s="237"/>
      <c r="AI68" s="237"/>
      <c r="AJ68" s="237"/>
      <c r="AK68" s="237"/>
      <c r="AL68" s="237"/>
      <c r="AM68" s="237"/>
      <c r="AN68" s="237"/>
      <c r="AO68" s="237"/>
      <c r="AP68" s="237"/>
      <c r="AQ68" s="237"/>
      <c r="AR68" s="2578"/>
      <c r="AS68" s="2562"/>
      <c r="AT68" s="993" t="s">
        <v>7419</v>
      </c>
      <c r="AU68" s="318" t="s">
        <v>1693</v>
      </c>
      <c r="AV68" s="991"/>
      <c r="AW68" s="991"/>
      <c r="AX68" s="991"/>
      <c r="AY68" s="992"/>
      <c r="AZ68" s="601" t="s">
        <v>7431</v>
      </c>
      <c r="BA68" s="581" t="s">
        <v>7432</v>
      </c>
      <c r="BB68" s="969"/>
      <c r="BC68" s="974"/>
      <c r="BD68" s="974"/>
      <c r="BE68" s="974"/>
      <c r="BF68" s="974"/>
      <c r="BG68" s="974"/>
      <c r="BH68" s="974"/>
      <c r="BI68" s="974"/>
      <c r="BJ68" s="986"/>
    </row>
    <row r="69" spans="1:62" ht="15.75" customHeight="1">
      <c r="A69" s="197"/>
      <c r="B69" s="993" t="s">
        <v>7426</v>
      </c>
      <c r="C69" s="318" t="s">
        <v>1694</v>
      </c>
      <c r="D69" s="253" t="s">
        <v>137</v>
      </c>
      <c r="E69" s="253">
        <v>3</v>
      </c>
      <c r="F69" s="1561"/>
      <c r="G69" s="1561"/>
      <c r="H69" s="1561"/>
      <c r="I69" s="1561"/>
      <c r="J69" s="1481">
        <f>IFERROR(SUM(J67:J68), 0)</f>
        <v>0</v>
      </c>
      <c r="K69" s="1481">
        <f t="shared" si="122"/>
        <v>0</v>
      </c>
      <c r="L69" s="1539"/>
      <c r="M69" s="1544"/>
      <c r="N69" s="1544"/>
      <c r="O69" s="1544"/>
      <c r="P69" s="1544"/>
      <c r="Q69" s="1544"/>
      <c r="R69" s="1544"/>
      <c r="S69" s="1544"/>
      <c r="T69" s="1556"/>
      <c r="U69" s="197"/>
      <c r="V69" s="966" t="s">
        <v>7433</v>
      </c>
      <c r="W69" s="197"/>
      <c r="X69" s="258"/>
      <c r="Y69" s="197"/>
      <c r="Z69" s="2576"/>
      <c r="AA69" s="2562"/>
      <c r="AB69" s="2578"/>
      <c r="AC69" s="237"/>
      <c r="AD69" s="237"/>
      <c r="AE69" s="237"/>
      <c r="AF69" s="237"/>
      <c r="AG69" s="237"/>
      <c r="AH69" s="237"/>
      <c r="AI69" s="237"/>
      <c r="AJ69" s="237"/>
      <c r="AK69" s="237"/>
      <c r="AL69" s="237"/>
      <c r="AM69" s="237"/>
      <c r="AN69" s="237"/>
      <c r="AO69" s="237"/>
      <c r="AP69" s="237"/>
      <c r="AQ69" s="237"/>
      <c r="AR69" s="2578"/>
      <c r="AS69" s="2562"/>
      <c r="AT69" s="993" t="s">
        <v>7419</v>
      </c>
      <c r="AU69" s="318" t="s">
        <v>1694</v>
      </c>
      <c r="AV69" s="992"/>
      <c r="AW69" s="992"/>
      <c r="AX69" s="992"/>
      <c r="AY69" s="992"/>
      <c r="AZ69" s="581" t="s">
        <v>7434</v>
      </c>
      <c r="BA69" s="581" t="s">
        <v>7435</v>
      </c>
      <c r="BB69" s="969"/>
      <c r="BC69" s="974"/>
      <c r="BD69" s="974"/>
      <c r="BE69" s="974"/>
      <c r="BF69" s="974"/>
      <c r="BG69" s="974"/>
      <c r="BH69" s="974"/>
      <c r="BI69" s="974"/>
      <c r="BJ69" s="986"/>
    </row>
    <row r="70" spans="1:62" ht="15.75" customHeight="1">
      <c r="A70" s="197"/>
      <c r="B70" s="993" t="s">
        <v>7436</v>
      </c>
      <c r="C70" s="318" t="s">
        <v>1692</v>
      </c>
      <c r="D70" s="253" t="s">
        <v>137</v>
      </c>
      <c r="E70" s="253">
        <v>3</v>
      </c>
      <c r="F70" s="1561"/>
      <c r="G70" s="1561"/>
      <c r="H70" s="1561"/>
      <c r="I70" s="1561"/>
      <c r="J70" s="601">
        <v>0</v>
      </c>
      <c r="K70" s="1481">
        <f t="shared" ref="K70:K72" si="125">SUM(J70)</f>
        <v>0</v>
      </c>
      <c r="L70" s="1539"/>
      <c r="M70" s="1544"/>
      <c r="N70" s="1544"/>
      <c r="O70" s="1544"/>
      <c r="P70" s="1544"/>
      <c r="Q70" s="1544"/>
      <c r="R70" s="1544"/>
      <c r="S70" s="1544"/>
      <c r="T70" s="1556"/>
      <c r="U70" s="197"/>
      <c r="V70" s="966" t="s">
        <v>7437</v>
      </c>
      <c r="W70" s="197"/>
      <c r="X70" s="258"/>
      <c r="Y70" s="197"/>
      <c r="Z70" s="2576"/>
      <c r="AA70" s="2562"/>
      <c r="AB70" s="2578"/>
      <c r="AC70" s="237"/>
      <c r="AD70" s="237"/>
      <c r="AE70" s="237"/>
      <c r="AF70" s="237"/>
      <c r="AG70" s="237"/>
      <c r="AH70" s="237"/>
      <c r="AI70" s="237"/>
      <c r="AJ70" s="237"/>
      <c r="AK70" s="237"/>
      <c r="AL70" s="237"/>
      <c r="AM70" s="237"/>
      <c r="AN70" s="237"/>
      <c r="AO70" s="237"/>
      <c r="AP70" s="237"/>
      <c r="AQ70" s="237"/>
      <c r="AR70" s="2578"/>
      <c r="AS70" s="2562"/>
      <c r="AT70" s="993" t="s">
        <v>7419</v>
      </c>
      <c r="AU70" s="318"/>
      <c r="AV70" s="992"/>
      <c r="AW70" s="992"/>
      <c r="AX70" s="992"/>
      <c r="AY70" s="992"/>
      <c r="AZ70" s="581" t="s">
        <v>1023</v>
      </c>
      <c r="BA70" s="581" t="s">
        <v>1024</v>
      </c>
      <c r="BB70" s="969"/>
      <c r="BC70" s="974"/>
      <c r="BD70" s="974"/>
      <c r="BE70" s="974"/>
      <c r="BF70" s="974"/>
      <c r="BG70" s="974"/>
      <c r="BH70" s="974"/>
      <c r="BI70" s="974"/>
      <c r="BJ70" s="986"/>
    </row>
    <row r="71" spans="1:62" ht="15.75" customHeight="1">
      <c r="A71" s="197"/>
      <c r="B71" s="993" t="s">
        <v>7436</v>
      </c>
      <c r="C71" s="318" t="s">
        <v>1693</v>
      </c>
      <c r="D71" s="253" t="s">
        <v>137</v>
      </c>
      <c r="E71" s="253">
        <v>3</v>
      </c>
      <c r="F71" s="1561"/>
      <c r="G71" s="1561"/>
      <c r="H71" s="1561"/>
      <c r="I71" s="1561"/>
      <c r="J71" s="601">
        <v>0</v>
      </c>
      <c r="K71" s="1481">
        <f t="shared" si="125"/>
        <v>0</v>
      </c>
      <c r="L71" s="1539"/>
      <c r="M71" s="1544"/>
      <c r="N71" s="1544"/>
      <c r="O71" s="1544"/>
      <c r="P71" s="1544"/>
      <c r="Q71" s="1544"/>
      <c r="R71" s="1544"/>
      <c r="S71" s="1544"/>
      <c r="T71" s="1556"/>
      <c r="U71" s="197"/>
      <c r="V71" s="966" t="s">
        <v>7438</v>
      </c>
      <c r="W71" s="197"/>
      <c r="X71" s="258"/>
      <c r="Y71" s="197"/>
      <c r="Z71" s="2576"/>
      <c r="AA71" s="2562"/>
      <c r="AB71" s="2578"/>
      <c r="AC71" s="237"/>
      <c r="AD71" s="237"/>
      <c r="AE71" s="237"/>
      <c r="AF71" s="237"/>
      <c r="AG71" s="237"/>
      <c r="AH71" s="237"/>
      <c r="AI71" s="237"/>
      <c r="AJ71" s="237"/>
      <c r="AK71" s="237"/>
      <c r="AL71" s="237"/>
      <c r="AM71" s="237"/>
      <c r="AN71" s="237"/>
      <c r="AO71" s="237"/>
      <c r="AP71" s="237"/>
      <c r="AQ71" s="237"/>
      <c r="AR71" s="2578"/>
      <c r="AS71" s="2562"/>
      <c r="AT71" s="993" t="s">
        <v>7419</v>
      </c>
      <c r="AU71" s="318"/>
      <c r="AV71" s="992"/>
      <c r="AW71" s="992"/>
      <c r="AX71" s="992"/>
      <c r="AY71" s="992"/>
      <c r="AZ71" s="581" t="s">
        <v>1025</v>
      </c>
      <c r="BA71" s="581" t="s">
        <v>1026</v>
      </c>
      <c r="BB71" s="969"/>
      <c r="BC71" s="974"/>
      <c r="BD71" s="974"/>
      <c r="BE71" s="974"/>
      <c r="BF71" s="974"/>
      <c r="BG71" s="974"/>
      <c r="BH71" s="974"/>
      <c r="BI71" s="974"/>
      <c r="BJ71" s="986"/>
    </row>
    <row r="72" spans="1:62" ht="15.75" customHeight="1">
      <c r="A72" s="197"/>
      <c r="B72" s="993" t="s">
        <v>7436</v>
      </c>
      <c r="C72" s="318" t="s">
        <v>1694</v>
      </c>
      <c r="D72" s="253" t="s">
        <v>137</v>
      </c>
      <c r="E72" s="253">
        <v>3</v>
      </c>
      <c r="F72" s="1561"/>
      <c r="G72" s="1561"/>
      <c r="H72" s="1561"/>
      <c r="I72" s="1561"/>
      <c r="J72" s="1481">
        <f>IFERROR(SUM(J70:J71), 0)</f>
        <v>0</v>
      </c>
      <c r="K72" s="1481">
        <f t="shared" si="125"/>
        <v>0</v>
      </c>
      <c r="L72" s="1539"/>
      <c r="M72" s="1544"/>
      <c r="N72" s="1544"/>
      <c r="O72" s="1544"/>
      <c r="P72" s="1544"/>
      <c r="Q72" s="1544"/>
      <c r="R72" s="1544"/>
      <c r="S72" s="1544"/>
      <c r="T72" s="1556"/>
      <c r="U72" s="197"/>
      <c r="V72" s="966" t="s">
        <v>7439</v>
      </c>
      <c r="W72" s="197"/>
      <c r="X72" s="258"/>
      <c r="Y72" s="197"/>
      <c r="Z72" s="2576"/>
      <c r="AA72" s="2562"/>
      <c r="AB72" s="2578"/>
      <c r="AC72" s="237"/>
      <c r="AD72" s="237"/>
      <c r="AE72" s="237"/>
      <c r="AF72" s="237"/>
      <c r="AG72" s="237"/>
      <c r="AH72" s="237"/>
      <c r="AI72" s="237"/>
      <c r="AJ72" s="237"/>
      <c r="AK72" s="237"/>
      <c r="AL72" s="237"/>
      <c r="AM72" s="237"/>
      <c r="AN72" s="237"/>
      <c r="AO72" s="237"/>
      <c r="AP72" s="237"/>
      <c r="AQ72" s="237"/>
      <c r="AR72" s="2578"/>
      <c r="AS72" s="2562"/>
      <c r="AT72" s="993" t="s">
        <v>7419</v>
      </c>
      <c r="AU72" s="318"/>
      <c r="AV72" s="992"/>
      <c r="AW72" s="992"/>
      <c r="AX72" s="992"/>
      <c r="AY72" s="992"/>
      <c r="AZ72" s="581" t="s">
        <v>1027</v>
      </c>
      <c r="BA72" s="581" t="s">
        <v>1028</v>
      </c>
      <c r="BB72" s="969"/>
      <c r="BC72" s="974"/>
      <c r="BD72" s="974"/>
      <c r="BE72" s="974"/>
      <c r="BF72" s="974"/>
      <c r="BG72" s="974"/>
      <c r="BH72" s="974"/>
      <c r="BI72" s="974"/>
      <c r="BJ72" s="986"/>
    </row>
    <row r="73" spans="1:62" ht="15.75" customHeight="1">
      <c r="A73" s="197"/>
      <c r="B73" s="993" t="s">
        <v>7440</v>
      </c>
      <c r="C73" s="318" t="s">
        <v>1692</v>
      </c>
      <c r="D73" s="253" t="s">
        <v>137</v>
      </c>
      <c r="E73" s="253">
        <v>3</v>
      </c>
      <c r="F73" s="991"/>
      <c r="G73" s="991"/>
      <c r="H73" s="991"/>
      <c r="I73" s="1561"/>
      <c r="J73" s="601">
        <v>0</v>
      </c>
      <c r="K73" s="1481">
        <f>SUM(J73)</f>
        <v>0</v>
      </c>
      <c r="L73" s="1539"/>
      <c r="M73" s="1544"/>
      <c r="N73" s="1544"/>
      <c r="O73" s="1544"/>
      <c r="P73" s="1544"/>
      <c r="Q73" s="1544"/>
      <c r="R73" s="1544"/>
      <c r="S73" s="1544"/>
      <c r="T73" s="1556"/>
      <c r="U73" s="197"/>
      <c r="V73" s="966" t="s">
        <v>7441</v>
      </c>
      <c r="W73" s="197"/>
      <c r="X73" s="258"/>
      <c r="Y73" s="197"/>
      <c r="Z73" s="2576"/>
      <c r="AA73" s="251">
        <f t="shared" ref="AA73:AA74" si="126">IF( SUM( AC73:AQ73 ) = 0, 0, $AC$9 )</f>
        <v>0</v>
      </c>
      <c r="AB73" s="2578"/>
      <c r="AC73" s="237"/>
      <c r="AD73" s="237"/>
      <c r="AE73" s="237"/>
      <c r="AF73" s="237"/>
      <c r="AG73" s="252">
        <f t="shared" si="119"/>
        <v>0</v>
      </c>
      <c r="AH73" s="237"/>
      <c r="AI73" s="237"/>
      <c r="AJ73" s="237"/>
      <c r="AK73" s="237"/>
      <c r="AL73" s="237"/>
      <c r="AM73" s="237"/>
      <c r="AN73" s="237"/>
      <c r="AO73" s="237"/>
      <c r="AP73" s="237"/>
      <c r="AQ73" s="237"/>
      <c r="AR73" s="2578"/>
      <c r="AS73" s="2562"/>
      <c r="AT73" s="993" t="s">
        <v>7440</v>
      </c>
      <c r="AU73" s="318" t="s">
        <v>1692</v>
      </c>
      <c r="AV73" s="991"/>
      <c r="AW73" s="991"/>
      <c r="AX73" s="991"/>
      <c r="AY73" s="992"/>
      <c r="AZ73" s="601" t="s">
        <v>7442</v>
      </c>
      <c r="BA73" s="581" t="s">
        <v>7443</v>
      </c>
      <c r="BB73" s="969"/>
      <c r="BC73" s="974"/>
      <c r="BD73" s="974"/>
      <c r="BE73" s="974"/>
      <c r="BF73" s="974"/>
      <c r="BG73" s="974"/>
      <c r="BH73" s="974"/>
      <c r="BI73" s="974"/>
      <c r="BJ73" s="986"/>
    </row>
    <row r="74" spans="1:62" ht="15.75" customHeight="1">
      <c r="A74" s="197"/>
      <c r="B74" s="993" t="s">
        <v>7440</v>
      </c>
      <c r="C74" s="318" t="s">
        <v>1693</v>
      </c>
      <c r="D74" s="253" t="s">
        <v>137</v>
      </c>
      <c r="E74" s="253">
        <v>3</v>
      </c>
      <c r="F74" s="991"/>
      <c r="G74" s="991"/>
      <c r="H74" s="991"/>
      <c r="I74" s="1561"/>
      <c r="J74" s="601">
        <v>0</v>
      </c>
      <c r="K74" s="1481">
        <f t="shared" si="117"/>
        <v>0</v>
      </c>
      <c r="L74" s="1539"/>
      <c r="M74" s="1544"/>
      <c r="N74" s="1544"/>
      <c r="O74" s="1544"/>
      <c r="P74" s="1544"/>
      <c r="Q74" s="1544"/>
      <c r="R74" s="1544"/>
      <c r="S74" s="1544"/>
      <c r="T74" s="1556"/>
      <c r="U74" s="197"/>
      <c r="V74" s="966" t="s">
        <v>7444</v>
      </c>
      <c r="W74" s="197"/>
      <c r="X74" s="258"/>
      <c r="Y74" s="197"/>
      <c r="Z74" s="2576"/>
      <c r="AA74" s="251">
        <f t="shared" si="126"/>
        <v>0</v>
      </c>
      <c r="AB74" s="2578"/>
      <c r="AC74" s="237"/>
      <c r="AD74" s="237"/>
      <c r="AE74" s="237"/>
      <c r="AF74" s="237"/>
      <c r="AG74" s="252">
        <f t="shared" si="119"/>
        <v>0</v>
      </c>
      <c r="AH74" s="237"/>
      <c r="AI74" s="237"/>
      <c r="AJ74" s="237"/>
      <c r="AK74" s="237"/>
      <c r="AL74" s="237"/>
      <c r="AM74" s="237"/>
      <c r="AN74" s="237"/>
      <c r="AO74" s="237"/>
      <c r="AP74" s="237"/>
      <c r="AQ74" s="237"/>
      <c r="AR74" s="2578"/>
      <c r="AS74" s="2562"/>
      <c r="AT74" s="993" t="s">
        <v>7440</v>
      </c>
      <c r="AU74" s="318" t="s">
        <v>1693</v>
      </c>
      <c r="AV74" s="991"/>
      <c r="AW74" s="991"/>
      <c r="AX74" s="991"/>
      <c r="AY74" s="992"/>
      <c r="AZ74" s="601" t="s">
        <v>7445</v>
      </c>
      <c r="BA74" s="581" t="s">
        <v>7446</v>
      </c>
      <c r="BB74" s="969"/>
      <c r="BC74" s="974"/>
      <c r="BD74" s="974"/>
      <c r="BE74" s="974"/>
      <c r="BF74" s="974"/>
      <c r="BG74" s="974"/>
      <c r="BH74" s="974"/>
      <c r="BI74" s="974"/>
      <c r="BJ74" s="986"/>
    </row>
    <row r="75" spans="1:62" ht="15.75" customHeight="1">
      <c r="A75" s="197"/>
      <c r="B75" s="993" t="s">
        <v>7440</v>
      </c>
      <c r="C75" s="318" t="s">
        <v>1694</v>
      </c>
      <c r="D75" s="253" t="s">
        <v>137</v>
      </c>
      <c r="E75" s="253">
        <v>3</v>
      </c>
      <c r="F75" s="1561"/>
      <c r="G75" s="1561"/>
      <c r="H75" s="1561"/>
      <c r="I75" s="1561"/>
      <c r="J75" s="1481">
        <f>IFERROR(SUM(J73:J74), 0)</f>
        <v>0</v>
      </c>
      <c r="K75" s="1481">
        <f t="shared" si="117"/>
        <v>0</v>
      </c>
      <c r="L75" s="1539"/>
      <c r="M75" s="1544"/>
      <c r="N75" s="1544"/>
      <c r="O75" s="1544"/>
      <c r="P75" s="1544"/>
      <c r="Q75" s="1544"/>
      <c r="R75" s="1544"/>
      <c r="S75" s="1544"/>
      <c r="T75" s="1556"/>
      <c r="U75" s="197"/>
      <c r="V75" s="966" t="s">
        <v>7447</v>
      </c>
      <c r="W75" s="197"/>
      <c r="X75" s="258"/>
      <c r="Y75" s="197"/>
      <c r="Z75" s="2576"/>
      <c r="AA75" s="2562"/>
      <c r="AB75" s="2578"/>
      <c r="AC75" s="237"/>
      <c r="AD75" s="237"/>
      <c r="AE75" s="237"/>
      <c r="AF75" s="237"/>
      <c r="AG75" s="237"/>
      <c r="AH75" s="237"/>
      <c r="AI75" s="237"/>
      <c r="AJ75" s="237"/>
      <c r="AK75" s="237"/>
      <c r="AL75" s="237"/>
      <c r="AM75" s="237"/>
      <c r="AN75" s="237"/>
      <c r="AO75" s="237"/>
      <c r="AP75" s="237"/>
      <c r="AQ75" s="237"/>
      <c r="AR75" s="2578"/>
      <c r="AS75" s="2562"/>
      <c r="AT75" s="993" t="s">
        <v>7440</v>
      </c>
      <c r="AU75" s="318" t="s">
        <v>1694</v>
      </c>
      <c r="AV75" s="992"/>
      <c r="AW75" s="992"/>
      <c r="AX75" s="992"/>
      <c r="AY75" s="992"/>
      <c r="AZ75" s="581" t="s">
        <v>7448</v>
      </c>
      <c r="BA75" s="581" t="s">
        <v>7449</v>
      </c>
      <c r="BB75" s="969"/>
      <c r="BC75" s="974"/>
      <c r="BD75" s="974"/>
      <c r="BE75" s="974"/>
      <c r="BF75" s="974"/>
      <c r="BG75" s="974"/>
      <c r="BH75" s="974"/>
      <c r="BI75" s="974"/>
      <c r="BJ75" s="986"/>
    </row>
    <row r="76" spans="1:62" ht="15.75" customHeight="1" thickBot="1">
      <c r="A76" s="197"/>
      <c r="B76" s="975" t="s">
        <v>7450</v>
      </c>
      <c r="C76" s="976" t="s">
        <v>1694</v>
      </c>
      <c r="D76" s="319" t="s">
        <v>137</v>
      </c>
      <c r="E76" s="319">
        <v>3</v>
      </c>
      <c r="F76" s="1562"/>
      <c r="G76" s="1562"/>
      <c r="H76" s="1562"/>
      <c r="I76" s="1562"/>
      <c r="J76" s="1473">
        <f>IFERROR(SUM(J75,J60,J57,J54,J63,J66,J69,J72,),0)</f>
        <v>5.19</v>
      </c>
      <c r="K76" s="1473">
        <f t="shared" si="117"/>
        <v>5.19</v>
      </c>
      <c r="L76" s="1545"/>
      <c r="M76" s="1546"/>
      <c r="N76" s="1546"/>
      <c r="O76" s="1546"/>
      <c r="P76" s="1546"/>
      <c r="Q76" s="1546"/>
      <c r="R76" s="1960">
        <v>16.718</v>
      </c>
      <c r="S76" s="1960">
        <v>17.623000000000001</v>
      </c>
      <c r="T76" s="1961">
        <v>25.494</v>
      </c>
      <c r="U76" s="197"/>
      <c r="V76" s="980" t="s">
        <v>7451</v>
      </c>
      <c r="W76" s="197"/>
      <c r="X76" s="269"/>
      <c r="Y76" s="197"/>
      <c r="Z76" s="2576"/>
      <c r="AA76" s="251">
        <f t="shared" ref="AA76" si="127">IF( SUM( AC76:AQ76 ) = 0, 0, $AC$9 )</f>
        <v>0</v>
      </c>
      <c r="AB76" s="725"/>
      <c r="AC76" s="237"/>
      <c r="AD76" s="237"/>
      <c r="AE76" s="237"/>
      <c r="AF76" s="237"/>
      <c r="AG76" s="237"/>
      <c r="AH76" s="237"/>
      <c r="AI76" s="237"/>
      <c r="AJ76" s="237"/>
      <c r="AK76" s="237"/>
      <c r="AL76" s="237"/>
      <c r="AM76" s="237"/>
      <c r="AN76" s="237"/>
      <c r="AO76" s="252">
        <f t="shared" ref="AO76:AQ76" si="128" xml:space="preserve"> IF( ISNUMBER(R76), 0, 1 )</f>
        <v>0</v>
      </c>
      <c r="AP76" s="252">
        <f t="shared" si="128"/>
        <v>0</v>
      </c>
      <c r="AQ76" s="252">
        <f t="shared" si="128"/>
        <v>0</v>
      </c>
      <c r="AR76" s="2578"/>
      <c r="AS76" s="2562"/>
      <c r="AT76" s="975" t="s">
        <v>7450</v>
      </c>
      <c r="AU76" s="976" t="s">
        <v>1694</v>
      </c>
      <c r="AV76" s="994"/>
      <c r="AW76" s="994"/>
      <c r="AX76" s="994"/>
      <c r="AY76" s="994"/>
      <c r="AZ76" s="583" t="s">
        <v>7452</v>
      </c>
      <c r="BA76" s="583" t="s">
        <v>7453</v>
      </c>
      <c r="BB76" s="977"/>
      <c r="BC76" s="978"/>
      <c r="BD76" s="978"/>
      <c r="BE76" s="978"/>
      <c r="BF76" s="978"/>
      <c r="BG76" s="978"/>
      <c r="BH76" s="995" t="s">
        <v>7454</v>
      </c>
      <c r="BI76" s="995" t="s">
        <v>7455</v>
      </c>
      <c r="BJ76" s="996" t="s">
        <v>7456</v>
      </c>
    </row>
    <row r="77" spans="1:62" ht="15.75" customHeight="1" thickTop="1" thickBot="1">
      <c r="A77" s="197"/>
      <c r="B77" s="981"/>
      <c r="C77" s="197"/>
      <c r="D77" s="197"/>
      <c r="E77" s="197"/>
      <c r="F77" s="440"/>
      <c r="G77" s="440"/>
      <c r="H77" s="440"/>
      <c r="I77" s="440"/>
      <c r="J77" s="440"/>
      <c r="K77" s="440"/>
      <c r="L77" s="440"/>
      <c r="M77" s="1550"/>
      <c r="N77" s="1550"/>
      <c r="O77" s="1550"/>
      <c r="P77" s="1550"/>
      <c r="Q77" s="1551"/>
      <c r="R77" s="1477"/>
      <c r="S77" s="1477"/>
      <c r="T77" s="1730"/>
      <c r="U77" s="222"/>
      <c r="V77" s="222"/>
      <c r="W77" s="197"/>
      <c r="X77" s="197"/>
      <c r="Y77" s="197"/>
      <c r="Z77" s="2576"/>
      <c r="AA77" s="2562"/>
      <c r="AB77" s="2578"/>
      <c r="AC77" s="237"/>
      <c r="AD77" s="237"/>
      <c r="AE77" s="237"/>
      <c r="AF77" s="237"/>
      <c r="AG77" s="237"/>
      <c r="AH77" s="237"/>
      <c r="AI77" s="237"/>
      <c r="AJ77" s="237"/>
      <c r="AK77" s="237"/>
      <c r="AL77" s="237"/>
      <c r="AM77" s="237"/>
      <c r="AN77" s="237"/>
      <c r="AO77" s="237"/>
      <c r="AP77" s="237"/>
      <c r="AQ77" s="237"/>
      <c r="AR77" s="2578"/>
      <c r="AS77" s="2562"/>
      <c r="AT77" s="981"/>
      <c r="AU77" s="197"/>
      <c r="AV77" s="197"/>
      <c r="AW77" s="197"/>
      <c r="AX77" s="197"/>
      <c r="AY77" s="197"/>
      <c r="AZ77" s="197"/>
      <c r="BA77" s="197"/>
      <c r="BB77" s="197"/>
      <c r="BC77" s="200"/>
      <c r="BD77" s="200"/>
      <c r="BE77" s="200"/>
      <c r="BF77" s="200"/>
      <c r="BG77" s="982"/>
      <c r="BH77" s="200"/>
      <c r="BI77" s="200"/>
      <c r="BJ77" s="982"/>
    </row>
    <row r="78" spans="1:62" ht="15.75" customHeight="1" thickTop="1" thickBot="1">
      <c r="A78" s="197"/>
      <c r="B78" s="956" t="s">
        <v>7457</v>
      </c>
      <c r="C78" s="197"/>
      <c r="D78" s="197"/>
      <c r="E78" s="197"/>
      <c r="F78" s="440"/>
      <c r="G78" s="440"/>
      <c r="H78" s="440"/>
      <c r="I78" s="440"/>
      <c r="J78" s="440"/>
      <c r="K78" s="440"/>
      <c r="L78" s="440"/>
      <c r="M78" s="1550"/>
      <c r="N78" s="1550"/>
      <c r="O78" s="1550"/>
      <c r="P78" s="1550"/>
      <c r="Q78" s="1551"/>
      <c r="R78" s="1477"/>
      <c r="S78" s="1477"/>
      <c r="T78" s="1730"/>
      <c r="U78" s="222"/>
      <c r="V78" s="222"/>
      <c r="W78" s="197"/>
      <c r="X78" s="197"/>
      <c r="Y78" s="197"/>
      <c r="Z78" s="2576"/>
      <c r="AA78" s="2562"/>
      <c r="AB78" s="2578"/>
      <c r="AC78" s="237"/>
      <c r="AD78" s="237"/>
      <c r="AE78" s="237"/>
      <c r="AF78" s="237"/>
      <c r="AG78" s="237"/>
      <c r="AH78" s="237"/>
      <c r="AI78" s="237"/>
      <c r="AJ78" s="237"/>
      <c r="AK78" s="237"/>
      <c r="AL78" s="237"/>
      <c r="AM78" s="237"/>
      <c r="AN78" s="237"/>
      <c r="AO78" s="237"/>
      <c r="AP78" s="237"/>
      <c r="AQ78" s="237"/>
      <c r="AR78" s="2578"/>
      <c r="AS78" s="2562"/>
      <c r="AT78" s="956" t="s">
        <v>7457</v>
      </c>
      <c r="AU78" s="197"/>
      <c r="AV78" s="197"/>
      <c r="AW78" s="197"/>
      <c r="AX78" s="197"/>
      <c r="AY78" s="197"/>
      <c r="AZ78" s="197"/>
      <c r="BA78" s="197"/>
      <c r="BB78" s="197"/>
      <c r="BC78" s="200"/>
      <c r="BD78" s="200"/>
      <c r="BE78" s="200"/>
      <c r="BF78" s="200"/>
      <c r="BG78" s="982"/>
      <c r="BH78" s="200"/>
      <c r="BI78" s="200"/>
      <c r="BJ78" s="982"/>
    </row>
    <row r="79" spans="1:62" ht="15.75" customHeight="1">
      <c r="A79" s="197"/>
      <c r="B79" s="957" t="s">
        <v>7458</v>
      </c>
      <c r="C79" s="958" t="s">
        <v>1692</v>
      </c>
      <c r="D79" s="244" t="s">
        <v>137</v>
      </c>
      <c r="E79" s="244">
        <v>3</v>
      </c>
      <c r="F79" s="598">
        <v>1.7000000000000001E-2</v>
      </c>
      <c r="G79" s="598">
        <v>0</v>
      </c>
      <c r="H79" s="598">
        <v>0</v>
      </c>
      <c r="I79" s="598">
        <v>11.746</v>
      </c>
      <c r="J79" s="598">
        <v>0</v>
      </c>
      <c r="K79" s="1479">
        <f>IFERROR(SUM(F79:J79), 0)</f>
        <v>11.763</v>
      </c>
      <c r="L79" s="1563"/>
      <c r="M79" s="1552"/>
      <c r="N79" s="1552"/>
      <c r="O79" s="1552"/>
      <c r="P79" s="1552"/>
      <c r="Q79" s="1552"/>
      <c r="R79" s="1559"/>
      <c r="S79" s="1559"/>
      <c r="T79" s="2238"/>
      <c r="U79" s="197"/>
      <c r="V79" s="961" t="s">
        <v>7459</v>
      </c>
      <c r="W79" s="197"/>
      <c r="X79" s="250"/>
      <c r="Y79" s="197"/>
      <c r="Z79" s="2576"/>
      <c r="AA79" s="251">
        <f t="shared" ref="AA79:AA124" si="129">IF( SUM( AC79:AQ79 ) = 0, 0, $AC$9 )</f>
        <v>0</v>
      </c>
      <c r="AB79" s="2578"/>
      <c r="AC79" s="252">
        <f t="shared" ref="AC79:AC80" si="130" xml:space="preserve"> IF( ISNUMBER(F79), 0, 1 )</f>
        <v>0</v>
      </c>
      <c r="AD79" s="252">
        <f t="shared" ref="AD79:AD80" si="131" xml:space="preserve"> IF( ISNUMBER(G79), 0, 1 )</f>
        <v>0</v>
      </c>
      <c r="AE79" s="252">
        <f t="shared" ref="AE79:AE80" si="132" xml:space="preserve"> IF( ISNUMBER(H79), 0, 1 )</f>
        <v>0</v>
      </c>
      <c r="AF79" s="252">
        <f t="shared" ref="AF79:AF80" si="133" xml:space="preserve"> IF( ISNUMBER(I79), 0, 1 )</f>
        <v>0</v>
      </c>
      <c r="AG79" s="252">
        <f t="shared" ref="AG79:AG80" si="134" xml:space="preserve"> IF( ISNUMBER(J79), 0, 1 )</f>
        <v>0</v>
      </c>
      <c r="AH79" s="237"/>
      <c r="AI79" s="237"/>
      <c r="AJ79" s="237"/>
      <c r="AK79" s="237"/>
      <c r="AL79" s="237"/>
      <c r="AM79" s="237"/>
      <c r="AN79" s="237"/>
      <c r="AO79" s="237"/>
      <c r="AP79" s="237"/>
      <c r="AQ79" s="237"/>
      <c r="AR79" s="2578"/>
      <c r="AS79" s="2562"/>
      <c r="AT79" s="957" t="s">
        <v>7460</v>
      </c>
      <c r="AU79" s="958" t="s">
        <v>1692</v>
      </c>
      <c r="AV79" s="598" t="s">
        <v>7461</v>
      </c>
      <c r="AW79" s="598" t="s">
        <v>7462</v>
      </c>
      <c r="AX79" s="598" t="s">
        <v>7463</v>
      </c>
      <c r="AY79" s="598" t="s">
        <v>7464</v>
      </c>
      <c r="AZ79" s="598" t="s">
        <v>7465</v>
      </c>
      <c r="BA79" s="1479" t="s">
        <v>7466</v>
      </c>
      <c r="BB79" s="1563"/>
      <c r="BC79" s="1552"/>
      <c r="BD79" s="1552"/>
      <c r="BE79" s="1552"/>
      <c r="BF79" s="1552"/>
      <c r="BG79" s="1552"/>
      <c r="BH79" s="1559"/>
      <c r="BI79" s="1559"/>
      <c r="BJ79" s="2238"/>
    </row>
    <row r="80" spans="1:62" ht="15.75" customHeight="1">
      <c r="A80" s="197"/>
      <c r="B80" s="962" t="s">
        <v>7458</v>
      </c>
      <c r="C80" s="318" t="s">
        <v>1693</v>
      </c>
      <c r="D80" s="253" t="s">
        <v>137</v>
      </c>
      <c r="E80" s="253">
        <v>3</v>
      </c>
      <c r="F80" s="601">
        <v>0</v>
      </c>
      <c r="G80" s="601">
        <v>0</v>
      </c>
      <c r="H80" s="601">
        <v>0</v>
      </c>
      <c r="I80" s="601">
        <v>0</v>
      </c>
      <c r="J80" s="601">
        <v>0</v>
      </c>
      <c r="K80" s="1481">
        <f t="shared" ref="K80:K124" si="135">IFERROR(SUM(F80:J80), 0)</f>
        <v>0</v>
      </c>
      <c r="L80" s="1539"/>
      <c r="M80" s="1544"/>
      <c r="N80" s="1544"/>
      <c r="O80" s="1544"/>
      <c r="P80" s="1544"/>
      <c r="Q80" s="1544"/>
      <c r="R80" s="1541"/>
      <c r="S80" s="1541"/>
      <c r="T80" s="1555"/>
      <c r="U80" s="197"/>
      <c r="V80" s="966" t="s">
        <v>7467</v>
      </c>
      <c r="W80" s="197"/>
      <c r="X80" s="258"/>
      <c r="Y80" s="197"/>
      <c r="Z80" s="2576"/>
      <c r="AA80" s="251">
        <f t="shared" si="129"/>
        <v>0</v>
      </c>
      <c r="AB80" s="2578"/>
      <c r="AC80" s="252">
        <f t="shared" si="130"/>
        <v>0</v>
      </c>
      <c r="AD80" s="252">
        <f t="shared" si="131"/>
        <v>0</v>
      </c>
      <c r="AE80" s="252">
        <f t="shared" si="132"/>
        <v>0</v>
      </c>
      <c r="AF80" s="252">
        <f t="shared" si="133"/>
        <v>0</v>
      </c>
      <c r="AG80" s="252">
        <f t="shared" si="134"/>
        <v>0</v>
      </c>
      <c r="AH80" s="237"/>
      <c r="AI80" s="237"/>
      <c r="AJ80" s="237"/>
      <c r="AK80" s="237"/>
      <c r="AL80" s="237"/>
      <c r="AM80" s="237"/>
      <c r="AN80" s="237"/>
      <c r="AO80" s="237"/>
      <c r="AP80" s="237"/>
      <c r="AQ80" s="237"/>
      <c r="AR80" s="2578"/>
      <c r="AS80" s="2562"/>
      <c r="AT80" s="962" t="s">
        <v>7460</v>
      </c>
      <c r="AU80" s="318" t="s">
        <v>1693</v>
      </c>
      <c r="AV80" s="601" t="s">
        <v>7468</v>
      </c>
      <c r="AW80" s="601" t="s">
        <v>7469</v>
      </c>
      <c r="AX80" s="601" t="s">
        <v>7470</v>
      </c>
      <c r="AY80" s="601" t="s">
        <v>7471</v>
      </c>
      <c r="AZ80" s="601" t="s">
        <v>7472</v>
      </c>
      <c r="BA80" s="1481" t="s">
        <v>7473</v>
      </c>
      <c r="BB80" s="1539"/>
      <c r="BC80" s="1544"/>
      <c r="BD80" s="1544"/>
      <c r="BE80" s="1544"/>
      <c r="BF80" s="1544"/>
      <c r="BG80" s="1544"/>
      <c r="BH80" s="1541"/>
      <c r="BI80" s="1541"/>
      <c r="BJ80" s="1555"/>
    </row>
    <row r="81" spans="1:62" ht="15.75" customHeight="1">
      <c r="A81" s="197"/>
      <c r="B81" s="962" t="s">
        <v>7458</v>
      </c>
      <c r="C81" s="318" t="s">
        <v>1694</v>
      </c>
      <c r="D81" s="253" t="s">
        <v>137</v>
      </c>
      <c r="E81" s="253">
        <v>3</v>
      </c>
      <c r="F81" s="1481">
        <f>IFERROR(SUM(F79:F80), 0)</f>
        <v>1.7000000000000001E-2</v>
      </c>
      <c r="G81" s="1481">
        <f t="shared" ref="G81:I81" si="136">IFERROR(SUM(G79:G80), 0)</f>
        <v>0</v>
      </c>
      <c r="H81" s="1481">
        <f t="shared" si="136"/>
        <v>0</v>
      </c>
      <c r="I81" s="1481">
        <f t="shared" si="136"/>
        <v>11.746</v>
      </c>
      <c r="J81" s="1481">
        <f>IFERROR(SUM(J79:J80), 0)</f>
        <v>0</v>
      </c>
      <c r="K81" s="1481">
        <f t="shared" si="135"/>
        <v>11.763</v>
      </c>
      <c r="L81" s="1539"/>
      <c r="M81" s="1544"/>
      <c r="N81" s="1544"/>
      <c r="O81" s="1544"/>
      <c r="P81" s="1544"/>
      <c r="Q81" s="1544"/>
      <c r="R81" s="1962">
        <v>21.097000000000001</v>
      </c>
      <c r="S81" s="1962">
        <v>9.6620000000000008</v>
      </c>
      <c r="T81" s="2239">
        <v>13.977</v>
      </c>
      <c r="U81" s="197"/>
      <c r="V81" s="966" t="s">
        <v>7474</v>
      </c>
      <c r="W81" s="197"/>
      <c r="X81" s="258"/>
      <c r="Y81" s="197"/>
      <c r="Z81" s="2576"/>
      <c r="AA81" s="251">
        <f t="shared" si="129"/>
        <v>0</v>
      </c>
      <c r="AB81" s="725"/>
      <c r="AC81" s="237"/>
      <c r="AD81" s="237"/>
      <c r="AE81" s="237"/>
      <c r="AF81" s="237"/>
      <c r="AG81" s="237"/>
      <c r="AH81" s="237"/>
      <c r="AI81" s="237"/>
      <c r="AJ81" s="237"/>
      <c r="AK81" s="237"/>
      <c r="AL81" s="237"/>
      <c r="AM81" s="237"/>
      <c r="AN81" s="237"/>
      <c r="AO81" s="252">
        <f t="shared" ref="AO81" si="137" xml:space="preserve"> IF( ISNUMBER(R81), 0, 1 )</f>
        <v>0</v>
      </c>
      <c r="AP81" s="252">
        <f t="shared" ref="AP81" si="138" xml:space="preserve"> IF( ISNUMBER(S81), 0, 1 )</f>
        <v>0</v>
      </c>
      <c r="AQ81" s="252">
        <f t="shared" ref="AQ81" si="139" xml:space="preserve"> IF( ISNUMBER(T81), 0, 1 )</f>
        <v>0</v>
      </c>
      <c r="AR81" s="2578"/>
      <c r="AS81" s="2562"/>
      <c r="AT81" s="962" t="s">
        <v>7460</v>
      </c>
      <c r="AU81" s="318" t="s">
        <v>1694</v>
      </c>
      <c r="AV81" s="1481" t="s">
        <v>7475</v>
      </c>
      <c r="AW81" s="1481" t="s">
        <v>7476</v>
      </c>
      <c r="AX81" s="1481" t="s">
        <v>7477</v>
      </c>
      <c r="AY81" s="1481" t="s">
        <v>7478</v>
      </c>
      <c r="AZ81" s="1481" t="s">
        <v>7479</v>
      </c>
      <c r="BA81" s="1481" t="s">
        <v>7480</v>
      </c>
      <c r="BB81" s="1539"/>
      <c r="BC81" s="1544"/>
      <c r="BD81" s="1544"/>
      <c r="BE81" s="1544"/>
      <c r="BF81" s="1544"/>
      <c r="BG81" s="1544"/>
      <c r="BH81" s="1962" t="s">
        <v>7481</v>
      </c>
      <c r="BI81" s="1962" t="s">
        <v>7482</v>
      </c>
      <c r="BJ81" s="2239" t="s">
        <v>7483</v>
      </c>
    </row>
    <row r="82" spans="1:62" ht="15.75" customHeight="1">
      <c r="A82" s="197"/>
      <c r="B82" s="962" t="s">
        <v>7484</v>
      </c>
      <c r="C82" s="318" t="s">
        <v>1692</v>
      </c>
      <c r="D82" s="253" t="s">
        <v>137</v>
      </c>
      <c r="E82" s="253">
        <v>3</v>
      </c>
      <c r="F82" s="601">
        <v>0</v>
      </c>
      <c r="G82" s="601">
        <v>0</v>
      </c>
      <c r="H82" s="601">
        <v>0</v>
      </c>
      <c r="I82" s="601">
        <v>10.62</v>
      </c>
      <c r="J82" s="601">
        <v>0</v>
      </c>
      <c r="K82" s="1481">
        <f>IFERROR(SUM(F82:J82), 0)</f>
        <v>10.62</v>
      </c>
      <c r="L82" s="2227">
        <v>0</v>
      </c>
      <c r="M82" s="2227">
        <v>0</v>
      </c>
      <c r="N82" s="2227">
        <v>0</v>
      </c>
      <c r="O82" s="2227">
        <v>0</v>
      </c>
      <c r="P82" s="2227">
        <v>0</v>
      </c>
      <c r="Q82" s="2228">
        <f t="shared" ref="Q82:Q87" si="140">IFERROR(SUM(L82:P82), 0)</f>
        <v>0</v>
      </c>
      <c r="R82" s="1541"/>
      <c r="S82" s="1541"/>
      <c r="T82" s="1555"/>
      <c r="U82" s="197"/>
      <c r="V82" s="966" t="s">
        <v>7485</v>
      </c>
      <c r="W82" s="197"/>
      <c r="X82" s="258"/>
      <c r="Y82" s="197"/>
      <c r="Z82" s="2576"/>
      <c r="AA82" s="251">
        <f t="shared" ref="AA82:AA84" si="141">IF( SUM( AC82:AQ82 ) = 0, 0, $AC$9 )</f>
        <v>0</v>
      </c>
      <c r="AB82" s="2578"/>
      <c r="AC82" s="252">
        <f t="shared" ref="AC82:AC83" si="142" xml:space="preserve"> IF( ISNUMBER(F82), 0, 1 )</f>
        <v>0</v>
      </c>
      <c r="AD82" s="252">
        <f t="shared" ref="AD82:AD83" si="143" xml:space="preserve"> IF( ISNUMBER(G82), 0, 1 )</f>
        <v>0</v>
      </c>
      <c r="AE82" s="252">
        <f t="shared" ref="AE82:AE83" si="144" xml:space="preserve"> IF( ISNUMBER(H82), 0, 1 )</f>
        <v>0</v>
      </c>
      <c r="AF82" s="252">
        <f t="shared" ref="AF82:AF83" si="145" xml:space="preserve"> IF( ISNUMBER(I82), 0, 1 )</f>
        <v>0</v>
      </c>
      <c r="AG82" s="252">
        <f t="shared" ref="AG82:AG83" si="146" xml:space="preserve"> IF( ISNUMBER(J82), 0, 1 )</f>
        <v>0</v>
      </c>
      <c r="AH82" s="237"/>
      <c r="AI82" s="237"/>
      <c r="AJ82" s="237"/>
      <c r="AK82" s="237"/>
      <c r="AL82" s="237"/>
      <c r="AM82" s="237"/>
      <c r="AN82" s="237"/>
      <c r="AO82" s="237"/>
      <c r="AP82" s="237"/>
      <c r="AQ82" s="237"/>
      <c r="AR82" s="2578"/>
      <c r="AS82" s="2562"/>
      <c r="AT82" s="2241" t="s">
        <v>7486</v>
      </c>
      <c r="AU82" s="318" t="s">
        <v>1692</v>
      </c>
      <c r="AV82" s="601" t="s">
        <v>1029</v>
      </c>
      <c r="AW82" s="601" t="s">
        <v>1030</v>
      </c>
      <c r="AX82" s="601" t="s">
        <v>1031</v>
      </c>
      <c r="AY82" s="601" t="s">
        <v>1032</v>
      </c>
      <c r="AZ82" s="601" t="s">
        <v>1033</v>
      </c>
      <c r="BA82" s="1481" t="s">
        <v>7487</v>
      </c>
      <c r="BB82" s="2227" t="s">
        <v>1034</v>
      </c>
      <c r="BC82" s="2227" t="s">
        <v>1035</v>
      </c>
      <c r="BD82" s="2227" t="s">
        <v>1036</v>
      </c>
      <c r="BE82" s="2227" t="s">
        <v>1037</v>
      </c>
      <c r="BF82" s="2227" t="s">
        <v>1038</v>
      </c>
      <c r="BG82" s="2228" t="s">
        <v>1039</v>
      </c>
      <c r="BH82" s="1541"/>
      <c r="BI82" s="1541"/>
      <c r="BJ82" s="1555"/>
    </row>
    <row r="83" spans="1:62" ht="15.75" customHeight="1">
      <c r="A83" s="197"/>
      <c r="B83" s="962" t="s">
        <v>7484</v>
      </c>
      <c r="C83" s="318" t="s">
        <v>1693</v>
      </c>
      <c r="D83" s="253" t="s">
        <v>137</v>
      </c>
      <c r="E83" s="253">
        <v>3</v>
      </c>
      <c r="F83" s="601">
        <v>0</v>
      </c>
      <c r="G83" s="601">
        <v>0</v>
      </c>
      <c r="H83" s="601">
        <v>0</v>
      </c>
      <c r="I83" s="601">
        <v>0</v>
      </c>
      <c r="J83" s="601">
        <v>0</v>
      </c>
      <c r="K83" s="1481">
        <f t="shared" ref="K83" si="147">IFERROR(SUM(F83:J83), 0)</f>
        <v>0</v>
      </c>
      <c r="L83" s="2227">
        <v>0</v>
      </c>
      <c r="M83" s="2227">
        <v>0</v>
      </c>
      <c r="N83" s="2227">
        <v>0</v>
      </c>
      <c r="O83" s="2227">
        <v>0</v>
      </c>
      <c r="P83" s="2227">
        <v>0</v>
      </c>
      <c r="Q83" s="2228">
        <f t="shared" si="140"/>
        <v>0</v>
      </c>
      <c r="R83" s="1541"/>
      <c r="S83" s="1541"/>
      <c r="T83" s="1555"/>
      <c r="U83" s="197"/>
      <c r="V83" s="966" t="s">
        <v>7488</v>
      </c>
      <c r="W83" s="197"/>
      <c r="X83" s="258"/>
      <c r="Y83" s="197"/>
      <c r="Z83" s="2576"/>
      <c r="AA83" s="251">
        <f t="shared" si="141"/>
        <v>0</v>
      </c>
      <c r="AB83" s="2578"/>
      <c r="AC83" s="252">
        <f t="shared" si="142"/>
        <v>0</v>
      </c>
      <c r="AD83" s="252">
        <f t="shared" si="143"/>
        <v>0</v>
      </c>
      <c r="AE83" s="252">
        <f t="shared" si="144"/>
        <v>0</v>
      </c>
      <c r="AF83" s="252">
        <f t="shared" si="145"/>
        <v>0</v>
      </c>
      <c r="AG83" s="252">
        <f t="shared" si="146"/>
        <v>0</v>
      </c>
      <c r="AH83" s="237"/>
      <c r="AI83" s="237"/>
      <c r="AJ83" s="237"/>
      <c r="AK83" s="237"/>
      <c r="AL83" s="237"/>
      <c r="AM83" s="237"/>
      <c r="AN83" s="237"/>
      <c r="AO83" s="237"/>
      <c r="AP83" s="237"/>
      <c r="AQ83" s="237"/>
      <c r="AR83" s="2578"/>
      <c r="AS83" s="2562"/>
      <c r="AT83" s="2241" t="s">
        <v>7486</v>
      </c>
      <c r="AU83" s="318" t="s">
        <v>1693</v>
      </c>
      <c r="AV83" s="601" t="s">
        <v>1040</v>
      </c>
      <c r="AW83" s="601" t="s">
        <v>1041</v>
      </c>
      <c r="AX83" s="601" t="s">
        <v>1042</v>
      </c>
      <c r="AY83" s="601" t="s">
        <v>1043</v>
      </c>
      <c r="AZ83" s="601" t="s">
        <v>1044</v>
      </c>
      <c r="BA83" s="1481" t="s">
        <v>7489</v>
      </c>
      <c r="BB83" s="2227" t="s">
        <v>1045</v>
      </c>
      <c r="BC83" s="2227" t="s">
        <v>1046</v>
      </c>
      <c r="BD83" s="2227" t="s">
        <v>1047</v>
      </c>
      <c r="BE83" s="2227" t="s">
        <v>1048</v>
      </c>
      <c r="BF83" s="2227" t="s">
        <v>1049</v>
      </c>
      <c r="BG83" s="2228" t="s">
        <v>1050</v>
      </c>
      <c r="BH83" s="1541"/>
      <c r="BI83" s="1541"/>
      <c r="BJ83" s="1555"/>
    </row>
    <row r="84" spans="1:62" ht="15.75" customHeight="1">
      <c r="A84" s="197"/>
      <c r="B84" s="962" t="s">
        <v>7484</v>
      </c>
      <c r="C84" s="318" t="s">
        <v>1694</v>
      </c>
      <c r="D84" s="253" t="s">
        <v>137</v>
      </c>
      <c r="E84" s="253">
        <v>3</v>
      </c>
      <c r="F84" s="1481">
        <f>IFERROR(SUM(F82:F83), 0)</f>
        <v>0</v>
      </c>
      <c r="G84" s="1481">
        <f>IFERROR(SUM(G82:G83), 0)</f>
        <v>0</v>
      </c>
      <c r="H84" s="1481">
        <f t="shared" ref="H84:J84" si="148">IFERROR(SUM(H82:H83), 0)</f>
        <v>0</v>
      </c>
      <c r="I84" s="1481">
        <f t="shared" si="148"/>
        <v>10.62</v>
      </c>
      <c r="J84" s="1481">
        <f t="shared" si="148"/>
        <v>0</v>
      </c>
      <c r="K84" s="1481">
        <f t="shared" ref="K84:K103" si="149">IFERROR(SUM(F84:J84), 0)</f>
        <v>10.62</v>
      </c>
      <c r="L84" s="2229">
        <f>IFERROR(SUM(L82:L83), 0)</f>
        <v>0</v>
      </c>
      <c r="M84" s="2229">
        <f>IFERROR(SUM(M82:M83), 0)</f>
        <v>0</v>
      </c>
      <c r="N84" s="2229">
        <f t="shared" ref="N84:P84" si="150">IFERROR(SUM(N82:N83), 0)</f>
        <v>0</v>
      </c>
      <c r="O84" s="2229">
        <f t="shared" si="150"/>
        <v>0</v>
      </c>
      <c r="P84" s="2229">
        <f t="shared" si="150"/>
        <v>0</v>
      </c>
      <c r="Q84" s="2228">
        <f t="shared" si="140"/>
        <v>0</v>
      </c>
      <c r="R84" s="1962">
        <v>13.031000000000001</v>
      </c>
      <c r="S84" s="1962">
        <v>38.292000000000002</v>
      </c>
      <c r="T84" s="2239">
        <v>55.393999999999998</v>
      </c>
      <c r="U84" s="197"/>
      <c r="V84" s="966" t="s">
        <v>7490</v>
      </c>
      <c r="W84" s="197"/>
      <c r="X84" s="258"/>
      <c r="Y84" s="197"/>
      <c r="Z84" s="2576"/>
      <c r="AA84" s="251">
        <f t="shared" si="141"/>
        <v>0</v>
      </c>
      <c r="AB84" s="725"/>
      <c r="AC84" s="237"/>
      <c r="AD84" s="237"/>
      <c r="AE84" s="237"/>
      <c r="AF84" s="237"/>
      <c r="AG84" s="237"/>
      <c r="AH84" s="237"/>
      <c r="AI84" s="237"/>
      <c r="AJ84" s="237"/>
      <c r="AK84" s="237"/>
      <c r="AL84" s="237"/>
      <c r="AM84" s="237"/>
      <c r="AN84" s="237"/>
      <c r="AO84" s="252">
        <f t="shared" ref="AO84" si="151" xml:space="preserve"> IF( ISNUMBER(R84), 0, 1 )</f>
        <v>0</v>
      </c>
      <c r="AP84" s="252">
        <f t="shared" ref="AP84" si="152" xml:space="preserve"> IF( ISNUMBER(S84), 0, 1 )</f>
        <v>0</v>
      </c>
      <c r="AQ84" s="252">
        <f t="shared" ref="AQ84" si="153" xml:space="preserve"> IF( ISNUMBER(T84), 0, 1 )</f>
        <v>0</v>
      </c>
      <c r="AR84" s="2578"/>
      <c r="AS84" s="2562"/>
      <c r="AT84" s="2241" t="s">
        <v>7486</v>
      </c>
      <c r="AU84" s="318" t="s">
        <v>1694</v>
      </c>
      <c r="AV84" s="1481" t="s">
        <v>1051</v>
      </c>
      <c r="AW84" s="1481" t="s">
        <v>1052</v>
      </c>
      <c r="AX84" s="1481" t="s">
        <v>1053</v>
      </c>
      <c r="AY84" s="1481" t="s">
        <v>1054</v>
      </c>
      <c r="AZ84" s="1481" t="s">
        <v>1055</v>
      </c>
      <c r="BA84" s="1481" t="s">
        <v>7491</v>
      </c>
      <c r="BB84" s="2229" t="s">
        <v>1056</v>
      </c>
      <c r="BC84" s="2229" t="s">
        <v>1057</v>
      </c>
      <c r="BD84" s="2229" t="s">
        <v>1058</v>
      </c>
      <c r="BE84" s="2229" t="s">
        <v>1059</v>
      </c>
      <c r="BF84" s="2229" t="s">
        <v>1023</v>
      </c>
      <c r="BG84" s="2228" t="s">
        <v>1024</v>
      </c>
      <c r="BH84" s="1962" t="s">
        <v>7492</v>
      </c>
      <c r="BI84" s="1962" t="s">
        <v>7493</v>
      </c>
      <c r="BJ84" s="2239" t="s">
        <v>7494</v>
      </c>
    </row>
    <row r="85" spans="1:62" ht="15.75" customHeight="1">
      <c r="A85" s="197"/>
      <c r="B85" s="962" t="s">
        <v>7495</v>
      </c>
      <c r="C85" s="318" t="s">
        <v>1692</v>
      </c>
      <c r="D85" s="253" t="s">
        <v>137</v>
      </c>
      <c r="E85" s="253">
        <v>3</v>
      </c>
      <c r="F85" s="601">
        <v>0</v>
      </c>
      <c r="G85" s="601">
        <v>0</v>
      </c>
      <c r="H85" s="601">
        <v>0</v>
      </c>
      <c r="I85" s="601">
        <v>0</v>
      </c>
      <c r="J85" s="601">
        <v>0</v>
      </c>
      <c r="K85" s="1481">
        <f t="shared" si="149"/>
        <v>0</v>
      </c>
      <c r="L85" s="2227">
        <v>0</v>
      </c>
      <c r="M85" s="2227">
        <v>0</v>
      </c>
      <c r="N85" s="2227">
        <v>0</v>
      </c>
      <c r="O85" s="2227">
        <v>0</v>
      </c>
      <c r="P85" s="2227">
        <v>0</v>
      </c>
      <c r="Q85" s="2228">
        <f t="shared" si="140"/>
        <v>0</v>
      </c>
      <c r="R85" s="1541"/>
      <c r="S85" s="1541"/>
      <c r="T85" s="1555"/>
      <c r="U85" s="197"/>
      <c r="V85" s="966" t="s">
        <v>7496</v>
      </c>
      <c r="W85" s="197"/>
      <c r="X85" s="258"/>
      <c r="Y85" s="197"/>
      <c r="Z85" s="2576"/>
      <c r="AA85" s="251">
        <f t="shared" ref="AA85:AA87" si="154">IF( SUM( AC85:AQ85 ) = 0, 0, $AC$9 )</f>
        <v>0</v>
      </c>
      <c r="AB85" s="2578"/>
      <c r="AC85" s="252">
        <f t="shared" ref="AC85" si="155" xml:space="preserve"> IF( ISNUMBER(F85), 0, 1 )</f>
        <v>0</v>
      </c>
      <c r="AD85" s="252">
        <f t="shared" ref="AD85:AD86" si="156" xml:space="preserve"> IF( ISNUMBER(G85), 0, 1 )</f>
        <v>0</v>
      </c>
      <c r="AE85" s="252">
        <f t="shared" ref="AE85:AE86" si="157" xml:space="preserve"> IF( ISNUMBER(H85), 0, 1 )</f>
        <v>0</v>
      </c>
      <c r="AF85" s="252">
        <f t="shared" ref="AF85:AF86" si="158" xml:space="preserve"> IF( ISNUMBER(I85), 0, 1 )</f>
        <v>0</v>
      </c>
      <c r="AG85" s="252">
        <f t="shared" ref="AG85:AG86" si="159" xml:space="preserve"> IF( ISNUMBER(J85), 0, 1 )</f>
        <v>0</v>
      </c>
      <c r="AH85" s="237"/>
      <c r="AI85" s="237"/>
      <c r="AJ85" s="237"/>
      <c r="AK85" s="237"/>
      <c r="AL85" s="237"/>
      <c r="AM85" s="237"/>
      <c r="AN85" s="237"/>
      <c r="AO85" s="237"/>
      <c r="AP85" s="237"/>
      <c r="AQ85" s="237"/>
      <c r="AR85" s="2578"/>
      <c r="AS85" s="2562"/>
      <c r="AT85" s="2241" t="s">
        <v>7497</v>
      </c>
      <c r="AU85" s="318" t="s">
        <v>1692</v>
      </c>
      <c r="AV85" s="601" t="s">
        <v>1060</v>
      </c>
      <c r="AW85" s="601" t="s">
        <v>1061</v>
      </c>
      <c r="AX85" s="601" t="s">
        <v>1062</v>
      </c>
      <c r="AY85" s="601" t="s">
        <v>1063</v>
      </c>
      <c r="AZ85" s="601" t="s">
        <v>1064</v>
      </c>
      <c r="BA85" s="1481" t="s">
        <v>7498</v>
      </c>
      <c r="BB85" s="2227" t="s">
        <v>1065</v>
      </c>
      <c r="BC85" s="2227" t="s">
        <v>1066</v>
      </c>
      <c r="BD85" s="2227" t="s">
        <v>1067</v>
      </c>
      <c r="BE85" s="2227" t="s">
        <v>1068</v>
      </c>
      <c r="BF85" s="2227" t="s">
        <v>1025</v>
      </c>
      <c r="BG85" s="2228" t="s">
        <v>1026</v>
      </c>
      <c r="BH85" s="1541"/>
      <c r="BI85" s="1541"/>
      <c r="BJ85" s="1555"/>
    </row>
    <row r="86" spans="1:62" ht="15.75" customHeight="1">
      <c r="A86" s="197"/>
      <c r="B86" s="962" t="s">
        <v>7495</v>
      </c>
      <c r="C86" s="318" t="s">
        <v>1693</v>
      </c>
      <c r="D86" s="253" t="s">
        <v>137</v>
      </c>
      <c r="E86" s="253">
        <v>3</v>
      </c>
      <c r="F86" s="601">
        <v>0</v>
      </c>
      <c r="G86" s="601">
        <v>0</v>
      </c>
      <c r="H86" s="601">
        <v>0</v>
      </c>
      <c r="I86" s="601">
        <v>0</v>
      </c>
      <c r="J86" s="601">
        <v>0</v>
      </c>
      <c r="K86" s="1481">
        <f t="shared" si="149"/>
        <v>0</v>
      </c>
      <c r="L86" s="2227">
        <v>0</v>
      </c>
      <c r="M86" s="2227">
        <v>0</v>
      </c>
      <c r="N86" s="2227">
        <v>0</v>
      </c>
      <c r="O86" s="2227">
        <v>0</v>
      </c>
      <c r="P86" s="2227">
        <v>0</v>
      </c>
      <c r="Q86" s="2228">
        <f t="shared" si="140"/>
        <v>0</v>
      </c>
      <c r="R86" s="1541"/>
      <c r="S86" s="1541"/>
      <c r="T86" s="1555"/>
      <c r="U86" s="197"/>
      <c r="V86" s="966" t="s">
        <v>7499</v>
      </c>
      <c r="W86" s="197"/>
      <c r="X86" s="258"/>
      <c r="Y86" s="197"/>
      <c r="Z86" s="2576"/>
      <c r="AA86" s="251">
        <f t="shared" si="154"/>
        <v>0</v>
      </c>
      <c r="AB86" s="2578"/>
      <c r="AC86" s="252">
        <f xml:space="preserve"> IF( ISNUMBER(F86), 0, 1 )</f>
        <v>0</v>
      </c>
      <c r="AD86" s="252">
        <f t="shared" si="156"/>
        <v>0</v>
      </c>
      <c r="AE86" s="252">
        <f t="shared" si="157"/>
        <v>0</v>
      </c>
      <c r="AF86" s="252">
        <f t="shared" si="158"/>
        <v>0</v>
      </c>
      <c r="AG86" s="252">
        <f t="shared" si="159"/>
        <v>0</v>
      </c>
      <c r="AH86" s="237"/>
      <c r="AI86" s="237"/>
      <c r="AJ86" s="237"/>
      <c r="AK86" s="237"/>
      <c r="AL86" s="237"/>
      <c r="AM86" s="237"/>
      <c r="AN86" s="237"/>
      <c r="AO86" s="237"/>
      <c r="AP86" s="237"/>
      <c r="AQ86" s="237"/>
      <c r="AR86" s="2578"/>
      <c r="AS86" s="2562"/>
      <c r="AT86" s="2241" t="s">
        <v>7497</v>
      </c>
      <c r="AU86" s="318" t="s">
        <v>1693</v>
      </c>
      <c r="AV86" s="601" t="s">
        <v>1069</v>
      </c>
      <c r="AW86" s="601" t="s">
        <v>1070</v>
      </c>
      <c r="AX86" s="601" t="s">
        <v>1071</v>
      </c>
      <c r="AY86" s="601" t="s">
        <v>1072</v>
      </c>
      <c r="AZ86" s="601" t="s">
        <v>1073</v>
      </c>
      <c r="BA86" s="1481" t="s">
        <v>7500</v>
      </c>
      <c r="BB86" s="2227" t="s">
        <v>1074</v>
      </c>
      <c r="BC86" s="2227" t="s">
        <v>1075</v>
      </c>
      <c r="BD86" s="2227" t="s">
        <v>1076</v>
      </c>
      <c r="BE86" s="2227" t="s">
        <v>1077</v>
      </c>
      <c r="BF86" s="2227" t="s">
        <v>1027</v>
      </c>
      <c r="BG86" s="2228" t="s">
        <v>1028</v>
      </c>
      <c r="BH86" s="1541"/>
      <c r="BI86" s="1541"/>
      <c r="BJ86" s="1555"/>
    </row>
    <row r="87" spans="1:62" ht="15.75" customHeight="1">
      <c r="A87" s="197"/>
      <c r="B87" s="962" t="s">
        <v>7495</v>
      </c>
      <c r="C87" s="318" t="s">
        <v>1694</v>
      </c>
      <c r="D87" s="253" t="s">
        <v>137</v>
      </c>
      <c r="E87" s="253">
        <v>3</v>
      </c>
      <c r="F87" s="2237">
        <f>IFERROR(SUM(F85:F86), 0)</f>
        <v>0</v>
      </c>
      <c r="G87" s="2237">
        <f>IFERROR(SUM(G85:G86), 0)</f>
        <v>0</v>
      </c>
      <c r="H87" s="2237">
        <f t="shared" ref="H87:J87" si="160">IFERROR(SUM(H85:H86), 0)</f>
        <v>0</v>
      </c>
      <c r="I87" s="2237">
        <f t="shared" si="160"/>
        <v>0</v>
      </c>
      <c r="J87" s="2237">
        <f t="shared" si="160"/>
        <v>0</v>
      </c>
      <c r="K87" s="1481">
        <f t="shared" si="149"/>
        <v>0</v>
      </c>
      <c r="L87" s="2229">
        <f>IFERROR(SUM(L85:L86), 0)</f>
        <v>0</v>
      </c>
      <c r="M87" s="2229">
        <f>IFERROR(SUM(M85:M86), 0)</f>
        <v>0</v>
      </c>
      <c r="N87" s="2229">
        <f t="shared" ref="N87:P87" si="161">IFERROR(SUM(N85:N86), 0)</f>
        <v>0</v>
      </c>
      <c r="O87" s="2229">
        <f t="shared" si="161"/>
        <v>0</v>
      </c>
      <c r="P87" s="2229">
        <f t="shared" si="161"/>
        <v>0</v>
      </c>
      <c r="Q87" s="2228">
        <f t="shared" si="140"/>
        <v>0</v>
      </c>
      <c r="R87" s="1962">
        <v>0</v>
      </c>
      <c r="S87" s="1962">
        <v>0</v>
      </c>
      <c r="T87" s="2239">
        <v>0</v>
      </c>
      <c r="U87" s="197"/>
      <c r="V87" s="966" t="s">
        <v>7501</v>
      </c>
      <c r="W87" s="197"/>
      <c r="X87" s="258"/>
      <c r="Y87" s="197"/>
      <c r="Z87" s="2576"/>
      <c r="AA87" s="251">
        <f t="shared" si="154"/>
        <v>0</v>
      </c>
      <c r="AB87" s="725"/>
      <c r="AC87" s="237"/>
      <c r="AD87" s="237"/>
      <c r="AE87" s="237"/>
      <c r="AF87" s="237"/>
      <c r="AG87" s="237"/>
      <c r="AH87" s="237"/>
      <c r="AI87" s="237"/>
      <c r="AJ87" s="237"/>
      <c r="AK87" s="237"/>
      <c r="AL87" s="237"/>
      <c r="AM87" s="237"/>
      <c r="AN87" s="237"/>
      <c r="AO87" s="252">
        <f t="shared" ref="AO87" si="162" xml:space="preserve"> IF( ISNUMBER(R87), 0, 1 )</f>
        <v>0</v>
      </c>
      <c r="AP87" s="252">
        <f t="shared" ref="AP87" si="163" xml:space="preserve"> IF( ISNUMBER(S87), 0, 1 )</f>
        <v>0</v>
      </c>
      <c r="AQ87" s="252">
        <f t="shared" ref="AQ87" si="164" xml:space="preserve"> IF( ISNUMBER(T87), 0, 1 )</f>
        <v>0</v>
      </c>
      <c r="AR87" s="2578"/>
      <c r="AS87" s="2562"/>
      <c r="AT87" s="2241" t="s">
        <v>7497</v>
      </c>
      <c r="AU87" s="318" t="s">
        <v>1694</v>
      </c>
      <c r="AV87" s="2237" t="s">
        <v>1078</v>
      </c>
      <c r="AW87" s="2237" t="s">
        <v>1079</v>
      </c>
      <c r="AX87" s="2237" t="s">
        <v>1080</v>
      </c>
      <c r="AY87" s="2237" t="s">
        <v>1081</v>
      </c>
      <c r="AZ87" s="2237" t="s">
        <v>1082</v>
      </c>
      <c r="BA87" s="1481" t="s">
        <v>7502</v>
      </c>
      <c r="BB87" s="2229" t="s">
        <v>1083</v>
      </c>
      <c r="BC87" s="2229" t="s">
        <v>1084</v>
      </c>
      <c r="BD87" s="2229" t="s">
        <v>1085</v>
      </c>
      <c r="BE87" s="2229" t="s">
        <v>1086</v>
      </c>
      <c r="BF87" s="2229" t="s">
        <v>1087</v>
      </c>
      <c r="BG87" s="2228" t="s">
        <v>1088</v>
      </c>
      <c r="BH87" s="1962" t="s">
        <v>7492</v>
      </c>
      <c r="BI87" s="1962" t="s">
        <v>7493</v>
      </c>
      <c r="BJ87" s="2239" t="s">
        <v>7494</v>
      </c>
    </row>
    <row r="88" spans="1:62" ht="15.75" customHeight="1">
      <c r="A88" s="197"/>
      <c r="B88" s="962" t="s">
        <v>7503</v>
      </c>
      <c r="C88" s="318" t="s">
        <v>1692</v>
      </c>
      <c r="D88" s="253" t="s">
        <v>137</v>
      </c>
      <c r="E88" s="253">
        <v>3</v>
      </c>
      <c r="F88" s="2237">
        <f t="shared" ref="F88:J89" si="165">IFERROR(SUM(F82+F85), 0)</f>
        <v>0</v>
      </c>
      <c r="G88" s="2237">
        <f t="shared" si="165"/>
        <v>0</v>
      </c>
      <c r="H88" s="2237">
        <f t="shared" si="165"/>
        <v>0</v>
      </c>
      <c r="I88" s="2237">
        <f t="shared" si="165"/>
        <v>10.62</v>
      </c>
      <c r="J88" s="2237">
        <f t="shared" si="165"/>
        <v>0</v>
      </c>
      <c r="K88" s="1481">
        <f t="shared" si="149"/>
        <v>10.62</v>
      </c>
      <c r="L88" s="2227">
        <v>0</v>
      </c>
      <c r="M88" s="2227">
        <v>0</v>
      </c>
      <c r="N88" s="2227">
        <v>0</v>
      </c>
      <c r="O88" s="2227">
        <v>0</v>
      </c>
      <c r="P88" s="2227">
        <v>0</v>
      </c>
      <c r="Q88" s="2228">
        <f>IFERROR(SUM(L88:P88), 0)</f>
        <v>0</v>
      </c>
      <c r="R88" s="1541"/>
      <c r="S88" s="1541"/>
      <c r="T88" s="1555"/>
      <c r="U88" s="197"/>
      <c r="V88" s="966" t="s">
        <v>7504</v>
      </c>
      <c r="W88" s="197"/>
      <c r="X88" s="258"/>
      <c r="Y88" s="197"/>
      <c r="Z88" s="2576"/>
      <c r="AA88" s="251">
        <f t="shared" ref="AA88:AA96" si="166">IF( SUM( AC88:AQ88 ) = 0, 0, $AC$9 )</f>
        <v>0</v>
      </c>
      <c r="AB88" s="2578"/>
      <c r="AC88" s="252">
        <f xml:space="preserve"> IF( ISNUMBER(F88), 0, 1 )</f>
        <v>0</v>
      </c>
      <c r="AD88" s="252">
        <f t="shared" ref="AD88:AD89" si="167" xml:space="preserve"> IF( ISNUMBER(G88), 0, 1 )</f>
        <v>0</v>
      </c>
      <c r="AE88" s="252">
        <f t="shared" ref="AE88:AE89" si="168" xml:space="preserve"> IF( ISNUMBER(H88), 0, 1 )</f>
        <v>0</v>
      </c>
      <c r="AF88" s="252">
        <f t="shared" ref="AF88:AF89" si="169" xml:space="preserve"> IF( ISNUMBER(I88), 0, 1 )</f>
        <v>0</v>
      </c>
      <c r="AG88" s="252">
        <f t="shared" ref="AG88:AG89" si="170" xml:space="preserve"> IF( ISNUMBER(J88), 0, 1 )</f>
        <v>0</v>
      </c>
      <c r="AH88" s="237"/>
      <c r="AI88" s="237"/>
      <c r="AJ88" s="237"/>
      <c r="AK88" s="237"/>
      <c r="AL88" s="237"/>
      <c r="AM88" s="237"/>
      <c r="AN88" s="237"/>
      <c r="AO88" s="237"/>
      <c r="AP88" s="237"/>
      <c r="AQ88" s="237"/>
      <c r="AR88" s="2578"/>
      <c r="AS88" s="2562"/>
      <c r="AT88" s="2241" t="s">
        <v>7503</v>
      </c>
      <c r="AU88" s="318" t="s">
        <v>1692</v>
      </c>
      <c r="AV88" s="2237" t="s">
        <v>7505</v>
      </c>
      <c r="AW88" s="2237" t="s">
        <v>7506</v>
      </c>
      <c r="AX88" s="2237" t="s">
        <v>7507</v>
      </c>
      <c r="AY88" s="2237" t="s">
        <v>7508</v>
      </c>
      <c r="AZ88" s="2237" t="s">
        <v>7509</v>
      </c>
      <c r="BA88" s="1481" t="s">
        <v>7510</v>
      </c>
      <c r="BB88" s="2227" t="s">
        <v>1089</v>
      </c>
      <c r="BC88" s="2227" t="s">
        <v>1090</v>
      </c>
      <c r="BD88" s="2227" t="s">
        <v>1091</v>
      </c>
      <c r="BE88" s="2227" t="s">
        <v>1092</v>
      </c>
      <c r="BF88" s="2227" t="s">
        <v>1093</v>
      </c>
      <c r="BG88" s="2228" t="s">
        <v>1094</v>
      </c>
      <c r="BH88" s="1541"/>
      <c r="BI88" s="1541"/>
      <c r="BJ88" s="1555"/>
    </row>
    <row r="89" spans="1:62" ht="15.75" customHeight="1">
      <c r="A89" s="197"/>
      <c r="B89" s="962" t="s">
        <v>7503</v>
      </c>
      <c r="C89" s="318" t="s">
        <v>1693</v>
      </c>
      <c r="D89" s="253" t="s">
        <v>137</v>
      </c>
      <c r="E89" s="253">
        <v>3</v>
      </c>
      <c r="F89" s="2237">
        <f t="shared" si="165"/>
        <v>0</v>
      </c>
      <c r="G89" s="2237">
        <f t="shared" si="165"/>
        <v>0</v>
      </c>
      <c r="H89" s="2237">
        <f t="shared" si="165"/>
        <v>0</v>
      </c>
      <c r="I89" s="2237">
        <f t="shared" si="165"/>
        <v>0</v>
      </c>
      <c r="J89" s="2237">
        <f t="shared" si="165"/>
        <v>0</v>
      </c>
      <c r="K89" s="1481">
        <f t="shared" si="149"/>
        <v>0</v>
      </c>
      <c r="L89" s="2227">
        <v>0</v>
      </c>
      <c r="M89" s="2227">
        <v>0</v>
      </c>
      <c r="N89" s="2227">
        <v>0</v>
      </c>
      <c r="O89" s="2227">
        <v>0</v>
      </c>
      <c r="P89" s="2227">
        <v>0</v>
      </c>
      <c r="Q89" s="2228">
        <f>IFERROR(SUM(L89:P89), 0)</f>
        <v>0</v>
      </c>
      <c r="R89" s="1541"/>
      <c r="S89" s="1541"/>
      <c r="T89" s="1555"/>
      <c r="U89" s="197"/>
      <c r="V89" s="966" t="s">
        <v>7511</v>
      </c>
      <c r="W89" s="197"/>
      <c r="X89" s="258"/>
      <c r="Y89" s="197"/>
      <c r="Z89" s="2576"/>
      <c r="AA89" s="251">
        <f t="shared" si="166"/>
        <v>0</v>
      </c>
      <c r="AB89" s="2578"/>
      <c r="AC89" s="252">
        <f t="shared" ref="AC89" si="171" xml:space="preserve"> IF( ISNUMBER(F89), 0, 1 )</f>
        <v>0</v>
      </c>
      <c r="AD89" s="252">
        <f t="shared" si="167"/>
        <v>0</v>
      </c>
      <c r="AE89" s="252">
        <f t="shared" si="168"/>
        <v>0</v>
      </c>
      <c r="AF89" s="252">
        <f t="shared" si="169"/>
        <v>0</v>
      </c>
      <c r="AG89" s="252">
        <f t="shared" si="170"/>
        <v>0</v>
      </c>
      <c r="AH89" s="237"/>
      <c r="AI89" s="237"/>
      <c r="AJ89" s="237"/>
      <c r="AK89" s="237"/>
      <c r="AL89" s="237"/>
      <c r="AM89" s="237"/>
      <c r="AN89" s="237"/>
      <c r="AO89" s="237"/>
      <c r="AP89" s="237"/>
      <c r="AQ89" s="237"/>
      <c r="AR89" s="2578"/>
      <c r="AS89" s="2562"/>
      <c r="AT89" s="2241" t="s">
        <v>7503</v>
      </c>
      <c r="AU89" s="318" t="s">
        <v>1693</v>
      </c>
      <c r="AV89" s="2237" t="s">
        <v>7512</v>
      </c>
      <c r="AW89" s="2237" t="s">
        <v>7513</v>
      </c>
      <c r="AX89" s="2237" t="s">
        <v>7514</v>
      </c>
      <c r="AY89" s="2237" t="s">
        <v>7515</v>
      </c>
      <c r="AZ89" s="2237" t="s">
        <v>7516</v>
      </c>
      <c r="BA89" s="1481" t="s">
        <v>7517</v>
      </c>
      <c r="BB89" s="2227" t="s">
        <v>1095</v>
      </c>
      <c r="BC89" s="2227" t="s">
        <v>1096</v>
      </c>
      <c r="BD89" s="2227" t="s">
        <v>1097</v>
      </c>
      <c r="BE89" s="2227" t="s">
        <v>1098</v>
      </c>
      <c r="BF89" s="2227" t="s">
        <v>1099</v>
      </c>
      <c r="BG89" s="2228" t="s">
        <v>1100</v>
      </c>
      <c r="BH89" s="1541"/>
      <c r="BI89" s="1541"/>
      <c r="BJ89" s="1555"/>
    </row>
    <row r="90" spans="1:62" ht="15.75" customHeight="1">
      <c r="A90" s="197"/>
      <c r="B90" s="962" t="s">
        <v>7503</v>
      </c>
      <c r="C90" s="318" t="s">
        <v>1694</v>
      </c>
      <c r="D90" s="253" t="s">
        <v>137</v>
      </c>
      <c r="E90" s="253">
        <v>3</v>
      </c>
      <c r="F90" s="2237">
        <f>IFERROR(SUM(F88:F89), 0)</f>
        <v>0</v>
      </c>
      <c r="G90" s="2237">
        <f t="shared" ref="G90:J90" si="172">IFERROR(SUM(G88:G89), 0)</f>
        <v>0</v>
      </c>
      <c r="H90" s="2237">
        <f t="shared" si="172"/>
        <v>0</v>
      </c>
      <c r="I90" s="2237">
        <f t="shared" si="172"/>
        <v>10.62</v>
      </c>
      <c r="J90" s="2237">
        <f t="shared" si="172"/>
        <v>0</v>
      </c>
      <c r="K90" s="1481">
        <f t="shared" si="149"/>
        <v>10.62</v>
      </c>
      <c r="L90" s="2229">
        <f>IFERROR(SUM(L88:L89), 0)</f>
        <v>0</v>
      </c>
      <c r="M90" s="2229">
        <f>IFERROR(SUM(M88:M89), 0)</f>
        <v>0</v>
      </c>
      <c r="N90" s="2229">
        <f t="shared" ref="N90:P90" si="173">IFERROR(SUM(N88:N89), 0)</f>
        <v>0</v>
      </c>
      <c r="O90" s="2229">
        <f t="shared" si="173"/>
        <v>0</v>
      </c>
      <c r="P90" s="2229">
        <f t="shared" si="173"/>
        <v>0</v>
      </c>
      <c r="Q90" s="2228">
        <f>IFERROR(SUM(L90:P90), 0)</f>
        <v>0</v>
      </c>
      <c r="R90" s="1962">
        <v>13.031000000000001</v>
      </c>
      <c r="S90" s="1962">
        <v>38.292000000000002</v>
      </c>
      <c r="T90" s="2239">
        <v>55.393999999999998</v>
      </c>
      <c r="U90" s="197"/>
      <c r="V90" s="966" t="s">
        <v>7518</v>
      </c>
      <c r="W90" s="197"/>
      <c r="X90" s="258"/>
      <c r="Y90" s="197"/>
      <c r="Z90" s="2576"/>
      <c r="AA90" s="251">
        <f t="shared" si="166"/>
        <v>0</v>
      </c>
      <c r="AB90" s="725"/>
      <c r="AC90" s="237"/>
      <c r="AD90" s="237"/>
      <c r="AE90" s="237"/>
      <c r="AF90" s="237"/>
      <c r="AG90" s="237"/>
      <c r="AH90" s="237"/>
      <c r="AI90" s="237"/>
      <c r="AJ90" s="237"/>
      <c r="AK90" s="237"/>
      <c r="AL90" s="237"/>
      <c r="AM90" s="237"/>
      <c r="AN90" s="237"/>
      <c r="AO90" s="252">
        <f t="shared" ref="AO90" si="174" xml:space="preserve"> IF( ISNUMBER(R90), 0, 1 )</f>
        <v>0</v>
      </c>
      <c r="AP90" s="252">
        <f t="shared" ref="AP90" si="175" xml:space="preserve"> IF( ISNUMBER(S90), 0, 1 )</f>
        <v>0</v>
      </c>
      <c r="AQ90" s="252">
        <f t="shared" ref="AQ90" si="176" xml:space="preserve"> IF( ISNUMBER(T90), 0, 1 )</f>
        <v>0</v>
      </c>
      <c r="AR90" s="2578"/>
      <c r="AS90" s="2562"/>
      <c r="AT90" s="2241" t="s">
        <v>7503</v>
      </c>
      <c r="AU90" s="318" t="s">
        <v>1694</v>
      </c>
      <c r="AV90" s="2237" t="s">
        <v>7519</v>
      </c>
      <c r="AW90" s="2237" t="s">
        <v>7520</v>
      </c>
      <c r="AX90" s="2237" t="s">
        <v>7521</v>
      </c>
      <c r="AY90" s="2237" t="s">
        <v>7522</v>
      </c>
      <c r="AZ90" s="2237" t="s">
        <v>7523</v>
      </c>
      <c r="BA90" s="1481" t="s">
        <v>7524</v>
      </c>
      <c r="BB90" s="2229" t="s">
        <v>1101</v>
      </c>
      <c r="BC90" s="2229" t="s">
        <v>1102</v>
      </c>
      <c r="BD90" s="2229" t="s">
        <v>1103</v>
      </c>
      <c r="BE90" s="2229" t="s">
        <v>1104</v>
      </c>
      <c r="BF90" s="2229" t="s">
        <v>1105</v>
      </c>
      <c r="BG90" s="2228" t="s">
        <v>1106</v>
      </c>
      <c r="BH90" s="1962" t="s">
        <v>7492</v>
      </c>
      <c r="BI90" s="1962" t="s">
        <v>7493</v>
      </c>
      <c r="BJ90" s="2239" t="s">
        <v>7494</v>
      </c>
    </row>
    <row r="91" spans="1:62" ht="15.75" customHeight="1">
      <c r="A91" s="197"/>
      <c r="B91" s="962" t="s">
        <v>7525</v>
      </c>
      <c r="C91" s="318" t="s">
        <v>1692</v>
      </c>
      <c r="D91" s="253" t="s">
        <v>137</v>
      </c>
      <c r="E91" s="253">
        <v>3</v>
      </c>
      <c r="F91" s="601">
        <v>7.0000000000000007E-2</v>
      </c>
      <c r="G91" s="601">
        <v>0</v>
      </c>
      <c r="H91" s="601">
        <v>0</v>
      </c>
      <c r="I91" s="601">
        <v>0</v>
      </c>
      <c r="J91" s="601">
        <v>0</v>
      </c>
      <c r="K91" s="1481">
        <f t="shared" si="149"/>
        <v>7.0000000000000007E-2</v>
      </c>
      <c r="L91" s="1539"/>
      <c r="M91" s="1544"/>
      <c r="N91" s="1544"/>
      <c r="O91" s="1544"/>
      <c r="P91" s="1544"/>
      <c r="Q91" s="1544"/>
      <c r="R91" s="1541"/>
      <c r="S91" s="1541"/>
      <c r="T91" s="1555"/>
      <c r="U91" s="197"/>
      <c r="V91" s="966" t="s">
        <v>7526</v>
      </c>
      <c r="W91" s="197"/>
      <c r="X91" s="258"/>
      <c r="Y91" s="197"/>
      <c r="Z91" s="2576"/>
      <c r="AA91" s="251">
        <f t="shared" si="166"/>
        <v>0</v>
      </c>
      <c r="AB91" s="2578"/>
      <c r="AC91" s="252">
        <f t="shared" ref="AC91:AC92" si="177" xml:space="preserve"> IF( ISNUMBER(F91), 0, 1 )</f>
        <v>0</v>
      </c>
      <c r="AD91" s="252">
        <f t="shared" ref="AD91:AD92" si="178" xml:space="preserve"> IF( ISNUMBER(G91), 0, 1 )</f>
        <v>0</v>
      </c>
      <c r="AE91" s="252">
        <f t="shared" ref="AE91:AE92" si="179" xml:space="preserve"> IF( ISNUMBER(H91), 0, 1 )</f>
        <v>0</v>
      </c>
      <c r="AF91" s="252">
        <f t="shared" ref="AF91:AF92" si="180" xml:space="preserve"> IF( ISNUMBER(I91), 0, 1 )</f>
        <v>0</v>
      </c>
      <c r="AG91" s="252">
        <f t="shared" ref="AG91:AG92" si="181" xml:space="preserve"> IF( ISNUMBER(J91), 0, 1 )</f>
        <v>0</v>
      </c>
      <c r="AH91" s="237"/>
      <c r="AI91" s="237"/>
      <c r="AJ91" s="237"/>
      <c r="AK91" s="237"/>
      <c r="AL91" s="237"/>
      <c r="AM91" s="237"/>
      <c r="AN91" s="237"/>
      <c r="AO91" s="237"/>
      <c r="AP91" s="237"/>
      <c r="AQ91" s="237"/>
      <c r="AR91" s="2578"/>
      <c r="AS91" s="2562"/>
      <c r="AT91" s="962" t="s">
        <v>7525</v>
      </c>
      <c r="AU91" s="318" t="s">
        <v>1692</v>
      </c>
      <c r="AV91" s="601" t="s">
        <v>7527</v>
      </c>
      <c r="AW91" s="601" t="s">
        <v>7528</v>
      </c>
      <c r="AX91" s="601" t="s">
        <v>7529</v>
      </c>
      <c r="AY91" s="601" t="s">
        <v>7530</v>
      </c>
      <c r="AZ91" s="601" t="s">
        <v>7531</v>
      </c>
      <c r="BA91" s="1481" t="s">
        <v>7532</v>
      </c>
      <c r="BB91" s="1539"/>
      <c r="BC91" s="1544"/>
      <c r="BD91" s="1544"/>
      <c r="BE91" s="1544"/>
      <c r="BF91" s="1544"/>
      <c r="BG91" s="1544"/>
      <c r="BH91" s="1541"/>
      <c r="BI91" s="1541"/>
      <c r="BJ91" s="1555"/>
    </row>
    <row r="92" spans="1:62" ht="15.75" customHeight="1">
      <c r="A92" s="197"/>
      <c r="B92" s="962" t="s">
        <v>7525</v>
      </c>
      <c r="C92" s="318" t="s">
        <v>1693</v>
      </c>
      <c r="D92" s="253" t="s">
        <v>137</v>
      </c>
      <c r="E92" s="253">
        <v>3</v>
      </c>
      <c r="F92" s="601">
        <v>0</v>
      </c>
      <c r="G92" s="601">
        <v>0</v>
      </c>
      <c r="H92" s="601">
        <v>0</v>
      </c>
      <c r="I92" s="601">
        <v>0</v>
      </c>
      <c r="J92" s="601">
        <v>0</v>
      </c>
      <c r="K92" s="1481">
        <f t="shared" si="149"/>
        <v>0</v>
      </c>
      <c r="L92" s="1539"/>
      <c r="M92" s="1544"/>
      <c r="N92" s="1544"/>
      <c r="O92" s="1544"/>
      <c r="P92" s="1544"/>
      <c r="Q92" s="1544"/>
      <c r="R92" s="1541"/>
      <c r="S92" s="1541"/>
      <c r="T92" s="1555"/>
      <c r="U92" s="197"/>
      <c r="V92" s="966" t="s">
        <v>7533</v>
      </c>
      <c r="W92" s="197"/>
      <c r="X92" s="258"/>
      <c r="Y92" s="197"/>
      <c r="Z92" s="2576"/>
      <c r="AA92" s="251">
        <f t="shared" si="166"/>
        <v>0</v>
      </c>
      <c r="AB92" s="2578"/>
      <c r="AC92" s="252">
        <f t="shared" si="177"/>
        <v>0</v>
      </c>
      <c r="AD92" s="252">
        <f t="shared" si="178"/>
        <v>0</v>
      </c>
      <c r="AE92" s="252">
        <f t="shared" si="179"/>
        <v>0</v>
      </c>
      <c r="AF92" s="252">
        <f t="shared" si="180"/>
        <v>0</v>
      </c>
      <c r="AG92" s="252">
        <f t="shared" si="181"/>
        <v>0</v>
      </c>
      <c r="AH92" s="237"/>
      <c r="AI92" s="237"/>
      <c r="AJ92" s="237"/>
      <c r="AK92" s="237"/>
      <c r="AL92" s="237"/>
      <c r="AM92" s="237"/>
      <c r="AN92" s="237"/>
      <c r="AO92" s="237"/>
      <c r="AP92" s="237"/>
      <c r="AQ92" s="237"/>
      <c r="AR92" s="2578"/>
      <c r="AS92" s="2562"/>
      <c r="AT92" s="962" t="s">
        <v>7525</v>
      </c>
      <c r="AU92" s="318" t="s">
        <v>1693</v>
      </c>
      <c r="AV92" s="601" t="s">
        <v>7534</v>
      </c>
      <c r="AW92" s="601" t="s">
        <v>7535</v>
      </c>
      <c r="AX92" s="601" t="s">
        <v>7536</v>
      </c>
      <c r="AY92" s="601" t="s">
        <v>7537</v>
      </c>
      <c r="AZ92" s="601" t="s">
        <v>7538</v>
      </c>
      <c r="BA92" s="1481" t="s">
        <v>7539</v>
      </c>
      <c r="BB92" s="1539"/>
      <c r="BC92" s="1544"/>
      <c r="BD92" s="1544"/>
      <c r="BE92" s="1544"/>
      <c r="BF92" s="1544"/>
      <c r="BG92" s="1544"/>
      <c r="BH92" s="1541"/>
      <c r="BI92" s="1541"/>
      <c r="BJ92" s="1555"/>
    </row>
    <row r="93" spans="1:62" ht="15.75" customHeight="1">
      <c r="A93" s="197"/>
      <c r="B93" s="962" t="s">
        <v>7525</v>
      </c>
      <c r="C93" s="318" t="s">
        <v>1694</v>
      </c>
      <c r="D93" s="253" t="s">
        <v>137</v>
      </c>
      <c r="E93" s="253">
        <v>3</v>
      </c>
      <c r="F93" s="1481">
        <f>IFERROR(SUM(F91:F92), 0)</f>
        <v>7.0000000000000007E-2</v>
      </c>
      <c r="G93" s="1481">
        <f t="shared" ref="G93:J93" si="182">IFERROR(SUM(G91:G92), 0)</f>
        <v>0</v>
      </c>
      <c r="H93" s="1481">
        <f t="shared" si="182"/>
        <v>0</v>
      </c>
      <c r="I93" s="1481">
        <f t="shared" si="182"/>
        <v>0</v>
      </c>
      <c r="J93" s="1481">
        <f t="shared" si="182"/>
        <v>0</v>
      </c>
      <c r="K93" s="1481">
        <f t="shared" si="149"/>
        <v>7.0000000000000007E-2</v>
      </c>
      <c r="L93" s="1539"/>
      <c r="M93" s="1544"/>
      <c r="N93" s="1544"/>
      <c r="O93" s="1544"/>
      <c r="P93" s="1544"/>
      <c r="Q93" s="1544"/>
      <c r="R93" s="1962">
        <v>0.13100000000000001</v>
      </c>
      <c r="S93" s="1962">
        <v>0</v>
      </c>
      <c r="T93" s="2239">
        <v>0</v>
      </c>
      <c r="U93" s="197"/>
      <c r="V93" s="966" t="s">
        <v>7540</v>
      </c>
      <c r="W93" s="197"/>
      <c r="X93" s="258"/>
      <c r="Y93" s="197"/>
      <c r="Z93" s="2576"/>
      <c r="AA93" s="251">
        <f t="shared" si="166"/>
        <v>0</v>
      </c>
      <c r="AB93" s="725"/>
      <c r="AC93" s="237"/>
      <c r="AD93" s="237"/>
      <c r="AE93" s="237"/>
      <c r="AF93" s="237"/>
      <c r="AG93" s="237"/>
      <c r="AH93" s="237"/>
      <c r="AI93" s="237"/>
      <c r="AJ93" s="237"/>
      <c r="AK93" s="237"/>
      <c r="AL93" s="237"/>
      <c r="AM93" s="237"/>
      <c r="AN93" s="237"/>
      <c r="AO93" s="252">
        <f t="shared" ref="AO93" si="183" xml:space="preserve"> IF( ISNUMBER(R93), 0, 1 )</f>
        <v>0</v>
      </c>
      <c r="AP93" s="252">
        <f t="shared" ref="AP93" si="184" xml:space="preserve"> IF( ISNUMBER(S93), 0, 1 )</f>
        <v>0</v>
      </c>
      <c r="AQ93" s="252">
        <f t="shared" ref="AQ93" si="185" xml:space="preserve"> IF( ISNUMBER(T93), 0, 1 )</f>
        <v>0</v>
      </c>
      <c r="AR93" s="2578"/>
      <c r="AS93" s="2562"/>
      <c r="AT93" s="962" t="s">
        <v>7525</v>
      </c>
      <c r="AU93" s="318" t="s">
        <v>1694</v>
      </c>
      <c r="AV93" s="1481" t="s">
        <v>7541</v>
      </c>
      <c r="AW93" s="1481" t="s">
        <v>7542</v>
      </c>
      <c r="AX93" s="1481" t="s">
        <v>7543</v>
      </c>
      <c r="AY93" s="1481" t="s">
        <v>7544</v>
      </c>
      <c r="AZ93" s="1481" t="s">
        <v>7545</v>
      </c>
      <c r="BA93" s="1481" t="s">
        <v>7546</v>
      </c>
      <c r="BB93" s="1539"/>
      <c r="BC93" s="1544"/>
      <c r="BD93" s="1544"/>
      <c r="BE93" s="1544"/>
      <c r="BF93" s="1544"/>
      <c r="BG93" s="1544"/>
      <c r="BH93" s="1962" t="s">
        <v>7547</v>
      </c>
      <c r="BI93" s="1962" t="s">
        <v>7548</v>
      </c>
      <c r="BJ93" s="2239" t="s">
        <v>7549</v>
      </c>
    </row>
    <row r="94" spans="1:62" ht="32.25" customHeight="1">
      <c r="A94" s="197"/>
      <c r="B94" s="962" t="s">
        <v>7550</v>
      </c>
      <c r="C94" s="318" t="s">
        <v>1692</v>
      </c>
      <c r="D94" s="253" t="s">
        <v>137</v>
      </c>
      <c r="E94" s="253">
        <v>3</v>
      </c>
      <c r="F94" s="601">
        <v>0</v>
      </c>
      <c r="G94" s="601">
        <v>0</v>
      </c>
      <c r="H94" s="601">
        <v>0</v>
      </c>
      <c r="I94" s="601">
        <v>0</v>
      </c>
      <c r="J94" s="601">
        <v>0</v>
      </c>
      <c r="K94" s="1481">
        <f t="shared" si="149"/>
        <v>0</v>
      </c>
      <c r="L94" s="1539"/>
      <c r="M94" s="1544"/>
      <c r="N94" s="1544"/>
      <c r="O94" s="1544"/>
      <c r="P94" s="1544"/>
      <c r="Q94" s="1539"/>
      <c r="R94" s="1541"/>
      <c r="S94" s="1541"/>
      <c r="T94" s="1555"/>
      <c r="U94" s="197"/>
      <c r="V94" s="966" t="s">
        <v>7551</v>
      </c>
      <c r="W94" s="197"/>
      <c r="X94" s="258"/>
      <c r="Y94" s="197"/>
      <c r="Z94" s="2576"/>
      <c r="AA94" s="251">
        <f t="shared" si="166"/>
        <v>0</v>
      </c>
      <c r="AB94" s="2578"/>
      <c r="AC94" s="252">
        <f t="shared" ref="AC94:AC95" si="186" xml:space="preserve"> IF( ISNUMBER(F94), 0, 1 )</f>
        <v>0</v>
      </c>
      <c r="AD94" s="252">
        <f t="shared" ref="AD94:AD95" si="187" xml:space="preserve"> IF( ISNUMBER(G94), 0, 1 )</f>
        <v>0</v>
      </c>
      <c r="AE94" s="252">
        <f t="shared" ref="AE94:AE95" si="188" xml:space="preserve"> IF( ISNUMBER(H94), 0, 1 )</f>
        <v>0</v>
      </c>
      <c r="AF94" s="252">
        <f t="shared" ref="AF94:AF95" si="189" xml:space="preserve"> IF( ISNUMBER(I94), 0, 1 )</f>
        <v>0</v>
      </c>
      <c r="AG94" s="252">
        <f t="shared" ref="AG94:AG95" si="190" xml:space="preserve"> IF( ISNUMBER(J94), 0, 1 )</f>
        <v>0</v>
      </c>
      <c r="AH94" s="237"/>
      <c r="AI94" s="237"/>
      <c r="AJ94" s="237"/>
      <c r="AK94" s="237"/>
      <c r="AL94" s="237"/>
      <c r="AM94" s="237"/>
      <c r="AN94" s="237"/>
      <c r="AO94" s="237"/>
      <c r="AP94" s="237"/>
      <c r="AQ94" s="237"/>
      <c r="AR94" s="2578"/>
      <c r="AS94" s="2562"/>
      <c r="AT94" s="962" t="s">
        <v>7550</v>
      </c>
      <c r="AU94" s="318" t="s">
        <v>1692</v>
      </c>
      <c r="AV94" s="601" t="s">
        <v>7552</v>
      </c>
      <c r="AW94" s="601" t="s">
        <v>7553</v>
      </c>
      <c r="AX94" s="601" t="s">
        <v>7554</v>
      </c>
      <c r="AY94" s="601" t="s">
        <v>7555</v>
      </c>
      <c r="AZ94" s="601" t="s">
        <v>7556</v>
      </c>
      <c r="BA94" s="1481" t="s">
        <v>7557</v>
      </c>
      <c r="BB94" s="1539"/>
      <c r="BC94" s="1544"/>
      <c r="BD94" s="1544"/>
      <c r="BE94" s="1544"/>
      <c r="BF94" s="1544"/>
      <c r="BG94" s="1539"/>
      <c r="BH94" s="1541"/>
      <c r="BI94" s="1541"/>
      <c r="BJ94" s="1555"/>
    </row>
    <row r="95" spans="1:62" ht="32.25" customHeight="1">
      <c r="A95" s="197"/>
      <c r="B95" s="962" t="s">
        <v>7550</v>
      </c>
      <c r="C95" s="318" t="s">
        <v>1693</v>
      </c>
      <c r="D95" s="253" t="s">
        <v>137</v>
      </c>
      <c r="E95" s="253">
        <v>3</v>
      </c>
      <c r="F95" s="601">
        <v>0</v>
      </c>
      <c r="G95" s="601">
        <v>0</v>
      </c>
      <c r="H95" s="601">
        <v>0</v>
      </c>
      <c r="I95" s="601">
        <v>0</v>
      </c>
      <c r="J95" s="601">
        <v>0</v>
      </c>
      <c r="K95" s="1481">
        <f t="shared" si="149"/>
        <v>0</v>
      </c>
      <c r="L95" s="1539"/>
      <c r="M95" s="1544"/>
      <c r="N95" s="1544"/>
      <c r="O95" s="1544"/>
      <c r="P95" s="1544"/>
      <c r="Q95" s="1539"/>
      <c r="R95" s="1541"/>
      <c r="S95" s="1541"/>
      <c r="T95" s="1555"/>
      <c r="U95" s="197"/>
      <c r="V95" s="966" t="s">
        <v>7558</v>
      </c>
      <c r="W95" s="197"/>
      <c r="X95" s="258"/>
      <c r="Y95" s="197"/>
      <c r="Z95" s="2576"/>
      <c r="AA95" s="251">
        <f t="shared" si="166"/>
        <v>0</v>
      </c>
      <c r="AB95" s="2578"/>
      <c r="AC95" s="252">
        <f t="shared" si="186"/>
        <v>0</v>
      </c>
      <c r="AD95" s="252">
        <f t="shared" si="187"/>
        <v>0</v>
      </c>
      <c r="AE95" s="252">
        <f t="shared" si="188"/>
        <v>0</v>
      </c>
      <c r="AF95" s="252">
        <f t="shared" si="189"/>
        <v>0</v>
      </c>
      <c r="AG95" s="252">
        <f t="shared" si="190"/>
        <v>0</v>
      </c>
      <c r="AH95" s="237"/>
      <c r="AI95" s="237"/>
      <c r="AJ95" s="237"/>
      <c r="AK95" s="237"/>
      <c r="AL95" s="237"/>
      <c r="AM95" s="237"/>
      <c r="AN95" s="237"/>
      <c r="AO95" s="237"/>
      <c r="AP95" s="237"/>
      <c r="AQ95" s="237"/>
      <c r="AR95" s="2578"/>
      <c r="AS95" s="2562"/>
      <c r="AT95" s="962" t="s">
        <v>7550</v>
      </c>
      <c r="AU95" s="318" t="s">
        <v>1693</v>
      </c>
      <c r="AV95" s="601" t="s">
        <v>7559</v>
      </c>
      <c r="AW95" s="601" t="s">
        <v>7560</v>
      </c>
      <c r="AX95" s="601" t="s">
        <v>7561</v>
      </c>
      <c r="AY95" s="601" t="s">
        <v>7562</v>
      </c>
      <c r="AZ95" s="601" t="s">
        <v>7563</v>
      </c>
      <c r="BA95" s="1481" t="s">
        <v>7564</v>
      </c>
      <c r="BB95" s="1539"/>
      <c r="BC95" s="1544"/>
      <c r="BD95" s="1544"/>
      <c r="BE95" s="1544"/>
      <c r="BF95" s="1544"/>
      <c r="BG95" s="1539"/>
      <c r="BH95" s="1541"/>
      <c r="BI95" s="1541"/>
      <c r="BJ95" s="1555"/>
    </row>
    <row r="96" spans="1:62" ht="32.25" customHeight="1" thickBot="1">
      <c r="A96" s="197"/>
      <c r="B96" s="962" t="s">
        <v>7550</v>
      </c>
      <c r="C96" s="318" t="s">
        <v>1694</v>
      </c>
      <c r="D96" s="253" t="s">
        <v>137</v>
      </c>
      <c r="E96" s="253">
        <v>3</v>
      </c>
      <c r="F96" s="1481">
        <f>IFERROR(SUM(F94:F95), 0)</f>
        <v>0</v>
      </c>
      <c r="G96" s="1481">
        <f t="shared" ref="G96:J96" si="191">IFERROR(SUM(G94:G95), 0)</f>
        <v>0</v>
      </c>
      <c r="H96" s="1481">
        <f t="shared" si="191"/>
        <v>0</v>
      </c>
      <c r="I96" s="1481">
        <f t="shared" si="191"/>
        <v>0</v>
      </c>
      <c r="J96" s="1481">
        <f t="shared" si="191"/>
        <v>0</v>
      </c>
      <c r="K96" s="1481">
        <f t="shared" si="149"/>
        <v>0</v>
      </c>
      <c r="L96" s="1539"/>
      <c r="M96" s="1544"/>
      <c r="N96" s="1544"/>
      <c r="O96" s="1544"/>
      <c r="P96" s="1544"/>
      <c r="Q96" s="1539"/>
      <c r="R96" s="1962">
        <v>0</v>
      </c>
      <c r="S96" s="1962">
        <v>0</v>
      </c>
      <c r="T96" s="2239">
        <v>0</v>
      </c>
      <c r="U96" s="197"/>
      <c r="V96" s="966" t="s">
        <v>7565</v>
      </c>
      <c r="W96" s="197"/>
      <c r="X96" s="258"/>
      <c r="Y96" s="197"/>
      <c r="Z96" s="2576"/>
      <c r="AA96" s="251">
        <f t="shared" si="166"/>
        <v>0</v>
      </c>
      <c r="AB96" s="725"/>
      <c r="AC96" s="237"/>
      <c r="AD96" s="237"/>
      <c r="AE96" s="237"/>
      <c r="AF96" s="237"/>
      <c r="AG96" s="237"/>
      <c r="AH96" s="237"/>
      <c r="AI96" s="237"/>
      <c r="AJ96" s="237"/>
      <c r="AK96" s="237"/>
      <c r="AL96" s="237"/>
      <c r="AM96" s="237"/>
      <c r="AN96" s="237"/>
      <c r="AO96" s="252">
        <f t="shared" ref="AO96" si="192" xml:space="preserve"> IF( ISNUMBER(R96), 0, 1 )</f>
        <v>0</v>
      </c>
      <c r="AP96" s="252">
        <f t="shared" ref="AP96" si="193" xml:space="preserve"> IF( ISNUMBER(S96), 0, 1 )</f>
        <v>0</v>
      </c>
      <c r="AQ96" s="252">
        <f t="shared" ref="AQ96" si="194" xml:space="preserve"> IF( ISNUMBER(T96), 0, 1 )</f>
        <v>0</v>
      </c>
      <c r="AR96" s="2578"/>
      <c r="AS96" s="2562"/>
      <c r="AT96" s="962" t="s">
        <v>7550</v>
      </c>
      <c r="AU96" s="318" t="s">
        <v>1694</v>
      </c>
      <c r="AV96" s="1481" t="s">
        <v>7566</v>
      </c>
      <c r="AW96" s="1481" t="s">
        <v>7567</v>
      </c>
      <c r="AX96" s="1481" t="s">
        <v>7568</v>
      </c>
      <c r="AY96" s="1481" t="s">
        <v>7569</v>
      </c>
      <c r="AZ96" s="1481" t="s">
        <v>7570</v>
      </c>
      <c r="BA96" s="1481" t="s">
        <v>7571</v>
      </c>
      <c r="BB96" s="1539"/>
      <c r="BC96" s="1544"/>
      <c r="BD96" s="1544"/>
      <c r="BE96" s="1544"/>
      <c r="BF96" s="1544"/>
      <c r="BG96" s="1539"/>
      <c r="BH96" s="1962" t="s">
        <v>7572</v>
      </c>
      <c r="BI96" s="1962" t="s">
        <v>7573</v>
      </c>
      <c r="BJ96" s="2239" t="s">
        <v>7574</v>
      </c>
    </row>
    <row r="97" spans="1:62" ht="31.5" thickTop="1">
      <c r="A97" s="197"/>
      <c r="B97" s="2240" t="s">
        <v>7575</v>
      </c>
      <c r="C97" s="2232" t="s">
        <v>1692</v>
      </c>
      <c r="D97" s="2233" t="s">
        <v>137</v>
      </c>
      <c r="E97" s="2233">
        <v>3</v>
      </c>
      <c r="F97" s="601">
        <v>0</v>
      </c>
      <c r="G97" s="601">
        <v>0</v>
      </c>
      <c r="H97" s="601">
        <v>0</v>
      </c>
      <c r="I97" s="601">
        <v>0</v>
      </c>
      <c r="J97" s="601">
        <v>0</v>
      </c>
      <c r="K97" s="1481">
        <f t="shared" si="149"/>
        <v>0</v>
      </c>
      <c r="L97" s="1539"/>
      <c r="M97" s="1544"/>
      <c r="N97" s="1544"/>
      <c r="O97" s="1544"/>
      <c r="P97" s="1544"/>
      <c r="Q97" s="1544"/>
      <c r="R97" s="2414"/>
      <c r="S97" s="2414"/>
      <c r="T97" s="2415"/>
      <c r="U97" s="197"/>
      <c r="V97" s="966" t="s">
        <v>7576</v>
      </c>
      <c r="W97" s="197"/>
      <c r="X97" s="258"/>
      <c r="Y97" s="197"/>
      <c r="Z97" s="2576"/>
      <c r="AA97" s="251"/>
      <c r="AB97" s="725"/>
      <c r="AC97" s="237"/>
      <c r="AD97" s="237"/>
      <c r="AE97" s="237"/>
      <c r="AF97" s="237"/>
      <c r="AG97" s="237"/>
      <c r="AH97" s="237"/>
      <c r="AI97" s="237"/>
      <c r="AJ97" s="237"/>
      <c r="AK97" s="237"/>
      <c r="AL97" s="237"/>
      <c r="AM97" s="237"/>
      <c r="AN97" s="237"/>
      <c r="AO97" s="252"/>
      <c r="AP97" s="252"/>
      <c r="AQ97" s="252"/>
      <c r="AR97" s="2578"/>
      <c r="AS97" s="2562"/>
      <c r="AT97" s="2231" t="s">
        <v>7575</v>
      </c>
      <c r="AU97" s="2242" t="s">
        <v>1692</v>
      </c>
      <c r="AV97" s="601" t="s">
        <v>1107</v>
      </c>
      <c r="AW97" s="601" t="s">
        <v>1108</v>
      </c>
      <c r="AX97" s="601" t="s">
        <v>1109</v>
      </c>
      <c r="AY97" s="601" t="s">
        <v>1110</v>
      </c>
      <c r="AZ97" s="601" t="s">
        <v>1111</v>
      </c>
      <c r="BA97" s="1481" t="s">
        <v>7577</v>
      </c>
      <c r="BB97" s="1539"/>
      <c r="BC97" s="1544"/>
      <c r="BD97" s="1544"/>
      <c r="BE97" s="1544"/>
      <c r="BF97" s="1544"/>
      <c r="BG97" s="1544"/>
      <c r="BH97" s="2414"/>
      <c r="BI97" s="2414"/>
      <c r="BJ97" s="2415"/>
    </row>
    <row r="98" spans="1:62" ht="31">
      <c r="A98" s="197"/>
      <c r="B98" s="2240" t="s">
        <v>7575</v>
      </c>
      <c r="C98" s="2232" t="s">
        <v>1693</v>
      </c>
      <c r="D98" s="2233" t="s">
        <v>137</v>
      </c>
      <c r="E98" s="2233">
        <v>3</v>
      </c>
      <c r="F98" s="601">
        <v>0</v>
      </c>
      <c r="G98" s="601">
        <v>0</v>
      </c>
      <c r="H98" s="601">
        <v>0</v>
      </c>
      <c r="I98" s="601">
        <v>0</v>
      </c>
      <c r="J98" s="601">
        <v>0</v>
      </c>
      <c r="K98" s="1481">
        <f t="shared" si="149"/>
        <v>0</v>
      </c>
      <c r="L98" s="1539"/>
      <c r="M98" s="1544"/>
      <c r="N98" s="1544"/>
      <c r="O98" s="1544"/>
      <c r="P98" s="1544"/>
      <c r="Q98" s="1544"/>
      <c r="R98" s="2414"/>
      <c r="S98" s="2414"/>
      <c r="T98" s="2415"/>
      <c r="U98" s="197"/>
      <c r="V98" s="966" t="s">
        <v>7578</v>
      </c>
      <c r="W98" s="197"/>
      <c r="X98" s="258"/>
      <c r="Y98" s="197"/>
      <c r="Z98" s="2576"/>
      <c r="AA98" s="251"/>
      <c r="AB98" s="725"/>
      <c r="AC98" s="237"/>
      <c r="AD98" s="237"/>
      <c r="AE98" s="237"/>
      <c r="AF98" s="237"/>
      <c r="AG98" s="237"/>
      <c r="AH98" s="237"/>
      <c r="AI98" s="237"/>
      <c r="AJ98" s="237"/>
      <c r="AK98" s="237"/>
      <c r="AL98" s="237"/>
      <c r="AM98" s="237"/>
      <c r="AN98" s="237"/>
      <c r="AO98" s="252"/>
      <c r="AP98" s="252"/>
      <c r="AQ98" s="252"/>
      <c r="AR98" s="2578"/>
      <c r="AS98" s="2562"/>
      <c r="AT98" s="2231" t="s">
        <v>7575</v>
      </c>
      <c r="AU98" s="2232" t="s">
        <v>1693</v>
      </c>
      <c r="AV98" s="601" t="s">
        <v>1112</v>
      </c>
      <c r="AW98" s="601" t="s">
        <v>1113</v>
      </c>
      <c r="AX98" s="601" t="s">
        <v>1114</v>
      </c>
      <c r="AY98" s="601" t="s">
        <v>1115</v>
      </c>
      <c r="AZ98" s="601" t="s">
        <v>1116</v>
      </c>
      <c r="BA98" s="1481" t="s">
        <v>7579</v>
      </c>
      <c r="BB98" s="1539"/>
      <c r="BC98" s="1544"/>
      <c r="BD98" s="1544"/>
      <c r="BE98" s="1544"/>
      <c r="BF98" s="1544"/>
      <c r="BG98" s="1544"/>
      <c r="BH98" s="2414"/>
      <c r="BI98" s="2414"/>
      <c r="BJ98" s="2415"/>
    </row>
    <row r="99" spans="1:62" ht="31">
      <c r="A99" s="197"/>
      <c r="B99" s="2240" t="s">
        <v>7575</v>
      </c>
      <c r="C99" s="2232" t="s">
        <v>1694</v>
      </c>
      <c r="D99" s="2233" t="s">
        <v>137</v>
      </c>
      <c r="E99" s="2233">
        <v>3</v>
      </c>
      <c r="F99" s="1481">
        <f>IFERROR(SUM(F97:F98), 0)</f>
        <v>0</v>
      </c>
      <c r="G99" s="1481">
        <f t="shared" ref="G99:J99" si="195">IFERROR(SUM(G97:G98), 0)</f>
        <v>0</v>
      </c>
      <c r="H99" s="1481">
        <f t="shared" si="195"/>
        <v>0</v>
      </c>
      <c r="I99" s="1481">
        <f t="shared" si="195"/>
        <v>0</v>
      </c>
      <c r="J99" s="1481">
        <f t="shared" si="195"/>
        <v>0</v>
      </c>
      <c r="K99" s="1481">
        <f t="shared" si="149"/>
        <v>0</v>
      </c>
      <c r="L99" s="1539"/>
      <c r="M99" s="1544"/>
      <c r="N99" s="1544"/>
      <c r="O99" s="1544"/>
      <c r="P99" s="1544"/>
      <c r="Q99" s="1544"/>
      <c r="R99" s="1962">
        <v>0</v>
      </c>
      <c r="S99" s="1962">
        <v>0</v>
      </c>
      <c r="T99" s="2239">
        <v>0</v>
      </c>
      <c r="U99" s="197"/>
      <c r="V99" s="966" t="s">
        <v>7580</v>
      </c>
      <c r="W99" s="197"/>
      <c r="X99" s="258"/>
      <c r="Y99" s="197"/>
      <c r="Z99" s="2576"/>
      <c r="AA99" s="251"/>
      <c r="AB99" s="725"/>
      <c r="AC99" s="237"/>
      <c r="AD99" s="237"/>
      <c r="AE99" s="237"/>
      <c r="AF99" s="237"/>
      <c r="AG99" s="237"/>
      <c r="AH99" s="237"/>
      <c r="AI99" s="237"/>
      <c r="AJ99" s="237"/>
      <c r="AK99" s="237"/>
      <c r="AL99" s="237"/>
      <c r="AM99" s="237"/>
      <c r="AN99" s="237"/>
      <c r="AO99" s="252"/>
      <c r="AP99" s="252"/>
      <c r="AQ99" s="252"/>
      <c r="AR99" s="2578"/>
      <c r="AS99" s="2562"/>
      <c r="AT99" s="2231" t="s">
        <v>7575</v>
      </c>
      <c r="AU99" s="2232" t="s">
        <v>1694</v>
      </c>
      <c r="AV99" s="1481" t="s">
        <v>1117</v>
      </c>
      <c r="AW99" s="1481" t="s">
        <v>1118</v>
      </c>
      <c r="AX99" s="1481" t="s">
        <v>1119</v>
      </c>
      <c r="AY99" s="1481" t="s">
        <v>1120</v>
      </c>
      <c r="AZ99" s="1481" t="s">
        <v>1121</v>
      </c>
      <c r="BA99" s="1481" t="s">
        <v>7581</v>
      </c>
      <c r="BB99" s="1539"/>
      <c r="BC99" s="1544"/>
      <c r="BD99" s="1544"/>
      <c r="BE99" s="1544"/>
      <c r="BF99" s="1544"/>
      <c r="BG99" s="1544"/>
      <c r="BH99" s="1962" t="s">
        <v>1122</v>
      </c>
      <c r="BI99" s="1962" t="s">
        <v>1123</v>
      </c>
      <c r="BJ99" s="1962" t="s">
        <v>1124</v>
      </c>
    </row>
    <row r="100" spans="1:62" ht="31">
      <c r="A100" s="197"/>
      <c r="B100" s="2240" t="s">
        <v>7582</v>
      </c>
      <c r="C100" s="2232" t="s">
        <v>1692</v>
      </c>
      <c r="D100" s="2233" t="s">
        <v>137</v>
      </c>
      <c r="E100" s="2233">
        <v>3</v>
      </c>
      <c r="F100" s="601">
        <v>0</v>
      </c>
      <c r="G100" s="601">
        <v>0</v>
      </c>
      <c r="H100" s="601">
        <v>0</v>
      </c>
      <c r="I100" s="601">
        <v>0.215</v>
      </c>
      <c r="J100" s="601">
        <v>1.2010000000000001</v>
      </c>
      <c r="K100" s="1481">
        <f t="shared" si="149"/>
        <v>1.4160000000000001</v>
      </c>
      <c r="L100" s="1539"/>
      <c r="M100" s="1544"/>
      <c r="N100" s="1544"/>
      <c r="O100" s="1544"/>
      <c r="P100" s="1544"/>
      <c r="Q100" s="1544"/>
      <c r="R100" s="2414"/>
      <c r="S100" s="2414"/>
      <c r="T100" s="2415"/>
      <c r="U100" s="197"/>
      <c r="V100" s="966" t="s">
        <v>7583</v>
      </c>
      <c r="W100" s="197"/>
      <c r="X100" s="258"/>
      <c r="Y100" s="197"/>
      <c r="Z100" s="2576"/>
      <c r="AA100" s="251"/>
      <c r="AB100" s="725"/>
      <c r="AC100" s="237"/>
      <c r="AD100" s="237"/>
      <c r="AE100" s="237"/>
      <c r="AF100" s="237"/>
      <c r="AG100" s="237"/>
      <c r="AH100" s="237"/>
      <c r="AI100" s="237"/>
      <c r="AJ100" s="237"/>
      <c r="AK100" s="237"/>
      <c r="AL100" s="237"/>
      <c r="AM100" s="237"/>
      <c r="AN100" s="237"/>
      <c r="AO100" s="252"/>
      <c r="AP100" s="252"/>
      <c r="AQ100" s="252"/>
      <c r="AR100" s="2578"/>
      <c r="AS100" s="2562"/>
      <c r="AT100" s="2234" t="s">
        <v>7582</v>
      </c>
      <c r="AU100" s="2232" t="s">
        <v>1692</v>
      </c>
      <c r="AV100" s="601" t="s">
        <v>1125</v>
      </c>
      <c r="AW100" s="601" t="s">
        <v>1126</v>
      </c>
      <c r="AX100" s="601" t="s">
        <v>1127</v>
      </c>
      <c r="AY100" s="601" t="s">
        <v>1128</v>
      </c>
      <c r="AZ100" s="601" t="s">
        <v>1129</v>
      </c>
      <c r="BA100" s="1481" t="s">
        <v>7584</v>
      </c>
      <c r="BB100" s="1539"/>
      <c r="BC100" s="1544"/>
      <c r="BD100" s="1544"/>
      <c r="BE100" s="1544"/>
      <c r="BF100" s="1544"/>
      <c r="BG100" s="1544"/>
      <c r="BH100" s="2414"/>
      <c r="BI100" s="2414"/>
      <c r="BJ100" s="2415"/>
    </row>
    <row r="101" spans="1:62" ht="30" customHeight="1">
      <c r="A101" s="197"/>
      <c r="B101" s="2240" t="s">
        <v>7582</v>
      </c>
      <c r="C101" s="2232" t="s">
        <v>1693</v>
      </c>
      <c r="D101" s="2233" t="s">
        <v>137</v>
      </c>
      <c r="E101" s="2233">
        <v>3</v>
      </c>
      <c r="F101" s="601">
        <v>0</v>
      </c>
      <c r="G101" s="601">
        <v>0</v>
      </c>
      <c r="H101" s="601">
        <v>0</v>
      </c>
      <c r="I101" s="601">
        <v>0</v>
      </c>
      <c r="J101" s="601">
        <v>0</v>
      </c>
      <c r="K101" s="1481">
        <f t="shared" si="149"/>
        <v>0</v>
      </c>
      <c r="L101" s="1539"/>
      <c r="M101" s="1544"/>
      <c r="N101" s="1544"/>
      <c r="O101" s="1544"/>
      <c r="P101" s="1544"/>
      <c r="Q101" s="1544"/>
      <c r="R101" s="2414"/>
      <c r="S101" s="2414"/>
      <c r="T101" s="2415"/>
      <c r="U101" s="197"/>
      <c r="V101" s="966" t="s">
        <v>7585</v>
      </c>
      <c r="W101" s="197"/>
      <c r="X101" s="258"/>
      <c r="Y101" s="197"/>
      <c r="Z101" s="2576"/>
      <c r="AA101" s="251"/>
      <c r="AB101" s="725"/>
      <c r="AC101" s="237"/>
      <c r="AD101" s="237"/>
      <c r="AE101" s="237"/>
      <c r="AF101" s="237"/>
      <c r="AG101" s="237"/>
      <c r="AH101" s="237"/>
      <c r="AI101" s="237"/>
      <c r="AJ101" s="237"/>
      <c r="AK101" s="237"/>
      <c r="AL101" s="237"/>
      <c r="AM101" s="237"/>
      <c r="AN101" s="237"/>
      <c r="AO101" s="252"/>
      <c r="AP101" s="252"/>
      <c r="AQ101" s="252"/>
      <c r="AR101" s="2578"/>
      <c r="AS101" s="2562"/>
      <c r="AT101" s="2234" t="s">
        <v>7582</v>
      </c>
      <c r="AU101" s="2232" t="s">
        <v>1693</v>
      </c>
      <c r="AV101" s="601" t="s">
        <v>1130</v>
      </c>
      <c r="AW101" s="601" t="s">
        <v>1131</v>
      </c>
      <c r="AX101" s="601" t="s">
        <v>1132</v>
      </c>
      <c r="AY101" s="601" t="s">
        <v>1133</v>
      </c>
      <c r="AZ101" s="601" t="s">
        <v>1134</v>
      </c>
      <c r="BA101" s="1481" t="s">
        <v>7586</v>
      </c>
      <c r="BB101" s="1539"/>
      <c r="BC101" s="1544"/>
      <c r="BD101" s="1544"/>
      <c r="BE101" s="1544"/>
      <c r="BF101" s="1544"/>
      <c r="BG101" s="1544"/>
      <c r="BH101" s="2414"/>
      <c r="BI101" s="2414"/>
      <c r="BJ101" s="2415"/>
    </row>
    <row r="102" spans="1:62" ht="34.5" customHeight="1">
      <c r="A102" s="197"/>
      <c r="B102" s="2240" t="s">
        <v>7582</v>
      </c>
      <c r="C102" s="2232" t="s">
        <v>1694</v>
      </c>
      <c r="D102" s="2233" t="s">
        <v>137</v>
      </c>
      <c r="E102" s="2233">
        <v>3</v>
      </c>
      <c r="F102" s="1481">
        <f>IFERROR(SUM(F100:F101), 0)</f>
        <v>0</v>
      </c>
      <c r="G102" s="1481">
        <f t="shared" ref="G102" si="196">IFERROR(SUM(G100:G101), 0)</f>
        <v>0</v>
      </c>
      <c r="H102" s="1481">
        <f t="shared" ref="H102" si="197">IFERROR(SUM(H100:H101), 0)</f>
        <v>0</v>
      </c>
      <c r="I102" s="1481">
        <f t="shared" ref="I102" si="198">IFERROR(SUM(I100:I101), 0)</f>
        <v>0.215</v>
      </c>
      <c r="J102" s="1481">
        <f t="shared" ref="J102" si="199">IFERROR(SUM(J100:J101), 0)</f>
        <v>1.2010000000000001</v>
      </c>
      <c r="K102" s="1481">
        <f t="shared" si="149"/>
        <v>1.4160000000000001</v>
      </c>
      <c r="L102" s="1539"/>
      <c r="M102" s="1544"/>
      <c r="N102" s="1544"/>
      <c r="O102" s="1544"/>
      <c r="P102" s="1544"/>
      <c r="Q102" s="1544"/>
      <c r="R102" s="1962">
        <v>0</v>
      </c>
      <c r="S102" s="1962">
        <v>0</v>
      </c>
      <c r="T102" s="2239">
        <v>0</v>
      </c>
      <c r="U102" s="197"/>
      <c r="V102" s="966" t="s">
        <v>7587</v>
      </c>
      <c r="W102" s="197"/>
      <c r="X102" s="258"/>
      <c r="Y102" s="197"/>
      <c r="Z102" s="2576"/>
      <c r="AA102" s="251"/>
      <c r="AB102" s="725"/>
      <c r="AC102" s="237"/>
      <c r="AD102" s="237"/>
      <c r="AE102" s="237"/>
      <c r="AF102" s="237"/>
      <c r="AG102" s="237"/>
      <c r="AH102" s="237"/>
      <c r="AI102" s="237"/>
      <c r="AJ102" s="237"/>
      <c r="AK102" s="237"/>
      <c r="AL102" s="237"/>
      <c r="AM102" s="237"/>
      <c r="AN102" s="237"/>
      <c r="AO102" s="252"/>
      <c r="AP102" s="252"/>
      <c r="AQ102" s="252"/>
      <c r="AR102" s="2578"/>
      <c r="AS102" s="2562"/>
      <c r="AT102" s="2234" t="s">
        <v>7582</v>
      </c>
      <c r="AU102" s="2232" t="s">
        <v>1694</v>
      </c>
      <c r="AV102" s="1481" t="s">
        <v>1135</v>
      </c>
      <c r="AW102" s="1481" t="s">
        <v>1136</v>
      </c>
      <c r="AX102" s="1481" t="s">
        <v>1137</v>
      </c>
      <c r="AY102" s="1481" t="s">
        <v>1138</v>
      </c>
      <c r="AZ102" s="1481" t="s">
        <v>1139</v>
      </c>
      <c r="BA102" s="1481" t="s">
        <v>7588</v>
      </c>
      <c r="BB102" s="1539"/>
      <c r="BC102" s="1544"/>
      <c r="BD102" s="1544"/>
      <c r="BE102" s="1544"/>
      <c r="BF102" s="1544"/>
      <c r="BG102" s="1544"/>
      <c r="BH102" s="1962" t="s">
        <v>1140</v>
      </c>
      <c r="BI102" s="1962" t="s">
        <v>1141</v>
      </c>
      <c r="BJ102" s="2239" t="s">
        <v>1142</v>
      </c>
    </row>
    <row r="103" spans="1:62" ht="15.75" customHeight="1">
      <c r="A103" s="197"/>
      <c r="B103" s="2240" t="s">
        <v>7589</v>
      </c>
      <c r="C103" s="2232" t="s">
        <v>1692</v>
      </c>
      <c r="D103" s="2233" t="s">
        <v>137</v>
      </c>
      <c r="E103" s="2233">
        <v>3</v>
      </c>
      <c r="F103" s="601">
        <v>0</v>
      </c>
      <c r="G103" s="601">
        <v>0</v>
      </c>
      <c r="H103" s="601">
        <v>0</v>
      </c>
      <c r="I103" s="601">
        <v>0</v>
      </c>
      <c r="J103" s="601">
        <v>0</v>
      </c>
      <c r="K103" s="1481">
        <f t="shared" si="149"/>
        <v>0</v>
      </c>
      <c r="L103" s="1539"/>
      <c r="M103" s="1544"/>
      <c r="N103" s="1544"/>
      <c r="O103" s="1544"/>
      <c r="P103" s="1544"/>
      <c r="Q103" s="1544"/>
      <c r="R103" s="1541"/>
      <c r="S103" s="1541"/>
      <c r="T103" s="1555"/>
      <c r="U103" s="197"/>
      <c r="V103" s="966" t="s">
        <v>7590</v>
      </c>
      <c r="W103" s="197"/>
      <c r="X103" s="258"/>
      <c r="Y103" s="197"/>
      <c r="Z103" s="2576"/>
      <c r="AA103" s="251">
        <f>IF( SUM( AC103:AQ103 ) = 0, 0, $AC$9 )</f>
        <v>0</v>
      </c>
      <c r="AB103" s="2578"/>
      <c r="AC103" s="252">
        <f t="shared" ref="AC103:AC104" si="200" xml:space="preserve"> IF( ISNUMBER(F103), 0, 1 )</f>
        <v>0</v>
      </c>
      <c r="AD103" s="252">
        <f t="shared" ref="AD103:AD104" si="201" xml:space="preserve"> IF( ISNUMBER(G103), 0, 1 )</f>
        <v>0</v>
      </c>
      <c r="AE103" s="252">
        <f t="shared" ref="AE103:AE104" si="202" xml:space="preserve"> IF( ISNUMBER(H103), 0, 1 )</f>
        <v>0</v>
      </c>
      <c r="AF103" s="252">
        <f t="shared" ref="AF103:AF104" si="203" xml:space="preserve"> IF( ISNUMBER(I103), 0, 1 )</f>
        <v>0</v>
      </c>
      <c r="AG103" s="252">
        <f t="shared" ref="AG103:AG104" si="204" xml:space="preserve"> IF( ISNUMBER(J103), 0, 1 )</f>
        <v>0</v>
      </c>
      <c r="AH103" s="237"/>
      <c r="AI103" s="237"/>
      <c r="AJ103" s="237"/>
      <c r="AK103" s="237"/>
      <c r="AL103" s="237"/>
      <c r="AM103" s="237"/>
      <c r="AN103" s="237"/>
      <c r="AO103" s="237"/>
      <c r="AP103" s="237"/>
      <c r="AQ103" s="237"/>
      <c r="AR103" s="2578"/>
      <c r="AS103" s="2562"/>
      <c r="AT103" s="2234" t="s">
        <v>7589</v>
      </c>
      <c r="AU103" s="2232" t="s">
        <v>1692</v>
      </c>
      <c r="AV103" s="601" t="s">
        <v>1143</v>
      </c>
      <c r="AW103" s="601" t="s">
        <v>1144</v>
      </c>
      <c r="AX103" s="601" t="s">
        <v>1145</v>
      </c>
      <c r="AY103" s="601" t="s">
        <v>1146</v>
      </c>
      <c r="AZ103" s="601" t="s">
        <v>1147</v>
      </c>
      <c r="BA103" s="1481" t="s">
        <v>7591</v>
      </c>
      <c r="BB103" s="1539"/>
      <c r="BC103" s="1544"/>
      <c r="BD103" s="1544"/>
      <c r="BE103" s="1544"/>
      <c r="BF103" s="1544"/>
      <c r="BG103" s="1544"/>
      <c r="BH103" s="1541"/>
      <c r="BI103" s="1541"/>
      <c r="BJ103" s="1555"/>
    </row>
    <row r="104" spans="1:62" ht="15.75" customHeight="1">
      <c r="A104" s="197"/>
      <c r="B104" s="2240" t="s">
        <v>7589</v>
      </c>
      <c r="C104" s="2232" t="s">
        <v>1693</v>
      </c>
      <c r="D104" s="2233" t="s">
        <v>137</v>
      </c>
      <c r="E104" s="2233">
        <v>3</v>
      </c>
      <c r="F104" s="601">
        <v>0</v>
      </c>
      <c r="G104" s="601">
        <v>0</v>
      </c>
      <c r="H104" s="601">
        <v>0</v>
      </c>
      <c r="I104" s="601">
        <v>0</v>
      </c>
      <c r="J104" s="601">
        <v>0</v>
      </c>
      <c r="K104" s="1481">
        <f t="shared" ref="K104:K105" si="205">IFERROR(SUM(F104:J104), 0)</f>
        <v>0</v>
      </c>
      <c r="L104" s="1539"/>
      <c r="M104" s="1544"/>
      <c r="N104" s="1544"/>
      <c r="O104" s="1544"/>
      <c r="P104" s="1544"/>
      <c r="Q104" s="1544"/>
      <c r="R104" s="1541"/>
      <c r="S104" s="1541"/>
      <c r="T104" s="1555"/>
      <c r="U104" s="197"/>
      <c r="V104" s="966" t="s">
        <v>7592</v>
      </c>
      <c r="W104" s="197"/>
      <c r="X104" s="258"/>
      <c r="Y104" s="197"/>
      <c r="Z104" s="2576"/>
      <c r="AA104" s="251">
        <f>IF( SUM( AC104:AQ104 ) = 0, 0, $AC$9 )</f>
        <v>0</v>
      </c>
      <c r="AB104" s="2578"/>
      <c r="AC104" s="252">
        <f t="shared" si="200"/>
        <v>0</v>
      </c>
      <c r="AD104" s="252">
        <f t="shared" si="201"/>
        <v>0</v>
      </c>
      <c r="AE104" s="252">
        <f t="shared" si="202"/>
        <v>0</v>
      </c>
      <c r="AF104" s="252">
        <f t="shared" si="203"/>
        <v>0</v>
      </c>
      <c r="AG104" s="252">
        <f t="shared" si="204"/>
        <v>0</v>
      </c>
      <c r="AH104" s="237"/>
      <c r="AI104" s="237"/>
      <c r="AJ104" s="237"/>
      <c r="AK104" s="237"/>
      <c r="AL104" s="237"/>
      <c r="AM104" s="237"/>
      <c r="AN104" s="237"/>
      <c r="AO104" s="237"/>
      <c r="AP104" s="237"/>
      <c r="AQ104" s="237"/>
      <c r="AR104" s="2578"/>
      <c r="AS104" s="2562"/>
      <c r="AT104" s="2234" t="s">
        <v>7589</v>
      </c>
      <c r="AU104" s="2232" t="s">
        <v>1693</v>
      </c>
      <c r="AV104" s="601" t="s">
        <v>1148</v>
      </c>
      <c r="AW104" s="601" t="s">
        <v>1149</v>
      </c>
      <c r="AX104" s="601" t="s">
        <v>1150</v>
      </c>
      <c r="AY104" s="601" t="s">
        <v>1151</v>
      </c>
      <c r="AZ104" s="601" t="s">
        <v>1152</v>
      </c>
      <c r="BA104" s="1481" t="s">
        <v>7593</v>
      </c>
      <c r="BB104" s="1539"/>
      <c r="BC104" s="1544"/>
      <c r="BD104" s="1544"/>
      <c r="BE104" s="1544"/>
      <c r="BF104" s="1544"/>
      <c r="BG104" s="1544"/>
      <c r="BH104" s="1541"/>
      <c r="BI104" s="1541"/>
      <c r="BJ104" s="1555"/>
    </row>
    <row r="105" spans="1:62" ht="15.75" customHeight="1">
      <c r="A105" s="197"/>
      <c r="B105" s="2240" t="s">
        <v>7589</v>
      </c>
      <c r="C105" s="2232" t="s">
        <v>1694</v>
      </c>
      <c r="D105" s="2233" t="s">
        <v>137</v>
      </c>
      <c r="E105" s="2233">
        <v>3</v>
      </c>
      <c r="F105" s="1481">
        <f>IFERROR(SUM(F103:F104), 0)</f>
        <v>0</v>
      </c>
      <c r="G105" s="1481">
        <f t="shared" ref="G105:I105" si="206">IFERROR(SUM(G103:G104), 0)</f>
        <v>0</v>
      </c>
      <c r="H105" s="1481">
        <f t="shared" si="206"/>
        <v>0</v>
      </c>
      <c r="I105" s="1481">
        <f t="shared" si="206"/>
        <v>0</v>
      </c>
      <c r="J105" s="1481">
        <f>IFERROR(SUM(J103:J104), 0)</f>
        <v>0</v>
      </c>
      <c r="K105" s="1481">
        <f t="shared" si="205"/>
        <v>0</v>
      </c>
      <c r="L105" s="1539"/>
      <c r="M105" s="1544"/>
      <c r="N105" s="1544"/>
      <c r="O105" s="1544"/>
      <c r="P105" s="1544"/>
      <c r="Q105" s="1544"/>
      <c r="R105" s="1962">
        <v>0</v>
      </c>
      <c r="S105" s="1962">
        <v>0</v>
      </c>
      <c r="T105" s="2239">
        <v>0</v>
      </c>
      <c r="U105" s="197"/>
      <c r="V105" s="966" t="s">
        <v>7594</v>
      </c>
      <c r="W105" s="197"/>
      <c r="X105" s="258"/>
      <c r="Y105" s="197"/>
      <c r="Z105" s="2576"/>
      <c r="AA105" s="251">
        <f>IF( SUM( AC105:AQ105 ) = 0, 0, $AC$9 )</f>
        <v>0</v>
      </c>
      <c r="AB105" s="725"/>
      <c r="AC105" s="237"/>
      <c r="AD105" s="237"/>
      <c r="AE105" s="237"/>
      <c r="AF105" s="237"/>
      <c r="AG105" s="237"/>
      <c r="AH105" s="237"/>
      <c r="AI105" s="237"/>
      <c r="AJ105" s="237"/>
      <c r="AK105" s="237"/>
      <c r="AL105" s="237"/>
      <c r="AM105" s="237"/>
      <c r="AN105" s="237"/>
      <c r="AO105" s="252">
        <f t="shared" ref="AO105" si="207" xml:space="preserve"> IF( ISNUMBER(R105), 0, 1 )</f>
        <v>0</v>
      </c>
      <c r="AP105" s="252">
        <f t="shared" ref="AP105" si="208" xml:space="preserve"> IF( ISNUMBER(S105), 0, 1 )</f>
        <v>0</v>
      </c>
      <c r="AQ105" s="252">
        <f t="shared" ref="AQ105" si="209" xml:space="preserve"> IF( ISNUMBER(T105), 0, 1 )</f>
        <v>0</v>
      </c>
      <c r="AR105" s="2578"/>
      <c r="AS105" s="2562"/>
      <c r="AT105" s="2235" t="s">
        <v>7589</v>
      </c>
      <c r="AU105" s="2236" t="s">
        <v>1694</v>
      </c>
      <c r="AV105" s="1481" t="s">
        <v>1153</v>
      </c>
      <c r="AW105" s="1481" t="s">
        <v>1154</v>
      </c>
      <c r="AX105" s="1481" t="s">
        <v>1155</v>
      </c>
      <c r="AY105" s="1481" t="s">
        <v>1156</v>
      </c>
      <c r="AZ105" s="1481" t="s">
        <v>1157</v>
      </c>
      <c r="BA105" s="1481" t="s">
        <v>7595</v>
      </c>
      <c r="BB105" s="1539"/>
      <c r="BC105" s="1544"/>
      <c r="BD105" s="1544"/>
      <c r="BE105" s="1544"/>
      <c r="BF105" s="1544"/>
      <c r="BG105" s="1544"/>
      <c r="BH105" s="1962" t="s">
        <v>1158</v>
      </c>
      <c r="BI105" s="1962" t="s">
        <v>1159</v>
      </c>
      <c r="BJ105" s="2239" t="s">
        <v>1160</v>
      </c>
    </row>
    <row r="106" spans="1:62" ht="15.75" customHeight="1">
      <c r="A106" s="197"/>
      <c r="B106" s="962" t="s">
        <v>7596</v>
      </c>
      <c r="C106" s="318" t="s">
        <v>1692</v>
      </c>
      <c r="D106" s="253" t="s">
        <v>137</v>
      </c>
      <c r="E106" s="253">
        <v>3</v>
      </c>
      <c r="F106" s="1481">
        <f t="shared" ref="F106:J107" si="210">IFERROR(SUM(F97,F100,F103), 0)</f>
        <v>0</v>
      </c>
      <c r="G106" s="1481">
        <f t="shared" si="210"/>
        <v>0</v>
      </c>
      <c r="H106" s="1481">
        <f t="shared" si="210"/>
        <v>0</v>
      </c>
      <c r="I106" s="1481">
        <f t="shared" si="210"/>
        <v>0.215</v>
      </c>
      <c r="J106" s="1481">
        <f t="shared" si="210"/>
        <v>1.2010000000000001</v>
      </c>
      <c r="K106" s="1481">
        <f>IFERROR(SUM(F106:J106), 0)</f>
        <v>1.4160000000000001</v>
      </c>
      <c r="L106" s="1539"/>
      <c r="M106" s="1544"/>
      <c r="N106" s="1544"/>
      <c r="O106" s="1544"/>
      <c r="P106" s="1544"/>
      <c r="Q106" s="1544"/>
      <c r="R106" s="1541"/>
      <c r="S106" s="1541"/>
      <c r="T106" s="1555"/>
      <c r="U106" s="197"/>
      <c r="V106" s="966" t="s">
        <v>7597</v>
      </c>
      <c r="W106" s="197"/>
      <c r="X106" s="258"/>
      <c r="Y106" s="197"/>
      <c r="Z106" s="2576"/>
      <c r="AA106" s="251">
        <f t="shared" si="129"/>
        <v>0</v>
      </c>
      <c r="AB106" s="2578"/>
      <c r="AC106" s="252">
        <f t="shared" ref="AC106:AC107" si="211" xml:space="preserve"> IF( ISNUMBER(F106), 0, 1 )</f>
        <v>0</v>
      </c>
      <c r="AD106" s="252">
        <f t="shared" ref="AD106:AD107" si="212" xml:space="preserve"> IF( ISNUMBER(G106), 0, 1 )</f>
        <v>0</v>
      </c>
      <c r="AE106" s="252">
        <f t="shared" ref="AE106:AE107" si="213" xml:space="preserve"> IF( ISNUMBER(H106), 0, 1 )</f>
        <v>0</v>
      </c>
      <c r="AF106" s="252">
        <f t="shared" ref="AF106:AF107" si="214" xml:space="preserve"> IF( ISNUMBER(I106), 0, 1 )</f>
        <v>0</v>
      </c>
      <c r="AG106" s="252">
        <f t="shared" ref="AG106:AG107" si="215" xml:space="preserve"> IF( ISNUMBER(J106), 0, 1 )</f>
        <v>0</v>
      </c>
      <c r="AH106" s="237"/>
      <c r="AI106" s="237"/>
      <c r="AJ106" s="237"/>
      <c r="AK106" s="237"/>
      <c r="AL106" s="237"/>
      <c r="AM106" s="237"/>
      <c r="AN106" s="237"/>
      <c r="AO106" s="237"/>
      <c r="AP106" s="237"/>
      <c r="AQ106" s="237"/>
      <c r="AR106" s="2578"/>
      <c r="AS106" s="2562"/>
      <c r="AT106" s="962" t="s">
        <v>7596</v>
      </c>
      <c r="AU106" s="318" t="s">
        <v>1692</v>
      </c>
      <c r="AV106" s="1481" t="s">
        <v>7598</v>
      </c>
      <c r="AW106" s="1481" t="s">
        <v>7599</v>
      </c>
      <c r="AX106" s="1481" t="s">
        <v>7600</v>
      </c>
      <c r="AY106" s="1481" t="s">
        <v>7601</v>
      </c>
      <c r="AZ106" s="1481" t="s">
        <v>7602</v>
      </c>
      <c r="BA106" s="1481" t="s">
        <v>7603</v>
      </c>
      <c r="BB106" s="1539"/>
      <c r="BC106" s="1544"/>
      <c r="BD106" s="1544"/>
      <c r="BE106" s="1544"/>
      <c r="BF106" s="1544"/>
      <c r="BG106" s="1544"/>
      <c r="BH106" s="1541"/>
      <c r="BI106" s="1541"/>
      <c r="BJ106" s="1555"/>
    </row>
    <row r="107" spans="1:62" ht="15.75" customHeight="1">
      <c r="A107" s="197"/>
      <c r="B107" s="962" t="s">
        <v>7596</v>
      </c>
      <c r="C107" s="318" t="s">
        <v>1693</v>
      </c>
      <c r="D107" s="253" t="s">
        <v>137</v>
      </c>
      <c r="E107" s="253">
        <v>3</v>
      </c>
      <c r="F107" s="1481">
        <f t="shared" si="210"/>
        <v>0</v>
      </c>
      <c r="G107" s="1481">
        <f t="shared" si="210"/>
        <v>0</v>
      </c>
      <c r="H107" s="1481">
        <f t="shared" si="210"/>
        <v>0</v>
      </c>
      <c r="I107" s="1481">
        <f t="shared" si="210"/>
        <v>0</v>
      </c>
      <c r="J107" s="1481">
        <f t="shared" si="210"/>
        <v>0</v>
      </c>
      <c r="K107" s="1481">
        <f t="shared" si="135"/>
        <v>0</v>
      </c>
      <c r="L107" s="1539"/>
      <c r="M107" s="1544"/>
      <c r="N107" s="1544"/>
      <c r="O107" s="1544"/>
      <c r="P107" s="1544"/>
      <c r="Q107" s="1544"/>
      <c r="R107" s="1541"/>
      <c r="S107" s="1541"/>
      <c r="T107" s="1555"/>
      <c r="U107" s="197"/>
      <c r="V107" s="966" t="s">
        <v>7604</v>
      </c>
      <c r="W107" s="197"/>
      <c r="X107" s="258"/>
      <c r="Y107" s="197"/>
      <c r="Z107" s="2576"/>
      <c r="AA107" s="251">
        <f t="shared" si="129"/>
        <v>0</v>
      </c>
      <c r="AB107" s="2578"/>
      <c r="AC107" s="252">
        <f t="shared" si="211"/>
        <v>0</v>
      </c>
      <c r="AD107" s="252">
        <f t="shared" si="212"/>
        <v>0</v>
      </c>
      <c r="AE107" s="252">
        <f t="shared" si="213"/>
        <v>0</v>
      </c>
      <c r="AF107" s="252">
        <f t="shared" si="214"/>
        <v>0</v>
      </c>
      <c r="AG107" s="252">
        <f t="shared" si="215"/>
        <v>0</v>
      </c>
      <c r="AH107" s="237"/>
      <c r="AI107" s="237"/>
      <c r="AJ107" s="237"/>
      <c r="AK107" s="237"/>
      <c r="AL107" s="237"/>
      <c r="AM107" s="237"/>
      <c r="AN107" s="237"/>
      <c r="AO107" s="237"/>
      <c r="AP107" s="237"/>
      <c r="AQ107" s="237"/>
      <c r="AR107" s="2578"/>
      <c r="AS107" s="2562"/>
      <c r="AT107" s="962" t="s">
        <v>7596</v>
      </c>
      <c r="AU107" s="318" t="s">
        <v>1693</v>
      </c>
      <c r="AV107" s="1481" t="s">
        <v>7605</v>
      </c>
      <c r="AW107" s="1481" t="s">
        <v>7606</v>
      </c>
      <c r="AX107" s="1481" t="s">
        <v>7607</v>
      </c>
      <c r="AY107" s="1481" t="s">
        <v>7608</v>
      </c>
      <c r="AZ107" s="1481" t="s">
        <v>7609</v>
      </c>
      <c r="BA107" s="1481" t="s">
        <v>7610</v>
      </c>
      <c r="BB107" s="1539"/>
      <c r="BC107" s="1544"/>
      <c r="BD107" s="1544"/>
      <c r="BE107" s="1544"/>
      <c r="BF107" s="1544"/>
      <c r="BG107" s="1544"/>
      <c r="BH107" s="1541"/>
      <c r="BI107" s="1541"/>
      <c r="BJ107" s="1555"/>
    </row>
    <row r="108" spans="1:62" ht="15.75" customHeight="1">
      <c r="A108" s="197"/>
      <c r="B108" s="962" t="s">
        <v>7596</v>
      </c>
      <c r="C108" s="318" t="s">
        <v>1694</v>
      </c>
      <c r="D108" s="253" t="s">
        <v>137</v>
      </c>
      <c r="E108" s="253">
        <v>3</v>
      </c>
      <c r="F108" s="1481">
        <f>IFERROR(SUM(F106:F107), 0)</f>
        <v>0</v>
      </c>
      <c r="G108" s="1481">
        <f t="shared" ref="G108:I108" si="216">IFERROR(SUM(G106:G107), 0)</f>
        <v>0</v>
      </c>
      <c r="H108" s="1481">
        <f t="shared" si="216"/>
        <v>0</v>
      </c>
      <c r="I108" s="1481">
        <f t="shared" si="216"/>
        <v>0.215</v>
      </c>
      <c r="J108" s="1481">
        <f>IFERROR(SUM(J106:J107), 0)</f>
        <v>1.2010000000000001</v>
      </c>
      <c r="K108" s="1481">
        <f t="shared" si="135"/>
        <v>1.4160000000000001</v>
      </c>
      <c r="L108" s="1539"/>
      <c r="M108" s="1544"/>
      <c r="N108" s="1544"/>
      <c r="O108" s="1544"/>
      <c r="P108" s="1544"/>
      <c r="Q108" s="1544"/>
      <c r="R108" s="1962">
        <v>12.298</v>
      </c>
      <c r="S108" s="1962">
        <v>8.8469999999999995</v>
      </c>
      <c r="T108" s="2239">
        <v>12.798</v>
      </c>
      <c r="U108" s="197"/>
      <c r="V108" s="966" t="s">
        <v>7611</v>
      </c>
      <c r="W108" s="197"/>
      <c r="X108" s="258"/>
      <c r="Y108" s="197"/>
      <c r="Z108" s="2576"/>
      <c r="AA108" s="251">
        <f t="shared" si="129"/>
        <v>0</v>
      </c>
      <c r="AB108" s="725"/>
      <c r="AC108" s="237"/>
      <c r="AD108" s="237"/>
      <c r="AE108" s="237"/>
      <c r="AF108" s="237"/>
      <c r="AG108" s="237"/>
      <c r="AH108" s="237"/>
      <c r="AI108" s="237"/>
      <c r="AJ108" s="237"/>
      <c r="AK108" s="237"/>
      <c r="AL108" s="237"/>
      <c r="AM108" s="237"/>
      <c r="AN108" s="237"/>
      <c r="AO108" s="252">
        <f t="shared" ref="AO108" si="217" xml:space="preserve"> IF( ISNUMBER(R108), 0, 1 )</f>
        <v>0</v>
      </c>
      <c r="AP108" s="252">
        <f t="shared" ref="AP108" si="218" xml:space="preserve"> IF( ISNUMBER(S108), 0, 1 )</f>
        <v>0</v>
      </c>
      <c r="AQ108" s="252">
        <f t="shared" ref="AQ108" si="219" xml:space="preserve"> IF( ISNUMBER(T108), 0, 1 )</f>
        <v>0</v>
      </c>
      <c r="AR108" s="2578"/>
      <c r="AS108" s="2562"/>
      <c r="AT108" s="962" t="s">
        <v>7596</v>
      </c>
      <c r="AU108" s="318" t="s">
        <v>1694</v>
      </c>
      <c r="AV108" s="1481" t="s">
        <v>7612</v>
      </c>
      <c r="AW108" s="1481" t="s">
        <v>7613</v>
      </c>
      <c r="AX108" s="1481" t="s">
        <v>7614</v>
      </c>
      <c r="AY108" s="1481" t="s">
        <v>7615</v>
      </c>
      <c r="AZ108" s="1481" t="s">
        <v>7616</v>
      </c>
      <c r="BA108" s="1481" t="s">
        <v>7617</v>
      </c>
      <c r="BB108" s="1539"/>
      <c r="BC108" s="1544"/>
      <c r="BD108" s="1544"/>
      <c r="BE108" s="1544"/>
      <c r="BF108" s="1544"/>
      <c r="BG108" s="1544"/>
      <c r="BH108" s="1962" t="s">
        <v>7618</v>
      </c>
      <c r="BI108" s="1962" t="s">
        <v>7619</v>
      </c>
      <c r="BJ108" s="2239" t="s">
        <v>7620</v>
      </c>
    </row>
    <row r="109" spans="1:62" ht="15.75" customHeight="1">
      <c r="A109" s="197"/>
      <c r="B109" s="962" t="s">
        <v>7621</v>
      </c>
      <c r="C109" s="318" t="s">
        <v>1692</v>
      </c>
      <c r="D109" s="253" t="s">
        <v>137</v>
      </c>
      <c r="E109" s="253">
        <v>3</v>
      </c>
      <c r="F109" s="601">
        <v>0</v>
      </c>
      <c r="G109" s="601">
        <v>0</v>
      </c>
      <c r="H109" s="601">
        <v>0</v>
      </c>
      <c r="I109" s="601">
        <v>1E-3</v>
      </c>
      <c r="J109" s="601">
        <v>0</v>
      </c>
      <c r="K109" s="1481">
        <f t="shared" si="135"/>
        <v>1E-3</v>
      </c>
      <c r="L109" s="1539"/>
      <c r="M109" s="1544"/>
      <c r="N109" s="1544"/>
      <c r="O109" s="1544"/>
      <c r="P109" s="1544"/>
      <c r="Q109" s="1539"/>
      <c r="R109" s="1541"/>
      <c r="S109" s="1541"/>
      <c r="T109" s="1555"/>
      <c r="U109" s="197"/>
      <c r="V109" s="966" t="s">
        <v>7622</v>
      </c>
      <c r="W109" s="197"/>
      <c r="X109" s="258"/>
      <c r="Y109" s="197"/>
      <c r="Z109" s="2576"/>
      <c r="AA109" s="251">
        <f t="shared" si="129"/>
        <v>0</v>
      </c>
      <c r="AB109" s="2578"/>
      <c r="AC109" s="252">
        <f t="shared" ref="AC109:AC110" si="220" xml:space="preserve"> IF( ISNUMBER(F109), 0, 1 )</f>
        <v>0</v>
      </c>
      <c r="AD109" s="252">
        <f t="shared" ref="AD109:AD110" si="221" xml:space="preserve"> IF( ISNUMBER(G109), 0, 1 )</f>
        <v>0</v>
      </c>
      <c r="AE109" s="252">
        <f t="shared" ref="AE109:AE110" si="222" xml:space="preserve"> IF( ISNUMBER(H109), 0, 1 )</f>
        <v>0</v>
      </c>
      <c r="AF109" s="252">
        <f t="shared" ref="AF109:AF110" si="223" xml:space="preserve"> IF( ISNUMBER(I109), 0, 1 )</f>
        <v>0</v>
      </c>
      <c r="AG109" s="252">
        <f t="shared" ref="AG109:AG110" si="224" xml:space="preserve"> IF( ISNUMBER(J109), 0, 1 )</f>
        <v>0</v>
      </c>
      <c r="AH109" s="237"/>
      <c r="AI109" s="237"/>
      <c r="AJ109" s="237"/>
      <c r="AK109" s="237"/>
      <c r="AL109" s="237"/>
      <c r="AM109" s="237"/>
      <c r="AN109" s="237"/>
      <c r="AO109" s="237"/>
      <c r="AP109" s="237"/>
      <c r="AQ109" s="237"/>
      <c r="AR109" s="2578"/>
      <c r="AS109" s="2562"/>
      <c r="AT109" s="962" t="s">
        <v>7621</v>
      </c>
      <c r="AU109" s="318" t="s">
        <v>1692</v>
      </c>
      <c r="AV109" s="601" t="s">
        <v>7623</v>
      </c>
      <c r="AW109" s="601" t="s">
        <v>7624</v>
      </c>
      <c r="AX109" s="601" t="s">
        <v>7625</v>
      </c>
      <c r="AY109" s="601" t="s">
        <v>7626</v>
      </c>
      <c r="AZ109" s="601" t="s">
        <v>7627</v>
      </c>
      <c r="BA109" s="1481" t="s">
        <v>7628</v>
      </c>
      <c r="BB109" s="1539"/>
      <c r="BC109" s="1544"/>
      <c r="BD109" s="1544"/>
      <c r="BE109" s="1544"/>
      <c r="BF109" s="1544"/>
      <c r="BG109" s="1539"/>
      <c r="BH109" s="1541"/>
      <c r="BI109" s="1541"/>
      <c r="BJ109" s="1555"/>
    </row>
    <row r="110" spans="1:62" ht="15.75" customHeight="1">
      <c r="A110" s="197"/>
      <c r="B110" s="962" t="s">
        <v>7621</v>
      </c>
      <c r="C110" s="318" t="s">
        <v>1693</v>
      </c>
      <c r="D110" s="253" t="s">
        <v>137</v>
      </c>
      <c r="E110" s="253">
        <v>3</v>
      </c>
      <c r="F110" s="601">
        <v>0</v>
      </c>
      <c r="G110" s="601">
        <v>0</v>
      </c>
      <c r="H110" s="601">
        <v>0</v>
      </c>
      <c r="I110" s="601">
        <v>0</v>
      </c>
      <c r="J110" s="601">
        <v>0</v>
      </c>
      <c r="K110" s="1481">
        <f t="shared" si="135"/>
        <v>0</v>
      </c>
      <c r="L110" s="1539"/>
      <c r="M110" s="1544"/>
      <c r="N110" s="1544"/>
      <c r="O110" s="1544"/>
      <c r="P110" s="1544"/>
      <c r="Q110" s="1539"/>
      <c r="R110" s="1541"/>
      <c r="S110" s="1541"/>
      <c r="T110" s="1555"/>
      <c r="U110" s="197"/>
      <c r="V110" s="966" t="s">
        <v>7629</v>
      </c>
      <c r="W110" s="197"/>
      <c r="X110" s="258"/>
      <c r="Y110" s="197"/>
      <c r="Z110" s="2576"/>
      <c r="AA110" s="251">
        <f t="shared" si="129"/>
        <v>0</v>
      </c>
      <c r="AB110" s="2578"/>
      <c r="AC110" s="252">
        <f t="shared" si="220"/>
        <v>0</v>
      </c>
      <c r="AD110" s="252">
        <f t="shared" si="221"/>
        <v>0</v>
      </c>
      <c r="AE110" s="252">
        <f t="shared" si="222"/>
        <v>0</v>
      </c>
      <c r="AF110" s="252">
        <f t="shared" si="223"/>
        <v>0</v>
      </c>
      <c r="AG110" s="252">
        <f t="shared" si="224"/>
        <v>0</v>
      </c>
      <c r="AH110" s="237"/>
      <c r="AI110" s="237"/>
      <c r="AJ110" s="237"/>
      <c r="AK110" s="237"/>
      <c r="AL110" s="237"/>
      <c r="AM110" s="237"/>
      <c r="AN110" s="237"/>
      <c r="AO110" s="237"/>
      <c r="AP110" s="237"/>
      <c r="AQ110" s="237"/>
      <c r="AR110" s="2578"/>
      <c r="AS110" s="2562"/>
      <c r="AT110" s="962" t="s">
        <v>7621</v>
      </c>
      <c r="AU110" s="318" t="s">
        <v>1693</v>
      </c>
      <c r="AV110" s="601" t="s">
        <v>7630</v>
      </c>
      <c r="AW110" s="601" t="s">
        <v>7631</v>
      </c>
      <c r="AX110" s="601" t="s">
        <v>7632</v>
      </c>
      <c r="AY110" s="601" t="s">
        <v>7633</v>
      </c>
      <c r="AZ110" s="601" t="s">
        <v>7634</v>
      </c>
      <c r="BA110" s="1481" t="s">
        <v>7635</v>
      </c>
      <c r="BB110" s="1539"/>
      <c r="BC110" s="1544"/>
      <c r="BD110" s="1544"/>
      <c r="BE110" s="1544"/>
      <c r="BF110" s="1544"/>
      <c r="BG110" s="1539"/>
      <c r="BH110" s="1541"/>
      <c r="BI110" s="1541"/>
      <c r="BJ110" s="1555"/>
    </row>
    <row r="111" spans="1:62" ht="15.75" customHeight="1">
      <c r="A111" s="197"/>
      <c r="B111" s="962" t="s">
        <v>7621</v>
      </c>
      <c r="C111" s="318" t="s">
        <v>1694</v>
      </c>
      <c r="D111" s="253" t="s">
        <v>137</v>
      </c>
      <c r="E111" s="253">
        <v>3</v>
      </c>
      <c r="F111" s="1481">
        <f>IFERROR(SUM(F109:F110), 0)</f>
        <v>0</v>
      </c>
      <c r="G111" s="1481">
        <f>IFERROR(SUM(G109:G110), 0)</f>
        <v>0</v>
      </c>
      <c r="H111" s="1481">
        <f t="shared" ref="H111:J111" si="225">IFERROR(SUM(H109:H110), 0)</f>
        <v>0</v>
      </c>
      <c r="I111" s="1481">
        <f t="shared" si="225"/>
        <v>1E-3</v>
      </c>
      <c r="J111" s="1481">
        <f t="shared" si="225"/>
        <v>0</v>
      </c>
      <c r="K111" s="1481">
        <f t="shared" si="135"/>
        <v>1E-3</v>
      </c>
      <c r="L111" s="1539"/>
      <c r="M111" s="1544"/>
      <c r="N111" s="1544"/>
      <c r="O111" s="1544"/>
      <c r="P111" s="1544"/>
      <c r="Q111" s="1539"/>
      <c r="R111" s="1962">
        <v>1.6E-2</v>
      </c>
      <c r="S111" s="1962">
        <v>0</v>
      </c>
      <c r="T111" s="2239">
        <v>0</v>
      </c>
      <c r="U111" s="197"/>
      <c r="V111" s="966" t="s">
        <v>7636</v>
      </c>
      <c r="W111" s="197"/>
      <c r="X111" s="258"/>
      <c r="Y111" s="197"/>
      <c r="Z111" s="2576"/>
      <c r="AA111" s="251">
        <f t="shared" si="129"/>
        <v>0</v>
      </c>
      <c r="AB111" s="725"/>
      <c r="AC111" s="237"/>
      <c r="AD111" s="237"/>
      <c r="AE111" s="237"/>
      <c r="AF111" s="237"/>
      <c r="AG111" s="237"/>
      <c r="AH111" s="237"/>
      <c r="AI111" s="237"/>
      <c r="AJ111" s="237"/>
      <c r="AK111" s="237"/>
      <c r="AL111" s="237"/>
      <c r="AM111" s="237"/>
      <c r="AN111" s="237"/>
      <c r="AO111" s="252">
        <f t="shared" ref="AO111" si="226" xml:space="preserve"> IF( ISNUMBER(R111), 0, 1 )</f>
        <v>0</v>
      </c>
      <c r="AP111" s="252">
        <f t="shared" ref="AP111" si="227" xml:space="preserve"> IF( ISNUMBER(S111), 0, 1 )</f>
        <v>0</v>
      </c>
      <c r="AQ111" s="252">
        <f t="shared" ref="AQ111" si="228" xml:space="preserve"> IF( ISNUMBER(T111), 0, 1 )</f>
        <v>0</v>
      </c>
      <c r="AR111" s="2578"/>
      <c r="AS111" s="2562"/>
      <c r="AT111" s="962" t="s">
        <v>7621</v>
      </c>
      <c r="AU111" s="318" t="s">
        <v>1694</v>
      </c>
      <c r="AV111" s="1481" t="s">
        <v>7637</v>
      </c>
      <c r="AW111" s="1481" t="s">
        <v>7638</v>
      </c>
      <c r="AX111" s="1481" t="s">
        <v>7639</v>
      </c>
      <c r="AY111" s="1481" t="s">
        <v>7640</v>
      </c>
      <c r="AZ111" s="1481" t="s">
        <v>7641</v>
      </c>
      <c r="BA111" s="1481" t="s">
        <v>7642</v>
      </c>
      <c r="BB111" s="1539"/>
      <c r="BC111" s="1544"/>
      <c r="BD111" s="1544"/>
      <c r="BE111" s="1544"/>
      <c r="BF111" s="1544"/>
      <c r="BG111" s="1539"/>
      <c r="BH111" s="1962" t="s">
        <v>7643</v>
      </c>
      <c r="BI111" s="1962" t="s">
        <v>7644</v>
      </c>
      <c r="BJ111" s="2239" t="s">
        <v>7645</v>
      </c>
    </row>
    <row r="112" spans="1:62" ht="15.75" customHeight="1">
      <c r="A112" s="197"/>
      <c r="B112" s="962" t="s">
        <v>7646</v>
      </c>
      <c r="C112" s="318" t="s">
        <v>1692</v>
      </c>
      <c r="D112" s="253" t="s">
        <v>137</v>
      </c>
      <c r="E112" s="253">
        <v>3</v>
      </c>
      <c r="F112" s="601">
        <v>4.1000000000000002E-2</v>
      </c>
      <c r="G112" s="601">
        <v>8.9999999999999993E-3</v>
      </c>
      <c r="H112" s="601">
        <v>1.0999999999999999E-2</v>
      </c>
      <c r="I112" s="601">
        <v>0.15</v>
      </c>
      <c r="J112" s="601">
        <v>0.48699999999999999</v>
      </c>
      <c r="K112" s="1481">
        <f t="shared" si="135"/>
        <v>0.69799999999999995</v>
      </c>
      <c r="L112" s="1539"/>
      <c r="M112" s="1544"/>
      <c r="N112" s="1544"/>
      <c r="O112" s="1544"/>
      <c r="P112" s="1544"/>
      <c r="Q112" s="1539"/>
      <c r="R112" s="1541"/>
      <c r="S112" s="1541"/>
      <c r="T112" s="1555"/>
      <c r="U112" s="197"/>
      <c r="V112" s="966" t="s">
        <v>7647</v>
      </c>
      <c r="W112" s="197"/>
      <c r="X112" s="258"/>
      <c r="Y112" s="197"/>
      <c r="Z112" s="2576"/>
      <c r="AA112" s="251">
        <f t="shared" si="129"/>
        <v>0</v>
      </c>
      <c r="AB112" s="2578"/>
      <c r="AC112" s="252">
        <f t="shared" ref="AC112:AC113" si="229" xml:space="preserve"> IF( ISNUMBER(F112), 0, 1 )</f>
        <v>0</v>
      </c>
      <c r="AD112" s="252">
        <f t="shared" ref="AD112:AD113" si="230" xml:space="preserve"> IF( ISNUMBER(G112), 0, 1 )</f>
        <v>0</v>
      </c>
      <c r="AE112" s="252">
        <f t="shared" ref="AE112:AE113" si="231" xml:space="preserve"> IF( ISNUMBER(H112), 0, 1 )</f>
        <v>0</v>
      </c>
      <c r="AF112" s="252">
        <f t="shared" ref="AF112:AF113" si="232" xml:space="preserve"> IF( ISNUMBER(I112), 0, 1 )</f>
        <v>0</v>
      </c>
      <c r="AG112" s="252">
        <f t="shared" ref="AG112:AG113" si="233" xml:space="preserve"> IF( ISNUMBER(J112), 0, 1 )</f>
        <v>0</v>
      </c>
      <c r="AH112" s="237"/>
      <c r="AI112" s="237"/>
      <c r="AJ112" s="237"/>
      <c r="AK112" s="237"/>
      <c r="AL112" s="237"/>
      <c r="AM112" s="237"/>
      <c r="AN112" s="237"/>
      <c r="AO112" s="237"/>
      <c r="AP112" s="237"/>
      <c r="AQ112" s="237"/>
      <c r="AR112" s="2578"/>
      <c r="AS112" s="2562"/>
      <c r="AT112" s="962" t="s">
        <v>7646</v>
      </c>
      <c r="AU112" s="318" t="s">
        <v>1692</v>
      </c>
      <c r="AV112" s="601" t="s">
        <v>7648</v>
      </c>
      <c r="AW112" s="601" t="s">
        <v>7649</v>
      </c>
      <c r="AX112" s="601" t="s">
        <v>7650</v>
      </c>
      <c r="AY112" s="601" t="s">
        <v>7651</v>
      </c>
      <c r="AZ112" s="601" t="s">
        <v>7652</v>
      </c>
      <c r="BA112" s="1481" t="s">
        <v>7653</v>
      </c>
      <c r="BB112" s="1539"/>
      <c r="BC112" s="1544"/>
      <c r="BD112" s="1544"/>
      <c r="BE112" s="1544"/>
      <c r="BF112" s="1544"/>
      <c r="BG112" s="1539"/>
      <c r="BH112" s="1541"/>
      <c r="BI112" s="1541"/>
      <c r="BJ112" s="1555"/>
    </row>
    <row r="113" spans="1:62" ht="15.75" customHeight="1">
      <c r="A113" s="197"/>
      <c r="B113" s="962" t="s">
        <v>7646</v>
      </c>
      <c r="C113" s="318" t="s">
        <v>1693</v>
      </c>
      <c r="D113" s="253" t="s">
        <v>137</v>
      </c>
      <c r="E113" s="253">
        <v>3</v>
      </c>
      <c r="F113" s="601">
        <v>0</v>
      </c>
      <c r="G113" s="601">
        <v>0</v>
      </c>
      <c r="H113" s="601">
        <v>0</v>
      </c>
      <c r="I113" s="601">
        <v>0</v>
      </c>
      <c r="J113" s="601">
        <v>0</v>
      </c>
      <c r="K113" s="1481">
        <f t="shared" si="135"/>
        <v>0</v>
      </c>
      <c r="L113" s="1539"/>
      <c r="M113" s="1544"/>
      <c r="N113" s="1544"/>
      <c r="O113" s="1544"/>
      <c r="P113" s="1544"/>
      <c r="Q113" s="1539"/>
      <c r="R113" s="1541"/>
      <c r="S113" s="1541"/>
      <c r="T113" s="1555"/>
      <c r="U113" s="197"/>
      <c r="V113" s="966" t="s">
        <v>7654</v>
      </c>
      <c r="W113" s="197"/>
      <c r="X113" s="258"/>
      <c r="Y113" s="197"/>
      <c r="Z113" s="2576"/>
      <c r="AA113" s="251">
        <f t="shared" si="129"/>
        <v>0</v>
      </c>
      <c r="AB113" s="2578"/>
      <c r="AC113" s="252">
        <f t="shared" si="229"/>
        <v>0</v>
      </c>
      <c r="AD113" s="252">
        <f t="shared" si="230"/>
        <v>0</v>
      </c>
      <c r="AE113" s="252">
        <f t="shared" si="231"/>
        <v>0</v>
      </c>
      <c r="AF113" s="252">
        <f t="shared" si="232"/>
        <v>0</v>
      </c>
      <c r="AG113" s="252">
        <f t="shared" si="233"/>
        <v>0</v>
      </c>
      <c r="AH113" s="237"/>
      <c r="AI113" s="237"/>
      <c r="AJ113" s="237"/>
      <c r="AK113" s="237"/>
      <c r="AL113" s="237"/>
      <c r="AM113" s="237"/>
      <c r="AN113" s="237"/>
      <c r="AO113" s="237"/>
      <c r="AP113" s="237"/>
      <c r="AQ113" s="237"/>
      <c r="AR113" s="2578"/>
      <c r="AS113" s="2562"/>
      <c r="AT113" s="962" t="s">
        <v>7646</v>
      </c>
      <c r="AU113" s="318" t="s">
        <v>1693</v>
      </c>
      <c r="AV113" s="601" t="s">
        <v>7655</v>
      </c>
      <c r="AW113" s="601" t="s">
        <v>7656</v>
      </c>
      <c r="AX113" s="601" t="s">
        <v>7657</v>
      </c>
      <c r="AY113" s="601" t="s">
        <v>7658</v>
      </c>
      <c r="AZ113" s="601" t="s">
        <v>7659</v>
      </c>
      <c r="BA113" s="1481" t="s">
        <v>7660</v>
      </c>
      <c r="BB113" s="1539"/>
      <c r="BC113" s="1544"/>
      <c r="BD113" s="1544"/>
      <c r="BE113" s="1544"/>
      <c r="BF113" s="1544"/>
      <c r="BG113" s="1539"/>
      <c r="BH113" s="1541"/>
      <c r="BI113" s="1541"/>
      <c r="BJ113" s="1555"/>
    </row>
    <row r="114" spans="1:62" ht="15.75" customHeight="1">
      <c r="A114" s="197"/>
      <c r="B114" s="962" t="s">
        <v>7646</v>
      </c>
      <c r="C114" s="318" t="s">
        <v>1694</v>
      </c>
      <c r="D114" s="253" t="s">
        <v>137</v>
      </c>
      <c r="E114" s="253">
        <v>3</v>
      </c>
      <c r="F114" s="1481">
        <f>IFERROR(SUM(F112:F113), 0)</f>
        <v>4.1000000000000002E-2</v>
      </c>
      <c r="G114" s="1481">
        <f t="shared" ref="G114:J114" si="234">IFERROR(SUM(G112:G113), 0)</f>
        <v>8.9999999999999993E-3</v>
      </c>
      <c r="H114" s="1481">
        <f t="shared" si="234"/>
        <v>1.0999999999999999E-2</v>
      </c>
      <c r="I114" s="1481">
        <f>IFERROR(SUM(I112:I113), 0)</f>
        <v>0.15</v>
      </c>
      <c r="J114" s="1481">
        <f t="shared" si="234"/>
        <v>0.48699999999999999</v>
      </c>
      <c r="K114" s="1481">
        <f t="shared" si="135"/>
        <v>0.69799999999999995</v>
      </c>
      <c r="L114" s="1539"/>
      <c r="M114" s="1544"/>
      <c r="N114" s="1544"/>
      <c r="O114" s="1544"/>
      <c r="P114" s="1544"/>
      <c r="Q114" s="1539"/>
      <c r="R114" s="1962">
        <v>2.782</v>
      </c>
      <c r="S114" s="1962">
        <v>0</v>
      </c>
      <c r="T114" s="2239">
        <v>0</v>
      </c>
      <c r="U114" s="197"/>
      <c r="V114" s="966" t="s">
        <v>7661</v>
      </c>
      <c r="W114" s="197"/>
      <c r="X114" s="258"/>
      <c r="Y114" s="197"/>
      <c r="Z114" s="2576"/>
      <c r="AA114" s="251">
        <f t="shared" si="129"/>
        <v>0</v>
      </c>
      <c r="AB114" s="725"/>
      <c r="AC114" s="237"/>
      <c r="AD114" s="237"/>
      <c r="AE114" s="237"/>
      <c r="AF114" s="237"/>
      <c r="AG114" s="237"/>
      <c r="AH114" s="237"/>
      <c r="AI114" s="237"/>
      <c r="AJ114" s="237"/>
      <c r="AK114" s="237"/>
      <c r="AL114" s="237"/>
      <c r="AM114" s="237"/>
      <c r="AN114" s="237"/>
      <c r="AO114" s="252">
        <f t="shared" ref="AO114:AO124" si="235" xml:space="preserve"> IF( ISNUMBER(R114), 0, 1 )</f>
        <v>0</v>
      </c>
      <c r="AP114" s="252">
        <f t="shared" ref="AP114:AP124" si="236" xml:space="preserve"> IF( ISNUMBER(S114), 0, 1 )</f>
        <v>0</v>
      </c>
      <c r="AQ114" s="252">
        <f t="shared" ref="AQ114:AQ124" si="237" xml:space="preserve"> IF( ISNUMBER(T114), 0, 1 )</f>
        <v>0</v>
      </c>
      <c r="AR114" s="2578"/>
      <c r="AS114" s="2562"/>
      <c r="AT114" s="962" t="s">
        <v>7646</v>
      </c>
      <c r="AU114" s="318" t="s">
        <v>1694</v>
      </c>
      <c r="AV114" s="1481" t="s">
        <v>7662</v>
      </c>
      <c r="AW114" s="1481" t="s">
        <v>7663</v>
      </c>
      <c r="AX114" s="1481" t="s">
        <v>7664</v>
      </c>
      <c r="AY114" s="1481" t="s">
        <v>7665</v>
      </c>
      <c r="AZ114" s="1481" t="s">
        <v>7666</v>
      </c>
      <c r="BA114" s="1481" t="s">
        <v>7667</v>
      </c>
      <c r="BB114" s="1539"/>
      <c r="BC114" s="1544"/>
      <c r="BD114" s="1544"/>
      <c r="BE114" s="1544"/>
      <c r="BF114" s="1544"/>
      <c r="BG114" s="1539"/>
      <c r="BH114" s="1962" t="s">
        <v>7668</v>
      </c>
      <c r="BI114" s="1962" t="s">
        <v>7669</v>
      </c>
      <c r="BJ114" s="2239" t="s">
        <v>7670</v>
      </c>
    </row>
    <row r="115" spans="1:62" ht="15.75" customHeight="1">
      <c r="A115" s="197"/>
      <c r="B115" s="997" t="s">
        <v>7671</v>
      </c>
      <c r="C115" s="318" t="s">
        <v>1692</v>
      </c>
      <c r="D115" s="253" t="s">
        <v>137</v>
      </c>
      <c r="E115" s="253">
        <v>3</v>
      </c>
      <c r="F115" s="601">
        <v>0</v>
      </c>
      <c r="G115" s="601">
        <v>0</v>
      </c>
      <c r="H115" s="601">
        <v>0</v>
      </c>
      <c r="I115" s="601">
        <v>0</v>
      </c>
      <c r="J115" s="601">
        <v>0</v>
      </c>
      <c r="K115" s="1481">
        <f>IFERROR(SUM(F115:J115), 0)</f>
        <v>0</v>
      </c>
      <c r="L115" s="1539"/>
      <c r="M115" s="1544"/>
      <c r="N115" s="1544"/>
      <c r="O115" s="1544"/>
      <c r="P115" s="1544"/>
      <c r="Q115" s="1539"/>
      <c r="R115" s="1962">
        <v>5.8999999999999997E-2</v>
      </c>
      <c r="S115" s="1962">
        <v>0</v>
      </c>
      <c r="T115" s="2239">
        <v>0</v>
      </c>
      <c r="U115" s="197"/>
      <c r="V115" s="966" t="s">
        <v>7672</v>
      </c>
      <c r="W115" s="197"/>
      <c r="X115" s="258"/>
      <c r="Y115" s="197"/>
      <c r="Z115" s="2576"/>
      <c r="AA115" s="251">
        <f t="shared" si="129"/>
        <v>0</v>
      </c>
      <c r="AB115" s="2578"/>
      <c r="AC115" s="252">
        <f t="shared" ref="AC115:AC124" si="238" xml:space="preserve"> IF( ISNUMBER(F115), 0, 1 )</f>
        <v>0</v>
      </c>
      <c r="AD115" s="252">
        <f t="shared" ref="AD115:AD124" si="239" xml:space="preserve"> IF( ISNUMBER(G115), 0, 1 )</f>
        <v>0</v>
      </c>
      <c r="AE115" s="252">
        <f t="shared" ref="AE115:AE124" si="240" xml:space="preserve"> IF( ISNUMBER(H115), 0, 1 )</f>
        <v>0</v>
      </c>
      <c r="AF115" s="252">
        <f t="shared" ref="AF115:AF124" si="241" xml:space="preserve"> IF( ISNUMBER(I115), 0, 1 )</f>
        <v>0</v>
      </c>
      <c r="AG115" s="252">
        <f t="shared" ref="AG115:AG124" si="242" xml:space="preserve"> IF( ISNUMBER(J115), 0, 1 )</f>
        <v>0</v>
      </c>
      <c r="AH115" s="237"/>
      <c r="AI115" s="237"/>
      <c r="AJ115" s="237"/>
      <c r="AK115" s="237"/>
      <c r="AL115" s="237"/>
      <c r="AM115" s="237"/>
      <c r="AN115" s="237"/>
      <c r="AO115" s="252">
        <f t="shared" si="235"/>
        <v>0</v>
      </c>
      <c r="AP115" s="252">
        <f t="shared" si="236"/>
        <v>0</v>
      </c>
      <c r="AQ115" s="252">
        <f t="shared" si="237"/>
        <v>0</v>
      </c>
      <c r="AR115" s="2578"/>
      <c r="AS115" s="2562"/>
      <c r="AT115" s="997" t="s">
        <v>7673</v>
      </c>
      <c r="AU115" s="318" t="s">
        <v>1692</v>
      </c>
      <c r="AV115" s="601" t="s">
        <v>7674</v>
      </c>
      <c r="AW115" s="601" t="s">
        <v>7675</v>
      </c>
      <c r="AX115" s="601" t="s">
        <v>7676</v>
      </c>
      <c r="AY115" s="601" t="s">
        <v>7677</v>
      </c>
      <c r="AZ115" s="601" t="s">
        <v>7678</v>
      </c>
      <c r="BA115" s="1481" t="s">
        <v>7679</v>
      </c>
      <c r="BB115" s="1539"/>
      <c r="BC115" s="1544"/>
      <c r="BD115" s="1544"/>
      <c r="BE115" s="1544"/>
      <c r="BF115" s="1544"/>
      <c r="BG115" s="1539"/>
      <c r="BH115" s="1962" t="s">
        <v>7680</v>
      </c>
      <c r="BI115" s="1962" t="s">
        <v>7681</v>
      </c>
      <c r="BJ115" s="2239" t="s">
        <v>7682</v>
      </c>
    </row>
    <row r="116" spans="1:62" ht="15.75" customHeight="1">
      <c r="A116" s="197"/>
      <c r="B116" s="997" t="s">
        <v>7673</v>
      </c>
      <c r="C116" s="318" t="s">
        <v>1693</v>
      </c>
      <c r="D116" s="253" t="s">
        <v>137</v>
      </c>
      <c r="E116" s="253">
        <v>3</v>
      </c>
      <c r="F116" s="601">
        <v>0</v>
      </c>
      <c r="G116" s="601">
        <v>0</v>
      </c>
      <c r="H116" s="601">
        <v>0</v>
      </c>
      <c r="I116" s="601">
        <v>0</v>
      </c>
      <c r="J116" s="601">
        <v>0</v>
      </c>
      <c r="K116" s="1481">
        <f t="shared" si="135"/>
        <v>0</v>
      </c>
      <c r="L116" s="1539"/>
      <c r="M116" s="1544"/>
      <c r="N116" s="1544"/>
      <c r="O116" s="1544"/>
      <c r="P116" s="1544"/>
      <c r="Q116" s="1539"/>
      <c r="R116" s="1962">
        <v>0</v>
      </c>
      <c r="S116" s="1962">
        <v>0</v>
      </c>
      <c r="T116" s="2239">
        <v>0</v>
      </c>
      <c r="U116" s="197"/>
      <c r="V116" s="966" t="s">
        <v>7683</v>
      </c>
      <c r="W116" s="197"/>
      <c r="X116" s="258"/>
      <c r="Y116" s="197"/>
      <c r="Z116" s="2576"/>
      <c r="AA116" s="251">
        <f t="shared" si="129"/>
        <v>0</v>
      </c>
      <c r="AB116" s="2578"/>
      <c r="AC116" s="252">
        <f t="shared" si="238"/>
        <v>0</v>
      </c>
      <c r="AD116" s="252">
        <f t="shared" si="239"/>
        <v>0</v>
      </c>
      <c r="AE116" s="252">
        <f t="shared" si="240"/>
        <v>0</v>
      </c>
      <c r="AF116" s="252">
        <f t="shared" si="241"/>
        <v>0</v>
      </c>
      <c r="AG116" s="252">
        <f t="shared" si="242"/>
        <v>0</v>
      </c>
      <c r="AH116" s="237"/>
      <c r="AI116" s="237"/>
      <c r="AJ116" s="237"/>
      <c r="AK116" s="237"/>
      <c r="AL116" s="237"/>
      <c r="AM116" s="237"/>
      <c r="AN116" s="237"/>
      <c r="AO116" s="252">
        <f t="shared" si="235"/>
        <v>0</v>
      </c>
      <c r="AP116" s="252">
        <f t="shared" si="236"/>
        <v>0</v>
      </c>
      <c r="AQ116" s="252">
        <f t="shared" si="237"/>
        <v>0</v>
      </c>
      <c r="AR116" s="2578"/>
      <c r="AS116" s="2562"/>
      <c r="AT116" s="997" t="s">
        <v>7673</v>
      </c>
      <c r="AU116" s="318" t="s">
        <v>1693</v>
      </c>
      <c r="AV116" s="601" t="s">
        <v>7684</v>
      </c>
      <c r="AW116" s="601" t="s">
        <v>7685</v>
      </c>
      <c r="AX116" s="601" t="s">
        <v>7686</v>
      </c>
      <c r="AY116" s="601" t="s">
        <v>7687</v>
      </c>
      <c r="AZ116" s="601" t="s">
        <v>7688</v>
      </c>
      <c r="BA116" s="1481" t="s">
        <v>7689</v>
      </c>
      <c r="BB116" s="1539"/>
      <c r="BC116" s="1544"/>
      <c r="BD116" s="1544"/>
      <c r="BE116" s="1544"/>
      <c r="BF116" s="1544"/>
      <c r="BG116" s="1539"/>
      <c r="BH116" s="1962" t="s">
        <v>7690</v>
      </c>
      <c r="BI116" s="1962" t="s">
        <v>7691</v>
      </c>
      <c r="BJ116" s="2239" t="s">
        <v>7692</v>
      </c>
    </row>
    <row r="117" spans="1:62" ht="15.75" customHeight="1">
      <c r="A117" s="197"/>
      <c r="B117" s="997" t="s">
        <v>7693</v>
      </c>
      <c r="C117" s="318" t="s">
        <v>1692</v>
      </c>
      <c r="D117" s="253" t="s">
        <v>137</v>
      </c>
      <c r="E117" s="253">
        <v>3</v>
      </c>
      <c r="F117" s="601">
        <v>0</v>
      </c>
      <c r="G117" s="601">
        <v>0</v>
      </c>
      <c r="H117" s="601">
        <v>0</v>
      </c>
      <c r="I117" s="601">
        <v>0</v>
      </c>
      <c r="J117" s="601">
        <v>0</v>
      </c>
      <c r="K117" s="1481">
        <f t="shared" si="135"/>
        <v>0</v>
      </c>
      <c r="L117" s="1539"/>
      <c r="M117" s="1539"/>
      <c r="N117" s="1539"/>
      <c r="O117" s="1539"/>
      <c r="P117" s="1539"/>
      <c r="Q117" s="1539"/>
      <c r="R117" s="1962">
        <v>0</v>
      </c>
      <c r="S117" s="1962">
        <v>0</v>
      </c>
      <c r="T117" s="2239">
        <v>0</v>
      </c>
      <c r="U117" s="197"/>
      <c r="V117" s="966" t="s">
        <v>7694</v>
      </c>
      <c r="W117" s="197"/>
      <c r="X117" s="258"/>
      <c r="Y117" s="197"/>
      <c r="Z117" s="2576"/>
      <c r="AA117" s="251">
        <f t="shared" si="129"/>
        <v>0</v>
      </c>
      <c r="AB117" s="2578"/>
      <c r="AC117" s="252">
        <f t="shared" si="238"/>
        <v>0</v>
      </c>
      <c r="AD117" s="252">
        <f t="shared" si="239"/>
        <v>0</v>
      </c>
      <c r="AE117" s="252">
        <f t="shared" si="240"/>
        <v>0</v>
      </c>
      <c r="AF117" s="252">
        <f t="shared" si="241"/>
        <v>0</v>
      </c>
      <c r="AG117" s="252">
        <f t="shared" si="242"/>
        <v>0</v>
      </c>
      <c r="AH117" s="237"/>
      <c r="AI117" s="237"/>
      <c r="AJ117" s="237"/>
      <c r="AK117" s="237"/>
      <c r="AL117" s="237"/>
      <c r="AM117" s="237"/>
      <c r="AN117" s="237"/>
      <c r="AO117" s="252">
        <f t="shared" si="235"/>
        <v>0</v>
      </c>
      <c r="AP117" s="252">
        <f t="shared" si="236"/>
        <v>0</v>
      </c>
      <c r="AQ117" s="252">
        <f t="shared" si="237"/>
        <v>0</v>
      </c>
      <c r="AR117" s="2578"/>
      <c r="AS117" s="2562"/>
      <c r="AT117" s="997" t="s">
        <v>7693</v>
      </c>
      <c r="AU117" s="318" t="s">
        <v>1692</v>
      </c>
      <c r="AV117" s="601" t="s">
        <v>7695</v>
      </c>
      <c r="AW117" s="601" t="s">
        <v>7696</v>
      </c>
      <c r="AX117" s="601" t="s">
        <v>7697</v>
      </c>
      <c r="AY117" s="601" t="s">
        <v>7698</v>
      </c>
      <c r="AZ117" s="601" t="s">
        <v>7699</v>
      </c>
      <c r="BA117" s="1481" t="s">
        <v>7700</v>
      </c>
      <c r="BB117" s="1539"/>
      <c r="BC117" s="1539"/>
      <c r="BD117" s="1539"/>
      <c r="BE117" s="1539"/>
      <c r="BF117" s="1539"/>
      <c r="BG117" s="1539"/>
      <c r="BH117" s="1962" t="s">
        <v>7701</v>
      </c>
      <c r="BI117" s="1962" t="s">
        <v>7702</v>
      </c>
      <c r="BJ117" s="2239" t="s">
        <v>7703</v>
      </c>
    </row>
    <row r="118" spans="1:62" ht="15.75" customHeight="1">
      <c r="A118" s="197"/>
      <c r="B118" s="997" t="s">
        <v>7693</v>
      </c>
      <c r="C118" s="318" t="s">
        <v>1693</v>
      </c>
      <c r="D118" s="253" t="s">
        <v>137</v>
      </c>
      <c r="E118" s="253">
        <v>3</v>
      </c>
      <c r="F118" s="601">
        <v>0</v>
      </c>
      <c r="G118" s="601">
        <v>0</v>
      </c>
      <c r="H118" s="601">
        <v>0</v>
      </c>
      <c r="I118" s="601">
        <v>0</v>
      </c>
      <c r="J118" s="601">
        <v>0</v>
      </c>
      <c r="K118" s="1481">
        <f t="shared" si="135"/>
        <v>0</v>
      </c>
      <c r="L118" s="1539"/>
      <c r="M118" s="1539"/>
      <c r="N118" s="1539"/>
      <c r="O118" s="1539"/>
      <c r="P118" s="1539"/>
      <c r="Q118" s="1539"/>
      <c r="R118" s="1962">
        <v>0</v>
      </c>
      <c r="S118" s="1962">
        <v>0</v>
      </c>
      <c r="T118" s="2239">
        <v>0</v>
      </c>
      <c r="U118" s="197"/>
      <c r="V118" s="966" t="s">
        <v>7704</v>
      </c>
      <c r="W118" s="197"/>
      <c r="X118" s="258"/>
      <c r="Y118" s="197"/>
      <c r="Z118" s="2576"/>
      <c r="AA118" s="251">
        <f t="shared" si="129"/>
        <v>0</v>
      </c>
      <c r="AB118" s="2578"/>
      <c r="AC118" s="252">
        <f t="shared" si="238"/>
        <v>0</v>
      </c>
      <c r="AD118" s="252">
        <f t="shared" si="239"/>
        <v>0</v>
      </c>
      <c r="AE118" s="252">
        <f t="shared" si="240"/>
        <v>0</v>
      </c>
      <c r="AF118" s="252">
        <f t="shared" si="241"/>
        <v>0</v>
      </c>
      <c r="AG118" s="252">
        <f t="shared" si="242"/>
        <v>0</v>
      </c>
      <c r="AH118" s="237"/>
      <c r="AI118" s="237"/>
      <c r="AJ118" s="237"/>
      <c r="AK118" s="237"/>
      <c r="AL118" s="237"/>
      <c r="AM118" s="237"/>
      <c r="AN118" s="237"/>
      <c r="AO118" s="252">
        <f t="shared" si="235"/>
        <v>0</v>
      </c>
      <c r="AP118" s="252">
        <f t="shared" si="236"/>
        <v>0</v>
      </c>
      <c r="AQ118" s="252">
        <f t="shared" si="237"/>
        <v>0</v>
      </c>
      <c r="AR118" s="2578"/>
      <c r="AS118" s="2562"/>
      <c r="AT118" s="997" t="s">
        <v>7693</v>
      </c>
      <c r="AU118" s="318" t="s">
        <v>1693</v>
      </c>
      <c r="AV118" s="601" t="s">
        <v>7705</v>
      </c>
      <c r="AW118" s="601" t="s">
        <v>7706</v>
      </c>
      <c r="AX118" s="601" t="s">
        <v>7707</v>
      </c>
      <c r="AY118" s="601" t="s">
        <v>7708</v>
      </c>
      <c r="AZ118" s="601" t="s">
        <v>7709</v>
      </c>
      <c r="BA118" s="1481" t="s">
        <v>7710</v>
      </c>
      <c r="BB118" s="1539"/>
      <c r="BC118" s="1539"/>
      <c r="BD118" s="1539"/>
      <c r="BE118" s="1539"/>
      <c r="BF118" s="1539"/>
      <c r="BG118" s="1539"/>
      <c r="BH118" s="1962" t="s">
        <v>7711</v>
      </c>
      <c r="BI118" s="1962" t="s">
        <v>7712</v>
      </c>
      <c r="BJ118" s="2239" t="s">
        <v>7713</v>
      </c>
    </row>
    <row r="119" spans="1:62" ht="15.75" customHeight="1">
      <c r="A119" s="197"/>
      <c r="B119" s="997" t="s">
        <v>7714</v>
      </c>
      <c r="C119" s="318" t="s">
        <v>1692</v>
      </c>
      <c r="D119" s="253" t="s">
        <v>137</v>
      </c>
      <c r="E119" s="253">
        <v>3</v>
      </c>
      <c r="F119" s="601">
        <v>0</v>
      </c>
      <c r="G119" s="601">
        <v>0</v>
      </c>
      <c r="H119" s="601">
        <v>0</v>
      </c>
      <c r="I119" s="601">
        <v>0</v>
      </c>
      <c r="J119" s="601">
        <v>0</v>
      </c>
      <c r="K119" s="1481">
        <f t="shared" si="135"/>
        <v>0</v>
      </c>
      <c r="L119" s="1539"/>
      <c r="M119" s="1539"/>
      <c r="N119" s="1539"/>
      <c r="O119" s="1539"/>
      <c r="P119" s="1539"/>
      <c r="Q119" s="1539"/>
      <c r="R119" s="1962">
        <v>0</v>
      </c>
      <c r="S119" s="1962">
        <v>0</v>
      </c>
      <c r="T119" s="2239">
        <v>0</v>
      </c>
      <c r="U119" s="197"/>
      <c r="V119" s="966" t="s">
        <v>7715</v>
      </c>
      <c r="W119" s="197"/>
      <c r="X119" s="258"/>
      <c r="Y119" s="197"/>
      <c r="Z119" s="2576"/>
      <c r="AA119" s="251">
        <f t="shared" si="129"/>
        <v>0</v>
      </c>
      <c r="AB119" s="2578"/>
      <c r="AC119" s="252">
        <f t="shared" si="238"/>
        <v>0</v>
      </c>
      <c r="AD119" s="252">
        <f t="shared" si="239"/>
        <v>0</v>
      </c>
      <c r="AE119" s="252">
        <f t="shared" si="240"/>
        <v>0</v>
      </c>
      <c r="AF119" s="252">
        <f t="shared" si="241"/>
        <v>0</v>
      </c>
      <c r="AG119" s="252">
        <f t="shared" si="242"/>
        <v>0</v>
      </c>
      <c r="AH119" s="237"/>
      <c r="AI119" s="237"/>
      <c r="AJ119" s="237"/>
      <c r="AK119" s="237"/>
      <c r="AL119" s="237"/>
      <c r="AM119" s="237"/>
      <c r="AN119" s="237"/>
      <c r="AO119" s="252">
        <f t="shared" si="235"/>
        <v>0</v>
      </c>
      <c r="AP119" s="252">
        <f t="shared" si="236"/>
        <v>0</v>
      </c>
      <c r="AQ119" s="252">
        <f t="shared" si="237"/>
        <v>0</v>
      </c>
      <c r="AR119" s="2578"/>
      <c r="AS119" s="2562"/>
      <c r="AT119" s="997" t="s">
        <v>7714</v>
      </c>
      <c r="AU119" s="318" t="s">
        <v>1692</v>
      </c>
      <c r="AV119" s="601" t="s">
        <v>7716</v>
      </c>
      <c r="AW119" s="601" t="s">
        <v>7717</v>
      </c>
      <c r="AX119" s="601" t="s">
        <v>7718</v>
      </c>
      <c r="AY119" s="601" t="s">
        <v>7719</v>
      </c>
      <c r="AZ119" s="601" t="s">
        <v>7720</v>
      </c>
      <c r="BA119" s="1481" t="s">
        <v>7721</v>
      </c>
      <c r="BB119" s="1539"/>
      <c r="BC119" s="1539"/>
      <c r="BD119" s="1539"/>
      <c r="BE119" s="1539"/>
      <c r="BF119" s="1539"/>
      <c r="BG119" s="1539"/>
      <c r="BH119" s="1962" t="s">
        <v>7722</v>
      </c>
      <c r="BI119" s="1962" t="s">
        <v>7723</v>
      </c>
      <c r="BJ119" s="2239" t="s">
        <v>7724</v>
      </c>
    </row>
    <row r="120" spans="1:62" ht="15.75" customHeight="1">
      <c r="A120" s="197"/>
      <c r="B120" s="997" t="s">
        <v>7714</v>
      </c>
      <c r="C120" s="318" t="s">
        <v>1693</v>
      </c>
      <c r="D120" s="253" t="s">
        <v>137</v>
      </c>
      <c r="E120" s="253">
        <v>3</v>
      </c>
      <c r="F120" s="601">
        <v>0</v>
      </c>
      <c r="G120" s="601">
        <v>0</v>
      </c>
      <c r="H120" s="601">
        <v>0</v>
      </c>
      <c r="I120" s="601">
        <v>0</v>
      </c>
      <c r="J120" s="601">
        <v>0</v>
      </c>
      <c r="K120" s="1481">
        <f t="shared" si="135"/>
        <v>0</v>
      </c>
      <c r="L120" s="1539"/>
      <c r="M120" s="1539"/>
      <c r="N120" s="1539"/>
      <c r="O120" s="1539"/>
      <c r="P120" s="1539"/>
      <c r="Q120" s="1539"/>
      <c r="R120" s="1962">
        <v>0</v>
      </c>
      <c r="S120" s="1962">
        <v>0</v>
      </c>
      <c r="T120" s="2239">
        <v>0</v>
      </c>
      <c r="U120" s="197"/>
      <c r="V120" s="966" t="s">
        <v>7725</v>
      </c>
      <c r="W120" s="197"/>
      <c r="X120" s="258"/>
      <c r="Y120" s="197"/>
      <c r="Z120" s="2576"/>
      <c r="AA120" s="251">
        <f t="shared" si="129"/>
        <v>0</v>
      </c>
      <c r="AB120" s="2578"/>
      <c r="AC120" s="252">
        <f t="shared" si="238"/>
        <v>0</v>
      </c>
      <c r="AD120" s="252">
        <f t="shared" si="239"/>
        <v>0</v>
      </c>
      <c r="AE120" s="252">
        <f t="shared" si="240"/>
        <v>0</v>
      </c>
      <c r="AF120" s="252">
        <f t="shared" si="241"/>
        <v>0</v>
      </c>
      <c r="AG120" s="252">
        <f t="shared" si="242"/>
        <v>0</v>
      </c>
      <c r="AH120" s="237"/>
      <c r="AI120" s="237"/>
      <c r="AJ120" s="237"/>
      <c r="AK120" s="237"/>
      <c r="AL120" s="237"/>
      <c r="AM120" s="237"/>
      <c r="AN120" s="237"/>
      <c r="AO120" s="252">
        <f t="shared" si="235"/>
        <v>0</v>
      </c>
      <c r="AP120" s="252">
        <f t="shared" si="236"/>
        <v>0</v>
      </c>
      <c r="AQ120" s="252">
        <f t="shared" si="237"/>
        <v>0</v>
      </c>
      <c r="AR120" s="2578"/>
      <c r="AS120" s="2562"/>
      <c r="AT120" s="997" t="s">
        <v>7714</v>
      </c>
      <c r="AU120" s="318" t="s">
        <v>1693</v>
      </c>
      <c r="AV120" s="601" t="s">
        <v>7726</v>
      </c>
      <c r="AW120" s="601" t="s">
        <v>7727</v>
      </c>
      <c r="AX120" s="601" t="s">
        <v>7728</v>
      </c>
      <c r="AY120" s="601" t="s">
        <v>7729</v>
      </c>
      <c r="AZ120" s="601" t="s">
        <v>7730</v>
      </c>
      <c r="BA120" s="1481" t="s">
        <v>7731</v>
      </c>
      <c r="BB120" s="1539"/>
      <c r="BC120" s="1539"/>
      <c r="BD120" s="1539"/>
      <c r="BE120" s="1539"/>
      <c r="BF120" s="1539"/>
      <c r="BG120" s="1539"/>
      <c r="BH120" s="1962" t="s">
        <v>7732</v>
      </c>
      <c r="BI120" s="1962" t="s">
        <v>7733</v>
      </c>
      <c r="BJ120" s="2239" t="s">
        <v>7734</v>
      </c>
    </row>
    <row r="121" spans="1:62" ht="15.75" customHeight="1">
      <c r="A121" s="197"/>
      <c r="B121" s="997" t="s">
        <v>7735</v>
      </c>
      <c r="C121" s="318" t="s">
        <v>1692</v>
      </c>
      <c r="D121" s="253" t="s">
        <v>137</v>
      </c>
      <c r="E121" s="253">
        <v>3</v>
      </c>
      <c r="F121" s="601">
        <v>0</v>
      </c>
      <c r="G121" s="601">
        <v>0</v>
      </c>
      <c r="H121" s="601">
        <v>0</v>
      </c>
      <c r="I121" s="601">
        <v>0</v>
      </c>
      <c r="J121" s="601">
        <v>0</v>
      </c>
      <c r="K121" s="1481">
        <f t="shared" si="135"/>
        <v>0</v>
      </c>
      <c r="L121" s="1539"/>
      <c r="M121" s="1539"/>
      <c r="N121" s="1539"/>
      <c r="O121" s="1539"/>
      <c r="P121" s="1539"/>
      <c r="Q121" s="1539"/>
      <c r="R121" s="1962">
        <v>0</v>
      </c>
      <c r="S121" s="1962">
        <v>0</v>
      </c>
      <c r="T121" s="2239">
        <v>0</v>
      </c>
      <c r="U121" s="197"/>
      <c r="V121" s="966" t="s">
        <v>7736</v>
      </c>
      <c r="W121" s="197"/>
      <c r="X121" s="258"/>
      <c r="Y121" s="197"/>
      <c r="Z121" s="2576"/>
      <c r="AA121" s="251">
        <f t="shared" si="129"/>
        <v>0</v>
      </c>
      <c r="AB121" s="2578"/>
      <c r="AC121" s="252">
        <f t="shared" si="238"/>
        <v>0</v>
      </c>
      <c r="AD121" s="252">
        <f t="shared" si="239"/>
        <v>0</v>
      </c>
      <c r="AE121" s="252">
        <f t="shared" si="240"/>
        <v>0</v>
      </c>
      <c r="AF121" s="252">
        <f t="shared" si="241"/>
        <v>0</v>
      </c>
      <c r="AG121" s="252">
        <f t="shared" si="242"/>
        <v>0</v>
      </c>
      <c r="AH121" s="237"/>
      <c r="AI121" s="237"/>
      <c r="AJ121" s="237"/>
      <c r="AK121" s="237"/>
      <c r="AL121" s="237"/>
      <c r="AM121" s="237"/>
      <c r="AN121" s="237"/>
      <c r="AO121" s="252">
        <f t="shared" si="235"/>
        <v>0</v>
      </c>
      <c r="AP121" s="252">
        <f t="shared" si="236"/>
        <v>0</v>
      </c>
      <c r="AQ121" s="252">
        <f t="shared" si="237"/>
        <v>0</v>
      </c>
      <c r="AR121" s="2578"/>
      <c r="AS121" s="2562"/>
      <c r="AT121" s="997" t="s">
        <v>7735</v>
      </c>
      <c r="AU121" s="318" t="s">
        <v>1692</v>
      </c>
      <c r="AV121" s="601" t="s">
        <v>7737</v>
      </c>
      <c r="AW121" s="601" t="s">
        <v>7738</v>
      </c>
      <c r="AX121" s="601" t="s">
        <v>7739</v>
      </c>
      <c r="AY121" s="601" t="s">
        <v>7740</v>
      </c>
      <c r="AZ121" s="601" t="s">
        <v>7741</v>
      </c>
      <c r="BA121" s="1481" t="s">
        <v>7742</v>
      </c>
      <c r="BB121" s="1539"/>
      <c r="BC121" s="1539"/>
      <c r="BD121" s="1539"/>
      <c r="BE121" s="1539"/>
      <c r="BF121" s="1539"/>
      <c r="BG121" s="1539"/>
      <c r="BH121" s="1962" t="s">
        <v>7743</v>
      </c>
      <c r="BI121" s="1962" t="s">
        <v>7744</v>
      </c>
      <c r="BJ121" s="2239" t="s">
        <v>7745</v>
      </c>
    </row>
    <row r="122" spans="1:62" ht="15.75" customHeight="1">
      <c r="A122" s="197"/>
      <c r="B122" s="997" t="s">
        <v>7735</v>
      </c>
      <c r="C122" s="318" t="s">
        <v>1693</v>
      </c>
      <c r="D122" s="253" t="s">
        <v>137</v>
      </c>
      <c r="E122" s="253">
        <v>3</v>
      </c>
      <c r="F122" s="601">
        <v>0</v>
      </c>
      <c r="G122" s="601">
        <v>0</v>
      </c>
      <c r="H122" s="601">
        <v>0</v>
      </c>
      <c r="I122" s="601">
        <v>0</v>
      </c>
      <c r="J122" s="601">
        <v>0</v>
      </c>
      <c r="K122" s="1481">
        <f t="shared" si="135"/>
        <v>0</v>
      </c>
      <c r="L122" s="1539"/>
      <c r="M122" s="1539"/>
      <c r="N122" s="1539"/>
      <c r="O122" s="1539"/>
      <c r="P122" s="1539"/>
      <c r="Q122" s="1539"/>
      <c r="R122" s="1962">
        <v>0</v>
      </c>
      <c r="S122" s="1962">
        <v>0</v>
      </c>
      <c r="T122" s="2239">
        <v>0</v>
      </c>
      <c r="U122" s="197"/>
      <c r="V122" s="966" t="s">
        <v>7746</v>
      </c>
      <c r="W122" s="197"/>
      <c r="X122" s="258"/>
      <c r="Y122" s="197"/>
      <c r="Z122" s="2576"/>
      <c r="AA122" s="251">
        <f t="shared" si="129"/>
        <v>0</v>
      </c>
      <c r="AB122" s="2578"/>
      <c r="AC122" s="252">
        <f t="shared" si="238"/>
        <v>0</v>
      </c>
      <c r="AD122" s="252">
        <f t="shared" si="239"/>
        <v>0</v>
      </c>
      <c r="AE122" s="252">
        <f t="shared" si="240"/>
        <v>0</v>
      </c>
      <c r="AF122" s="252">
        <f t="shared" si="241"/>
        <v>0</v>
      </c>
      <c r="AG122" s="252">
        <f t="shared" si="242"/>
        <v>0</v>
      </c>
      <c r="AH122" s="237"/>
      <c r="AI122" s="237"/>
      <c r="AJ122" s="237"/>
      <c r="AK122" s="237"/>
      <c r="AL122" s="237"/>
      <c r="AM122" s="237"/>
      <c r="AN122" s="237"/>
      <c r="AO122" s="252">
        <f t="shared" si="235"/>
        <v>0</v>
      </c>
      <c r="AP122" s="252">
        <f t="shared" si="236"/>
        <v>0</v>
      </c>
      <c r="AQ122" s="252">
        <f t="shared" si="237"/>
        <v>0</v>
      </c>
      <c r="AR122" s="2578"/>
      <c r="AS122" s="2562"/>
      <c r="AT122" s="997" t="s">
        <v>7735</v>
      </c>
      <c r="AU122" s="318" t="s">
        <v>1693</v>
      </c>
      <c r="AV122" s="601" t="s">
        <v>7747</v>
      </c>
      <c r="AW122" s="601" t="s">
        <v>7748</v>
      </c>
      <c r="AX122" s="601" t="s">
        <v>7749</v>
      </c>
      <c r="AY122" s="601" t="s">
        <v>7750</v>
      </c>
      <c r="AZ122" s="601" t="s">
        <v>7751</v>
      </c>
      <c r="BA122" s="1481" t="s">
        <v>7752</v>
      </c>
      <c r="BB122" s="1539"/>
      <c r="BC122" s="1539"/>
      <c r="BD122" s="1539"/>
      <c r="BE122" s="1539"/>
      <c r="BF122" s="1539"/>
      <c r="BG122" s="1539"/>
      <c r="BH122" s="1962" t="s">
        <v>7753</v>
      </c>
      <c r="BI122" s="1962" t="s">
        <v>7754</v>
      </c>
      <c r="BJ122" s="2239" t="s">
        <v>7755</v>
      </c>
    </row>
    <row r="123" spans="1:62" ht="15.75" customHeight="1">
      <c r="A123" s="197"/>
      <c r="B123" s="997" t="s">
        <v>7756</v>
      </c>
      <c r="C123" s="318" t="s">
        <v>1692</v>
      </c>
      <c r="D123" s="253" t="s">
        <v>137</v>
      </c>
      <c r="E123" s="253">
        <v>3</v>
      </c>
      <c r="F123" s="601">
        <v>0</v>
      </c>
      <c r="G123" s="601">
        <v>0</v>
      </c>
      <c r="H123" s="601">
        <v>0</v>
      </c>
      <c r="I123" s="601">
        <v>0</v>
      </c>
      <c r="J123" s="601">
        <v>0</v>
      </c>
      <c r="K123" s="1481">
        <f t="shared" si="135"/>
        <v>0</v>
      </c>
      <c r="L123" s="1539"/>
      <c r="M123" s="1539"/>
      <c r="N123" s="1539"/>
      <c r="O123" s="1539"/>
      <c r="P123" s="1539"/>
      <c r="Q123" s="1539"/>
      <c r="R123" s="1962">
        <v>0</v>
      </c>
      <c r="S123" s="1962">
        <v>0</v>
      </c>
      <c r="T123" s="2239">
        <v>0</v>
      </c>
      <c r="U123" s="197"/>
      <c r="V123" s="966" t="s">
        <v>7757</v>
      </c>
      <c r="W123" s="197"/>
      <c r="X123" s="258"/>
      <c r="Y123" s="197"/>
      <c r="Z123" s="2576"/>
      <c r="AA123" s="251">
        <f t="shared" si="129"/>
        <v>0</v>
      </c>
      <c r="AB123" s="2578"/>
      <c r="AC123" s="252">
        <f t="shared" si="238"/>
        <v>0</v>
      </c>
      <c r="AD123" s="252">
        <f t="shared" si="239"/>
        <v>0</v>
      </c>
      <c r="AE123" s="252">
        <f t="shared" si="240"/>
        <v>0</v>
      </c>
      <c r="AF123" s="252">
        <f t="shared" si="241"/>
        <v>0</v>
      </c>
      <c r="AG123" s="252">
        <f t="shared" si="242"/>
        <v>0</v>
      </c>
      <c r="AH123" s="237"/>
      <c r="AI123" s="237"/>
      <c r="AJ123" s="237"/>
      <c r="AK123" s="237"/>
      <c r="AL123" s="237"/>
      <c r="AM123" s="237"/>
      <c r="AN123" s="237"/>
      <c r="AO123" s="252">
        <f t="shared" si="235"/>
        <v>0</v>
      </c>
      <c r="AP123" s="252">
        <f t="shared" si="236"/>
        <v>0</v>
      </c>
      <c r="AQ123" s="252">
        <f t="shared" si="237"/>
        <v>0</v>
      </c>
      <c r="AR123" s="2578"/>
      <c r="AS123" s="2562"/>
      <c r="AT123" s="997" t="s">
        <v>7756</v>
      </c>
      <c r="AU123" s="318" t="s">
        <v>1692</v>
      </c>
      <c r="AV123" s="601" t="s">
        <v>7758</v>
      </c>
      <c r="AW123" s="601" t="s">
        <v>7759</v>
      </c>
      <c r="AX123" s="601" t="s">
        <v>7760</v>
      </c>
      <c r="AY123" s="601" t="s">
        <v>7761</v>
      </c>
      <c r="AZ123" s="601" t="s">
        <v>7762</v>
      </c>
      <c r="BA123" s="1481" t="s">
        <v>7763</v>
      </c>
      <c r="BB123" s="1539"/>
      <c r="BC123" s="1539"/>
      <c r="BD123" s="1539"/>
      <c r="BE123" s="1539"/>
      <c r="BF123" s="1539"/>
      <c r="BG123" s="1539"/>
      <c r="BH123" s="1962" t="s">
        <v>7764</v>
      </c>
      <c r="BI123" s="1962" t="s">
        <v>7765</v>
      </c>
      <c r="BJ123" s="2239" t="s">
        <v>7766</v>
      </c>
    </row>
    <row r="124" spans="1:62" ht="15.75" customHeight="1">
      <c r="A124" s="197"/>
      <c r="B124" s="997" t="s">
        <v>7756</v>
      </c>
      <c r="C124" s="318" t="s">
        <v>1693</v>
      </c>
      <c r="D124" s="253" t="s">
        <v>137</v>
      </c>
      <c r="E124" s="253">
        <v>3</v>
      </c>
      <c r="F124" s="601">
        <v>0</v>
      </c>
      <c r="G124" s="601">
        <v>0</v>
      </c>
      <c r="H124" s="601">
        <v>0</v>
      </c>
      <c r="I124" s="601">
        <v>0</v>
      </c>
      <c r="J124" s="601">
        <v>0</v>
      </c>
      <c r="K124" s="1481">
        <f t="shared" si="135"/>
        <v>0</v>
      </c>
      <c r="L124" s="1539"/>
      <c r="M124" s="1539"/>
      <c r="N124" s="1539"/>
      <c r="O124" s="1539"/>
      <c r="P124" s="1539"/>
      <c r="Q124" s="1539"/>
      <c r="R124" s="1962">
        <v>0</v>
      </c>
      <c r="S124" s="1962">
        <v>0</v>
      </c>
      <c r="T124" s="2239">
        <v>0</v>
      </c>
      <c r="U124" s="197"/>
      <c r="V124" s="966" t="s">
        <v>7767</v>
      </c>
      <c r="W124" s="197"/>
      <c r="X124" s="258"/>
      <c r="Y124" s="197"/>
      <c r="Z124" s="2576"/>
      <c r="AA124" s="251">
        <f t="shared" si="129"/>
        <v>0</v>
      </c>
      <c r="AB124" s="2578"/>
      <c r="AC124" s="252">
        <f t="shared" si="238"/>
        <v>0</v>
      </c>
      <c r="AD124" s="252">
        <f t="shared" si="239"/>
        <v>0</v>
      </c>
      <c r="AE124" s="252">
        <f t="shared" si="240"/>
        <v>0</v>
      </c>
      <c r="AF124" s="252">
        <f t="shared" si="241"/>
        <v>0</v>
      </c>
      <c r="AG124" s="252">
        <f t="shared" si="242"/>
        <v>0</v>
      </c>
      <c r="AH124" s="237"/>
      <c r="AI124" s="237"/>
      <c r="AJ124" s="237"/>
      <c r="AK124" s="237"/>
      <c r="AL124" s="237"/>
      <c r="AM124" s="237"/>
      <c r="AN124" s="237"/>
      <c r="AO124" s="252">
        <f t="shared" si="235"/>
        <v>0</v>
      </c>
      <c r="AP124" s="252">
        <f t="shared" si="236"/>
        <v>0</v>
      </c>
      <c r="AQ124" s="252">
        <f t="shared" si="237"/>
        <v>0</v>
      </c>
      <c r="AR124" s="2578"/>
      <c r="AS124" s="2562"/>
      <c r="AT124" s="997" t="s">
        <v>7756</v>
      </c>
      <c r="AU124" s="318" t="s">
        <v>1693</v>
      </c>
      <c r="AV124" s="601" t="s">
        <v>7768</v>
      </c>
      <c r="AW124" s="601" t="s">
        <v>7769</v>
      </c>
      <c r="AX124" s="601" t="s">
        <v>7770</v>
      </c>
      <c r="AY124" s="601" t="s">
        <v>7771</v>
      </c>
      <c r="AZ124" s="601" t="s">
        <v>7772</v>
      </c>
      <c r="BA124" s="1481" t="s">
        <v>7773</v>
      </c>
      <c r="BB124" s="1539"/>
      <c r="BC124" s="1539"/>
      <c r="BD124" s="1539"/>
      <c r="BE124" s="1539"/>
      <c r="BF124" s="1539"/>
      <c r="BG124" s="1539"/>
      <c r="BH124" s="1962" t="s">
        <v>7774</v>
      </c>
      <c r="BI124" s="1962" t="s">
        <v>7775</v>
      </c>
      <c r="BJ124" s="2239" t="s">
        <v>7776</v>
      </c>
    </row>
    <row r="125" spans="1:62" ht="15.75" customHeight="1" thickBot="1">
      <c r="A125" s="197"/>
      <c r="B125" s="975" t="s">
        <v>7777</v>
      </c>
      <c r="C125" s="976" t="s">
        <v>1694</v>
      </c>
      <c r="D125" s="319" t="s">
        <v>137</v>
      </c>
      <c r="E125" s="319">
        <v>3</v>
      </c>
      <c r="F125" s="1473">
        <f t="shared" ref="F125:K125" si="243">IFERROR(SUM(F81,F108,F90,F93,F96,F111,F114,F115:F124), 0)</f>
        <v>0.128</v>
      </c>
      <c r="G125" s="1473">
        <f t="shared" si="243"/>
        <v>8.9999999999999993E-3</v>
      </c>
      <c r="H125" s="1473">
        <f t="shared" si="243"/>
        <v>1.0999999999999999E-2</v>
      </c>
      <c r="I125" s="1473">
        <f t="shared" si="243"/>
        <v>22.731999999999999</v>
      </c>
      <c r="J125" s="1473">
        <f>IFERROR(SUM(J81,J108,J90,J93,J96,J111,J114,J115:J124), 0)</f>
        <v>1.6880000000000002</v>
      </c>
      <c r="K125" s="1473">
        <f t="shared" si="243"/>
        <v>24.568000000000001</v>
      </c>
      <c r="L125" s="1545"/>
      <c r="M125" s="1545"/>
      <c r="N125" s="1545"/>
      <c r="O125" s="1545"/>
      <c r="P125" s="1545"/>
      <c r="Q125" s="1545"/>
      <c r="R125" s="1473">
        <f>IFERROR(SUM(R81,R108,R90,R93,R96,R111,R114,R115:R124), 0)</f>
        <v>49.414000000000001</v>
      </c>
      <c r="S125" s="1473">
        <f>IFERROR(SUM(S81,S108,S90,S93,S96,S111,S114,S115:S124), 0)</f>
        <v>56.801000000000002</v>
      </c>
      <c r="T125" s="1483">
        <f>IFERROR(SUM(T81,T108,T90,T93,T96,T111,T114,T115:T124), 0)</f>
        <v>82.168999999999997</v>
      </c>
      <c r="U125" s="197"/>
      <c r="V125" s="980" t="s">
        <v>7778</v>
      </c>
      <c r="W125" s="197"/>
      <c r="X125" s="269"/>
      <c r="Y125" s="197"/>
      <c r="Z125" s="2576"/>
      <c r="AA125" s="2562"/>
      <c r="AB125" s="2578"/>
      <c r="AC125" s="237"/>
      <c r="AD125" s="237"/>
      <c r="AE125" s="237"/>
      <c r="AF125" s="237"/>
      <c r="AG125" s="237"/>
      <c r="AH125" s="237"/>
      <c r="AI125" s="237"/>
      <c r="AJ125" s="237"/>
      <c r="AK125" s="237"/>
      <c r="AL125" s="237"/>
      <c r="AM125" s="237"/>
      <c r="AN125" s="237"/>
      <c r="AO125" s="237"/>
      <c r="AP125" s="237"/>
      <c r="AQ125" s="237"/>
      <c r="AR125" s="2578"/>
      <c r="AS125" s="2562"/>
      <c r="AT125" s="975" t="s">
        <v>7777</v>
      </c>
      <c r="AU125" s="976" t="s">
        <v>1694</v>
      </c>
      <c r="AV125" s="1473" t="s">
        <v>7779</v>
      </c>
      <c r="AW125" s="1473" t="s">
        <v>7780</v>
      </c>
      <c r="AX125" s="1473" t="s">
        <v>7781</v>
      </c>
      <c r="AY125" s="1473" t="s">
        <v>7782</v>
      </c>
      <c r="AZ125" s="1473" t="s">
        <v>7783</v>
      </c>
      <c r="BA125" s="1473" t="s">
        <v>7784</v>
      </c>
      <c r="BB125" s="1545"/>
      <c r="BC125" s="1545"/>
      <c r="BD125" s="1545"/>
      <c r="BE125" s="1545"/>
      <c r="BF125" s="1545"/>
      <c r="BG125" s="1545"/>
      <c r="BH125" s="1473" t="s">
        <v>7785</v>
      </c>
      <c r="BI125" s="1473" t="s">
        <v>7786</v>
      </c>
      <c r="BJ125" s="1483" t="s">
        <v>7787</v>
      </c>
    </row>
    <row r="126" spans="1:62" ht="15.75" customHeight="1" thickTop="1" thickBot="1">
      <c r="A126" s="197"/>
      <c r="B126" s="981"/>
      <c r="C126" s="197"/>
      <c r="D126" s="197"/>
      <c r="E126" s="197"/>
      <c r="F126" s="440"/>
      <c r="G126" s="440"/>
      <c r="H126" s="440"/>
      <c r="I126" s="440"/>
      <c r="J126" s="440"/>
      <c r="K126" s="440"/>
      <c r="L126" s="440"/>
      <c r="M126" s="1550"/>
      <c r="N126" s="1550"/>
      <c r="O126" s="1550"/>
      <c r="P126" s="1550"/>
      <c r="Q126" s="1551"/>
      <c r="R126" s="1550"/>
      <c r="S126" s="1550"/>
      <c r="T126" s="1551"/>
      <c r="U126" s="222"/>
      <c r="V126" s="222"/>
      <c r="W126" s="197"/>
      <c r="X126" s="197"/>
      <c r="Y126" s="197"/>
      <c r="Z126" s="2576"/>
      <c r="AA126" s="2562"/>
      <c r="AB126" s="2578"/>
      <c r="AC126" s="237"/>
      <c r="AD126" s="237"/>
      <c r="AE126" s="237"/>
      <c r="AF126" s="237"/>
      <c r="AG126" s="237"/>
      <c r="AH126" s="237"/>
      <c r="AI126" s="237"/>
      <c r="AJ126" s="237"/>
      <c r="AK126" s="237"/>
      <c r="AL126" s="237"/>
      <c r="AM126" s="237"/>
      <c r="AN126" s="237"/>
      <c r="AO126" s="237"/>
      <c r="AP126" s="237"/>
      <c r="AQ126" s="237"/>
      <c r="AR126" s="2578"/>
      <c r="AS126" s="2562"/>
      <c r="AT126" s="981"/>
      <c r="AU126" s="197"/>
      <c r="AV126" s="440"/>
      <c r="AW126" s="440"/>
      <c r="AX126" s="440"/>
      <c r="AY126" s="440"/>
      <c r="AZ126" s="440"/>
      <c r="BA126" s="440"/>
      <c r="BB126" s="440"/>
      <c r="BC126" s="1550"/>
      <c r="BD126" s="1550"/>
      <c r="BE126" s="1550"/>
      <c r="BF126" s="1550"/>
      <c r="BG126" s="1551"/>
      <c r="BH126" s="1550"/>
      <c r="BI126" s="1550"/>
      <c r="BJ126" s="1551"/>
    </row>
    <row r="127" spans="1:62" ht="15.75" customHeight="1" thickTop="1" thickBot="1">
      <c r="A127" s="197"/>
      <c r="B127" s="956" t="s">
        <v>7788</v>
      </c>
      <c r="C127" s="197"/>
      <c r="D127" s="197"/>
      <c r="E127" s="197"/>
      <c r="F127" s="440"/>
      <c r="G127" s="440"/>
      <c r="H127" s="440"/>
      <c r="I127" s="440"/>
      <c r="J127" s="440"/>
      <c r="K127" s="440"/>
      <c r="L127" s="440"/>
      <c r="M127" s="1550"/>
      <c r="N127" s="1550"/>
      <c r="O127" s="1550"/>
      <c r="P127" s="1550"/>
      <c r="Q127" s="1551"/>
      <c r="R127" s="1550"/>
      <c r="S127" s="1550"/>
      <c r="T127" s="1551"/>
      <c r="U127" s="222"/>
      <c r="V127" s="222"/>
      <c r="W127" s="197"/>
      <c r="X127" s="197"/>
      <c r="Y127" s="197"/>
      <c r="Z127" s="2576"/>
      <c r="AA127" s="2562"/>
      <c r="AB127" s="2578"/>
      <c r="AC127" s="237"/>
      <c r="AD127" s="237"/>
      <c r="AE127" s="237"/>
      <c r="AF127" s="237"/>
      <c r="AG127" s="237"/>
      <c r="AH127" s="237"/>
      <c r="AI127" s="237"/>
      <c r="AJ127" s="237"/>
      <c r="AK127" s="237"/>
      <c r="AL127" s="237"/>
      <c r="AM127" s="237"/>
      <c r="AN127" s="237"/>
      <c r="AO127" s="237"/>
      <c r="AP127" s="237"/>
      <c r="AQ127" s="237"/>
      <c r="AR127" s="2578"/>
      <c r="AS127" s="2562"/>
      <c r="AT127" s="956" t="s">
        <v>7788</v>
      </c>
      <c r="AU127" s="197"/>
      <c r="AV127" s="440"/>
      <c r="AW127" s="440"/>
      <c r="AX127" s="440"/>
      <c r="AY127" s="440"/>
      <c r="AZ127" s="440"/>
      <c r="BA127" s="440"/>
      <c r="BB127" s="440"/>
      <c r="BC127" s="1550"/>
      <c r="BD127" s="1550"/>
      <c r="BE127" s="1550"/>
      <c r="BF127" s="1550"/>
      <c r="BG127" s="1551"/>
      <c r="BH127" s="1550"/>
      <c r="BI127" s="1550"/>
      <c r="BJ127" s="1551"/>
    </row>
    <row r="128" spans="1:62" ht="15.75" customHeight="1" thickTop="1">
      <c r="A128" s="197"/>
      <c r="B128" s="957" t="s">
        <v>7789</v>
      </c>
      <c r="C128" s="958" t="s">
        <v>1692</v>
      </c>
      <c r="D128" s="244" t="s">
        <v>137</v>
      </c>
      <c r="E128" s="244">
        <v>3</v>
      </c>
      <c r="F128" s="1479">
        <f t="shared" ref="F128:I129" si="244">IFERROR(SUM(F10,F13,F16,F19,F22,F25,F31,F34,F37,F40,F43,F46,F79,F106,F88,F91,F94,F109,F112,F115,F117,F119,F121,F123), 0)</f>
        <v>7.9520000000000017</v>
      </c>
      <c r="G128" s="1479">
        <f t="shared" si="244"/>
        <v>0.68800000000000006</v>
      </c>
      <c r="H128" s="1479">
        <f t="shared" si="244"/>
        <v>1.0999999999999999E-2</v>
      </c>
      <c r="I128" s="1479">
        <f t="shared" si="244"/>
        <v>22.721</v>
      </c>
      <c r="J128" s="1479">
        <f>IFERROR(SUM(J10,J13,J16,J19,J22,J25,J31,J34,J37,J40,J43,J46,J79,J106,J88,J91,J94,J109,J112,J115,J117,J119,J121,J123,J52,J55,J58,J61,J64,J67,J70,J73), 0)</f>
        <v>18.493000000000002</v>
      </c>
      <c r="K128" s="1479">
        <f>IFERROR(SUM(F128:J128), 0)</f>
        <v>49.865000000000002</v>
      </c>
      <c r="L128" s="1563"/>
      <c r="M128" s="1563"/>
      <c r="N128" s="1563"/>
      <c r="O128" s="1563"/>
      <c r="P128" s="1563"/>
      <c r="Q128" s="1563"/>
      <c r="R128" s="1563"/>
      <c r="S128" s="1563"/>
      <c r="T128" s="1564"/>
      <c r="U128" s="197"/>
      <c r="V128" s="961" t="s">
        <v>7790</v>
      </c>
      <c r="W128" s="197"/>
      <c r="X128" s="250"/>
      <c r="Y128" s="197"/>
      <c r="Z128" s="2576"/>
      <c r="AA128" s="2562"/>
      <c r="AB128" s="2578"/>
      <c r="AC128" s="237"/>
      <c r="AD128" s="237"/>
      <c r="AE128" s="237"/>
      <c r="AF128" s="237"/>
      <c r="AG128" s="237"/>
      <c r="AH128" s="237"/>
      <c r="AI128" s="237"/>
      <c r="AJ128" s="237"/>
      <c r="AK128" s="237"/>
      <c r="AL128" s="237"/>
      <c r="AM128" s="237"/>
      <c r="AN128" s="237"/>
      <c r="AO128" s="237"/>
      <c r="AP128" s="237"/>
      <c r="AQ128" s="237"/>
      <c r="AR128" s="2578"/>
      <c r="AS128" s="2562"/>
      <c r="AT128" s="957" t="s">
        <v>7789</v>
      </c>
      <c r="AU128" s="958" t="s">
        <v>1692</v>
      </c>
      <c r="AV128" s="1479" t="s">
        <v>3063</v>
      </c>
      <c r="AW128" s="1479" t="s">
        <v>5761</v>
      </c>
      <c r="AX128" s="1479" t="s">
        <v>5762</v>
      </c>
      <c r="AY128" s="1479" t="s">
        <v>5763</v>
      </c>
      <c r="AZ128" s="1479" t="s">
        <v>5764</v>
      </c>
      <c r="BA128" s="1479" t="s">
        <v>7791</v>
      </c>
      <c r="BB128" s="1563"/>
      <c r="BC128" s="1563"/>
      <c r="BD128" s="1563"/>
      <c r="BE128" s="1563"/>
      <c r="BF128" s="1563"/>
      <c r="BG128" s="1563"/>
      <c r="BH128" s="1563"/>
      <c r="BI128" s="1563"/>
      <c r="BJ128" s="1564"/>
    </row>
    <row r="129" spans="1:62" ht="15.75" customHeight="1">
      <c r="A129" s="197"/>
      <c r="B129" s="962" t="s">
        <v>7789</v>
      </c>
      <c r="C129" s="318" t="s">
        <v>1693</v>
      </c>
      <c r="D129" s="253" t="s">
        <v>137</v>
      </c>
      <c r="E129" s="253">
        <v>3</v>
      </c>
      <c r="F129" s="1481">
        <f t="shared" si="244"/>
        <v>0</v>
      </c>
      <c r="G129" s="1481">
        <f t="shared" si="244"/>
        <v>0</v>
      </c>
      <c r="H129" s="1481">
        <f t="shared" si="244"/>
        <v>0</v>
      </c>
      <c r="I129" s="1481">
        <f t="shared" si="244"/>
        <v>0</v>
      </c>
      <c r="J129" s="1481">
        <f>IFERROR(SUM(J11,J14,J17,J20,J23,J26,J32,J35,J38,J41,J44,J47,J80,J107,J89,J92,J95,J110,J113,J116,J118,J120,J122,J124,J53,J56,J59,J62,J65,J68,J71,J74), 0)</f>
        <v>22.314</v>
      </c>
      <c r="K129" s="1481">
        <f>IFERROR(SUM(F129:J129), 0)</f>
        <v>22.314</v>
      </c>
      <c r="L129" s="1539"/>
      <c r="M129" s="1539"/>
      <c r="N129" s="1539"/>
      <c r="O129" s="1539"/>
      <c r="P129" s="1539"/>
      <c r="Q129" s="1539"/>
      <c r="R129" s="1539"/>
      <c r="S129" s="1539"/>
      <c r="T129" s="1540"/>
      <c r="U129" s="197"/>
      <c r="V129" s="966" t="s">
        <v>7792</v>
      </c>
      <c r="W129" s="197"/>
      <c r="X129" s="258"/>
      <c r="Y129" s="197"/>
      <c r="Z129" s="2576"/>
      <c r="AA129" s="2562"/>
      <c r="AB129" s="2578"/>
      <c r="AC129" s="237"/>
      <c r="AD129" s="237"/>
      <c r="AE129" s="237"/>
      <c r="AF129" s="237"/>
      <c r="AG129" s="237"/>
      <c r="AH129" s="237"/>
      <c r="AI129" s="237"/>
      <c r="AJ129" s="237"/>
      <c r="AK129" s="237"/>
      <c r="AL129" s="237"/>
      <c r="AM129" s="237"/>
      <c r="AN129" s="237"/>
      <c r="AO129" s="237"/>
      <c r="AP129" s="237"/>
      <c r="AQ129" s="237"/>
      <c r="AR129" s="2578"/>
      <c r="AS129" s="2562"/>
      <c r="AT129" s="962" t="s">
        <v>7789</v>
      </c>
      <c r="AU129" s="318" t="s">
        <v>1693</v>
      </c>
      <c r="AV129" s="1481" t="s">
        <v>3006</v>
      </c>
      <c r="AW129" s="1481" t="s">
        <v>5715</v>
      </c>
      <c r="AX129" s="1481" t="s">
        <v>5716</v>
      </c>
      <c r="AY129" s="1481" t="s">
        <v>5717</v>
      </c>
      <c r="AZ129" s="1481" t="s">
        <v>5718</v>
      </c>
      <c r="BA129" s="1481" t="s">
        <v>7793</v>
      </c>
      <c r="BB129" s="1539"/>
      <c r="BC129" s="1539"/>
      <c r="BD129" s="1539"/>
      <c r="BE129" s="1539"/>
      <c r="BF129" s="1539"/>
      <c r="BG129" s="1539"/>
      <c r="BH129" s="1539"/>
      <c r="BI129" s="1539"/>
      <c r="BJ129" s="1540"/>
    </row>
    <row r="130" spans="1:62" ht="15.75" customHeight="1" thickBot="1">
      <c r="A130" s="197"/>
      <c r="B130" s="975" t="s">
        <v>7789</v>
      </c>
      <c r="C130" s="976" t="s">
        <v>1694</v>
      </c>
      <c r="D130" s="319" t="s">
        <v>137</v>
      </c>
      <c r="E130" s="319">
        <v>3</v>
      </c>
      <c r="F130" s="1473">
        <f>IFERROR(F128 + F129, 0)</f>
        <v>7.9520000000000017</v>
      </c>
      <c r="G130" s="1473">
        <f t="shared" ref="G130:I130" si="245">IFERROR(G128 + G129, 0)</f>
        <v>0.68800000000000006</v>
      </c>
      <c r="H130" s="1473">
        <f t="shared" si="245"/>
        <v>1.0999999999999999E-2</v>
      </c>
      <c r="I130" s="1473">
        <f t="shared" si="245"/>
        <v>22.721</v>
      </c>
      <c r="J130" s="1473">
        <f>IFERROR(J128 + J129, 0)</f>
        <v>40.807000000000002</v>
      </c>
      <c r="K130" s="1473">
        <f>IFERROR(SUM(F130:J130), 0)</f>
        <v>72.179000000000002</v>
      </c>
      <c r="L130" s="1545"/>
      <c r="M130" s="1545"/>
      <c r="N130" s="1545"/>
      <c r="O130" s="1545"/>
      <c r="P130" s="1545"/>
      <c r="Q130" s="1545"/>
      <c r="R130" s="1473">
        <f>IFERROR(SUM(R125,R76,R49,R28), 0)</f>
        <v>167.29599999999999</v>
      </c>
      <c r="S130" s="1473">
        <f>IFERROR(SUM(S125,S76,S49,S28), 0)</f>
        <v>131.21</v>
      </c>
      <c r="T130" s="1483">
        <f>IFERROR(SUM(T125,T76,T49,T28), 0)</f>
        <v>192.405</v>
      </c>
      <c r="U130" s="197"/>
      <c r="V130" s="980" t="s">
        <v>7794</v>
      </c>
      <c r="W130" s="197"/>
      <c r="X130" s="269"/>
      <c r="Y130" s="197"/>
      <c r="Z130" s="2576"/>
      <c r="AA130" s="2562"/>
      <c r="AB130" s="2578"/>
      <c r="AC130" s="237"/>
      <c r="AD130" s="237"/>
      <c r="AE130" s="237"/>
      <c r="AF130" s="237"/>
      <c r="AG130" s="237"/>
      <c r="AH130" s="237"/>
      <c r="AI130" s="237"/>
      <c r="AJ130" s="237"/>
      <c r="AK130" s="237"/>
      <c r="AL130" s="237"/>
      <c r="AM130" s="237"/>
      <c r="AN130" s="237"/>
      <c r="AO130" s="237"/>
      <c r="AP130" s="237"/>
      <c r="AQ130" s="237"/>
      <c r="AR130" s="2578"/>
      <c r="AS130" s="2562"/>
      <c r="AT130" s="975" t="s">
        <v>7789</v>
      </c>
      <c r="AU130" s="976" t="s">
        <v>1694</v>
      </c>
      <c r="AV130" s="1473" t="s">
        <v>7795</v>
      </c>
      <c r="AW130" s="1473" t="s">
        <v>7796</v>
      </c>
      <c r="AX130" s="1473" t="s">
        <v>7797</v>
      </c>
      <c r="AY130" s="1473" t="s">
        <v>7798</v>
      </c>
      <c r="AZ130" s="1473" t="s">
        <v>7799</v>
      </c>
      <c r="BA130" s="1473" t="s">
        <v>7800</v>
      </c>
      <c r="BB130" s="1545"/>
      <c r="BC130" s="1545"/>
      <c r="BD130" s="1545"/>
      <c r="BE130" s="1545"/>
      <c r="BF130" s="1545"/>
      <c r="BG130" s="1545"/>
      <c r="BH130" s="1473" t="s">
        <v>7801</v>
      </c>
      <c r="BI130" s="1473" t="s">
        <v>7802</v>
      </c>
      <c r="BJ130" s="1483" t="s">
        <v>7803</v>
      </c>
    </row>
    <row r="131" spans="1:62" ht="8.25" customHeight="1" thickTop="1">
      <c r="A131" s="197"/>
      <c r="B131" s="981"/>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2562"/>
      <c r="AA131" s="2562"/>
      <c r="AB131" s="2562"/>
      <c r="AC131" s="237"/>
      <c r="AD131" s="237"/>
      <c r="AE131" s="237"/>
      <c r="AF131" s="237"/>
      <c r="AG131" s="237"/>
      <c r="AH131" s="237"/>
      <c r="AI131" s="237"/>
      <c r="AJ131" s="237"/>
      <c r="AK131" s="237"/>
      <c r="AL131" s="237"/>
      <c r="AM131" s="237"/>
      <c r="AN131" s="237"/>
      <c r="AO131" s="237"/>
      <c r="AP131" s="237"/>
      <c r="AQ131" s="237"/>
      <c r="AR131" s="2562"/>
      <c r="AS131" s="2562"/>
      <c r="AT131" s="2592"/>
      <c r="AU131" s="2562"/>
      <c r="AV131" s="2562"/>
      <c r="AW131" s="2562"/>
      <c r="AX131" s="2562"/>
      <c r="AY131" s="2562"/>
      <c r="AZ131" s="2562"/>
      <c r="BA131" s="2562"/>
      <c r="BB131" s="2562"/>
      <c r="BC131" s="2562"/>
      <c r="BD131" s="2562"/>
      <c r="BE131" s="2562"/>
      <c r="BF131" s="2562"/>
      <c r="BG131" s="2562"/>
      <c r="BH131" s="2562"/>
      <c r="BI131" s="2562"/>
      <c r="BJ131" s="2562"/>
    </row>
    <row r="132" spans="1:62" ht="16.5" customHeight="1">
      <c r="A132" s="197"/>
      <c r="B132" s="981"/>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2562"/>
      <c r="AA132" s="2562"/>
      <c r="AB132" s="2562"/>
      <c r="AC132" s="237"/>
      <c r="AD132" s="237"/>
      <c r="AE132" s="237"/>
      <c r="AF132" s="237"/>
      <c r="AG132" s="237"/>
      <c r="AH132" s="237"/>
      <c r="AI132" s="237"/>
      <c r="AJ132" s="237"/>
      <c r="AK132" s="237"/>
      <c r="AL132" s="237"/>
      <c r="AM132" s="237"/>
      <c r="AN132" s="237"/>
      <c r="AO132" s="237"/>
      <c r="AP132" s="237"/>
      <c r="AQ132" s="237"/>
      <c r="AR132" s="2562"/>
      <c r="AS132" s="2562"/>
      <c r="AT132" s="2592"/>
      <c r="AU132" s="2562"/>
      <c r="AV132" s="2562"/>
      <c r="AW132" s="2562"/>
      <c r="AX132" s="2562"/>
      <c r="AY132" s="2562"/>
      <c r="AZ132" s="2562"/>
      <c r="BA132" s="2562"/>
      <c r="BB132" s="2562"/>
      <c r="BC132" s="2562"/>
      <c r="BD132" s="2562"/>
      <c r="BE132" s="2562"/>
      <c r="BF132" s="2562"/>
      <c r="BG132" s="2562"/>
      <c r="BH132" s="2562"/>
      <c r="BI132" s="2562"/>
      <c r="BJ132" s="2562"/>
    </row>
    <row r="133" spans="1:62" ht="15.5">
      <c r="A133" s="197"/>
      <c r="B133" s="981"/>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2562"/>
      <c r="AA133" s="2562"/>
      <c r="AB133" s="2562"/>
      <c r="AC133" s="237"/>
      <c r="AD133" s="237"/>
      <c r="AE133" s="237"/>
      <c r="AF133" s="237"/>
      <c r="AG133" s="237"/>
      <c r="AH133" s="237"/>
      <c r="AI133" s="237"/>
      <c r="AJ133" s="237"/>
      <c r="AK133" s="237"/>
      <c r="AL133" s="237"/>
      <c r="AM133" s="237"/>
      <c r="AN133" s="237"/>
      <c r="AO133" s="237"/>
      <c r="AP133" s="237"/>
      <c r="AQ133" s="237"/>
      <c r="AR133" s="2562"/>
      <c r="AS133" s="2562"/>
      <c r="AT133" s="2592"/>
      <c r="AU133" s="2562"/>
      <c r="AV133" s="2562"/>
      <c r="AW133" s="2562"/>
      <c r="AX133" s="2562"/>
      <c r="AY133" s="2562"/>
      <c r="AZ133" s="2562"/>
      <c r="BA133" s="2562"/>
      <c r="BB133" s="2562"/>
      <c r="BC133" s="2562"/>
      <c r="BD133" s="2562"/>
      <c r="BE133" s="2562"/>
      <c r="BF133" s="2562"/>
      <c r="BG133" s="2562"/>
      <c r="BH133" s="2562"/>
      <c r="BI133" s="2562"/>
      <c r="BJ133" s="2562"/>
    </row>
    <row r="134" spans="1:62" ht="15.5">
      <c r="A134" s="197"/>
      <c r="B134" s="981"/>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2562"/>
      <c r="AA134" s="2562"/>
      <c r="AB134" s="2562"/>
      <c r="AC134" s="237"/>
      <c r="AD134" s="237"/>
      <c r="AE134" s="237"/>
      <c r="AF134" s="237"/>
      <c r="AG134" s="237"/>
      <c r="AH134" s="237"/>
      <c r="AI134" s="237"/>
      <c r="AJ134" s="237"/>
      <c r="AK134" s="237"/>
      <c r="AL134" s="237"/>
      <c r="AM134" s="237"/>
      <c r="AN134" s="237"/>
      <c r="AO134" s="237"/>
      <c r="AP134" s="237"/>
      <c r="AQ134" s="237"/>
      <c r="AR134" s="2562"/>
      <c r="AS134" s="2562"/>
      <c r="AT134" s="2592"/>
      <c r="AU134" s="2562"/>
      <c r="AV134" s="2562"/>
      <c r="AW134" s="2562"/>
      <c r="AX134" s="2562"/>
      <c r="AY134" s="2562"/>
      <c r="AZ134" s="2562"/>
      <c r="BA134" s="2562"/>
      <c r="BB134" s="2562"/>
      <c r="BC134" s="2562"/>
      <c r="BD134" s="2562"/>
      <c r="BE134" s="2562"/>
      <c r="BF134" s="2562"/>
      <c r="BG134" s="2562"/>
      <c r="BH134" s="2562"/>
      <c r="BI134" s="2562"/>
      <c r="BJ134" s="2562"/>
    </row>
    <row r="135" spans="1:62" ht="15.5">
      <c r="A135" s="197"/>
      <c r="B135" s="981"/>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2562"/>
      <c r="AA135" s="2562"/>
      <c r="AB135" s="2562"/>
      <c r="AC135" s="237"/>
      <c r="AD135" s="237"/>
      <c r="AE135" s="237"/>
      <c r="AF135" s="237"/>
      <c r="AG135" s="237"/>
      <c r="AH135" s="237"/>
      <c r="AI135" s="237"/>
      <c r="AJ135" s="237"/>
      <c r="AK135" s="237"/>
      <c r="AL135" s="237"/>
      <c r="AM135" s="237"/>
      <c r="AN135" s="237"/>
      <c r="AO135" s="237"/>
      <c r="AP135" s="237"/>
      <c r="AQ135" s="237"/>
      <c r="AR135" s="2562"/>
      <c r="AS135" s="2562"/>
      <c r="AT135" s="2592"/>
      <c r="AU135" s="2562"/>
      <c r="AV135" s="2562"/>
      <c r="AW135" s="2562"/>
      <c r="AX135" s="2562"/>
      <c r="AY135" s="2562"/>
      <c r="AZ135" s="2562"/>
      <c r="BA135" s="2562"/>
      <c r="BB135" s="2562"/>
      <c r="BC135" s="2562"/>
      <c r="BD135" s="2562"/>
      <c r="BE135" s="2562"/>
      <c r="BF135" s="2562"/>
      <c r="BG135" s="2562"/>
      <c r="BH135" s="2562"/>
      <c r="BI135" s="2562"/>
      <c r="BJ135" s="2562"/>
    </row>
    <row r="136" spans="1:62" ht="15.5">
      <c r="A136" s="197"/>
      <c r="B136" s="981"/>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2562"/>
      <c r="AA136" s="2562"/>
      <c r="AB136" s="2562"/>
      <c r="AC136" s="237"/>
      <c r="AD136" s="237"/>
      <c r="AE136" s="237"/>
      <c r="AF136" s="237"/>
      <c r="AG136" s="237"/>
      <c r="AH136" s="237"/>
      <c r="AI136" s="237"/>
      <c r="AJ136" s="237"/>
      <c r="AK136" s="237"/>
      <c r="AL136" s="237"/>
      <c r="AM136" s="237"/>
      <c r="AN136" s="237"/>
      <c r="AO136" s="237"/>
      <c r="AP136" s="237"/>
      <c r="AQ136" s="237"/>
      <c r="AR136" s="2562"/>
      <c r="AS136" s="2562"/>
      <c r="AT136" s="2592"/>
      <c r="AU136" s="2562"/>
      <c r="AV136" s="2562"/>
      <c r="AW136" s="2562"/>
      <c r="AX136" s="2562"/>
      <c r="AY136" s="2562"/>
      <c r="AZ136" s="2562"/>
      <c r="BA136" s="2562"/>
      <c r="BB136" s="2562"/>
      <c r="BC136" s="2562"/>
      <c r="BD136" s="2562"/>
      <c r="BE136" s="2562"/>
      <c r="BF136" s="2562"/>
      <c r="BG136" s="2562"/>
      <c r="BH136" s="2562"/>
      <c r="BI136" s="2562"/>
      <c r="BJ136" s="2562"/>
    </row>
    <row r="137" spans="1:62" ht="15.5">
      <c r="A137" s="197"/>
      <c r="B137" s="981"/>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2562"/>
      <c r="AA137" s="2562"/>
      <c r="AB137" s="2562"/>
      <c r="AC137" s="237"/>
      <c r="AD137" s="237"/>
      <c r="AE137" s="237"/>
      <c r="AF137" s="237"/>
      <c r="AG137" s="237"/>
      <c r="AH137" s="237"/>
      <c r="AI137" s="237"/>
      <c r="AJ137" s="237"/>
      <c r="AK137" s="237"/>
      <c r="AL137" s="237"/>
      <c r="AM137" s="237"/>
      <c r="AN137" s="237"/>
      <c r="AO137" s="237"/>
      <c r="AP137" s="237"/>
      <c r="AQ137" s="237"/>
      <c r="AR137" s="2562"/>
      <c r="AS137" s="2562"/>
      <c r="AT137" s="2592"/>
      <c r="AU137" s="2562"/>
      <c r="AV137" s="2562"/>
      <c r="AW137" s="2562"/>
      <c r="AX137" s="2562"/>
      <c r="AY137" s="2562"/>
      <c r="AZ137" s="2562"/>
      <c r="BA137" s="2562"/>
      <c r="BB137" s="2562"/>
      <c r="BC137" s="2562"/>
      <c r="BD137" s="2562"/>
      <c r="BE137" s="2562"/>
      <c r="BF137" s="2562"/>
      <c r="BG137" s="2562"/>
      <c r="BH137" s="2562"/>
      <c r="BI137" s="2562"/>
      <c r="BJ137" s="2562"/>
    </row>
    <row r="138" spans="1:62" ht="15.5">
      <c r="A138" s="197"/>
      <c r="B138" s="981"/>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2562"/>
      <c r="AA138" s="2562"/>
      <c r="AB138" s="2562"/>
      <c r="AC138" s="237"/>
      <c r="AD138" s="237"/>
      <c r="AE138" s="237"/>
      <c r="AF138" s="237"/>
      <c r="AG138" s="237"/>
      <c r="AH138" s="237"/>
      <c r="AI138" s="237"/>
      <c r="AJ138" s="237"/>
      <c r="AK138" s="237"/>
      <c r="AL138" s="237"/>
      <c r="AM138" s="237"/>
      <c r="AN138" s="237"/>
      <c r="AO138" s="237"/>
      <c r="AP138" s="237"/>
      <c r="AQ138" s="237"/>
      <c r="AR138" s="2562"/>
      <c r="AS138" s="2562"/>
      <c r="AT138" s="2592"/>
      <c r="AU138" s="2562"/>
      <c r="AV138" s="2562"/>
      <c r="AW138" s="2562"/>
      <c r="AX138" s="2562"/>
      <c r="AY138" s="2562"/>
      <c r="AZ138" s="2562"/>
      <c r="BA138" s="2562"/>
      <c r="BB138" s="2562"/>
      <c r="BC138" s="2562"/>
      <c r="BD138" s="2562"/>
      <c r="BE138" s="2562"/>
      <c r="BF138" s="2562"/>
      <c r="BG138" s="2562"/>
      <c r="BH138" s="2562"/>
      <c r="BI138" s="2562"/>
      <c r="BJ138" s="2562"/>
    </row>
    <row r="139" spans="1:62" ht="15.5">
      <c r="A139" s="197"/>
      <c r="B139" s="981"/>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2562"/>
      <c r="AA139" s="2562"/>
      <c r="AB139" s="2562"/>
      <c r="AC139" s="237"/>
      <c r="AD139" s="237"/>
      <c r="AE139" s="237"/>
      <c r="AF139" s="237"/>
      <c r="AG139" s="237"/>
      <c r="AH139" s="2562"/>
      <c r="AI139" s="2562"/>
      <c r="AJ139" s="2562"/>
      <c r="AK139" s="2562"/>
      <c r="AL139" s="2562"/>
      <c r="AM139" s="2562"/>
      <c r="AN139" s="2562"/>
      <c r="AO139" s="2562"/>
      <c r="AP139" s="2562"/>
      <c r="AQ139" s="2562"/>
      <c r="AR139" s="2562"/>
      <c r="AS139" s="2562"/>
      <c r="AT139" s="2592"/>
      <c r="AU139" s="2562"/>
      <c r="AV139" s="2562"/>
      <c r="AW139" s="2562"/>
      <c r="AX139" s="2562"/>
      <c r="AY139" s="2562"/>
      <c r="AZ139" s="2562"/>
      <c r="BA139" s="2562"/>
      <c r="BB139" s="2562"/>
      <c r="BC139" s="2562"/>
      <c r="BD139" s="2562"/>
      <c r="BE139" s="2562"/>
      <c r="BF139" s="2562"/>
      <c r="BG139" s="2562"/>
      <c r="BH139" s="2562"/>
      <c r="BI139" s="2562"/>
      <c r="BJ139" s="2562"/>
    </row>
    <row r="140" spans="1:62" ht="15.5">
      <c r="A140" s="197"/>
      <c r="B140" s="981"/>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2562"/>
      <c r="AA140" s="2562"/>
      <c r="AB140" s="2562"/>
      <c r="AC140" s="237"/>
      <c r="AD140" s="237"/>
      <c r="AE140" s="237"/>
      <c r="AF140" s="237"/>
      <c r="AG140" s="237"/>
      <c r="AH140" s="2562"/>
      <c r="AI140" s="2562"/>
      <c r="AJ140" s="2562"/>
      <c r="AK140" s="2562"/>
      <c r="AL140" s="2562"/>
      <c r="AM140" s="2562"/>
      <c r="AN140" s="2562"/>
      <c r="AO140" s="2562"/>
      <c r="AP140" s="2562"/>
      <c r="AQ140" s="2562"/>
      <c r="AR140" s="2562"/>
      <c r="AS140" s="2562"/>
      <c r="AT140" s="2592"/>
      <c r="AU140" s="2562"/>
      <c r="AV140" s="2562"/>
      <c r="AW140" s="2562"/>
      <c r="AX140" s="2562"/>
      <c r="AY140" s="2562"/>
      <c r="AZ140" s="2562"/>
      <c r="BA140" s="2562"/>
      <c r="BB140" s="2562"/>
      <c r="BC140" s="2562"/>
      <c r="BD140" s="2562"/>
      <c r="BE140" s="2562"/>
      <c r="BF140" s="2562"/>
      <c r="BG140" s="2562"/>
      <c r="BH140" s="2562"/>
      <c r="BI140" s="2562"/>
      <c r="BJ140" s="2562"/>
    </row>
    <row r="141" spans="1:62" ht="15.5">
      <c r="A141" s="197"/>
      <c r="B141" s="981"/>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2562"/>
      <c r="AA141" s="2562"/>
      <c r="AB141" s="2562"/>
      <c r="AC141" s="237"/>
      <c r="AD141" s="237"/>
      <c r="AE141" s="237"/>
      <c r="AF141" s="237"/>
      <c r="AG141" s="237"/>
      <c r="AH141" s="2562"/>
      <c r="AI141" s="2562"/>
      <c r="AJ141" s="2562"/>
      <c r="AK141" s="2562"/>
      <c r="AL141" s="2562"/>
      <c r="AM141" s="2562"/>
      <c r="AN141" s="2562"/>
      <c r="AO141" s="2562"/>
      <c r="AP141" s="2562"/>
      <c r="AQ141" s="2562"/>
      <c r="AR141" s="2562"/>
      <c r="AS141" s="2562"/>
      <c r="AT141" s="2592"/>
      <c r="AU141" s="2562"/>
      <c r="AV141" s="2562"/>
      <c r="AW141" s="2562"/>
      <c r="AX141" s="2562"/>
      <c r="AY141" s="2562"/>
      <c r="AZ141" s="2562"/>
      <c r="BA141" s="2562"/>
      <c r="BB141" s="2562"/>
      <c r="BC141" s="2562"/>
      <c r="BD141" s="2562"/>
      <c r="BE141" s="2562"/>
      <c r="BF141" s="2562"/>
      <c r="BG141" s="2562"/>
      <c r="BH141" s="2562"/>
      <c r="BI141" s="2562"/>
      <c r="BJ141" s="2562"/>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phoneticPr fontId="38" type="noConversion"/>
  <conditionalFormatting sqref="AA10:AA130">
    <cfRule type="cellIs" dxfId="119" priority="1" operator="equal">
      <formula>0</formula>
    </cfRule>
  </conditionalFormatting>
  <dataValidations count="1">
    <dataValidation type="custom" allowBlank="1" showErrorMessage="1" errorTitle="Input Error" error="Please enter a numeric value." sqref="J70:J71 F10:J11 F13:J14 F109:J110 F16:J17 F19:J20 F22:J23 F25:J26 L37:P38 F34:J35 F37:J38 F73:H74 J64:J65 F82:J83 J73:J74 F79:J80 F85:J86 F97:J98 F103:J104 F31:J32 F46:J47 F40:J41 F43:J44 F112:J113 F52:J53 J61:J62 F100:J101 F94:J95 F91:J92 F55:J56 F58:J59 F67:H68 J67:J68 F115:J124"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A25" zoomScale="55" zoomScaleNormal="55" zoomScaleSheetLayoutView="100" workbookViewId="0">
      <selection activeCell="B35" sqref="B35"/>
    </sheetView>
  </sheetViews>
  <sheetFormatPr defaultColWidth="9" defaultRowHeight="24" customHeight="1"/>
  <cols>
    <col min="1" max="1" width="1.58203125" style="220" customWidth="1"/>
    <col min="2" max="2" width="42.08203125" style="225" customWidth="1"/>
    <col min="3" max="3" width="7.08203125" style="220" customWidth="1"/>
    <col min="4" max="4" width="7" style="220" customWidth="1"/>
    <col min="5" max="5" width="5.5" style="220" customWidth="1"/>
    <col min="6" max="6" width="6.08203125" style="434" bestFit="1" customWidth="1"/>
    <col min="7" max="8" width="8.58203125" style="434" customWidth="1"/>
    <col min="9" max="10" width="12.08203125" style="434" customWidth="1"/>
    <col min="11" max="11" width="8.58203125" style="434" customWidth="1"/>
    <col min="12" max="12" width="9.08203125" style="434" customWidth="1"/>
    <col min="13" max="13" width="12.5" style="434" customWidth="1"/>
    <col min="14" max="14" width="10.08203125" style="434" customWidth="1"/>
    <col min="15" max="15" width="6.08203125" style="434" customWidth="1"/>
    <col min="16" max="17" width="8.58203125" style="434" customWidth="1"/>
    <col min="18" max="19" width="12.08203125" style="434" customWidth="1"/>
    <col min="20" max="20" width="8.58203125" style="434" customWidth="1"/>
    <col min="21" max="21" width="9.08203125" style="434" customWidth="1"/>
    <col min="22" max="22" width="8.08203125" style="434" customWidth="1"/>
    <col min="23" max="23" width="10.08203125" style="434" customWidth="1"/>
    <col min="24" max="26" width="19.08203125" style="434" customWidth="1"/>
    <col min="27" max="27" width="6.58203125" style="220" customWidth="1"/>
    <col min="28" max="28" width="9.08203125" style="220" bestFit="1" customWidth="1"/>
    <col min="29" max="29" width="1.58203125" style="220" customWidth="1"/>
    <col min="30" max="30" width="22.5" style="220" customWidth="1"/>
    <col min="31" max="32" width="1.58203125" style="220" customWidth="1"/>
    <col min="33" max="33" width="19.58203125" style="220" bestFit="1" customWidth="1"/>
    <col min="34" max="34" width="1.58203125" style="220" customWidth="1"/>
    <col min="35" max="55" width="6.08203125" style="220" hidden="1" customWidth="1"/>
    <col min="56" max="57" width="1.58203125" style="220" customWidth="1"/>
    <col min="58" max="58" width="36.08203125" style="220" customWidth="1"/>
    <col min="59" max="59" width="6.58203125" style="220" bestFit="1" customWidth="1"/>
    <col min="60" max="77" width="17.58203125" style="220" customWidth="1"/>
    <col min="78" max="80" width="12.58203125" style="434" customWidth="1"/>
    <col min="81" max="16384" width="9" style="220"/>
  </cols>
  <sheetData>
    <row r="1" spans="2:80" s="351" customFormat="1" ht="29.25" customHeight="1">
      <c r="B1" s="523" t="s">
        <v>7804</v>
      </c>
      <c r="C1" s="523"/>
      <c r="D1" s="523"/>
      <c r="E1" s="523"/>
      <c r="F1" s="548"/>
      <c r="G1" s="548"/>
      <c r="H1" s="548"/>
      <c r="I1" s="548"/>
      <c r="J1" s="548"/>
      <c r="K1" s="548"/>
      <c r="L1" s="548"/>
      <c r="M1" s="548"/>
      <c r="N1" s="548"/>
      <c r="O1" s="548"/>
      <c r="P1" s="548"/>
      <c r="Q1" s="548"/>
      <c r="R1" s="548"/>
      <c r="S1" s="548"/>
      <c r="T1" s="548"/>
      <c r="U1" s="548"/>
      <c r="V1" s="548"/>
      <c r="W1" s="548"/>
      <c r="X1" s="548"/>
      <c r="Y1" s="548"/>
      <c r="Z1" s="548"/>
      <c r="AA1" s="2673"/>
      <c r="AB1" s="2673"/>
      <c r="AC1" s="2562"/>
      <c r="AD1" s="2562"/>
      <c r="AE1" s="2562"/>
      <c r="AF1" s="2576"/>
      <c r="AG1" s="998"/>
      <c r="AH1" s="949"/>
      <c r="BD1" s="722"/>
      <c r="BF1" s="523" t="s">
        <v>1887</v>
      </c>
      <c r="BG1" s="523"/>
      <c r="BH1" s="523"/>
      <c r="BI1" s="523"/>
      <c r="BJ1" s="523"/>
      <c r="BK1" s="523"/>
      <c r="BL1" s="523"/>
      <c r="BM1" s="523"/>
      <c r="BN1" s="523"/>
      <c r="BO1" s="523"/>
      <c r="BP1" s="523"/>
      <c r="BQ1" s="523"/>
      <c r="BR1" s="523"/>
      <c r="BS1" s="523"/>
      <c r="BT1" s="523"/>
      <c r="BU1" s="523"/>
      <c r="BV1" s="523"/>
      <c r="BW1" s="523"/>
      <c r="BX1" s="523"/>
      <c r="BY1" s="523"/>
      <c r="BZ1" s="548"/>
      <c r="CA1" s="548"/>
      <c r="CB1" s="548"/>
    </row>
    <row r="2" spans="2:80" s="351" customFormat="1" ht="29.25" customHeight="1">
      <c r="B2" s="523" t="str">
        <f>SelectCompany!B4</f>
        <v>Yorkshire Water</v>
      </c>
      <c r="C2" s="352"/>
      <c r="D2" s="352"/>
      <c r="E2" s="352"/>
      <c r="F2" s="999"/>
      <c r="G2" s="999"/>
      <c r="H2" s="999"/>
      <c r="I2" s="999"/>
      <c r="J2" s="999"/>
      <c r="K2" s="999"/>
      <c r="L2" s="999"/>
      <c r="M2" s="999"/>
      <c r="N2" s="999"/>
      <c r="O2" s="999"/>
      <c r="P2" s="999"/>
      <c r="Q2" s="999"/>
      <c r="R2" s="999"/>
      <c r="S2" s="999"/>
      <c r="T2" s="999"/>
      <c r="U2" s="999"/>
      <c r="V2" s="999"/>
      <c r="W2" s="999"/>
      <c r="X2" s="999"/>
      <c r="Y2" s="999"/>
      <c r="Z2" s="999"/>
      <c r="AA2" s="352"/>
      <c r="AB2" s="352"/>
      <c r="AC2" s="2562"/>
      <c r="AD2" s="2562"/>
      <c r="AE2" s="2562"/>
      <c r="AF2" s="2576"/>
      <c r="AG2" s="998"/>
      <c r="AH2" s="949"/>
      <c r="BD2" s="722"/>
      <c r="BF2" s="523"/>
      <c r="BG2" s="352"/>
      <c r="BH2" s="491"/>
      <c r="BI2" s="491"/>
      <c r="BJ2" s="491"/>
      <c r="BK2" s="491"/>
      <c r="BL2" s="491"/>
      <c r="BM2" s="491"/>
      <c r="BN2" s="491"/>
      <c r="BO2" s="491"/>
      <c r="BP2" s="491"/>
      <c r="BQ2" s="491"/>
      <c r="BR2" s="491"/>
      <c r="BS2" s="491"/>
      <c r="BT2" s="491"/>
      <c r="BU2" s="491"/>
      <c r="BV2" s="491"/>
      <c r="BW2" s="491"/>
      <c r="BX2" s="491"/>
      <c r="BY2" s="491"/>
      <c r="BZ2" s="999"/>
      <c r="CA2" s="999"/>
      <c r="CB2" s="999"/>
    </row>
    <row r="3" spans="2:80" ht="45.75" customHeight="1">
      <c r="B3" s="2781" t="s">
        <v>7805</v>
      </c>
      <c r="C3" s="2781"/>
      <c r="D3" s="2781"/>
      <c r="E3" s="2781"/>
      <c r="F3" s="2781"/>
      <c r="G3" s="2781"/>
      <c r="H3" s="2781"/>
      <c r="I3" s="2781"/>
      <c r="J3" s="2781"/>
      <c r="K3" s="2781"/>
      <c r="L3" s="2781"/>
      <c r="M3" s="2781"/>
      <c r="N3" s="2781"/>
      <c r="O3" s="2781"/>
      <c r="P3" s="2781"/>
      <c r="Q3" s="2781"/>
      <c r="R3" s="2781"/>
      <c r="S3" s="2781"/>
      <c r="T3" s="2781"/>
      <c r="U3" s="2781"/>
      <c r="V3" s="2781"/>
      <c r="W3" s="2781"/>
      <c r="X3" s="2781"/>
      <c r="Y3" s="2781"/>
      <c r="Z3" s="2781"/>
      <c r="AA3" s="2781"/>
      <c r="AB3" s="2781"/>
      <c r="AC3" s="2781"/>
      <c r="AD3" s="2781"/>
      <c r="AE3" s="228"/>
      <c r="AF3" s="1000"/>
      <c r="AG3" s="2573"/>
      <c r="AH3" s="2576"/>
      <c r="AI3" s="2562"/>
      <c r="AJ3" s="2562"/>
      <c r="AK3" s="2562"/>
      <c r="AL3" s="2562"/>
      <c r="AM3" s="2562"/>
      <c r="AN3" s="2562"/>
      <c r="AO3" s="2562"/>
      <c r="AP3" s="2562"/>
      <c r="AQ3" s="2562"/>
      <c r="AR3" s="2562"/>
      <c r="AS3" s="2562"/>
      <c r="AT3" s="2562"/>
      <c r="AU3" s="2562"/>
      <c r="AV3" s="2562"/>
      <c r="AW3" s="2562"/>
      <c r="AX3" s="2562"/>
      <c r="AY3" s="2562"/>
      <c r="AZ3" s="2562"/>
      <c r="BA3" s="2562"/>
      <c r="BB3" s="2562"/>
      <c r="BC3" s="2562"/>
      <c r="BD3" s="2578"/>
      <c r="BE3" s="2562"/>
      <c r="BF3" s="2781" t="s">
        <v>7805</v>
      </c>
      <c r="BG3" s="2781"/>
      <c r="BH3" s="2781"/>
      <c r="BI3" s="2781"/>
      <c r="BJ3" s="2781"/>
      <c r="BK3" s="2781"/>
      <c r="BL3" s="2781"/>
      <c r="BM3" s="2781"/>
      <c r="BN3" s="2781"/>
      <c r="BO3" s="2781"/>
      <c r="BP3" s="2781"/>
      <c r="BQ3" s="2781"/>
      <c r="BR3" s="2781"/>
      <c r="BS3" s="2781"/>
      <c r="BT3" s="2781"/>
      <c r="BU3" s="2781"/>
      <c r="BV3" s="2781"/>
      <c r="BW3" s="2781"/>
      <c r="BX3" s="2781"/>
      <c r="BY3" s="2781"/>
      <c r="BZ3" s="2781"/>
      <c r="CA3" s="2781"/>
      <c r="CB3" s="2781"/>
    </row>
    <row r="4" spans="2:80" ht="15" customHeight="1" thickBot="1">
      <c r="B4" s="951"/>
      <c r="C4" s="951"/>
      <c r="D4" s="951"/>
      <c r="E4" s="951"/>
      <c r="F4" s="1001"/>
      <c r="G4" s="1001"/>
      <c r="H4" s="1001"/>
      <c r="I4" s="1001"/>
      <c r="J4" s="1001"/>
      <c r="K4" s="1001"/>
      <c r="L4" s="1001"/>
      <c r="M4" s="1001"/>
      <c r="N4" s="1001"/>
      <c r="O4" s="1001"/>
      <c r="P4" s="1001"/>
      <c r="Q4" s="1001"/>
      <c r="R4" s="1001"/>
      <c r="S4" s="1001"/>
      <c r="T4" s="1001"/>
      <c r="U4" s="1001"/>
      <c r="V4" s="1001"/>
      <c r="W4" s="1001"/>
      <c r="X4" s="1001"/>
      <c r="Y4" s="1001"/>
      <c r="Z4" s="1001"/>
      <c r="AA4" s="724"/>
      <c r="AB4" s="228"/>
      <c r="AC4" s="228"/>
      <c r="AD4" s="228"/>
      <c r="AE4" s="228"/>
      <c r="AF4" s="1000"/>
      <c r="AG4" s="2573"/>
      <c r="AH4" s="2576"/>
      <c r="AI4" s="2562"/>
      <c r="AJ4" s="2562"/>
      <c r="AK4" s="2562"/>
      <c r="AL4" s="2562"/>
      <c r="AM4" s="2562"/>
      <c r="AN4" s="2562"/>
      <c r="AO4" s="2562"/>
      <c r="AP4" s="2562"/>
      <c r="AQ4" s="2562"/>
      <c r="AR4" s="2562"/>
      <c r="AS4" s="2562"/>
      <c r="AT4" s="2562"/>
      <c r="AU4" s="2562"/>
      <c r="AV4" s="2562"/>
      <c r="AW4" s="2562"/>
      <c r="AX4" s="2562"/>
      <c r="AY4" s="2562"/>
      <c r="AZ4" s="2562"/>
      <c r="BA4" s="2562"/>
      <c r="BB4" s="2562"/>
      <c r="BC4" s="2562"/>
      <c r="BD4" s="2578"/>
      <c r="BE4" s="2562"/>
      <c r="BF4" s="951"/>
      <c r="BG4" s="951"/>
      <c r="BH4" s="951"/>
      <c r="BI4" s="951"/>
      <c r="BJ4" s="951"/>
      <c r="BK4" s="951"/>
      <c r="BL4" s="951"/>
      <c r="BM4" s="951"/>
      <c r="BN4" s="951"/>
      <c r="BO4" s="951"/>
      <c r="BP4" s="951"/>
      <c r="BQ4" s="951"/>
      <c r="BR4" s="951"/>
      <c r="BS4" s="951"/>
      <c r="BT4" s="951"/>
      <c r="BU4" s="951"/>
      <c r="BV4" s="951"/>
      <c r="BW4" s="951"/>
      <c r="BX4" s="951"/>
      <c r="BY4" s="951"/>
      <c r="BZ4" s="1001"/>
      <c r="CA4" s="1001"/>
      <c r="CB4" s="1001"/>
    </row>
    <row r="5" spans="2:80" s="197" customFormat="1" ht="38.9" customHeight="1" thickTop="1">
      <c r="B5" s="2828" t="s">
        <v>7041</v>
      </c>
      <c r="C5" s="2828"/>
      <c r="D5" s="2793" t="s">
        <v>1892</v>
      </c>
      <c r="E5" s="2793" t="s">
        <v>136</v>
      </c>
      <c r="F5" s="2842" t="s">
        <v>6859</v>
      </c>
      <c r="G5" s="2842"/>
      <c r="H5" s="2842"/>
      <c r="I5" s="2842"/>
      <c r="J5" s="2842"/>
      <c r="K5" s="2842"/>
      <c r="L5" s="2842"/>
      <c r="M5" s="2842"/>
      <c r="N5" s="2842"/>
      <c r="O5" s="2842" t="s">
        <v>7042</v>
      </c>
      <c r="P5" s="2842"/>
      <c r="Q5" s="2842"/>
      <c r="R5" s="2842"/>
      <c r="S5" s="2842"/>
      <c r="T5" s="2842"/>
      <c r="U5" s="2842"/>
      <c r="V5" s="2842"/>
      <c r="W5" s="2842"/>
      <c r="X5" s="2842" t="s">
        <v>7043</v>
      </c>
      <c r="Y5" s="2842" t="s">
        <v>7044</v>
      </c>
      <c r="Z5" s="2845" t="s">
        <v>7045</v>
      </c>
      <c r="AA5" s="635"/>
      <c r="AB5" s="2763" t="s">
        <v>1896</v>
      </c>
      <c r="AC5" s="228"/>
      <c r="AD5" s="2763" t="s">
        <v>1897</v>
      </c>
      <c r="AE5" s="228"/>
      <c r="AF5" s="1000"/>
      <c r="AG5" s="239"/>
      <c r="AH5" s="952"/>
      <c r="BD5" s="725"/>
      <c r="BF5" s="2828" t="s">
        <v>7041</v>
      </c>
      <c r="BG5" s="2828"/>
      <c r="BH5" s="2842" t="s">
        <v>6859</v>
      </c>
      <c r="BI5" s="2842"/>
      <c r="BJ5" s="2842"/>
      <c r="BK5" s="2842"/>
      <c r="BL5" s="2842"/>
      <c r="BM5" s="2842"/>
      <c r="BN5" s="2842"/>
      <c r="BO5" s="2842"/>
      <c r="BP5" s="2842"/>
      <c r="BQ5" s="2842" t="s">
        <v>7042</v>
      </c>
      <c r="BR5" s="2842"/>
      <c r="BS5" s="2842"/>
      <c r="BT5" s="2842"/>
      <c r="BU5" s="2842"/>
      <c r="BV5" s="2842"/>
      <c r="BW5" s="2842"/>
      <c r="BX5" s="2842"/>
      <c r="BY5" s="2842"/>
      <c r="BZ5" s="2842" t="s">
        <v>7043</v>
      </c>
      <c r="CA5" s="2842" t="s">
        <v>7044</v>
      </c>
      <c r="CB5" s="2845" t="s">
        <v>7045</v>
      </c>
    </row>
    <row r="6" spans="2:80" s="197" customFormat="1" ht="42" customHeight="1">
      <c r="B6" s="2828"/>
      <c r="C6" s="2828"/>
      <c r="D6" s="2793"/>
      <c r="E6" s="2793"/>
      <c r="F6" s="2844" t="s">
        <v>6860</v>
      </c>
      <c r="G6" s="2844"/>
      <c r="H6" s="2844"/>
      <c r="I6" s="2844"/>
      <c r="J6" s="2844"/>
      <c r="K6" s="2843" t="s">
        <v>2831</v>
      </c>
      <c r="L6" s="2843"/>
      <c r="M6" s="2843"/>
      <c r="N6" s="2843" t="s">
        <v>2112</v>
      </c>
      <c r="O6" s="2844" t="s">
        <v>6860</v>
      </c>
      <c r="P6" s="2844"/>
      <c r="Q6" s="2844"/>
      <c r="R6" s="2844"/>
      <c r="S6" s="2844"/>
      <c r="T6" s="2843" t="s">
        <v>2831</v>
      </c>
      <c r="U6" s="2843"/>
      <c r="V6" s="2843"/>
      <c r="W6" s="2843" t="s">
        <v>2112</v>
      </c>
      <c r="X6" s="2842"/>
      <c r="Y6" s="2842"/>
      <c r="Z6" s="2845"/>
      <c r="AA6" s="106"/>
      <c r="AB6" s="2763"/>
      <c r="AC6" s="544"/>
      <c r="AD6" s="2763"/>
      <c r="AE6" s="544"/>
      <c r="AF6" s="1002"/>
      <c r="AG6" s="239"/>
      <c r="AH6" s="952"/>
      <c r="BD6" s="725"/>
      <c r="BF6" s="2828"/>
      <c r="BG6" s="2828"/>
      <c r="BH6" s="2844" t="s">
        <v>6860</v>
      </c>
      <c r="BI6" s="2844"/>
      <c r="BJ6" s="2844"/>
      <c r="BK6" s="2844"/>
      <c r="BL6" s="2844"/>
      <c r="BM6" s="2843" t="s">
        <v>2831</v>
      </c>
      <c r="BN6" s="2843"/>
      <c r="BO6" s="2843"/>
      <c r="BP6" s="2843" t="s">
        <v>2112</v>
      </c>
      <c r="BQ6" s="2844" t="s">
        <v>6860</v>
      </c>
      <c r="BR6" s="2844"/>
      <c r="BS6" s="2844"/>
      <c r="BT6" s="2844"/>
      <c r="BU6" s="2844"/>
      <c r="BV6" s="2843" t="s">
        <v>2831</v>
      </c>
      <c r="BW6" s="2843"/>
      <c r="BX6" s="2843"/>
      <c r="BY6" s="2843" t="s">
        <v>2112</v>
      </c>
      <c r="BZ6" s="2842"/>
      <c r="CA6" s="2842"/>
      <c r="CB6" s="2845"/>
    </row>
    <row r="7" spans="2:80" s="197" customFormat="1" ht="51.75" customHeight="1" thickBot="1">
      <c r="B7" s="2828"/>
      <c r="C7" s="2828"/>
      <c r="D7" s="2793"/>
      <c r="E7" s="2793"/>
      <c r="F7" s="1003" t="s">
        <v>5882</v>
      </c>
      <c r="G7" s="1003" t="s">
        <v>5883</v>
      </c>
      <c r="H7" s="1003" t="s">
        <v>5884</v>
      </c>
      <c r="I7" s="1003" t="s">
        <v>5885</v>
      </c>
      <c r="J7" s="1003" t="s">
        <v>6190</v>
      </c>
      <c r="K7" s="1003" t="s">
        <v>5887</v>
      </c>
      <c r="L7" s="1003" t="s">
        <v>5888</v>
      </c>
      <c r="M7" s="1003" t="s">
        <v>5889</v>
      </c>
      <c r="N7" s="2843"/>
      <c r="O7" s="1003" t="s">
        <v>5882</v>
      </c>
      <c r="P7" s="1003" t="s">
        <v>5883</v>
      </c>
      <c r="Q7" s="1003" t="s">
        <v>5884</v>
      </c>
      <c r="R7" s="1003" t="s">
        <v>5885</v>
      </c>
      <c r="S7" s="1003" t="s">
        <v>6190</v>
      </c>
      <c r="T7" s="1003" t="s">
        <v>5887</v>
      </c>
      <c r="U7" s="1003" t="s">
        <v>5888</v>
      </c>
      <c r="V7" s="1003" t="s">
        <v>5889</v>
      </c>
      <c r="W7" s="2843"/>
      <c r="X7" s="1003" t="s">
        <v>2112</v>
      </c>
      <c r="Y7" s="1003" t="s">
        <v>2112</v>
      </c>
      <c r="Z7" s="1004" t="s">
        <v>2112</v>
      </c>
      <c r="AA7" s="106"/>
      <c r="AB7" s="2763"/>
      <c r="AC7" s="1005"/>
      <c r="AD7" s="2763"/>
      <c r="AE7" s="1005"/>
      <c r="AF7" s="1006"/>
      <c r="AG7" s="2073" t="s">
        <v>1889</v>
      </c>
      <c r="AH7" s="952"/>
      <c r="BD7" s="725"/>
      <c r="BF7" s="2828"/>
      <c r="BG7" s="2828"/>
      <c r="BH7" s="1003" t="s">
        <v>5882</v>
      </c>
      <c r="BI7" s="1003" t="s">
        <v>5883</v>
      </c>
      <c r="BJ7" s="1003" t="s">
        <v>5884</v>
      </c>
      <c r="BK7" s="1003" t="s">
        <v>5885</v>
      </c>
      <c r="BL7" s="1003" t="s">
        <v>6190</v>
      </c>
      <c r="BM7" s="1003" t="s">
        <v>5887</v>
      </c>
      <c r="BN7" s="1003" t="s">
        <v>5888</v>
      </c>
      <c r="BO7" s="1003" t="s">
        <v>5889</v>
      </c>
      <c r="BP7" s="2843"/>
      <c r="BQ7" s="1003" t="s">
        <v>5882</v>
      </c>
      <c r="BR7" s="1003" t="s">
        <v>5883</v>
      </c>
      <c r="BS7" s="1003" t="s">
        <v>5884</v>
      </c>
      <c r="BT7" s="1003" t="s">
        <v>5885</v>
      </c>
      <c r="BU7" s="1003" t="s">
        <v>6190</v>
      </c>
      <c r="BV7" s="1003" t="s">
        <v>5887</v>
      </c>
      <c r="BW7" s="1003" t="s">
        <v>5888</v>
      </c>
      <c r="BX7" s="1003" t="s">
        <v>5889</v>
      </c>
      <c r="BY7" s="2843"/>
      <c r="BZ7" s="1003" t="s">
        <v>2112</v>
      </c>
      <c r="CA7" s="1003" t="s">
        <v>2112</v>
      </c>
      <c r="CB7" s="1004" t="s">
        <v>2112</v>
      </c>
    </row>
    <row r="8" spans="2:80" s="197" customFormat="1" ht="15" customHeight="1" thickTop="1" thickBot="1">
      <c r="B8" s="893"/>
      <c r="C8" s="893"/>
      <c r="D8" s="893"/>
      <c r="E8" s="893"/>
      <c r="F8" s="1007"/>
      <c r="G8" s="1007"/>
      <c r="H8" s="1007"/>
      <c r="I8" s="1007"/>
      <c r="J8" s="1007"/>
      <c r="K8" s="1007"/>
      <c r="L8" s="1007"/>
      <c r="M8" s="1007"/>
      <c r="N8" s="1007"/>
      <c r="O8" s="1007"/>
      <c r="P8" s="1007"/>
      <c r="Q8" s="1007"/>
      <c r="R8" s="1007"/>
      <c r="S8" s="1007"/>
      <c r="T8" s="1007"/>
      <c r="U8" s="1007"/>
      <c r="V8" s="1007"/>
      <c r="W8" s="1007"/>
      <c r="X8" s="1007"/>
      <c r="Y8" s="1007"/>
      <c r="Z8" s="1007"/>
      <c r="AA8" s="893"/>
      <c r="AB8" s="893"/>
      <c r="AC8" s="954"/>
      <c r="AD8" s="954"/>
      <c r="AE8" s="954"/>
      <c r="AF8" s="2593"/>
      <c r="AG8" s="239"/>
      <c r="AH8" s="952"/>
      <c r="AI8" s="2662" t="s">
        <v>1890</v>
      </c>
      <c r="AJ8" s="2662"/>
      <c r="AK8" s="2662"/>
      <c r="AL8" s="2662"/>
      <c r="AM8" s="2662"/>
      <c r="AN8" s="2662"/>
      <c r="AO8" s="2662"/>
      <c r="AP8" s="2662"/>
      <c r="AQ8" s="2662"/>
      <c r="AR8" s="2662"/>
      <c r="AS8" s="2662"/>
      <c r="AT8" s="2662"/>
      <c r="AU8" s="2662"/>
      <c r="AV8" s="2662"/>
      <c r="AW8" s="2662"/>
      <c r="AX8" s="2662"/>
      <c r="AY8" s="2662"/>
      <c r="AZ8" s="2662"/>
      <c r="BA8" s="2662"/>
      <c r="BB8" s="2662"/>
      <c r="BC8" s="2662"/>
      <c r="BD8" s="725"/>
      <c r="BF8" s="893"/>
      <c r="BG8" s="893"/>
      <c r="BH8" s="1007"/>
      <c r="BI8" s="1007"/>
      <c r="BJ8" s="1007"/>
      <c r="BK8" s="1007"/>
      <c r="BL8" s="1007"/>
      <c r="BM8" s="1007"/>
      <c r="BN8" s="1007"/>
      <c r="BO8" s="1007"/>
      <c r="BP8" s="1007"/>
      <c r="BQ8" s="1007"/>
      <c r="BR8" s="1007"/>
      <c r="BS8" s="1007"/>
      <c r="BT8" s="1007"/>
      <c r="BU8" s="1007"/>
      <c r="BV8" s="1007"/>
      <c r="BW8" s="1007"/>
      <c r="BX8" s="1007"/>
      <c r="BY8" s="1007"/>
      <c r="BZ8" s="1007"/>
      <c r="CA8" s="1007"/>
      <c r="CB8" s="1007"/>
    </row>
    <row r="9" spans="2:80" s="197" customFormat="1" ht="30.75" customHeight="1" thickTop="1" thickBot="1">
      <c r="B9" s="355" t="s">
        <v>7046</v>
      </c>
      <c r="C9" s="893"/>
      <c r="D9" s="893"/>
      <c r="E9" s="893"/>
      <c r="F9" s="1007"/>
      <c r="G9" s="1007"/>
      <c r="H9" s="1007"/>
      <c r="I9" s="1007"/>
      <c r="J9" s="1007"/>
      <c r="K9" s="1007"/>
      <c r="L9" s="1007"/>
      <c r="M9" s="1007"/>
      <c r="N9" s="1007"/>
      <c r="O9" s="1007"/>
      <c r="P9" s="1007"/>
      <c r="Q9" s="1007"/>
      <c r="R9" s="1007"/>
      <c r="S9" s="1007"/>
      <c r="T9" s="1007"/>
      <c r="U9" s="1007"/>
      <c r="V9" s="1007"/>
      <c r="W9" s="1007"/>
      <c r="X9" s="1007"/>
      <c r="Y9" s="1007"/>
      <c r="Z9" s="1007"/>
      <c r="AA9" s="893"/>
      <c r="AB9" s="893"/>
      <c r="AC9" s="954"/>
      <c r="AD9" s="954"/>
      <c r="AE9" s="954"/>
      <c r="AF9" s="2593"/>
      <c r="AG9" s="239"/>
      <c r="AH9" s="952"/>
      <c r="AI9" s="236" t="s">
        <v>1898</v>
      </c>
      <c r="AR9" s="236"/>
      <c r="BD9" s="725"/>
      <c r="BF9" s="355" t="s">
        <v>7046</v>
      </c>
      <c r="BG9" s="893"/>
      <c r="BH9" s="1007"/>
      <c r="BI9" s="1007"/>
      <c r="BJ9" s="1007"/>
      <c r="BK9" s="1007"/>
      <c r="BL9" s="1007"/>
      <c r="BM9" s="1007"/>
      <c r="BN9" s="1007"/>
      <c r="BO9" s="1007"/>
      <c r="BP9" s="1007"/>
      <c r="BQ9" s="1007"/>
      <c r="BR9" s="1007"/>
      <c r="BS9" s="1007"/>
      <c r="BT9" s="1007"/>
      <c r="BU9" s="1007"/>
      <c r="BV9" s="1007"/>
      <c r="BW9" s="1007"/>
      <c r="BX9" s="1007"/>
      <c r="BY9" s="1007"/>
      <c r="BZ9" s="1007"/>
      <c r="CA9" s="1007"/>
      <c r="CB9" s="1007"/>
    </row>
    <row r="10" spans="2:80" s="200" customFormat="1" ht="15.75" customHeight="1" thickTop="1">
      <c r="B10" s="711" t="s">
        <v>7806</v>
      </c>
      <c r="C10" s="2219" t="s">
        <v>1692</v>
      </c>
      <c r="D10" s="283" t="s">
        <v>137</v>
      </c>
      <c r="E10" s="283">
        <v>3</v>
      </c>
      <c r="F10" s="652">
        <v>0.19400000000000001</v>
      </c>
      <c r="G10" s="652">
        <v>7.0999999999999994E-2</v>
      </c>
      <c r="H10" s="652">
        <v>0.02</v>
      </c>
      <c r="I10" s="652">
        <v>0</v>
      </c>
      <c r="J10" s="652">
        <v>0</v>
      </c>
      <c r="K10" s="652">
        <v>0</v>
      </c>
      <c r="L10" s="652">
        <v>0</v>
      </c>
      <c r="M10" s="652">
        <v>0</v>
      </c>
      <c r="N10" s="2243">
        <f>IFERROR(SUM(F10:M10), 0)</f>
        <v>0.28500000000000003</v>
      </c>
      <c r="O10" s="2244"/>
      <c r="P10" s="2244"/>
      <c r="Q10" s="2244"/>
      <c r="R10" s="2244"/>
      <c r="S10" s="2244"/>
      <c r="T10" s="2244"/>
      <c r="U10" s="2244"/>
      <c r="V10" s="2244"/>
      <c r="W10" s="2244"/>
      <c r="X10" s="2245"/>
      <c r="Y10" s="2245"/>
      <c r="Z10" s="2246"/>
      <c r="AA10" s="893"/>
      <c r="AB10" s="688" t="s">
        <v>7807</v>
      </c>
      <c r="AC10" s="1008"/>
      <c r="AD10" s="250"/>
      <c r="AE10" s="1008"/>
      <c r="AF10" s="1009"/>
      <c r="AG10" s="251">
        <f>IF( SUM( AI10:BC10 ) = 0, 0, $AI$9 )</f>
        <v>0</v>
      </c>
      <c r="AH10" s="1010"/>
      <c r="AI10" s="252">
        <f xml:space="preserve"> IF( ISNUMBER(F10), 0, 1 )</f>
        <v>0</v>
      </c>
      <c r="AJ10" s="252">
        <f t="shared" ref="AJ10:AJ11" si="0" xml:space="preserve"> IF( ISNUMBER(G10), 0, 1 )</f>
        <v>0</v>
      </c>
      <c r="AK10" s="252">
        <f t="shared" ref="AK10:AK11" si="1" xml:space="preserve"> IF( ISNUMBER(H10), 0, 1 )</f>
        <v>0</v>
      </c>
      <c r="AL10" s="252">
        <f t="shared" ref="AL10:AL11" si="2" xml:space="preserve"> IF( ISNUMBER(I10), 0, 1 )</f>
        <v>0</v>
      </c>
      <c r="AM10" s="252">
        <f t="shared" ref="AM10:AM11" si="3" xml:space="preserve"> IF( ISNUMBER(J10), 0, 1 )</f>
        <v>0</v>
      </c>
      <c r="AN10" s="252">
        <f t="shared" ref="AN10:AN11" si="4" xml:space="preserve"> IF( ISNUMBER(K10), 0, 1 )</f>
        <v>0</v>
      </c>
      <c r="AO10" s="252">
        <f t="shared" ref="AO10:AO11" si="5" xml:space="preserve"> IF( ISNUMBER(L10), 0, 1 )</f>
        <v>0</v>
      </c>
      <c r="AP10" s="252">
        <f t="shared" ref="AP10:AP11" si="6" xml:space="preserve"> IF( ISNUMBER(M10), 0, 1 )</f>
        <v>0</v>
      </c>
      <c r="BD10" s="831"/>
      <c r="BF10" s="413" t="s">
        <v>7806</v>
      </c>
      <c r="BG10" s="958" t="s">
        <v>1692</v>
      </c>
      <c r="BH10" s="245" t="s">
        <v>7808</v>
      </c>
      <c r="BI10" s="245" t="s">
        <v>7809</v>
      </c>
      <c r="BJ10" s="245" t="s">
        <v>7810</v>
      </c>
      <c r="BK10" s="245" t="s">
        <v>7811</v>
      </c>
      <c r="BL10" s="245" t="s">
        <v>7812</v>
      </c>
      <c r="BM10" s="245" t="s">
        <v>7813</v>
      </c>
      <c r="BN10" s="245" t="s">
        <v>7814</v>
      </c>
      <c r="BO10" s="245" t="s">
        <v>7815</v>
      </c>
      <c r="BP10" s="246" t="s">
        <v>7816</v>
      </c>
      <c r="BQ10" s="566"/>
      <c r="BR10" s="566"/>
      <c r="BS10" s="566"/>
      <c r="BT10" s="566"/>
      <c r="BU10" s="566"/>
      <c r="BV10" s="566"/>
      <c r="BW10" s="566"/>
      <c r="BX10" s="566"/>
      <c r="BY10" s="566"/>
      <c r="BZ10" s="571"/>
      <c r="CA10" s="571"/>
      <c r="CB10" s="647"/>
    </row>
    <row r="11" spans="2:80" s="200" customFormat="1" ht="15.75" customHeight="1">
      <c r="B11" s="689" t="s">
        <v>7806</v>
      </c>
      <c r="C11" s="2220" t="s">
        <v>1693</v>
      </c>
      <c r="D11" s="290" t="s">
        <v>137</v>
      </c>
      <c r="E11" s="290">
        <v>3</v>
      </c>
      <c r="F11" s="655">
        <v>0</v>
      </c>
      <c r="G11" s="655">
        <v>0</v>
      </c>
      <c r="H11" s="655">
        <v>0</v>
      </c>
      <c r="I11" s="655">
        <v>0</v>
      </c>
      <c r="J11" s="655">
        <v>0</v>
      </c>
      <c r="K11" s="655">
        <v>0</v>
      </c>
      <c r="L11" s="655">
        <v>0</v>
      </c>
      <c r="M11" s="655">
        <v>0</v>
      </c>
      <c r="N11" s="277">
        <f t="shared" ref="N11:N55" si="7">IFERROR(SUM(F11:M11), 0)</f>
        <v>0</v>
      </c>
      <c r="O11" s="2247"/>
      <c r="P11" s="2247"/>
      <c r="Q11" s="2247"/>
      <c r="R11" s="2247"/>
      <c r="S11" s="2247"/>
      <c r="T11" s="2247"/>
      <c r="U11" s="2247"/>
      <c r="V11" s="2247"/>
      <c r="W11" s="2247"/>
      <c r="X11" s="2248"/>
      <c r="Y11" s="2248"/>
      <c r="Z11" s="2249"/>
      <c r="AA11" s="893"/>
      <c r="AB11" s="692" t="s">
        <v>7817</v>
      </c>
      <c r="AC11" s="1008"/>
      <c r="AD11" s="258"/>
      <c r="AE11" s="1008"/>
      <c r="AF11" s="1009"/>
      <c r="AG11" s="251">
        <f t="shared" ref="AG11:AG55" si="8">IF( SUM( AI11:BC11 ) = 0, 0, $AI$9 )</f>
        <v>0</v>
      </c>
      <c r="AH11" s="1010"/>
      <c r="AI11" s="252">
        <f t="shared" ref="AI11" si="9" xml:space="preserve"> IF( ISNUMBER(F11), 0, 1 )</f>
        <v>0</v>
      </c>
      <c r="AJ11" s="252">
        <f t="shared" si="0"/>
        <v>0</v>
      </c>
      <c r="AK11" s="252">
        <f t="shared" si="1"/>
        <v>0</v>
      </c>
      <c r="AL11" s="252">
        <f t="shared" si="2"/>
        <v>0</v>
      </c>
      <c r="AM11" s="252">
        <f t="shared" si="3"/>
        <v>0</v>
      </c>
      <c r="AN11" s="252">
        <f t="shared" si="4"/>
        <v>0</v>
      </c>
      <c r="AO11" s="252">
        <f t="shared" si="5"/>
        <v>0</v>
      </c>
      <c r="AP11" s="252">
        <f t="shared" si="6"/>
        <v>0</v>
      </c>
      <c r="BD11" s="831"/>
      <c r="BF11" s="422" t="s">
        <v>7806</v>
      </c>
      <c r="BG11" s="318" t="s">
        <v>1693</v>
      </c>
      <c r="BH11" s="254" t="s">
        <v>7818</v>
      </c>
      <c r="BI11" s="254" t="s">
        <v>7819</v>
      </c>
      <c r="BJ11" s="254" t="s">
        <v>7820</v>
      </c>
      <c r="BK11" s="254" t="s">
        <v>7821</v>
      </c>
      <c r="BL11" s="254" t="s">
        <v>7822</v>
      </c>
      <c r="BM11" s="254" t="s">
        <v>7823</v>
      </c>
      <c r="BN11" s="254" t="s">
        <v>7824</v>
      </c>
      <c r="BO11" s="254" t="s">
        <v>7825</v>
      </c>
      <c r="BP11" s="255" t="s">
        <v>7826</v>
      </c>
      <c r="BQ11" s="361"/>
      <c r="BR11" s="361"/>
      <c r="BS11" s="361"/>
      <c r="BT11" s="361"/>
      <c r="BU11" s="361"/>
      <c r="BV11" s="361"/>
      <c r="BW11" s="361"/>
      <c r="BX11" s="361"/>
      <c r="BY11" s="361"/>
      <c r="BZ11" s="648"/>
      <c r="CA11" s="648"/>
      <c r="CB11" s="649"/>
    </row>
    <row r="12" spans="2:80" s="200" customFormat="1" ht="15.75" customHeight="1">
      <c r="B12" s="689" t="s">
        <v>7806</v>
      </c>
      <c r="C12" s="2220" t="s">
        <v>1694</v>
      </c>
      <c r="D12" s="290" t="s">
        <v>137</v>
      </c>
      <c r="E12" s="290">
        <v>3</v>
      </c>
      <c r="F12" s="277">
        <f>IFERROR(SUM(F10:F11), 0)</f>
        <v>0.19400000000000001</v>
      </c>
      <c r="G12" s="277">
        <f t="shared" ref="G12:M12" si="10">IFERROR(SUM(G10:G11), 0)</f>
        <v>7.0999999999999994E-2</v>
      </c>
      <c r="H12" s="277">
        <f t="shared" si="10"/>
        <v>0.02</v>
      </c>
      <c r="I12" s="277">
        <f t="shared" si="10"/>
        <v>0</v>
      </c>
      <c r="J12" s="277">
        <f t="shared" si="10"/>
        <v>0</v>
      </c>
      <c r="K12" s="277">
        <f t="shared" si="10"/>
        <v>0</v>
      </c>
      <c r="L12" s="277">
        <f t="shared" si="10"/>
        <v>0</v>
      </c>
      <c r="M12" s="277">
        <f t="shared" si="10"/>
        <v>0</v>
      </c>
      <c r="N12" s="277">
        <f t="shared" si="7"/>
        <v>0.28500000000000003</v>
      </c>
      <c r="O12" s="2247"/>
      <c r="P12" s="2247"/>
      <c r="Q12" s="2247"/>
      <c r="R12" s="2247"/>
      <c r="S12" s="2247"/>
      <c r="T12" s="2247"/>
      <c r="U12" s="2247"/>
      <c r="V12" s="2247"/>
      <c r="W12" s="2247"/>
      <c r="X12" s="655">
        <v>1.7150000000000001</v>
      </c>
      <c r="Y12" s="655">
        <v>0</v>
      </c>
      <c r="Z12" s="693">
        <v>0</v>
      </c>
      <c r="AA12" s="893"/>
      <c r="AB12" s="692" t="s">
        <v>7827</v>
      </c>
      <c r="AC12" s="1008"/>
      <c r="AD12" s="258"/>
      <c r="AE12" s="1008"/>
      <c r="AF12" s="1009"/>
      <c r="AG12" s="251">
        <f t="shared" si="8"/>
        <v>0</v>
      </c>
      <c r="AH12" s="1010"/>
      <c r="BA12" s="252">
        <f t="shared" ref="BA12" si="11" xml:space="preserve"> IF( ISNUMBER(X12), 0, 1 )</f>
        <v>0</v>
      </c>
      <c r="BB12" s="252">
        <f t="shared" ref="BB12" si="12" xml:space="preserve"> IF( ISNUMBER(Y12), 0, 1 )</f>
        <v>0</v>
      </c>
      <c r="BC12" s="252">
        <f t="shared" ref="BC12" si="13" xml:space="preserve"> IF( ISNUMBER(Z12), 0, 1 )</f>
        <v>0</v>
      </c>
      <c r="BD12" s="831"/>
      <c r="BF12" s="422" t="s">
        <v>7806</v>
      </c>
      <c r="BG12" s="318" t="s">
        <v>1694</v>
      </c>
      <c r="BH12" s="255" t="s">
        <v>7828</v>
      </c>
      <c r="BI12" s="255" t="s">
        <v>7829</v>
      </c>
      <c r="BJ12" s="255" t="s">
        <v>7830</v>
      </c>
      <c r="BK12" s="255" t="s">
        <v>7831</v>
      </c>
      <c r="BL12" s="255" t="s">
        <v>7832</v>
      </c>
      <c r="BM12" s="255" t="s">
        <v>7833</v>
      </c>
      <c r="BN12" s="255" t="s">
        <v>7834</v>
      </c>
      <c r="BO12" s="255" t="s">
        <v>7835</v>
      </c>
      <c r="BP12" s="255" t="s">
        <v>7836</v>
      </c>
      <c r="BQ12" s="361"/>
      <c r="BR12" s="361"/>
      <c r="BS12" s="361"/>
      <c r="BT12" s="361"/>
      <c r="BU12" s="361"/>
      <c r="BV12" s="361"/>
      <c r="BW12" s="361"/>
      <c r="BX12" s="361"/>
      <c r="BY12" s="361"/>
      <c r="BZ12" s="644" t="s">
        <v>7837</v>
      </c>
      <c r="CA12" s="644" t="s">
        <v>7838</v>
      </c>
      <c r="CB12" s="1011" t="s">
        <v>7839</v>
      </c>
    </row>
    <row r="13" spans="2:80" s="200" customFormat="1" ht="33" customHeight="1">
      <c r="B13" s="689" t="s">
        <v>7840</v>
      </c>
      <c r="C13" s="2220" t="s">
        <v>1692</v>
      </c>
      <c r="D13" s="290" t="s">
        <v>137</v>
      </c>
      <c r="E13" s="290">
        <v>3</v>
      </c>
      <c r="F13" s="655">
        <v>0.504</v>
      </c>
      <c r="G13" s="655">
        <v>0.185</v>
      </c>
      <c r="H13" s="655">
        <v>5.1999999999999998E-2</v>
      </c>
      <c r="I13" s="655">
        <v>0.56200000000000006</v>
      </c>
      <c r="J13" s="655">
        <v>0</v>
      </c>
      <c r="K13" s="655">
        <v>0</v>
      </c>
      <c r="L13" s="655">
        <v>0</v>
      </c>
      <c r="M13" s="655">
        <v>0</v>
      </c>
      <c r="N13" s="277">
        <f t="shared" si="7"/>
        <v>1.3030000000000002</v>
      </c>
      <c r="O13" s="2247"/>
      <c r="P13" s="2247"/>
      <c r="Q13" s="2247"/>
      <c r="R13" s="2247"/>
      <c r="S13" s="2247"/>
      <c r="T13" s="2247"/>
      <c r="U13" s="2247"/>
      <c r="V13" s="2247"/>
      <c r="W13" s="2247"/>
      <c r="X13" s="2248"/>
      <c r="Y13" s="2248"/>
      <c r="Z13" s="2249"/>
      <c r="AA13" s="893"/>
      <c r="AB13" s="692" t="s">
        <v>7841</v>
      </c>
      <c r="AC13" s="1008"/>
      <c r="AD13" s="258"/>
      <c r="AE13" s="1008"/>
      <c r="AF13" s="1009"/>
      <c r="AG13" s="251">
        <f t="shared" si="8"/>
        <v>0</v>
      </c>
      <c r="AH13" s="1010"/>
      <c r="AI13" s="252">
        <f xml:space="preserve"> IF( ISNUMBER(F13), 0, 1 )</f>
        <v>0</v>
      </c>
      <c r="AJ13" s="252">
        <f t="shared" ref="AJ13:AJ14" si="14" xml:space="preserve"> IF( ISNUMBER(G13), 0, 1 )</f>
        <v>0</v>
      </c>
      <c r="AK13" s="252">
        <f t="shared" ref="AK13:AK14" si="15" xml:space="preserve"> IF( ISNUMBER(H13), 0, 1 )</f>
        <v>0</v>
      </c>
      <c r="AL13" s="252">
        <f t="shared" ref="AL13:AL14" si="16" xml:space="preserve"> IF( ISNUMBER(I13), 0, 1 )</f>
        <v>0</v>
      </c>
      <c r="AM13" s="252">
        <f t="shared" ref="AM13:AM14" si="17" xml:space="preserve"> IF( ISNUMBER(J13), 0, 1 )</f>
        <v>0</v>
      </c>
      <c r="AN13" s="252">
        <f t="shared" ref="AN13:AN14" si="18" xml:space="preserve"> IF( ISNUMBER(K13), 0, 1 )</f>
        <v>0</v>
      </c>
      <c r="AO13" s="252">
        <f t="shared" ref="AO13:AO14" si="19" xml:space="preserve"> IF( ISNUMBER(L13), 0, 1 )</f>
        <v>0</v>
      </c>
      <c r="AP13" s="252">
        <f t="shared" ref="AP13:AP14" si="20" xml:space="preserve"> IF( ISNUMBER(M13), 0, 1 )</f>
        <v>0</v>
      </c>
      <c r="BD13" s="831"/>
      <c r="BF13" s="422" t="s">
        <v>7840</v>
      </c>
      <c r="BG13" s="318" t="s">
        <v>1692</v>
      </c>
      <c r="BH13" s="254" t="s">
        <v>7842</v>
      </c>
      <c r="BI13" s="254" t="s">
        <v>7843</v>
      </c>
      <c r="BJ13" s="254" t="s">
        <v>7844</v>
      </c>
      <c r="BK13" s="254" t="s">
        <v>7845</v>
      </c>
      <c r="BL13" s="254" t="s">
        <v>7846</v>
      </c>
      <c r="BM13" s="254" t="s">
        <v>7847</v>
      </c>
      <c r="BN13" s="254" t="s">
        <v>7848</v>
      </c>
      <c r="BO13" s="254" t="s">
        <v>7849</v>
      </c>
      <c r="BP13" s="255" t="s">
        <v>7850</v>
      </c>
      <c r="BQ13" s="361"/>
      <c r="BR13" s="361"/>
      <c r="BS13" s="361"/>
      <c r="BT13" s="361"/>
      <c r="BU13" s="361"/>
      <c r="BV13" s="361"/>
      <c r="BW13" s="361"/>
      <c r="BX13" s="361"/>
      <c r="BY13" s="361"/>
      <c r="BZ13" s="648"/>
      <c r="CA13" s="648"/>
      <c r="CB13" s="649"/>
    </row>
    <row r="14" spans="2:80" s="200" customFormat="1" ht="33" customHeight="1">
      <c r="B14" s="689" t="s">
        <v>7840</v>
      </c>
      <c r="C14" s="2220" t="s">
        <v>1693</v>
      </c>
      <c r="D14" s="290" t="s">
        <v>137</v>
      </c>
      <c r="E14" s="290">
        <v>3</v>
      </c>
      <c r="F14" s="655">
        <v>0</v>
      </c>
      <c r="G14" s="655">
        <v>0</v>
      </c>
      <c r="H14" s="655">
        <v>0</v>
      </c>
      <c r="I14" s="655">
        <v>0</v>
      </c>
      <c r="J14" s="655">
        <v>0</v>
      </c>
      <c r="K14" s="655">
        <v>0</v>
      </c>
      <c r="L14" s="655">
        <v>0</v>
      </c>
      <c r="M14" s="655">
        <v>0</v>
      </c>
      <c r="N14" s="277">
        <f t="shared" si="7"/>
        <v>0</v>
      </c>
      <c r="O14" s="2247"/>
      <c r="P14" s="2247"/>
      <c r="Q14" s="2247"/>
      <c r="R14" s="2247"/>
      <c r="S14" s="2247"/>
      <c r="T14" s="2247"/>
      <c r="U14" s="2247"/>
      <c r="V14" s="2247"/>
      <c r="W14" s="2247"/>
      <c r="X14" s="2248"/>
      <c r="Y14" s="2248"/>
      <c r="Z14" s="2249"/>
      <c r="AA14" s="893"/>
      <c r="AB14" s="692" t="s">
        <v>7851</v>
      </c>
      <c r="AC14" s="1008"/>
      <c r="AD14" s="258"/>
      <c r="AE14" s="1008"/>
      <c r="AF14" s="1009"/>
      <c r="AG14" s="251">
        <f t="shared" si="8"/>
        <v>0</v>
      </c>
      <c r="AH14" s="1010"/>
      <c r="AI14" s="252">
        <f t="shared" ref="AI14" si="21" xml:space="preserve"> IF( ISNUMBER(F14), 0, 1 )</f>
        <v>0</v>
      </c>
      <c r="AJ14" s="252">
        <f t="shared" si="14"/>
        <v>0</v>
      </c>
      <c r="AK14" s="252">
        <f t="shared" si="15"/>
        <v>0</v>
      </c>
      <c r="AL14" s="252">
        <f t="shared" si="16"/>
        <v>0</v>
      </c>
      <c r="AM14" s="252">
        <f t="shared" si="17"/>
        <v>0</v>
      </c>
      <c r="AN14" s="252">
        <f t="shared" si="18"/>
        <v>0</v>
      </c>
      <c r="AO14" s="252">
        <f t="shared" si="19"/>
        <v>0</v>
      </c>
      <c r="AP14" s="252">
        <f t="shared" si="20"/>
        <v>0</v>
      </c>
      <c r="BD14" s="831"/>
      <c r="BF14" s="422" t="s">
        <v>7840</v>
      </c>
      <c r="BG14" s="318" t="s">
        <v>1693</v>
      </c>
      <c r="BH14" s="254" t="s">
        <v>7852</v>
      </c>
      <c r="BI14" s="254" t="s">
        <v>7853</v>
      </c>
      <c r="BJ14" s="254" t="s">
        <v>7854</v>
      </c>
      <c r="BK14" s="254" t="s">
        <v>7855</v>
      </c>
      <c r="BL14" s="254" t="s">
        <v>7856</v>
      </c>
      <c r="BM14" s="254" t="s">
        <v>7857</v>
      </c>
      <c r="BN14" s="254" t="s">
        <v>7858</v>
      </c>
      <c r="BO14" s="254" t="s">
        <v>7859</v>
      </c>
      <c r="BP14" s="255" t="s">
        <v>7860</v>
      </c>
      <c r="BQ14" s="361"/>
      <c r="BR14" s="361"/>
      <c r="BS14" s="361"/>
      <c r="BT14" s="361"/>
      <c r="BU14" s="361"/>
      <c r="BV14" s="361"/>
      <c r="BW14" s="361"/>
      <c r="BX14" s="361"/>
      <c r="BY14" s="361"/>
      <c r="BZ14" s="648"/>
      <c r="CA14" s="648"/>
      <c r="CB14" s="649"/>
    </row>
    <row r="15" spans="2:80" s="200" customFormat="1" ht="33" customHeight="1">
      <c r="B15" s="689" t="s">
        <v>7840</v>
      </c>
      <c r="C15" s="2220" t="s">
        <v>1694</v>
      </c>
      <c r="D15" s="290" t="s">
        <v>137</v>
      </c>
      <c r="E15" s="290">
        <v>3</v>
      </c>
      <c r="F15" s="277">
        <f>IFERROR(SUM(F13:F14), 0)</f>
        <v>0.504</v>
      </c>
      <c r="G15" s="277">
        <f t="shared" ref="G15:M15" si="22">IFERROR(SUM(G13:G14), 0)</f>
        <v>0.185</v>
      </c>
      <c r="H15" s="277">
        <f t="shared" si="22"/>
        <v>5.1999999999999998E-2</v>
      </c>
      <c r="I15" s="277">
        <f t="shared" si="22"/>
        <v>0.56200000000000006</v>
      </c>
      <c r="J15" s="277">
        <f t="shared" si="22"/>
        <v>0</v>
      </c>
      <c r="K15" s="277">
        <f t="shared" si="22"/>
        <v>0</v>
      </c>
      <c r="L15" s="277">
        <f t="shared" si="22"/>
        <v>0</v>
      </c>
      <c r="M15" s="277">
        <f t="shared" si="22"/>
        <v>0</v>
      </c>
      <c r="N15" s="277">
        <f t="shared" si="7"/>
        <v>1.3030000000000002</v>
      </c>
      <c r="O15" s="2247"/>
      <c r="P15" s="2247"/>
      <c r="Q15" s="2247"/>
      <c r="R15" s="2247"/>
      <c r="S15" s="2247"/>
      <c r="T15" s="2247"/>
      <c r="U15" s="2247"/>
      <c r="V15" s="2247"/>
      <c r="W15" s="2247"/>
      <c r="X15" s="655">
        <v>2.4089999999999998</v>
      </c>
      <c r="Y15" s="655">
        <v>2.63</v>
      </c>
      <c r="Z15" s="693">
        <v>3.3149999999999999</v>
      </c>
      <c r="AA15" s="893"/>
      <c r="AB15" s="692" t="s">
        <v>7861</v>
      </c>
      <c r="AC15" s="1008"/>
      <c r="AD15" s="258"/>
      <c r="AE15" s="1008"/>
      <c r="AF15" s="1009"/>
      <c r="AG15" s="251">
        <f t="shared" si="8"/>
        <v>0</v>
      </c>
      <c r="AH15" s="1010"/>
      <c r="BA15" s="252">
        <f t="shared" ref="BA15" si="23" xml:space="preserve"> IF( ISNUMBER(X15), 0, 1 )</f>
        <v>0</v>
      </c>
      <c r="BB15" s="252">
        <f t="shared" ref="BB15" si="24" xml:space="preserve"> IF( ISNUMBER(Y15), 0, 1 )</f>
        <v>0</v>
      </c>
      <c r="BC15" s="252">
        <f t="shared" ref="BC15" si="25" xml:space="preserve"> IF( ISNUMBER(Z15), 0, 1 )</f>
        <v>0</v>
      </c>
      <c r="BD15" s="831"/>
      <c r="BF15" s="422" t="s">
        <v>7840</v>
      </c>
      <c r="BG15" s="318" t="s">
        <v>1694</v>
      </c>
      <c r="BH15" s="255" t="s">
        <v>7862</v>
      </c>
      <c r="BI15" s="255" t="s">
        <v>7863</v>
      </c>
      <c r="BJ15" s="255" t="s">
        <v>7864</v>
      </c>
      <c r="BK15" s="255" t="s">
        <v>7865</v>
      </c>
      <c r="BL15" s="255" t="s">
        <v>7866</v>
      </c>
      <c r="BM15" s="255" t="s">
        <v>7867</v>
      </c>
      <c r="BN15" s="255" t="s">
        <v>7868</v>
      </c>
      <c r="BO15" s="255" t="s">
        <v>7869</v>
      </c>
      <c r="BP15" s="255" t="s">
        <v>7870</v>
      </c>
      <c r="BQ15" s="361"/>
      <c r="BR15" s="361"/>
      <c r="BS15" s="361"/>
      <c r="BT15" s="361"/>
      <c r="BU15" s="361"/>
      <c r="BV15" s="361"/>
      <c r="BW15" s="361"/>
      <c r="BX15" s="361"/>
      <c r="BY15" s="361"/>
      <c r="BZ15" s="644" t="s">
        <v>7871</v>
      </c>
      <c r="CA15" s="644" t="s">
        <v>7872</v>
      </c>
      <c r="CB15" s="1011" t="s">
        <v>7873</v>
      </c>
    </row>
    <row r="16" spans="2:80" s="200" customFormat="1" ht="15.75" customHeight="1">
      <c r="B16" s="689" t="s">
        <v>7874</v>
      </c>
      <c r="C16" s="2220" t="s">
        <v>1692</v>
      </c>
      <c r="D16" s="290" t="s">
        <v>137</v>
      </c>
      <c r="E16" s="290">
        <v>3</v>
      </c>
      <c r="F16" s="655">
        <v>0</v>
      </c>
      <c r="G16" s="655">
        <v>0</v>
      </c>
      <c r="H16" s="655">
        <v>0</v>
      </c>
      <c r="I16" s="655">
        <v>1.29</v>
      </c>
      <c r="J16" s="655">
        <v>0</v>
      </c>
      <c r="K16" s="655">
        <v>0</v>
      </c>
      <c r="L16" s="655">
        <v>0</v>
      </c>
      <c r="M16" s="655">
        <v>0</v>
      </c>
      <c r="N16" s="277">
        <f t="shared" si="7"/>
        <v>1.29</v>
      </c>
      <c r="O16" s="2247"/>
      <c r="P16" s="2247"/>
      <c r="Q16" s="2247"/>
      <c r="R16" s="2247"/>
      <c r="S16" s="2247"/>
      <c r="T16" s="2247"/>
      <c r="U16" s="2247"/>
      <c r="V16" s="2247"/>
      <c r="W16" s="2247"/>
      <c r="X16" s="2248"/>
      <c r="Y16" s="2248"/>
      <c r="Z16" s="2249"/>
      <c r="AA16" s="893"/>
      <c r="AB16" s="692" t="s">
        <v>7875</v>
      </c>
      <c r="AC16" s="1008"/>
      <c r="AD16" s="258"/>
      <c r="AE16" s="1008"/>
      <c r="AF16" s="1009"/>
      <c r="AG16" s="251">
        <f t="shared" si="8"/>
        <v>0</v>
      </c>
      <c r="AH16" s="1010"/>
      <c r="AI16" s="252">
        <f xml:space="preserve"> IF( ISNUMBER(F16), 0, 1 )</f>
        <v>0</v>
      </c>
      <c r="AJ16" s="252">
        <f t="shared" ref="AJ16:AJ17" si="26" xml:space="preserve"> IF( ISNUMBER(G16), 0, 1 )</f>
        <v>0</v>
      </c>
      <c r="AK16" s="252">
        <f t="shared" ref="AK16:AK17" si="27" xml:space="preserve"> IF( ISNUMBER(H16), 0, 1 )</f>
        <v>0</v>
      </c>
      <c r="AL16" s="252">
        <f t="shared" ref="AL16:AL17" si="28" xml:space="preserve"> IF( ISNUMBER(I16), 0, 1 )</f>
        <v>0</v>
      </c>
      <c r="AM16" s="252">
        <f t="shared" ref="AM16:AM17" si="29" xml:space="preserve"> IF( ISNUMBER(J16), 0, 1 )</f>
        <v>0</v>
      </c>
      <c r="AN16" s="252">
        <f t="shared" ref="AN16:AN17" si="30" xml:space="preserve"> IF( ISNUMBER(K16), 0, 1 )</f>
        <v>0</v>
      </c>
      <c r="AO16" s="252">
        <f t="shared" ref="AO16:AO17" si="31" xml:space="preserve"> IF( ISNUMBER(L16), 0, 1 )</f>
        <v>0</v>
      </c>
      <c r="AP16" s="252">
        <f t="shared" ref="AP16:AP17" si="32" xml:space="preserve"> IF( ISNUMBER(M16), 0, 1 )</f>
        <v>0</v>
      </c>
      <c r="BD16" s="831"/>
      <c r="BF16" s="422" t="s">
        <v>7874</v>
      </c>
      <c r="BG16" s="318" t="s">
        <v>1692</v>
      </c>
      <c r="BH16" s="254" t="s">
        <v>7876</v>
      </c>
      <c r="BI16" s="254" t="s">
        <v>7877</v>
      </c>
      <c r="BJ16" s="254" t="s">
        <v>7878</v>
      </c>
      <c r="BK16" s="254" t="s">
        <v>7879</v>
      </c>
      <c r="BL16" s="254" t="s">
        <v>7880</v>
      </c>
      <c r="BM16" s="254" t="s">
        <v>7881</v>
      </c>
      <c r="BN16" s="254" t="s">
        <v>7882</v>
      </c>
      <c r="BO16" s="254" t="s">
        <v>7883</v>
      </c>
      <c r="BP16" s="255" t="s">
        <v>7884</v>
      </c>
      <c r="BQ16" s="361"/>
      <c r="BR16" s="361"/>
      <c r="BS16" s="361"/>
      <c r="BT16" s="361"/>
      <c r="BU16" s="361"/>
      <c r="BV16" s="361"/>
      <c r="BW16" s="361"/>
      <c r="BX16" s="361"/>
      <c r="BY16" s="361"/>
      <c r="BZ16" s="648"/>
      <c r="CA16" s="648"/>
      <c r="CB16" s="649"/>
    </row>
    <row r="17" spans="2:80" s="200" customFormat="1" ht="15.75" customHeight="1">
      <c r="B17" s="689" t="s">
        <v>7874</v>
      </c>
      <c r="C17" s="2220" t="s">
        <v>1693</v>
      </c>
      <c r="D17" s="290" t="s">
        <v>137</v>
      </c>
      <c r="E17" s="290">
        <v>3</v>
      </c>
      <c r="F17" s="655">
        <v>0</v>
      </c>
      <c r="G17" s="655">
        <v>0</v>
      </c>
      <c r="H17" s="655">
        <v>0</v>
      </c>
      <c r="I17" s="655">
        <v>0</v>
      </c>
      <c r="J17" s="655">
        <v>0</v>
      </c>
      <c r="K17" s="655">
        <v>0</v>
      </c>
      <c r="L17" s="655">
        <v>0</v>
      </c>
      <c r="M17" s="655">
        <v>0</v>
      </c>
      <c r="N17" s="277">
        <f t="shared" si="7"/>
        <v>0</v>
      </c>
      <c r="O17" s="2247"/>
      <c r="P17" s="2247"/>
      <c r="Q17" s="2247"/>
      <c r="R17" s="2247"/>
      <c r="S17" s="2247"/>
      <c r="T17" s="2247"/>
      <c r="U17" s="2247"/>
      <c r="V17" s="2247"/>
      <c r="W17" s="2247"/>
      <c r="X17" s="2248"/>
      <c r="Y17" s="2248"/>
      <c r="Z17" s="2249"/>
      <c r="AA17" s="893"/>
      <c r="AB17" s="692" t="s">
        <v>7885</v>
      </c>
      <c r="AC17" s="1008"/>
      <c r="AD17" s="258"/>
      <c r="AE17" s="1008"/>
      <c r="AF17" s="1009"/>
      <c r="AG17" s="251">
        <f t="shared" si="8"/>
        <v>0</v>
      </c>
      <c r="AH17" s="1010"/>
      <c r="AI17" s="252">
        <f t="shared" ref="AI17" si="33" xml:space="preserve"> IF( ISNUMBER(F17), 0, 1 )</f>
        <v>0</v>
      </c>
      <c r="AJ17" s="252">
        <f t="shared" si="26"/>
        <v>0</v>
      </c>
      <c r="AK17" s="252">
        <f t="shared" si="27"/>
        <v>0</v>
      </c>
      <c r="AL17" s="252">
        <f t="shared" si="28"/>
        <v>0</v>
      </c>
      <c r="AM17" s="252">
        <f t="shared" si="29"/>
        <v>0</v>
      </c>
      <c r="AN17" s="252">
        <f t="shared" si="30"/>
        <v>0</v>
      </c>
      <c r="AO17" s="252">
        <f t="shared" si="31"/>
        <v>0</v>
      </c>
      <c r="AP17" s="252">
        <f t="shared" si="32"/>
        <v>0</v>
      </c>
      <c r="BD17" s="831"/>
      <c r="BF17" s="422" t="s">
        <v>7874</v>
      </c>
      <c r="BG17" s="318" t="s">
        <v>1693</v>
      </c>
      <c r="BH17" s="254" t="s">
        <v>7886</v>
      </c>
      <c r="BI17" s="254" t="s">
        <v>7887</v>
      </c>
      <c r="BJ17" s="254" t="s">
        <v>7888</v>
      </c>
      <c r="BK17" s="254" t="s">
        <v>7889</v>
      </c>
      <c r="BL17" s="254" t="s">
        <v>7890</v>
      </c>
      <c r="BM17" s="254" t="s">
        <v>7891</v>
      </c>
      <c r="BN17" s="254" t="s">
        <v>7892</v>
      </c>
      <c r="BO17" s="254" t="s">
        <v>7893</v>
      </c>
      <c r="BP17" s="255" t="s">
        <v>7894</v>
      </c>
      <c r="BQ17" s="361"/>
      <c r="BR17" s="361"/>
      <c r="BS17" s="361"/>
      <c r="BT17" s="361"/>
      <c r="BU17" s="361"/>
      <c r="BV17" s="361"/>
      <c r="BW17" s="361"/>
      <c r="BX17" s="361"/>
      <c r="BY17" s="361"/>
      <c r="BZ17" s="648"/>
      <c r="CA17" s="648"/>
      <c r="CB17" s="649"/>
    </row>
    <row r="18" spans="2:80" s="200" customFormat="1" ht="15.75" customHeight="1">
      <c r="B18" s="689" t="s">
        <v>7874</v>
      </c>
      <c r="C18" s="2220" t="s">
        <v>1694</v>
      </c>
      <c r="D18" s="290" t="s">
        <v>137</v>
      </c>
      <c r="E18" s="290">
        <v>3</v>
      </c>
      <c r="F18" s="277">
        <f>IFERROR(SUM(F16:F17), 0)</f>
        <v>0</v>
      </c>
      <c r="G18" s="277">
        <f t="shared" ref="G18:M18" si="34">IFERROR(SUM(G16:G17), 0)</f>
        <v>0</v>
      </c>
      <c r="H18" s="277">
        <f t="shared" si="34"/>
        <v>0</v>
      </c>
      <c r="I18" s="277">
        <f t="shared" si="34"/>
        <v>1.29</v>
      </c>
      <c r="J18" s="277">
        <f t="shared" si="34"/>
        <v>0</v>
      </c>
      <c r="K18" s="277">
        <f t="shared" si="34"/>
        <v>0</v>
      </c>
      <c r="L18" s="277">
        <f t="shared" si="34"/>
        <v>0</v>
      </c>
      <c r="M18" s="277">
        <f t="shared" si="34"/>
        <v>0</v>
      </c>
      <c r="N18" s="277">
        <f t="shared" si="7"/>
        <v>1.29</v>
      </c>
      <c r="O18" s="2247"/>
      <c r="P18" s="2247"/>
      <c r="Q18" s="2247"/>
      <c r="R18" s="2247"/>
      <c r="S18" s="2247"/>
      <c r="T18" s="2247"/>
      <c r="U18" s="2247"/>
      <c r="V18" s="2247"/>
      <c r="W18" s="2247"/>
      <c r="X18" s="655">
        <v>1.4119999999999999</v>
      </c>
      <c r="Y18" s="655">
        <v>8.532</v>
      </c>
      <c r="Z18" s="693">
        <v>10.752000000000001</v>
      </c>
      <c r="AA18" s="893"/>
      <c r="AB18" s="692" t="s">
        <v>7895</v>
      </c>
      <c r="AC18" s="1008"/>
      <c r="AD18" s="258"/>
      <c r="AE18" s="1008"/>
      <c r="AF18" s="1009"/>
      <c r="AG18" s="251">
        <f t="shared" si="8"/>
        <v>0</v>
      </c>
      <c r="AH18" s="1010"/>
      <c r="BA18" s="252">
        <f t="shared" ref="BA18" si="35" xml:space="preserve"> IF( ISNUMBER(X18), 0, 1 )</f>
        <v>0</v>
      </c>
      <c r="BB18" s="252">
        <f t="shared" ref="BB18" si="36" xml:space="preserve"> IF( ISNUMBER(Y18), 0, 1 )</f>
        <v>0</v>
      </c>
      <c r="BC18" s="252">
        <f t="shared" ref="BC18" si="37" xml:space="preserve"> IF( ISNUMBER(Z18), 0, 1 )</f>
        <v>0</v>
      </c>
      <c r="BD18" s="831"/>
      <c r="BF18" s="422" t="s">
        <v>7874</v>
      </c>
      <c r="BG18" s="318" t="s">
        <v>1694</v>
      </c>
      <c r="BH18" s="255" t="s">
        <v>7896</v>
      </c>
      <c r="BI18" s="255" t="s">
        <v>7897</v>
      </c>
      <c r="BJ18" s="255" t="s">
        <v>7898</v>
      </c>
      <c r="BK18" s="255" t="s">
        <v>7899</v>
      </c>
      <c r="BL18" s="255" t="s">
        <v>7900</v>
      </c>
      <c r="BM18" s="255" t="s">
        <v>7901</v>
      </c>
      <c r="BN18" s="255" t="s">
        <v>7902</v>
      </c>
      <c r="BO18" s="255" t="s">
        <v>7903</v>
      </c>
      <c r="BP18" s="255" t="s">
        <v>7904</v>
      </c>
      <c r="BQ18" s="361"/>
      <c r="BR18" s="361"/>
      <c r="BS18" s="361"/>
      <c r="BT18" s="361"/>
      <c r="BU18" s="361"/>
      <c r="BV18" s="361"/>
      <c r="BW18" s="361"/>
      <c r="BX18" s="361"/>
      <c r="BY18" s="361"/>
      <c r="BZ18" s="644" t="s">
        <v>7905</v>
      </c>
      <c r="CA18" s="644" t="s">
        <v>7906</v>
      </c>
      <c r="CB18" s="1011" t="s">
        <v>7907</v>
      </c>
    </row>
    <row r="19" spans="2:80" s="200" customFormat="1" ht="15.75" customHeight="1">
      <c r="B19" s="689" t="s">
        <v>7908</v>
      </c>
      <c r="C19" s="2220" t="s">
        <v>1692</v>
      </c>
      <c r="D19" s="290" t="s">
        <v>137</v>
      </c>
      <c r="E19" s="290">
        <v>3</v>
      </c>
      <c r="F19" s="655">
        <v>0</v>
      </c>
      <c r="G19" s="655">
        <v>0</v>
      </c>
      <c r="H19" s="655">
        <v>0</v>
      </c>
      <c r="I19" s="655">
        <v>2.4670000000000001</v>
      </c>
      <c r="J19" s="655">
        <v>0</v>
      </c>
      <c r="K19" s="655">
        <v>0</v>
      </c>
      <c r="L19" s="655">
        <v>0</v>
      </c>
      <c r="M19" s="655">
        <v>0</v>
      </c>
      <c r="N19" s="277">
        <f t="shared" si="7"/>
        <v>2.4670000000000001</v>
      </c>
      <c r="O19" s="655">
        <v>0</v>
      </c>
      <c r="P19" s="655">
        <v>0</v>
      </c>
      <c r="Q19" s="655">
        <v>0</v>
      </c>
      <c r="R19" s="655">
        <v>2.093</v>
      </c>
      <c r="S19" s="655">
        <v>0</v>
      </c>
      <c r="T19" s="655">
        <v>0</v>
      </c>
      <c r="U19" s="655">
        <v>0</v>
      </c>
      <c r="V19" s="655">
        <v>0</v>
      </c>
      <c r="W19" s="277">
        <f>IFERROR(SUM(O19:V19), 0)</f>
        <v>2.093</v>
      </c>
      <c r="X19" s="2248"/>
      <c r="Y19" s="2248"/>
      <c r="Z19" s="2249"/>
      <c r="AA19" s="893"/>
      <c r="AB19" s="692" t="s">
        <v>7909</v>
      </c>
      <c r="AC19" s="1008"/>
      <c r="AD19" s="258"/>
      <c r="AE19" s="1008"/>
      <c r="AF19" s="1009"/>
      <c r="AG19" s="251">
        <f t="shared" si="8"/>
        <v>0</v>
      </c>
      <c r="AH19" s="1010"/>
      <c r="AI19" s="252">
        <f xml:space="preserve"> IF( ISNUMBER(F19), 0, 1 )</f>
        <v>0</v>
      </c>
      <c r="AJ19" s="252">
        <f t="shared" ref="AJ19:AJ20" si="38" xml:space="preserve"> IF( ISNUMBER(G19), 0, 1 )</f>
        <v>0</v>
      </c>
      <c r="AK19" s="252">
        <f t="shared" ref="AK19:AK20" si="39" xml:space="preserve"> IF( ISNUMBER(H19), 0, 1 )</f>
        <v>0</v>
      </c>
      <c r="AL19" s="252">
        <f t="shared" ref="AL19:AL20" si="40" xml:space="preserve"> IF( ISNUMBER(I19), 0, 1 )</f>
        <v>0</v>
      </c>
      <c r="AM19" s="252">
        <f t="shared" ref="AM19:AM20" si="41" xml:space="preserve"> IF( ISNUMBER(J19), 0, 1 )</f>
        <v>0</v>
      </c>
      <c r="AN19" s="252">
        <f t="shared" ref="AN19:AN20" si="42" xml:space="preserve"> IF( ISNUMBER(K19), 0, 1 )</f>
        <v>0</v>
      </c>
      <c r="AO19" s="252">
        <f t="shared" ref="AO19:AO20" si="43" xml:space="preserve"> IF( ISNUMBER(L19), 0, 1 )</f>
        <v>0</v>
      </c>
      <c r="AP19" s="252">
        <f t="shared" ref="AP19:AP20" si="44" xml:space="preserve"> IF( ISNUMBER(M19), 0, 1 )</f>
        <v>0</v>
      </c>
      <c r="AR19" s="252">
        <f xml:space="preserve"> IF( ISNUMBER(O19), 0, 1 )</f>
        <v>0</v>
      </c>
      <c r="AS19" s="252">
        <f t="shared" ref="AS19:AS20" si="45" xml:space="preserve"> IF( ISNUMBER(P19), 0, 1 )</f>
        <v>0</v>
      </c>
      <c r="AT19" s="252">
        <f t="shared" ref="AT19:AT20" si="46" xml:space="preserve"> IF( ISNUMBER(Q19), 0, 1 )</f>
        <v>0</v>
      </c>
      <c r="AU19" s="252">
        <f t="shared" ref="AU19:AU20" si="47" xml:space="preserve"> IF( ISNUMBER(R19), 0, 1 )</f>
        <v>0</v>
      </c>
      <c r="AV19" s="252">
        <f t="shared" ref="AV19:AV20" si="48" xml:space="preserve"> IF( ISNUMBER(S19), 0, 1 )</f>
        <v>0</v>
      </c>
      <c r="AW19" s="252">
        <f t="shared" ref="AW19:AW20" si="49" xml:space="preserve"> IF( ISNUMBER(T19), 0, 1 )</f>
        <v>0</v>
      </c>
      <c r="AX19" s="252">
        <f t="shared" ref="AX19:AX20" si="50" xml:space="preserve"> IF( ISNUMBER(U19), 0, 1 )</f>
        <v>0</v>
      </c>
      <c r="AY19" s="252">
        <f t="shared" ref="AY19:AY20" si="51" xml:space="preserve"> IF( ISNUMBER(V19), 0, 1 )</f>
        <v>0</v>
      </c>
      <c r="BD19" s="831"/>
      <c r="BF19" s="422" t="s">
        <v>7908</v>
      </c>
      <c r="BG19" s="318" t="s">
        <v>1692</v>
      </c>
      <c r="BH19" s="254" t="s">
        <v>7910</v>
      </c>
      <c r="BI19" s="254" t="s">
        <v>7911</v>
      </c>
      <c r="BJ19" s="254" t="s">
        <v>7912</v>
      </c>
      <c r="BK19" s="254" t="s">
        <v>7913</v>
      </c>
      <c r="BL19" s="254" t="s">
        <v>7914</v>
      </c>
      <c r="BM19" s="254" t="s">
        <v>7915</v>
      </c>
      <c r="BN19" s="254" t="s">
        <v>7916</v>
      </c>
      <c r="BO19" s="254" t="s">
        <v>7917</v>
      </c>
      <c r="BP19" s="255" t="s">
        <v>7918</v>
      </c>
      <c r="BQ19" s="254" t="s">
        <v>7919</v>
      </c>
      <c r="BR19" s="254" t="s">
        <v>7920</v>
      </c>
      <c r="BS19" s="254" t="s">
        <v>7921</v>
      </c>
      <c r="BT19" s="254" t="s">
        <v>7922</v>
      </c>
      <c r="BU19" s="254" t="s">
        <v>7923</v>
      </c>
      <c r="BV19" s="254" t="s">
        <v>7924</v>
      </c>
      <c r="BW19" s="254" t="s">
        <v>7925</v>
      </c>
      <c r="BX19" s="254" t="s">
        <v>7926</v>
      </c>
      <c r="BY19" s="255" t="s">
        <v>7927</v>
      </c>
      <c r="BZ19" s="648"/>
      <c r="CA19" s="648"/>
      <c r="CB19" s="649"/>
    </row>
    <row r="20" spans="2:80" s="197" customFormat="1" ht="15.75" customHeight="1">
      <c r="B20" s="689" t="s">
        <v>7908</v>
      </c>
      <c r="C20" s="2220" t="s">
        <v>1693</v>
      </c>
      <c r="D20" s="290" t="s">
        <v>137</v>
      </c>
      <c r="E20" s="290">
        <v>3</v>
      </c>
      <c r="F20" s="655">
        <v>0</v>
      </c>
      <c r="G20" s="655">
        <v>0</v>
      </c>
      <c r="H20" s="655">
        <v>0</v>
      </c>
      <c r="I20" s="655">
        <v>0</v>
      </c>
      <c r="J20" s="655">
        <v>0</v>
      </c>
      <c r="K20" s="655">
        <v>0</v>
      </c>
      <c r="L20" s="655">
        <v>0</v>
      </c>
      <c r="M20" s="655">
        <v>0</v>
      </c>
      <c r="N20" s="277">
        <f t="shared" si="7"/>
        <v>0</v>
      </c>
      <c r="O20" s="655">
        <v>0</v>
      </c>
      <c r="P20" s="655">
        <v>0</v>
      </c>
      <c r="Q20" s="655">
        <v>0</v>
      </c>
      <c r="R20" s="655">
        <v>0</v>
      </c>
      <c r="S20" s="655">
        <v>0</v>
      </c>
      <c r="T20" s="655">
        <v>0</v>
      </c>
      <c r="U20" s="655">
        <v>0</v>
      </c>
      <c r="V20" s="655">
        <v>0</v>
      </c>
      <c r="W20" s="277">
        <f t="shared" ref="W20:W37" si="52">IFERROR(SUM(O20:V20), 0)</f>
        <v>0</v>
      </c>
      <c r="X20" s="2248"/>
      <c r="Y20" s="2248"/>
      <c r="Z20" s="2249"/>
      <c r="AA20" s="893"/>
      <c r="AB20" s="692" t="s">
        <v>7928</v>
      </c>
      <c r="AC20" s="1012"/>
      <c r="AD20" s="258"/>
      <c r="AE20" s="1012"/>
      <c r="AF20" s="1009"/>
      <c r="AG20" s="251">
        <f t="shared" si="8"/>
        <v>0</v>
      </c>
      <c r="AH20" s="952"/>
      <c r="AI20" s="252">
        <f t="shared" ref="AI20" si="53" xml:space="preserve"> IF( ISNUMBER(F20), 0, 1 )</f>
        <v>0</v>
      </c>
      <c r="AJ20" s="252">
        <f t="shared" si="38"/>
        <v>0</v>
      </c>
      <c r="AK20" s="252">
        <f t="shared" si="39"/>
        <v>0</v>
      </c>
      <c r="AL20" s="252">
        <f t="shared" si="40"/>
        <v>0</v>
      </c>
      <c r="AM20" s="252">
        <f t="shared" si="41"/>
        <v>0</v>
      </c>
      <c r="AN20" s="252">
        <f t="shared" si="42"/>
        <v>0</v>
      </c>
      <c r="AO20" s="252">
        <f t="shared" si="43"/>
        <v>0</v>
      </c>
      <c r="AP20" s="252">
        <f t="shared" si="44"/>
        <v>0</v>
      </c>
      <c r="AQ20" s="200"/>
      <c r="AR20" s="252">
        <f t="shared" ref="AR20" si="54" xml:space="preserve"> IF( ISNUMBER(O20), 0, 1 )</f>
        <v>0</v>
      </c>
      <c r="AS20" s="252">
        <f t="shared" si="45"/>
        <v>0</v>
      </c>
      <c r="AT20" s="252">
        <f t="shared" si="46"/>
        <v>0</v>
      </c>
      <c r="AU20" s="252">
        <f t="shared" si="47"/>
        <v>0</v>
      </c>
      <c r="AV20" s="252">
        <f t="shared" si="48"/>
        <v>0</v>
      </c>
      <c r="AW20" s="252">
        <f t="shared" si="49"/>
        <v>0</v>
      </c>
      <c r="AX20" s="252">
        <f t="shared" si="50"/>
        <v>0</v>
      </c>
      <c r="AY20" s="252">
        <f t="shared" si="51"/>
        <v>0</v>
      </c>
      <c r="AZ20" s="200"/>
      <c r="BA20" s="200"/>
      <c r="BB20" s="200"/>
      <c r="BC20" s="200"/>
      <c r="BD20" s="725"/>
      <c r="BF20" s="422" t="s">
        <v>7908</v>
      </c>
      <c r="BG20" s="318" t="s">
        <v>1693</v>
      </c>
      <c r="BH20" s="254" t="s">
        <v>7929</v>
      </c>
      <c r="BI20" s="254" t="s">
        <v>7930</v>
      </c>
      <c r="BJ20" s="254" t="s">
        <v>7931</v>
      </c>
      <c r="BK20" s="254" t="s">
        <v>7932</v>
      </c>
      <c r="BL20" s="254" t="s">
        <v>7933</v>
      </c>
      <c r="BM20" s="254" t="s">
        <v>7934</v>
      </c>
      <c r="BN20" s="254" t="s">
        <v>7935</v>
      </c>
      <c r="BO20" s="254" t="s">
        <v>7936</v>
      </c>
      <c r="BP20" s="255" t="s">
        <v>7937</v>
      </c>
      <c r="BQ20" s="254" t="s">
        <v>7938</v>
      </c>
      <c r="BR20" s="254" t="s">
        <v>7939</v>
      </c>
      <c r="BS20" s="254" t="s">
        <v>7940</v>
      </c>
      <c r="BT20" s="254" t="s">
        <v>7941</v>
      </c>
      <c r="BU20" s="254" t="s">
        <v>7942</v>
      </c>
      <c r="BV20" s="254" t="s">
        <v>7943</v>
      </c>
      <c r="BW20" s="254" t="s">
        <v>7944</v>
      </c>
      <c r="BX20" s="254" t="s">
        <v>7945</v>
      </c>
      <c r="BY20" s="255" t="s">
        <v>7946</v>
      </c>
      <c r="BZ20" s="648"/>
      <c r="CA20" s="648"/>
      <c r="CB20" s="649"/>
    </row>
    <row r="21" spans="2:80" s="197" customFormat="1" ht="15.75" customHeight="1">
      <c r="B21" s="689" t="s">
        <v>7908</v>
      </c>
      <c r="C21" s="2220" t="s">
        <v>1694</v>
      </c>
      <c r="D21" s="290" t="s">
        <v>137</v>
      </c>
      <c r="E21" s="290">
        <v>3</v>
      </c>
      <c r="F21" s="277">
        <f>IFERROR(SUM(F19:F20), 0)</f>
        <v>0</v>
      </c>
      <c r="G21" s="277">
        <f t="shared" ref="G21:M21" si="55">IFERROR(SUM(G19:G20), 0)</f>
        <v>0</v>
      </c>
      <c r="H21" s="277">
        <f t="shared" si="55"/>
        <v>0</v>
      </c>
      <c r="I21" s="277">
        <f t="shared" si="55"/>
        <v>2.4670000000000001</v>
      </c>
      <c r="J21" s="277">
        <f t="shared" si="55"/>
        <v>0</v>
      </c>
      <c r="K21" s="277">
        <f t="shared" si="55"/>
        <v>0</v>
      </c>
      <c r="L21" s="277">
        <f t="shared" si="55"/>
        <v>0</v>
      </c>
      <c r="M21" s="277">
        <f t="shared" si="55"/>
        <v>0</v>
      </c>
      <c r="N21" s="277">
        <f t="shared" si="7"/>
        <v>2.4670000000000001</v>
      </c>
      <c r="O21" s="277">
        <f>IFERROR(SUM(O19:O20), 0)</f>
        <v>0</v>
      </c>
      <c r="P21" s="277">
        <f t="shared" ref="P21:V21" si="56">IFERROR(SUM(P19:P20), 0)</f>
        <v>0</v>
      </c>
      <c r="Q21" s="277">
        <f t="shared" si="56"/>
        <v>0</v>
      </c>
      <c r="R21" s="277">
        <f t="shared" si="56"/>
        <v>2.093</v>
      </c>
      <c r="S21" s="277">
        <f t="shared" si="56"/>
        <v>0</v>
      </c>
      <c r="T21" s="277">
        <f t="shared" si="56"/>
        <v>0</v>
      </c>
      <c r="U21" s="277">
        <f t="shared" si="56"/>
        <v>0</v>
      </c>
      <c r="V21" s="277">
        <f t="shared" si="56"/>
        <v>0</v>
      </c>
      <c r="W21" s="277">
        <f t="shared" si="52"/>
        <v>2.093</v>
      </c>
      <c r="X21" s="655">
        <v>2.5369999999999999</v>
      </c>
      <c r="Y21" s="655">
        <v>18.844000000000001</v>
      </c>
      <c r="Z21" s="693">
        <v>23.748000000000001</v>
      </c>
      <c r="AA21" s="893"/>
      <c r="AB21" s="692" t="s">
        <v>7947</v>
      </c>
      <c r="AC21" s="1012"/>
      <c r="AD21" s="258"/>
      <c r="AE21" s="1012"/>
      <c r="AF21" s="1009"/>
      <c r="AG21" s="251">
        <f t="shared" si="8"/>
        <v>0</v>
      </c>
      <c r="AH21" s="1010"/>
      <c r="AI21" s="200"/>
      <c r="AJ21" s="200"/>
      <c r="AK21" s="200"/>
      <c r="AL21" s="200"/>
      <c r="AM21" s="200"/>
      <c r="AN21" s="200"/>
      <c r="AO21" s="200"/>
      <c r="AP21" s="200"/>
      <c r="AQ21" s="200"/>
      <c r="AR21" s="200"/>
      <c r="AS21" s="200"/>
      <c r="AT21" s="200"/>
      <c r="AU21" s="200"/>
      <c r="AV21" s="200"/>
      <c r="AW21" s="200"/>
      <c r="AX21" s="200"/>
      <c r="AY21" s="200"/>
      <c r="AZ21" s="200"/>
      <c r="BA21" s="252">
        <f t="shared" ref="BA21" si="57" xml:space="preserve"> IF( ISNUMBER(X21), 0, 1 )</f>
        <v>0</v>
      </c>
      <c r="BB21" s="252">
        <f t="shared" ref="BB21" si="58" xml:space="preserve"> IF( ISNUMBER(Y21), 0, 1 )</f>
        <v>0</v>
      </c>
      <c r="BC21" s="252">
        <f t="shared" ref="BC21" si="59" xml:space="preserve"> IF( ISNUMBER(Z21), 0, 1 )</f>
        <v>0</v>
      </c>
      <c r="BD21" s="725"/>
      <c r="BF21" s="422" t="s">
        <v>7908</v>
      </c>
      <c r="BG21" s="318" t="s">
        <v>1694</v>
      </c>
      <c r="BH21" s="255" t="s">
        <v>7948</v>
      </c>
      <c r="BI21" s="255" t="s">
        <v>7949</v>
      </c>
      <c r="BJ21" s="255" t="s">
        <v>7950</v>
      </c>
      <c r="BK21" s="255" t="s">
        <v>7951</v>
      </c>
      <c r="BL21" s="255" t="s">
        <v>7952</v>
      </c>
      <c r="BM21" s="255" t="s">
        <v>7953</v>
      </c>
      <c r="BN21" s="255" t="s">
        <v>7954</v>
      </c>
      <c r="BO21" s="255" t="s">
        <v>7955</v>
      </c>
      <c r="BP21" s="255" t="s">
        <v>7956</v>
      </c>
      <c r="BQ21" s="255" t="s">
        <v>7957</v>
      </c>
      <c r="BR21" s="255" t="s">
        <v>7958</v>
      </c>
      <c r="BS21" s="255" t="s">
        <v>7959</v>
      </c>
      <c r="BT21" s="255" t="s">
        <v>7960</v>
      </c>
      <c r="BU21" s="255" t="s">
        <v>7961</v>
      </c>
      <c r="BV21" s="255" t="s">
        <v>7962</v>
      </c>
      <c r="BW21" s="255" t="s">
        <v>7963</v>
      </c>
      <c r="BX21" s="255" t="s">
        <v>7964</v>
      </c>
      <c r="BY21" s="255" t="s">
        <v>7965</v>
      </c>
      <c r="BZ21" s="644" t="s">
        <v>7966</v>
      </c>
      <c r="CA21" s="644" t="s">
        <v>7967</v>
      </c>
      <c r="CB21" s="1011" t="s">
        <v>7968</v>
      </c>
    </row>
    <row r="22" spans="2:80" s="197" customFormat="1" ht="15.75" customHeight="1">
      <c r="B22" s="689" t="s">
        <v>7969</v>
      </c>
      <c r="C22" s="2220" t="s">
        <v>1692</v>
      </c>
      <c r="D22" s="290" t="s">
        <v>137</v>
      </c>
      <c r="E22" s="290">
        <v>3</v>
      </c>
      <c r="F22" s="655">
        <v>0</v>
      </c>
      <c r="G22" s="655">
        <v>0</v>
      </c>
      <c r="H22" s="655">
        <v>0</v>
      </c>
      <c r="I22" s="655">
        <v>5.7549999999999999</v>
      </c>
      <c r="J22" s="655">
        <v>0</v>
      </c>
      <c r="K22" s="655">
        <v>0</v>
      </c>
      <c r="L22" s="655">
        <v>0</v>
      </c>
      <c r="M22" s="655">
        <v>0</v>
      </c>
      <c r="N22" s="277">
        <f t="shared" si="7"/>
        <v>5.7549999999999999</v>
      </c>
      <c r="O22" s="655">
        <v>0</v>
      </c>
      <c r="P22" s="655">
        <v>0</v>
      </c>
      <c r="Q22" s="655">
        <v>0</v>
      </c>
      <c r="R22" s="655">
        <v>0.51900000000000002</v>
      </c>
      <c r="S22" s="655">
        <v>0</v>
      </c>
      <c r="T22" s="655">
        <v>0</v>
      </c>
      <c r="U22" s="655">
        <v>0</v>
      </c>
      <c r="V22" s="655">
        <v>0</v>
      </c>
      <c r="W22" s="277">
        <f t="shared" si="52"/>
        <v>0.51900000000000002</v>
      </c>
      <c r="X22" s="2248"/>
      <c r="Y22" s="2248"/>
      <c r="Z22" s="2249"/>
      <c r="AA22" s="893"/>
      <c r="AB22" s="692" t="s">
        <v>7970</v>
      </c>
      <c r="AC22" s="1012"/>
      <c r="AD22" s="258"/>
      <c r="AE22" s="1012"/>
      <c r="AF22" s="1009"/>
      <c r="AG22" s="251">
        <f t="shared" si="8"/>
        <v>0</v>
      </c>
      <c r="AH22" s="1010"/>
      <c r="AI22" s="252">
        <f xml:space="preserve"> IF( ISNUMBER(F22), 0, 1 )</f>
        <v>0</v>
      </c>
      <c r="AJ22" s="252">
        <f t="shared" ref="AJ22:AJ23" si="60" xml:space="preserve"> IF( ISNUMBER(G22), 0, 1 )</f>
        <v>0</v>
      </c>
      <c r="AK22" s="252">
        <f t="shared" ref="AK22:AK23" si="61" xml:space="preserve"> IF( ISNUMBER(H22), 0, 1 )</f>
        <v>0</v>
      </c>
      <c r="AL22" s="252">
        <f t="shared" ref="AL22:AL23" si="62" xml:space="preserve"> IF( ISNUMBER(I22), 0, 1 )</f>
        <v>0</v>
      </c>
      <c r="AM22" s="252">
        <f t="shared" ref="AM22:AM23" si="63" xml:space="preserve"> IF( ISNUMBER(J22), 0, 1 )</f>
        <v>0</v>
      </c>
      <c r="AN22" s="252">
        <f t="shared" ref="AN22:AN23" si="64" xml:space="preserve"> IF( ISNUMBER(K22), 0, 1 )</f>
        <v>0</v>
      </c>
      <c r="AO22" s="252">
        <f t="shared" ref="AO22:AO23" si="65" xml:space="preserve"> IF( ISNUMBER(L22), 0, 1 )</f>
        <v>0</v>
      </c>
      <c r="AP22" s="252">
        <f t="shared" ref="AP22:AP23" si="66" xml:space="preserve"> IF( ISNUMBER(M22), 0, 1 )</f>
        <v>0</v>
      </c>
      <c r="AQ22" s="200"/>
      <c r="AR22" s="252">
        <f xml:space="preserve"> IF( ISNUMBER(O22), 0, 1 )</f>
        <v>0</v>
      </c>
      <c r="AS22" s="252">
        <f t="shared" ref="AS22:AS23" si="67" xml:space="preserve"> IF( ISNUMBER(P22), 0, 1 )</f>
        <v>0</v>
      </c>
      <c r="AT22" s="252">
        <f t="shared" ref="AT22:AT23" si="68" xml:space="preserve"> IF( ISNUMBER(Q22), 0, 1 )</f>
        <v>0</v>
      </c>
      <c r="AU22" s="252">
        <f t="shared" ref="AU22:AU23" si="69" xml:space="preserve"> IF( ISNUMBER(R22), 0, 1 )</f>
        <v>0</v>
      </c>
      <c r="AV22" s="252">
        <f t="shared" ref="AV22:AV23" si="70" xml:space="preserve"> IF( ISNUMBER(S22), 0, 1 )</f>
        <v>0</v>
      </c>
      <c r="AW22" s="252">
        <f t="shared" ref="AW22:AW23" si="71" xml:space="preserve"> IF( ISNUMBER(T22), 0, 1 )</f>
        <v>0</v>
      </c>
      <c r="AX22" s="252">
        <f t="shared" ref="AX22:AX23" si="72" xml:space="preserve"> IF( ISNUMBER(U22), 0, 1 )</f>
        <v>0</v>
      </c>
      <c r="AY22" s="252">
        <f t="shared" ref="AY22:AY23" si="73" xml:space="preserve"> IF( ISNUMBER(V22), 0, 1 )</f>
        <v>0</v>
      </c>
      <c r="AZ22" s="200"/>
      <c r="BA22" s="200"/>
      <c r="BB22" s="200"/>
      <c r="BC22" s="200"/>
      <c r="BD22" s="725"/>
      <c r="BF22" s="689" t="s">
        <v>7969</v>
      </c>
      <c r="BG22" s="318" t="s">
        <v>1692</v>
      </c>
      <c r="BH22" s="254" t="s">
        <v>7971</v>
      </c>
      <c r="BI22" s="254" t="s">
        <v>7972</v>
      </c>
      <c r="BJ22" s="254" t="s">
        <v>7973</v>
      </c>
      <c r="BK22" s="254" t="s">
        <v>7974</v>
      </c>
      <c r="BL22" s="254" t="s">
        <v>7975</v>
      </c>
      <c r="BM22" s="254" t="s">
        <v>7976</v>
      </c>
      <c r="BN22" s="254" t="s">
        <v>7977</v>
      </c>
      <c r="BO22" s="254" t="s">
        <v>7978</v>
      </c>
      <c r="BP22" s="255" t="s">
        <v>7979</v>
      </c>
      <c r="BQ22" s="254" t="s">
        <v>7980</v>
      </c>
      <c r="BR22" s="254" t="s">
        <v>7981</v>
      </c>
      <c r="BS22" s="254" t="s">
        <v>7982</v>
      </c>
      <c r="BT22" s="254" t="s">
        <v>7983</v>
      </c>
      <c r="BU22" s="254" t="s">
        <v>7984</v>
      </c>
      <c r="BV22" s="254" t="s">
        <v>7985</v>
      </c>
      <c r="BW22" s="254" t="s">
        <v>7986</v>
      </c>
      <c r="BX22" s="254" t="s">
        <v>7987</v>
      </c>
      <c r="BY22" s="255" t="s">
        <v>7988</v>
      </c>
      <c r="BZ22" s="648"/>
      <c r="CA22" s="648"/>
      <c r="CB22" s="649"/>
    </row>
    <row r="23" spans="2:80" s="197" customFormat="1" ht="15.75" customHeight="1">
      <c r="B23" s="689" t="s">
        <v>7969</v>
      </c>
      <c r="C23" s="2220" t="s">
        <v>1693</v>
      </c>
      <c r="D23" s="290" t="s">
        <v>137</v>
      </c>
      <c r="E23" s="290">
        <v>3</v>
      </c>
      <c r="F23" s="655">
        <v>0</v>
      </c>
      <c r="G23" s="655">
        <v>0</v>
      </c>
      <c r="H23" s="655">
        <v>0</v>
      </c>
      <c r="I23" s="655">
        <v>0</v>
      </c>
      <c r="J23" s="655">
        <v>0</v>
      </c>
      <c r="K23" s="655">
        <v>0</v>
      </c>
      <c r="L23" s="655">
        <v>0</v>
      </c>
      <c r="M23" s="655">
        <v>0</v>
      </c>
      <c r="N23" s="277">
        <f t="shared" si="7"/>
        <v>0</v>
      </c>
      <c r="O23" s="655">
        <v>0</v>
      </c>
      <c r="P23" s="655">
        <v>0</v>
      </c>
      <c r="Q23" s="655">
        <v>0</v>
      </c>
      <c r="R23" s="655">
        <v>0</v>
      </c>
      <c r="S23" s="655">
        <v>0</v>
      </c>
      <c r="T23" s="655">
        <v>0</v>
      </c>
      <c r="U23" s="655">
        <v>0</v>
      </c>
      <c r="V23" s="655">
        <v>0</v>
      </c>
      <c r="W23" s="277">
        <f t="shared" si="52"/>
        <v>0</v>
      </c>
      <c r="X23" s="2248"/>
      <c r="Y23" s="2248"/>
      <c r="Z23" s="2249"/>
      <c r="AA23" s="893"/>
      <c r="AB23" s="692" t="s">
        <v>7989</v>
      </c>
      <c r="AC23" s="1012"/>
      <c r="AD23" s="258"/>
      <c r="AE23" s="1012"/>
      <c r="AF23" s="1009"/>
      <c r="AG23" s="251">
        <f t="shared" si="8"/>
        <v>0</v>
      </c>
      <c r="AH23" s="952"/>
      <c r="AI23" s="252">
        <f t="shared" ref="AI23" si="74" xml:space="preserve"> IF( ISNUMBER(F23), 0, 1 )</f>
        <v>0</v>
      </c>
      <c r="AJ23" s="252">
        <f t="shared" si="60"/>
        <v>0</v>
      </c>
      <c r="AK23" s="252">
        <f t="shared" si="61"/>
        <v>0</v>
      </c>
      <c r="AL23" s="252">
        <f t="shared" si="62"/>
        <v>0</v>
      </c>
      <c r="AM23" s="252">
        <f t="shared" si="63"/>
        <v>0</v>
      </c>
      <c r="AN23" s="252">
        <f t="shared" si="64"/>
        <v>0</v>
      </c>
      <c r="AO23" s="252">
        <f t="shared" si="65"/>
        <v>0</v>
      </c>
      <c r="AP23" s="252">
        <f t="shared" si="66"/>
        <v>0</v>
      </c>
      <c r="AQ23" s="200"/>
      <c r="AR23" s="252">
        <f t="shared" ref="AR23" si="75" xml:space="preserve"> IF( ISNUMBER(O23), 0, 1 )</f>
        <v>0</v>
      </c>
      <c r="AS23" s="252">
        <f t="shared" si="67"/>
        <v>0</v>
      </c>
      <c r="AT23" s="252">
        <f t="shared" si="68"/>
        <v>0</v>
      </c>
      <c r="AU23" s="252">
        <f t="shared" si="69"/>
        <v>0</v>
      </c>
      <c r="AV23" s="252">
        <f t="shared" si="70"/>
        <v>0</v>
      </c>
      <c r="AW23" s="252">
        <f t="shared" si="71"/>
        <v>0</v>
      </c>
      <c r="AX23" s="252">
        <f t="shared" si="72"/>
        <v>0</v>
      </c>
      <c r="AY23" s="252">
        <f t="shared" si="73"/>
        <v>0</v>
      </c>
      <c r="AZ23" s="200"/>
      <c r="BA23" s="200"/>
      <c r="BB23" s="200"/>
      <c r="BC23" s="200"/>
      <c r="BD23" s="725"/>
      <c r="BF23" s="689" t="s">
        <v>7969</v>
      </c>
      <c r="BG23" s="318" t="s">
        <v>1693</v>
      </c>
      <c r="BH23" s="254" t="s">
        <v>7990</v>
      </c>
      <c r="BI23" s="254" t="s">
        <v>7991</v>
      </c>
      <c r="BJ23" s="254" t="s">
        <v>7992</v>
      </c>
      <c r="BK23" s="254" t="s">
        <v>7993</v>
      </c>
      <c r="BL23" s="254" t="s">
        <v>7994</v>
      </c>
      <c r="BM23" s="254" t="s">
        <v>7995</v>
      </c>
      <c r="BN23" s="254" t="s">
        <v>7996</v>
      </c>
      <c r="BO23" s="254" t="s">
        <v>7997</v>
      </c>
      <c r="BP23" s="255" t="s">
        <v>7998</v>
      </c>
      <c r="BQ23" s="254" t="s">
        <v>7999</v>
      </c>
      <c r="BR23" s="254" t="s">
        <v>8000</v>
      </c>
      <c r="BS23" s="254" t="s">
        <v>8001</v>
      </c>
      <c r="BT23" s="254" t="s">
        <v>8002</v>
      </c>
      <c r="BU23" s="254" t="s">
        <v>8003</v>
      </c>
      <c r="BV23" s="254" t="s">
        <v>8004</v>
      </c>
      <c r="BW23" s="254" t="s">
        <v>8005</v>
      </c>
      <c r="BX23" s="254" t="s">
        <v>8006</v>
      </c>
      <c r="BY23" s="255" t="s">
        <v>8007</v>
      </c>
      <c r="BZ23" s="648"/>
      <c r="CA23" s="648"/>
      <c r="CB23" s="649"/>
    </row>
    <row r="24" spans="2:80" s="197" customFormat="1" ht="15.75" customHeight="1">
      <c r="B24" s="689" t="s">
        <v>7969</v>
      </c>
      <c r="C24" s="2220" t="s">
        <v>1694</v>
      </c>
      <c r="D24" s="290" t="s">
        <v>137</v>
      </c>
      <c r="E24" s="290">
        <v>3</v>
      </c>
      <c r="F24" s="277">
        <f>IFERROR(SUM(F22:F23), 0)</f>
        <v>0</v>
      </c>
      <c r="G24" s="277">
        <f t="shared" ref="G24:M24" si="76">IFERROR(SUM(G22:G23), 0)</f>
        <v>0</v>
      </c>
      <c r="H24" s="277">
        <f t="shared" si="76"/>
        <v>0</v>
      </c>
      <c r="I24" s="277">
        <f t="shared" si="76"/>
        <v>5.7549999999999999</v>
      </c>
      <c r="J24" s="277">
        <f t="shared" si="76"/>
        <v>0</v>
      </c>
      <c r="K24" s="277">
        <f t="shared" si="76"/>
        <v>0</v>
      </c>
      <c r="L24" s="277">
        <f t="shared" si="76"/>
        <v>0</v>
      </c>
      <c r="M24" s="277">
        <f t="shared" si="76"/>
        <v>0</v>
      </c>
      <c r="N24" s="277">
        <f t="shared" si="7"/>
        <v>5.7549999999999999</v>
      </c>
      <c r="O24" s="277">
        <f>IFERROR(SUM(O22:O23), 0)</f>
        <v>0</v>
      </c>
      <c r="P24" s="277">
        <f t="shared" ref="P24:V24" si="77">IFERROR(SUM(P22:P23), 0)</f>
        <v>0</v>
      </c>
      <c r="Q24" s="277">
        <f t="shared" si="77"/>
        <v>0</v>
      </c>
      <c r="R24" s="277">
        <f t="shared" si="77"/>
        <v>0.51900000000000002</v>
      </c>
      <c r="S24" s="277">
        <f t="shared" si="77"/>
        <v>0</v>
      </c>
      <c r="T24" s="277">
        <f t="shared" si="77"/>
        <v>0</v>
      </c>
      <c r="U24" s="277">
        <f t="shared" si="77"/>
        <v>0</v>
      </c>
      <c r="V24" s="277">
        <f t="shared" si="77"/>
        <v>0</v>
      </c>
      <c r="W24" s="277">
        <f t="shared" si="52"/>
        <v>0.51900000000000002</v>
      </c>
      <c r="X24" s="655">
        <v>6.3109999999999999</v>
      </c>
      <c r="Y24" s="655">
        <v>39.371000000000002</v>
      </c>
      <c r="Z24" s="693">
        <v>49.615000000000002</v>
      </c>
      <c r="AA24" s="893"/>
      <c r="AB24" s="692" t="s">
        <v>8008</v>
      </c>
      <c r="AC24" s="1012"/>
      <c r="AD24" s="258"/>
      <c r="AE24" s="1012"/>
      <c r="AF24" s="1009"/>
      <c r="AG24" s="251">
        <f t="shared" si="8"/>
        <v>0</v>
      </c>
      <c r="AH24" s="1010"/>
      <c r="AI24" s="200"/>
      <c r="AJ24" s="200"/>
      <c r="AK24" s="200"/>
      <c r="AL24" s="200"/>
      <c r="AM24" s="200"/>
      <c r="AN24" s="200"/>
      <c r="AO24" s="200"/>
      <c r="AP24" s="200"/>
      <c r="AQ24" s="200"/>
      <c r="AR24" s="200"/>
      <c r="AS24" s="200"/>
      <c r="AT24" s="200"/>
      <c r="AU24" s="200"/>
      <c r="AV24" s="200"/>
      <c r="AW24" s="200"/>
      <c r="AX24" s="200"/>
      <c r="AY24" s="200"/>
      <c r="AZ24" s="200"/>
      <c r="BA24" s="252">
        <f t="shared" ref="BA24" si="78" xml:space="preserve"> IF( ISNUMBER(X24), 0, 1 )</f>
        <v>0</v>
      </c>
      <c r="BB24" s="252">
        <f t="shared" ref="BB24" si="79" xml:space="preserve"> IF( ISNUMBER(Y24), 0, 1 )</f>
        <v>0</v>
      </c>
      <c r="BC24" s="252">
        <f t="shared" ref="BC24" si="80" xml:space="preserve"> IF( ISNUMBER(Z24), 0, 1 )</f>
        <v>0</v>
      </c>
      <c r="BD24" s="725"/>
      <c r="BF24" s="689" t="s">
        <v>7969</v>
      </c>
      <c r="BG24" s="318" t="s">
        <v>1694</v>
      </c>
      <c r="BH24" s="255" t="s">
        <v>8009</v>
      </c>
      <c r="BI24" s="255" t="s">
        <v>8010</v>
      </c>
      <c r="BJ24" s="255" t="s">
        <v>8011</v>
      </c>
      <c r="BK24" s="255" t="s">
        <v>8012</v>
      </c>
      <c r="BL24" s="255" t="s">
        <v>8013</v>
      </c>
      <c r="BM24" s="255" t="s">
        <v>8014</v>
      </c>
      <c r="BN24" s="255" t="s">
        <v>8015</v>
      </c>
      <c r="BO24" s="255" t="s">
        <v>8016</v>
      </c>
      <c r="BP24" s="255" t="s">
        <v>8017</v>
      </c>
      <c r="BQ24" s="255" t="s">
        <v>8018</v>
      </c>
      <c r="BR24" s="255" t="s">
        <v>8019</v>
      </c>
      <c r="BS24" s="255" t="s">
        <v>8020</v>
      </c>
      <c r="BT24" s="255" t="s">
        <v>8021</v>
      </c>
      <c r="BU24" s="255" t="s">
        <v>8022</v>
      </c>
      <c r="BV24" s="255" t="s">
        <v>8023</v>
      </c>
      <c r="BW24" s="255" t="s">
        <v>8024</v>
      </c>
      <c r="BX24" s="255" t="s">
        <v>8025</v>
      </c>
      <c r="BY24" s="255" t="s">
        <v>8026</v>
      </c>
      <c r="BZ24" s="644" t="s">
        <v>8027</v>
      </c>
      <c r="CA24" s="644" t="s">
        <v>8028</v>
      </c>
      <c r="CB24" s="1011" t="s">
        <v>8029</v>
      </c>
    </row>
    <row r="25" spans="2:80" s="197" customFormat="1" ht="45" customHeight="1">
      <c r="B25" s="689" t="s">
        <v>8030</v>
      </c>
      <c r="C25" s="2220" t="s">
        <v>1692</v>
      </c>
      <c r="D25" s="290" t="s">
        <v>137</v>
      </c>
      <c r="E25" s="290">
        <v>3</v>
      </c>
      <c r="F25" s="2250">
        <v>0</v>
      </c>
      <c r="G25" s="2250">
        <v>0</v>
      </c>
      <c r="H25" s="2250">
        <v>0</v>
      </c>
      <c r="I25" s="2250">
        <v>0</v>
      </c>
      <c r="J25" s="2250">
        <v>0</v>
      </c>
      <c r="K25" s="2250">
        <v>0</v>
      </c>
      <c r="L25" s="2250">
        <v>0</v>
      </c>
      <c r="M25" s="2250">
        <v>0</v>
      </c>
      <c r="N25" s="2251">
        <f t="shared" ref="N25" si="81">IFERROR(SUM(F25:M25), 0)</f>
        <v>0</v>
      </c>
      <c r="O25" s="2250">
        <v>0</v>
      </c>
      <c r="P25" s="2250">
        <v>0</v>
      </c>
      <c r="Q25" s="2250">
        <v>0</v>
      </c>
      <c r="R25" s="2250">
        <v>0</v>
      </c>
      <c r="S25" s="2250">
        <v>0</v>
      </c>
      <c r="T25" s="2250">
        <v>0</v>
      </c>
      <c r="U25" s="2250">
        <v>0</v>
      </c>
      <c r="V25" s="2250">
        <v>0</v>
      </c>
      <c r="W25" s="2251">
        <f t="shared" ref="W25:W27" si="82">IFERROR(SUM(O25:V25), 0)</f>
        <v>0</v>
      </c>
      <c r="X25" s="2252"/>
      <c r="Y25" s="2252"/>
      <c r="Z25" s="2253"/>
      <c r="AA25" s="893"/>
      <c r="AB25" s="700" t="s">
        <v>8031</v>
      </c>
      <c r="AC25" s="1012"/>
      <c r="AD25" s="258"/>
      <c r="AE25" s="1012"/>
      <c r="AF25" s="1009"/>
      <c r="AG25" s="251">
        <f t="shared" si="8"/>
        <v>0</v>
      </c>
      <c r="AH25" s="1010"/>
      <c r="AI25" s="252">
        <f xml:space="preserve"> IF( ISNUMBER(F25), 0, 1 )</f>
        <v>0</v>
      </c>
      <c r="AJ25" s="252">
        <f t="shared" ref="AJ25:AJ26" si="83" xml:space="preserve"> IF( ISNUMBER(G25), 0, 1 )</f>
        <v>0</v>
      </c>
      <c r="AK25" s="252">
        <f t="shared" ref="AK25:AK26" si="84" xml:space="preserve"> IF( ISNUMBER(H25), 0, 1 )</f>
        <v>0</v>
      </c>
      <c r="AL25" s="252">
        <f t="shared" ref="AL25:AL26" si="85" xml:space="preserve"> IF( ISNUMBER(I25), 0, 1 )</f>
        <v>0</v>
      </c>
      <c r="AM25" s="252">
        <f t="shared" ref="AM25:AM26" si="86" xml:space="preserve"> IF( ISNUMBER(J25), 0, 1 )</f>
        <v>0</v>
      </c>
      <c r="AN25" s="252">
        <f t="shared" ref="AN25:AN26" si="87" xml:space="preserve"> IF( ISNUMBER(K25), 0, 1 )</f>
        <v>0</v>
      </c>
      <c r="AO25" s="252">
        <f t="shared" ref="AO25:AO26" si="88" xml:space="preserve"> IF( ISNUMBER(L25), 0, 1 )</f>
        <v>0</v>
      </c>
      <c r="AP25" s="252">
        <f t="shared" ref="AP25:AP26" si="89" xml:space="preserve"> IF( ISNUMBER(M25), 0, 1 )</f>
        <v>0</v>
      </c>
      <c r="AQ25" s="200"/>
      <c r="AR25" s="252">
        <f xml:space="preserve"> IF( ISNUMBER(O25), 0, 1 )</f>
        <v>0</v>
      </c>
      <c r="AS25" s="252">
        <f t="shared" ref="AS25:AS26" si="90" xml:space="preserve"> IF( ISNUMBER(P25), 0, 1 )</f>
        <v>0</v>
      </c>
      <c r="AT25" s="252">
        <f t="shared" ref="AT25:AT26" si="91" xml:space="preserve"> IF( ISNUMBER(Q25), 0, 1 )</f>
        <v>0</v>
      </c>
      <c r="AU25" s="252">
        <f t="shared" ref="AU25:AU26" si="92" xml:space="preserve"> IF( ISNUMBER(R25), 0, 1 )</f>
        <v>0</v>
      </c>
      <c r="AV25" s="252">
        <f t="shared" ref="AV25:AV26" si="93" xml:space="preserve"> IF( ISNUMBER(S25), 0, 1 )</f>
        <v>0</v>
      </c>
      <c r="AW25" s="252">
        <f t="shared" ref="AW25:AW26" si="94" xml:space="preserve"> IF( ISNUMBER(T25), 0, 1 )</f>
        <v>0</v>
      </c>
      <c r="AX25" s="252">
        <f t="shared" ref="AX25:AX26" si="95" xml:space="preserve"> IF( ISNUMBER(U25), 0, 1 )</f>
        <v>0</v>
      </c>
      <c r="AY25" s="252">
        <f t="shared" ref="AY25:AY26" si="96" xml:space="preserve"> IF( ISNUMBER(V25), 0, 1 )</f>
        <v>0</v>
      </c>
      <c r="AZ25" s="200"/>
      <c r="BA25" s="237"/>
      <c r="BB25" s="237"/>
      <c r="BC25" s="237"/>
      <c r="BD25" s="725"/>
      <c r="BF25" s="689" t="s">
        <v>8030</v>
      </c>
      <c r="BG25" s="318" t="s">
        <v>1692</v>
      </c>
      <c r="BH25" s="2250" t="s">
        <v>1161</v>
      </c>
      <c r="BI25" s="2250" t="s">
        <v>1162</v>
      </c>
      <c r="BJ25" s="2250" t="s">
        <v>1163</v>
      </c>
      <c r="BK25" s="2250" t="s">
        <v>1164</v>
      </c>
      <c r="BL25" s="2250" t="s">
        <v>1165</v>
      </c>
      <c r="BM25" s="2250" t="s">
        <v>1166</v>
      </c>
      <c r="BN25" s="2250" t="s">
        <v>1167</v>
      </c>
      <c r="BO25" s="2250" t="s">
        <v>1168</v>
      </c>
      <c r="BP25" s="2251" t="s">
        <v>1169</v>
      </c>
      <c r="BQ25" s="2250" t="s">
        <v>1170</v>
      </c>
      <c r="BR25" s="2250" t="s">
        <v>1171</v>
      </c>
      <c r="BS25" s="2250" t="s">
        <v>1172</v>
      </c>
      <c r="BT25" s="2250" t="s">
        <v>1173</v>
      </c>
      <c r="BU25" s="2250" t="s">
        <v>1174</v>
      </c>
      <c r="BV25" s="2250" t="s">
        <v>1175</v>
      </c>
      <c r="BW25" s="2250" t="s">
        <v>1176</v>
      </c>
      <c r="BX25" s="2250" t="s">
        <v>1177</v>
      </c>
      <c r="BY25" s="2251" t="s">
        <v>1178</v>
      </c>
      <c r="BZ25" s="2252"/>
      <c r="CA25" s="2252"/>
      <c r="CB25" s="2253"/>
    </row>
    <row r="26" spans="2:80" s="197" customFormat="1" ht="45" customHeight="1">
      <c r="B26" s="689" t="s">
        <v>8030</v>
      </c>
      <c r="C26" s="2220" t="s">
        <v>1693</v>
      </c>
      <c r="D26" s="290" t="s">
        <v>137</v>
      </c>
      <c r="E26" s="290">
        <v>3</v>
      </c>
      <c r="F26" s="655">
        <v>0</v>
      </c>
      <c r="G26" s="655">
        <v>0</v>
      </c>
      <c r="H26" s="655">
        <v>0</v>
      </c>
      <c r="I26" s="655">
        <v>0</v>
      </c>
      <c r="J26" s="655">
        <v>0</v>
      </c>
      <c r="K26" s="655">
        <v>0</v>
      </c>
      <c r="L26" s="655">
        <v>0</v>
      </c>
      <c r="M26" s="655">
        <v>0</v>
      </c>
      <c r="N26" s="2251">
        <f>IFERROR(SUM(F26:M26), 0)</f>
        <v>0</v>
      </c>
      <c r="O26" s="655">
        <v>0</v>
      </c>
      <c r="P26" s="655">
        <v>0</v>
      </c>
      <c r="Q26" s="655">
        <v>0</v>
      </c>
      <c r="R26" s="655">
        <v>0</v>
      </c>
      <c r="S26" s="655">
        <v>0</v>
      </c>
      <c r="T26" s="655">
        <v>0</v>
      </c>
      <c r="U26" s="655">
        <v>0</v>
      </c>
      <c r="V26" s="655">
        <v>0</v>
      </c>
      <c r="W26" s="2251">
        <f>IFERROR(SUM(O26:V26), 0)</f>
        <v>0</v>
      </c>
      <c r="X26" s="2252"/>
      <c r="Y26" s="2252"/>
      <c r="Z26" s="2253"/>
      <c r="AA26" s="893"/>
      <c r="AB26" s="700" t="s">
        <v>8032</v>
      </c>
      <c r="AC26" s="1012"/>
      <c r="AD26" s="258"/>
      <c r="AE26" s="1012"/>
      <c r="AF26" s="1009"/>
      <c r="AG26" s="251">
        <f t="shared" si="8"/>
        <v>0</v>
      </c>
      <c r="AH26" s="1010"/>
      <c r="AI26" s="252">
        <f t="shared" ref="AI26" si="97" xml:space="preserve"> IF( ISNUMBER(F26), 0, 1 )</f>
        <v>0</v>
      </c>
      <c r="AJ26" s="252">
        <f t="shared" si="83"/>
        <v>0</v>
      </c>
      <c r="AK26" s="252">
        <f t="shared" si="84"/>
        <v>0</v>
      </c>
      <c r="AL26" s="252">
        <f t="shared" si="85"/>
        <v>0</v>
      </c>
      <c r="AM26" s="252">
        <f t="shared" si="86"/>
        <v>0</v>
      </c>
      <c r="AN26" s="252">
        <f t="shared" si="87"/>
        <v>0</v>
      </c>
      <c r="AO26" s="252">
        <f t="shared" si="88"/>
        <v>0</v>
      </c>
      <c r="AP26" s="252">
        <f t="shared" si="89"/>
        <v>0</v>
      </c>
      <c r="AQ26" s="200"/>
      <c r="AR26" s="252">
        <f t="shared" ref="AR26" si="98" xml:space="preserve"> IF( ISNUMBER(O26), 0, 1 )</f>
        <v>0</v>
      </c>
      <c r="AS26" s="252">
        <f t="shared" si="90"/>
        <v>0</v>
      </c>
      <c r="AT26" s="252">
        <f t="shared" si="91"/>
        <v>0</v>
      </c>
      <c r="AU26" s="252">
        <f t="shared" si="92"/>
        <v>0</v>
      </c>
      <c r="AV26" s="252">
        <f t="shared" si="93"/>
        <v>0</v>
      </c>
      <c r="AW26" s="252">
        <f t="shared" si="94"/>
        <v>0</v>
      </c>
      <c r="AX26" s="252">
        <f t="shared" si="95"/>
        <v>0</v>
      </c>
      <c r="AY26" s="252">
        <f t="shared" si="96"/>
        <v>0</v>
      </c>
      <c r="AZ26" s="200"/>
      <c r="BA26" s="237"/>
      <c r="BB26" s="237"/>
      <c r="BC26" s="237"/>
      <c r="BD26" s="725"/>
      <c r="BF26" s="689" t="s">
        <v>8030</v>
      </c>
      <c r="BG26" s="318" t="s">
        <v>1693</v>
      </c>
      <c r="BH26" s="2250" t="s">
        <v>1179</v>
      </c>
      <c r="BI26" s="2250" t="s">
        <v>1180</v>
      </c>
      <c r="BJ26" s="2250" t="s">
        <v>1181</v>
      </c>
      <c r="BK26" s="2250" t="s">
        <v>1182</v>
      </c>
      <c r="BL26" s="2250" t="s">
        <v>1183</v>
      </c>
      <c r="BM26" s="2250" t="s">
        <v>1184</v>
      </c>
      <c r="BN26" s="2250" t="s">
        <v>1185</v>
      </c>
      <c r="BO26" s="2250" t="s">
        <v>1186</v>
      </c>
      <c r="BP26" s="2251" t="s">
        <v>1187</v>
      </c>
      <c r="BQ26" s="2250" t="s">
        <v>1188</v>
      </c>
      <c r="BR26" s="2250" t="s">
        <v>1189</v>
      </c>
      <c r="BS26" s="2250" t="s">
        <v>1190</v>
      </c>
      <c r="BT26" s="2250" t="s">
        <v>1191</v>
      </c>
      <c r="BU26" s="2250" t="s">
        <v>1192</v>
      </c>
      <c r="BV26" s="2250" t="s">
        <v>1193</v>
      </c>
      <c r="BW26" s="2250" t="s">
        <v>1194</v>
      </c>
      <c r="BX26" s="2250" t="s">
        <v>1195</v>
      </c>
      <c r="BY26" s="2251" t="s">
        <v>1196</v>
      </c>
      <c r="BZ26" s="2252"/>
      <c r="CA26" s="2252"/>
      <c r="CB26" s="2253"/>
    </row>
    <row r="27" spans="2:80" s="197" customFormat="1" ht="45" customHeight="1">
      <c r="B27" s="689" t="s">
        <v>8030</v>
      </c>
      <c r="C27" s="2220" t="s">
        <v>1694</v>
      </c>
      <c r="D27" s="290" t="s">
        <v>137</v>
      </c>
      <c r="E27" s="290">
        <v>3</v>
      </c>
      <c r="F27" s="2251">
        <f>IFERROR(SUM(F25:F26), 0)</f>
        <v>0</v>
      </c>
      <c r="G27" s="2251">
        <f t="shared" ref="G27:M27" si="99">IFERROR(SUM(G25:G26), 0)</f>
        <v>0</v>
      </c>
      <c r="H27" s="2251">
        <f t="shared" si="99"/>
        <v>0</v>
      </c>
      <c r="I27" s="2251">
        <f t="shared" si="99"/>
        <v>0</v>
      </c>
      <c r="J27" s="2251">
        <f t="shared" si="99"/>
        <v>0</v>
      </c>
      <c r="K27" s="2251">
        <f t="shared" si="99"/>
        <v>0</v>
      </c>
      <c r="L27" s="2251">
        <f t="shared" si="99"/>
        <v>0</v>
      </c>
      <c r="M27" s="2251">
        <f t="shared" si="99"/>
        <v>0</v>
      </c>
      <c r="N27" s="2251">
        <f>IFERROR(SUM(F27:M27), 0)</f>
        <v>0</v>
      </c>
      <c r="O27" s="2251">
        <f>IFERROR(SUM(O25:O26), 0)</f>
        <v>0</v>
      </c>
      <c r="P27" s="2251">
        <f t="shared" ref="P27:V27" si="100">IFERROR(SUM(P25:P26), 0)</f>
        <v>0</v>
      </c>
      <c r="Q27" s="2251">
        <f t="shared" si="100"/>
        <v>0</v>
      </c>
      <c r="R27" s="2251">
        <f t="shared" si="100"/>
        <v>0</v>
      </c>
      <c r="S27" s="2251">
        <f t="shared" si="100"/>
        <v>0</v>
      </c>
      <c r="T27" s="2251">
        <f t="shared" si="100"/>
        <v>0</v>
      </c>
      <c r="U27" s="2251">
        <f t="shared" si="100"/>
        <v>0</v>
      </c>
      <c r="V27" s="2251">
        <f t="shared" si="100"/>
        <v>0</v>
      </c>
      <c r="W27" s="2251">
        <f t="shared" si="82"/>
        <v>0</v>
      </c>
      <c r="X27" s="2252"/>
      <c r="Y27" s="2252"/>
      <c r="Z27" s="2253"/>
      <c r="AA27" s="893"/>
      <c r="AB27" s="700" t="s">
        <v>8033</v>
      </c>
      <c r="AC27" s="1012"/>
      <c r="AD27" s="258"/>
      <c r="AE27" s="1012"/>
      <c r="AF27" s="1009"/>
      <c r="AG27" s="251">
        <f t="shared" si="8"/>
        <v>0</v>
      </c>
      <c r="AH27" s="1010"/>
      <c r="AI27" s="200"/>
      <c r="AJ27" s="200"/>
      <c r="AK27" s="200"/>
      <c r="AL27" s="200"/>
      <c r="AM27" s="200"/>
      <c r="AN27" s="200"/>
      <c r="AO27" s="200"/>
      <c r="AP27" s="200"/>
      <c r="AQ27" s="200"/>
      <c r="AR27" s="200"/>
      <c r="AS27" s="200"/>
      <c r="AT27" s="200"/>
      <c r="AU27" s="200"/>
      <c r="AV27" s="200"/>
      <c r="AW27" s="200"/>
      <c r="AX27" s="200"/>
      <c r="AY27" s="200"/>
      <c r="AZ27" s="200"/>
      <c r="BA27" s="237"/>
      <c r="BB27" s="237"/>
      <c r="BC27" s="237"/>
      <c r="BD27" s="725"/>
      <c r="BF27" s="689" t="s">
        <v>8030</v>
      </c>
      <c r="BG27" s="318" t="s">
        <v>1694</v>
      </c>
      <c r="BH27" s="2251" t="s">
        <v>1197</v>
      </c>
      <c r="BI27" s="2251" t="s">
        <v>1198</v>
      </c>
      <c r="BJ27" s="2251" t="s">
        <v>1199</v>
      </c>
      <c r="BK27" s="2251" t="s">
        <v>1200</v>
      </c>
      <c r="BL27" s="2251" t="s">
        <v>1201</v>
      </c>
      <c r="BM27" s="2251" t="s">
        <v>1202</v>
      </c>
      <c r="BN27" s="2251" t="s">
        <v>1203</v>
      </c>
      <c r="BO27" s="2251" t="s">
        <v>1204</v>
      </c>
      <c r="BP27" s="2251" t="s">
        <v>1205</v>
      </c>
      <c r="BQ27" s="2251" t="s">
        <v>1206</v>
      </c>
      <c r="BR27" s="2251" t="s">
        <v>1207</v>
      </c>
      <c r="BS27" s="2251" t="s">
        <v>1208</v>
      </c>
      <c r="BT27" s="2251" t="s">
        <v>1209</v>
      </c>
      <c r="BU27" s="2251" t="s">
        <v>1210</v>
      </c>
      <c r="BV27" s="2251" t="s">
        <v>1211</v>
      </c>
      <c r="BW27" s="2251" t="s">
        <v>1212</v>
      </c>
      <c r="BX27" s="2251" t="s">
        <v>1213</v>
      </c>
      <c r="BY27" s="2251" t="s">
        <v>1214</v>
      </c>
      <c r="BZ27" s="2252"/>
      <c r="CA27" s="2252"/>
      <c r="CB27" s="2253"/>
    </row>
    <row r="28" spans="2:80" s="197" customFormat="1" ht="45" customHeight="1">
      <c r="B28" s="689" t="s">
        <v>8034</v>
      </c>
      <c r="C28" s="2220" t="s">
        <v>1692</v>
      </c>
      <c r="D28" s="290" t="s">
        <v>137</v>
      </c>
      <c r="E28" s="290">
        <v>3</v>
      </c>
      <c r="F28" s="2250">
        <v>1.1819999999999999</v>
      </c>
      <c r="G28" s="2250">
        <v>0.33300000000000002</v>
      </c>
      <c r="H28" s="2250">
        <v>9.2999999999999999E-2</v>
      </c>
      <c r="I28" s="2250">
        <v>0</v>
      </c>
      <c r="J28" s="2250">
        <v>0</v>
      </c>
      <c r="K28" s="2250">
        <v>0</v>
      </c>
      <c r="L28" s="2250">
        <v>0</v>
      </c>
      <c r="M28" s="2250">
        <v>0</v>
      </c>
      <c r="N28" s="2251">
        <f t="shared" ref="N28" si="101">IFERROR(SUM(F28:M28), 0)</f>
        <v>1.6079999999999999</v>
      </c>
      <c r="O28" s="2250">
        <v>0</v>
      </c>
      <c r="P28" s="2250">
        <v>0</v>
      </c>
      <c r="Q28" s="2250">
        <v>0</v>
      </c>
      <c r="R28" s="2250">
        <v>0</v>
      </c>
      <c r="S28" s="2250">
        <v>0</v>
      </c>
      <c r="T28" s="2250">
        <v>0</v>
      </c>
      <c r="U28" s="2250">
        <v>0</v>
      </c>
      <c r="V28" s="2250">
        <v>0</v>
      </c>
      <c r="W28" s="2251">
        <f t="shared" ref="W28" si="102">IFERROR(SUM(O28:V28), 0)</f>
        <v>0</v>
      </c>
      <c r="X28" s="2252"/>
      <c r="Y28" s="2252"/>
      <c r="Z28" s="2253"/>
      <c r="AA28" s="893"/>
      <c r="AB28" s="700" t="s">
        <v>8035</v>
      </c>
      <c r="AC28" s="1012"/>
      <c r="AD28" s="258"/>
      <c r="AE28" s="1012"/>
      <c r="AF28" s="1009"/>
      <c r="AG28" s="251">
        <f t="shared" si="8"/>
        <v>0</v>
      </c>
      <c r="AH28" s="1010"/>
      <c r="AI28" s="252">
        <f xml:space="preserve"> IF( ISNUMBER(F28), 0, 1 )</f>
        <v>0</v>
      </c>
      <c r="AJ28" s="252">
        <f t="shared" ref="AJ28:AJ31" si="103" xml:space="preserve"> IF( ISNUMBER(G28), 0, 1 )</f>
        <v>0</v>
      </c>
      <c r="AK28" s="252">
        <f t="shared" ref="AK28:AK31" si="104" xml:space="preserve"> IF( ISNUMBER(H28), 0, 1 )</f>
        <v>0</v>
      </c>
      <c r="AL28" s="252">
        <f t="shared" ref="AL28:AL31" si="105" xml:space="preserve"> IF( ISNUMBER(I28), 0, 1 )</f>
        <v>0</v>
      </c>
      <c r="AM28" s="252">
        <f t="shared" ref="AM28:AM31" si="106" xml:space="preserve"> IF( ISNUMBER(J28), 0, 1 )</f>
        <v>0</v>
      </c>
      <c r="AN28" s="252">
        <f t="shared" ref="AN28:AN31" si="107" xml:space="preserve"> IF( ISNUMBER(K28), 0, 1 )</f>
        <v>0</v>
      </c>
      <c r="AO28" s="252">
        <f t="shared" ref="AO28:AO31" si="108" xml:space="preserve"> IF( ISNUMBER(L28), 0, 1 )</f>
        <v>0</v>
      </c>
      <c r="AP28" s="252">
        <f t="shared" ref="AP28:AP31" si="109" xml:space="preserve"> IF( ISNUMBER(M28), 0, 1 )</f>
        <v>0</v>
      </c>
      <c r="AQ28" s="200"/>
      <c r="AR28" s="252">
        <f xml:space="preserve"> IF( ISNUMBER(O28), 0, 1 )</f>
        <v>0</v>
      </c>
      <c r="AS28" s="252">
        <f t="shared" ref="AS28:AS31" si="110" xml:space="preserve"> IF( ISNUMBER(P28), 0, 1 )</f>
        <v>0</v>
      </c>
      <c r="AT28" s="252">
        <f t="shared" ref="AT28:AT31" si="111" xml:space="preserve"> IF( ISNUMBER(Q28), 0, 1 )</f>
        <v>0</v>
      </c>
      <c r="AU28" s="252">
        <f t="shared" ref="AU28:AU31" si="112" xml:space="preserve"> IF( ISNUMBER(R28), 0, 1 )</f>
        <v>0</v>
      </c>
      <c r="AV28" s="252">
        <f t="shared" ref="AV28:AV31" si="113" xml:space="preserve"> IF( ISNUMBER(S28), 0, 1 )</f>
        <v>0</v>
      </c>
      <c r="AW28" s="252">
        <f t="shared" ref="AW28:AW31" si="114" xml:space="preserve"> IF( ISNUMBER(T28), 0, 1 )</f>
        <v>0</v>
      </c>
      <c r="AX28" s="252">
        <f t="shared" ref="AX28:AX31" si="115" xml:space="preserve"> IF( ISNUMBER(U28), 0, 1 )</f>
        <v>0</v>
      </c>
      <c r="AY28" s="252">
        <f t="shared" ref="AY28:AY31" si="116" xml:space="preserve"> IF( ISNUMBER(V28), 0, 1 )</f>
        <v>0</v>
      </c>
      <c r="AZ28" s="200"/>
      <c r="BA28" s="252"/>
      <c r="BB28" s="252"/>
      <c r="BC28" s="252"/>
      <c r="BD28" s="725"/>
      <c r="BF28" s="689" t="s">
        <v>8036</v>
      </c>
      <c r="BG28" s="318" t="s">
        <v>1692</v>
      </c>
      <c r="BH28" s="2250" t="s">
        <v>1215</v>
      </c>
      <c r="BI28" s="2250" t="s">
        <v>1216</v>
      </c>
      <c r="BJ28" s="2250" t="s">
        <v>1217</v>
      </c>
      <c r="BK28" s="2250" t="s">
        <v>1218</v>
      </c>
      <c r="BL28" s="2250" t="s">
        <v>1219</v>
      </c>
      <c r="BM28" s="2250" t="s">
        <v>1220</v>
      </c>
      <c r="BN28" s="2250" t="s">
        <v>1221</v>
      </c>
      <c r="BO28" s="2250" t="s">
        <v>1222</v>
      </c>
      <c r="BP28" s="2251" t="s">
        <v>1223</v>
      </c>
      <c r="BQ28" s="2250" t="s">
        <v>1224</v>
      </c>
      <c r="BR28" s="2250" t="s">
        <v>1225</v>
      </c>
      <c r="BS28" s="2250" t="s">
        <v>1226</v>
      </c>
      <c r="BT28" s="2250" t="s">
        <v>1227</v>
      </c>
      <c r="BU28" s="2250" t="s">
        <v>1228</v>
      </c>
      <c r="BV28" s="2250" t="s">
        <v>1229</v>
      </c>
      <c r="BW28" s="2250" t="s">
        <v>1230</v>
      </c>
      <c r="BX28" s="2250" t="s">
        <v>1231</v>
      </c>
      <c r="BY28" s="2251" t="s">
        <v>1232</v>
      </c>
      <c r="BZ28" s="2252"/>
      <c r="CA28" s="2252"/>
      <c r="CB28" s="2253"/>
    </row>
    <row r="29" spans="2:80" s="197" customFormat="1" ht="45" customHeight="1">
      <c r="B29" s="689" t="s">
        <v>8034</v>
      </c>
      <c r="C29" s="2220" t="s">
        <v>1693</v>
      </c>
      <c r="D29" s="290" t="s">
        <v>137</v>
      </c>
      <c r="E29" s="290">
        <v>3</v>
      </c>
      <c r="F29" s="655">
        <v>0</v>
      </c>
      <c r="G29" s="655">
        <v>0</v>
      </c>
      <c r="H29" s="655">
        <v>0</v>
      </c>
      <c r="I29" s="655">
        <v>0</v>
      </c>
      <c r="J29" s="655">
        <v>0</v>
      </c>
      <c r="K29" s="655">
        <v>0</v>
      </c>
      <c r="L29" s="655">
        <v>0</v>
      </c>
      <c r="M29" s="655">
        <v>0</v>
      </c>
      <c r="N29" s="2251">
        <f t="shared" ref="N29:N34" si="117">IFERROR(SUM(F29:M29), 0)</f>
        <v>0</v>
      </c>
      <c r="O29" s="655">
        <v>0</v>
      </c>
      <c r="P29" s="655">
        <v>0</v>
      </c>
      <c r="Q29" s="655">
        <v>0</v>
      </c>
      <c r="R29" s="655">
        <v>0</v>
      </c>
      <c r="S29" s="655">
        <v>0</v>
      </c>
      <c r="T29" s="655">
        <v>0</v>
      </c>
      <c r="U29" s="655">
        <v>0</v>
      </c>
      <c r="V29" s="655">
        <v>0</v>
      </c>
      <c r="W29" s="2251"/>
      <c r="X29" s="2252"/>
      <c r="Y29" s="2252"/>
      <c r="Z29" s="2253"/>
      <c r="AA29" s="893"/>
      <c r="AB29" s="700" t="s">
        <v>8037</v>
      </c>
      <c r="AC29" s="1012"/>
      <c r="AD29" s="258"/>
      <c r="AE29" s="1012"/>
      <c r="AF29" s="1009"/>
      <c r="AG29" s="251"/>
      <c r="AH29" s="1010"/>
      <c r="AI29" s="252"/>
      <c r="AJ29" s="252"/>
      <c r="AK29" s="252"/>
      <c r="AL29" s="252"/>
      <c r="AM29" s="252"/>
      <c r="AN29" s="252"/>
      <c r="AO29" s="252"/>
      <c r="AP29" s="252"/>
      <c r="AQ29" s="200"/>
      <c r="AR29" s="252"/>
      <c r="AS29" s="252"/>
      <c r="AT29" s="252"/>
      <c r="AU29" s="252"/>
      <c r="AV29" s="252"/>
      <c r="AW29" s="252"/>
      <c r="AX29" s="252"/>
      <c r="AY29" s="252"/>
      <c r="AZ29" s="200"/>
      <c r="BA29" s="252"/>
      <c r="BB29" s="252"/>
      <c r="BC29" s="252"/>
      <c r="BD29" s="725"/>
      <c r="BF29" s="689" t="s">
        <v>8034</v>
      </c>
      <c r="BG29" s="318" t="s">
        <v>1693</v>
      </c>
      <c r="BH29" s="2250" t="s">
        <v>1215</v>
      </c>
      <c r="BI29" s="2250" t="s">
        <v>1216</v>
      </c>
      <c r="BJ29" s="2250" t="s">
        <v>1217</v>
      </c>
      <c r="BK29" s="2250" t="s">
        <v>1218</v>
      </c>
      <c r="BL29" s="2250" t="s">
        <v>1219</v>
      </c>
      <c r="BM29" s="2250" t="s">
        <v>1220</v>
      </c>
      <c r="BN29" s="2250" t="s">
        <v>1221</v>
      </c>
      <c r="BO29" s="2250" t="s">
        <v>1222</v>
      </c>
      <c r="BP29" s="2251" t="s">
        <v>1223</v>
      </c>
      <c r="BQ29" s="2250" t="s">
        <v>1224</v>
      </c>
      <c r="BR29" s="2250" t="s">
        <v>1225</v>
      </c>
      <c r="BS29" s="2250" t="s">
        <v>1226</v>
      </c>
      <c r="BT29" s="2250" t="s">
        <v>1227</v>
      </c>
      <c r="BU29" s="2250" t="s">
        <v>1228</v>
      </c>
      <c r="BV29" s="2250" t="s">
        <v>1229</v>
      </c>
      <c r="BW29" s="2250" t="s">
        <v>1230</v>
      </c>
      <c r="BX29" s="2250" t="s">
        <v>1231</v>
      </c>
      <c r="BY29" s="2251" t="s">
        <v>1232</v>
      </c>
      <c r="BZ29" s="2252"/>
      <c r="CA29" s="2252"/>
      <c r="CB29" s="2253"/>
    </row>
    <row r="30" spans="2:80" s="197" customFormat="1" ht="45" customHeight="1">
      <c r="B30" s="689" t="s">
        <v>8034</v>
      </c>
      <c r="C30" s="2220" t="s">
        <v>1694</v>
      </c>
      <c r="D30" s="290" t="s">
        <v>137</v>
      </c>
      <c r="E30" s="290">
        <v>3</v>
      </c>
      <c r="F30" s="2251">
        <f t="shared" ref="F30:M30" si="118">IFERROR(SUM(F28:F29), 0)</f>
        <v>1.1819999999999999</v>
      </c>
      <c r="G30" s="2251">
        <f t="shared" si="118"/>
        <v>0.33300000000000002</v>
      </c>
      <c r="H30" s="2251">
        <f t="shared" si="118"/>
        <v>9.2999999999999999E-2</v>
      </c>
      <c r="I30" s="2251">
        <f t="shared" si="118"/>
        <v>0</v>
      </c>
      <c r="J30" s="2251">
        <f t="shared" si="118"/>
        <v>0</v>
      </c>
      <c r="K30" s="2251">
        <f t="shared" si="118"/>
        <v>0</v>
      </c>
      <c r="L30" s="2251">
        <f t="shared" si="118"/>
        <v>0</v>
      </c>
      <c r="M30" s="2251">
        <f t="shared" si="118"/>
        <v>0</v>
      </c>
      <c r="N30" s="2251">
        <f t="shared" si="117"/>
        <v>1.6079999999999999</v>
      </c>
      <c r="O30" s="2251">
        <f t="shared" ref="O30:V30" si="119">IFERROR(SUM(O28:O29), 0)</f>
        <v>0</v>
      </c>
      <c r="P30" s="2251">
        <f t="shared" si="119"/>
        <v>0</v>
      </c>
      <c r="Q30" s="2251">
        <f t="shared" si="119"/>
        <v>0</v>
      </c>
      <c r="R30" s="2251">
        <f t="shared" si="119"/>
        <v>0</v>
      </c>
      <c r="S30" s="2251">
        <f t="shared" si="119"/>
        <v>0</v>
      </c>
      <c r="T30" s="2251">
        <f t="shared" si="119"/>
        <v>0</v>
      </c>
      <c r="U30" s="2251">
        <f t="shared" si="119"/>
        <v>0</v>
      </c>
      <c r="V30" s="2251">
        <f t="shared" si="119"/>
        <v>0</v>
      </c>
      <c r="W30" s="2251">
        <f>IFERROR(SUM(O30:V30), 0)</f>
        <v>0</v>
      </c>
      <c r="X30" s="2252"/>
      <c r="Y30" s="2252"/>
      <c r="Z30" s="2253"/>
      <c r="AA30" s="893"/>
      <c r="AB30" s="700" t="s">
        <v>8038</v>
      </c>
      <c r="AC30" s="1012"/>
      <c r="AD30" s="258"/>
      <c r="AE30" s="1012"/>
      <c r="AF30" s="1009"/>
      <c r="AG30" s="251"/>
      <c r="AH30" s="1010"/>
      <c r="AI30" s="252"/>
      <c r="AJ30" s="252"/>
      <c r="AK30" s="252"/>
      <c r="AL30" s="252"/>
      <c r="AM30" s="252"/>
      <c r="AN30" s="252"/>
      <c r="AO30" s="252"/>
      <c r="AP30" s="252"/>
      <c r="AQ30" s="200"/>
      <c r="AR30" s="252"/>
      <c r="AS30" s="252"/>
      <c r="AT30" s="252"/>
      <c r="AU30" s="252"/>
      <c r="AV30" s="252"/>
      <c r="AW30" s="252"/>
      <c r="AX30" s="252"/>
      <c r="AY30" s="252"/>
      <c r="AZ30" s="200"/>
      <c r="BA30" s="252"/>
      <c r="BB30" s="252"/>
      <c r="BC30" s="252"/>
      <c r="BD30" s="725"/>
      <c r="BF30" s="689" t="s">
        <v>8034</v>
      </c>
      <c r="BG30" s="318" t="s">
        <v>1694</v>
      </c>
      <c r="BH30" s="2251" t="s">
        <v>1215</v>
      </c>
      <c r="BI30" s="2251" t="s">
        <v>1216</v>
      </c>
      <c r="BJ30" s="2251" t="s">
        <v>1217</v>
      </c>
      <c r="BK30" s="2251" t="s">
        <v>1218</v>
      </c>
      <c r="BL30" s="2251" t="s">
        <v>1219</v>
      </c>
      <c r="BM30" s="2251" t="s">
        <v>1220</v>
      </c>
      <c r="BN30" s="2251" t="s">
        <v>1221</v>
      </c>
      <c r="BO30" s="2251" t="s">
        <v>1222</v>
      </c>
      <c r="BP30" s="2251" t="s">
        <v>1223</v>
      </c>
      <c r="BQ30" s="2251" t="s">
        <v>1224</v>
      </c>
      <c r="BR30" s="2251" t="s">
        <v>1225</v>
      </c>
      <c r="BS30" s="2251" t="s">
        <v>1226</v>
      </c>
      <c r="BT30" s="2251" t="s">
        <v>1227</v>
      </c>
      <c r="BU30" s="2251" t="s">
        <v>1228</v>
      </c>
      <c r="BV30" s="2251" t="s">
        <v>1229</v>
      </c>
      <c r="BW30" s="2251" t="s">
        <v>1230</v>
      </c>
      <c r="BX30" s="2251" t="s">
        <v>1231</v>
      </c>
      <c r="BY30" s="2251" t="s">
        <v>1232</v>
      </c>
      <c r="BZ30" s="2252"/>
      <c r="CA30" s="2252"/>
      <c r="CB30" s="2253"/>
    </row>
    <row r="31" spans="2:80" s="197" customFormat="1" ht="45" customHeight="1">
      <c r="B31" s="689" t="s">
        <v>8039</v>
      </c>
      <c r="C31" s="2220" t="s">
        <v>1692</v>
      </c>
      <c r="D31" s="290" t="s">
        <v>137</v>
      </c>
      <c r="E31" s="290">
        <v>3</v>
      </c>
      <c r="F31" s="2250">
        <v>0</v>
      </c>
      <c r="G31" s="2250">
        <v>0</v>
      </c>
      <c r="H31" s="2250">
        <v>0</v>
      </c>
      <c r="I31" s="2250">
        <v>0</v>
      </c>
      <c r="J31" s="2250">
        <v>0</v>
      </c>
      <c r="K31" s="2250">
        <v>0</v>
      </c>
      <c r="L31" s="2250">
        <v>0</v>
      </c>
      <c r="M31" s="2250">
        <v>0</v>
      </c>
      <c r="N31" s="2251">
        <f t="shared" si="117"/>
        <v>0</v>
      </c>
      <c r="O31" s="2250">
        <v>0</v>
      </c>
      <c r="P31" s="2250">
        <v>0</v>
      </c>
      <c r="Q31" s="2250">
        <v>0</v>
      </c>
      <c r="R31" s="2250">
        <v>0</v>
      </c>
      <c r="S31" s="2250">
        <v>0</v>
      </c>
      <c r="T31" s="2250">
        <v>0</v>
      </c>
      <c r="U31" s="2250">
        <v>0</v>
      </c>
      <c r="V31" s="2250">
        <v>0</v>
      </c>
      <c r="W31" s="2251">
        <f>IFERROR(SUM(O31:V31), 0)</f>
        <v>0</v>
      </c>
      <c r="X31" s="2252"/>
      <c r="Y31" s="2252"/>
      <c r="Z31" s="2253"/>
      <c r="AA31" s="893"/>
      <c r="AB31" s="700" t="s">
        <v>8040</v>
      </c>
      <c r="AC31" s="1012"/>
      <c r="AD31" s="258"/>
      <c r="AE31" s="1012"/>
      <c r="AF31" s="1009"/>
      <c r="AG31" s="251">
        <f t="shared" si="8"/>
        <v>0</v>
      </c>
      <c r="AH31" s="1010"/>
      <c r="AI31" s="252">
        <f t="shared" ref="AI31" si="120" xml:space="preserve"> IF( ISNUMBER(F31), 0, 1 )</f>
        <v>0</v>
      </c>
      <c r="AJ31" s="252">
        <f t="shared" si="103"/>
        <v>0</v>
      </c>
      <c r="AK31" s="252">
        <f t="shared" si="104"/>
        <v>0</v>
      </c>
      <c r="AL31" s="252">
        <f t="shared" si="105"/>
        <v>0</v>
      </c>
      <c r="AM31" s="252">
        <f t="shared" si="106"/>
        <v>0</v>
      </c>
      <c r="AN31" s="252">
        <f t="shared" si="107"/>
        <v>0</v>
      </c>
      <c r="AO31" s="252">
        <f t="shared" si="108"/>
        <v>0</v>
      </c>
      <c r="AP31" s="252">
        <f t="shared" si="109"/>
        <v>0</v>
      </c>
      <c r="AQ31" s="200"/>
      <c r="AR31" s="252">
        <f t="shared" ref="AR31" si="121" xml:space="preserve"> IF( ISNUMBER(O31), 0, 1 )</f>
        <v>0</v>
      </c>
      <c r="AS31" s="252">
        <f t="shared" si="110"/>
        <v>0</v>
      </c>
      <c r="AT31" s="252">
        <f t="shared" si="111"/>
        <v>0</v>
      </c>
      <c r="AU31" s="252">
        <f t="shared" si="112"/>
        <v>0</v>
      </c>
      <c r="AV31" s="252">
        <f t="shared" si="113"/>
        <v>0</v>
      </c>
      <c r="AW31" s="252">
        <f t="shared" si="114"/>
        <v>0</v>
      </c>
      <c r="AX31" s="252">
        <f t="shared" si="115"/>
        <v>0</v>
      </c>
      <c r="AY31" s="252">
        <f t="shared" si="116"/>
        <v>0</v>
      </c>
      <c r="AZ31" s="200"/>
      <c r="BA31" s="252"/>
      <c r="BB31" s="252"/>
      <c r="BC31" s="252"/>
      <c r="BD31" s="725"/>
      <c r="BF31" s="689" t="s">
        <v>8039</v>
      </c>
      <c r="BG31" s="318" t="s">
        <v>1692</v>
      </c>
      <c r="BH31" s="2250" t="s">
        <v>1233</v>
      </c>
      <c r="BI31" s="2250" t="s">
        <v>1234</v>
      </c>
      <c r="BJ31" s="2250" t="s">
        <v>1235</v>
      </c>
      <c r="BK31" s="2250" t="s">
        <v>1236</v>
      </c>
      <c r="BL31" s="2250" t="s">
        <v>1237</v>
      </c>
      <c r="BM31" s="2250" t="s">
        <v>1238</v>
      </c>
      <c r="BN31" s="2250" t="s">
        <v>1239</v>
      </c>
      <c r="BO31" s="2250" t="s">
        <v>1240</v>
      </c>
      <c r="BP31" s="2251" t="s">
        <v>1241</v>
      </c>
      <c r="BQ31" s="2250" t="s">
        <v>1242</v>
      </c>
      <c r="BR31" s="2250" t="s">
        <v>1243</v>
      </c>
      <c r="BS31" s="2250" t="s">
        <v>1244</v>
      </c>
      <c r="BT31" s="2250" t="s">
        <v>1245</v>
      </c>
      <c r="BU31" s="2250" t="s">
        <v>1246</v>
      </c>
      <c r="BV31" s="2250" t="s">
        <v>1247</v>
      </c>
      <c r="BW31" s="2250" t="s">
        <v>1248</v>
      </c>
      <c r="BX31" s="2250" t="s">
        <v>1249</v>
      </c>
      <c r="BY31" s="2251" t="s">
        <v>1250</v>
      </c>
      <c r="BZ31" s="2252"/>
      <c r="CA31" s="2252"/>
      <c r="CB31" s="2253"/>
    </row>
    <row r="32" spans="2:80" s="197" customFormat="1" ht="45" customHeight="1">
      <c r="B32" s="689" t="s">
        <v>8039</v>
      </c>
      <c r="C32" s="2220" t="s">
        <v>1693</v>
      </c>
      <c r="D32" s="290" t="s">
        <v>137</v>
      </c>
      <c r="E32" s="290">
        <v>3</v>
      </c>
      <c r="F32" s="655">
        <v>0</v>
      </c>
      <c r="G32" s="655">
        <v>0</v>
      </c>
      <c r="H32" s="655">
        <v>0</v>
      </c>
      <c r="I32" s="655">
        <v>0</v>
      </c>
      <c r="J32" s="655">
        <v>0</v>
      </c>
      <c r="K32" s="655">
        <v>0</v>
      </c>
      <c r="L32" s="655">
        <v>0</v>
      </c>
      <c r="M32" s="655">
        <v>0</v>
      </c>
      <c r="N32" s="2251">
        <f t="shared" si="117"/>
        <v>0</v>
      </c>
      <c r="O32" s="655">
        <v>0</v>
      </c>
      <c r="P32" s="655">
        <v>0</v>
      </c>
      <c r="Q32" s="655">
        <v>0</v>
      </c>
      <c r="R32" s="655">
        <v>0</v>
      </c>
      <c r="S32" s="655">
        <v>0</v>
      </c>
      <c r="T32" s="655">
        <v>0</v>
      </c>
      <c r="U32" s="655">
        <v>0</v>
      </c>
      <c r="V32" s="655">
        <v>0</v>
      </c>
      <c r="W32" s="2251">
        <f>IFERROR(SUM(O32:V32), 0)</f>
        <v>0</v>
      </c>
      <c r="X32" s="2252"/>
      <c r="Y32" s="2252"/>
      <c r="Z32" s="2253"/>
      <c r="AA32" s="893"/>
      <c r="AB32" s="700" t="s">
        <v>8041</v>
      </c>
      <c r="AC32" s="1012"/>
      <c r="AD32" s="258"/>
      <c r="AE32" s="1012"/>
      <c r="AF32" s="1009"/>
      <c r="AG32" s="251"/>
      <c r="AH32" s="1010"/>
      <c r="AI32" s="252"/>
      <c r="AJ32" s="252"/>
      <c r="AK32" s="252"/>
      <c r="AL32" s="252"/>
      <c r="AM32" s="252"/>
      <c r="AN32" s="252"/>
      <c r="AO32" s="252"/>
      <c r="AP32" s="252"/>
      <c r="AQ32" s="200"/>
      <c r="AR32" s="252"/>
      <c r="AS32" s="252"/>
      <c r="AT32" s="252"/>
      <c r="AU32" s="252"/>
      <c r="AV32" s="252"/>
      <c r="AW32" s="252"/>
      <c r="AX32" s="252"/>
      <c r="AY32" s="252"/>
      <c r="AZ32" s="200"/>
      <c r="BA32" s="252"/>
      <c r="BB32" s="252"/>
      <c r="BC32" s="252"/>
      <c r="BD32" s="725"/>
      <c r="BF32" s="689" t="s">
        <v>8039</v>
      </c>
      <c r="BG32" s="318" t="s">
        <v>1693</v>
      </c>
      <c r="BH32" s="2250" t="s">
        <v>1233</v>
      </c>
      <c r="BI32" s="2250" t="s">
        <v>1234</v>
      </c>
      <c r="BJ32" s="2250" t="s">
        <v>1235</v>
      </c>
      <c r="BK32" s="2250" t="s">
        <v>1236</v>
      </c>
      <c r="BL32" s="2250" t="s">
        <v>1237</v>
      </c>
      <c r="BM32" s="2250" t="s">
        <v>1238</v>
      </c>
      <c r="BN32" s="2250" t="s">
        <v>1239</v>
      </c>
      <c r="BO32" s="2250" t="s">
        <v>1240</v>
      </c>
      <c r="BP32" s="2251" t="s">
        <v>1241</v>
      </c>
      <c r="BQ32" s="2250" t="s">
        <v>1242</v>
      </c>
      <c r="BR32" s="2250" t="s">
        <v>1243</v>
      </c>
      <c r="BS32" s="2250" t="s">
        <v>1244</v>
      </c>
      <c r="BT32" s="2250" t="s">
        <v>1245</v>
      </c>
      <c r="BU32" s="2250" t="s">
        <v>1246</v>
      </c>
      <c r="BV32" s="2250" t="s">
        <v>1247</v>
      </c>
      <c r="BW32" s="2250" t="s">
        <v>1248</v>
      </c>
      <c r="BX32" s="2250" t="s">
        <v>1249</v>
      </c>
      <c r="BY32" s="2251" t="s">
        <v>1250</v>
      </c>
      <c r="BZ32" s="2252"/>
      <c r="CA32" s="2252"/>
      <c r="CB32" s="2253"/>
    </row>
    <row r="33" spans="1:80" s="197" customFormat="1" ht="45" customHeight="1">
      <c r="B33" s="689" t="s">
        <v>8039</v>
      </c>
      <c r="C33" s="2220" t="s">
        <v>1694</v>
      </c>
      <c r="D33" s="290" t="s">
        <v>137</v>
      </c>
      <c r="E33" s="290">
        <v>3</v>
      </c>
      <c r="F33" s="2251">
        <f t="shared" ref="F33:M33" si="122">IFERROR(SUM(F31:F32), 0)</f>
        <v>0</v>
      </c>
      <c r="G33" s="2251">
        <f t="shared" si="122"/>
        <v>0</v>
      </c>
      <c r="H33" s="2251">
        <f t="shared" si="122"/>
        <v>0</v>
      </c>
      <c r="I33" s="2251">
        <f t="shared" si="122"/>
        <v>0</v>
      </c>
      <c r="J33" s="2251">
        <f t="shared" si="122"/>
        <v>0</v>
      </c>
      <c r="K33" s="2251">
        <f t="shared" si="122"/>
        <v>0</v>
      </c>
      <c r="L33" s="2251">
        <f t="shared" si="122"/>
        <v>0</v>
      </c>
      <c r="M33" s="2251">
        <f t="shared" si="122"/>
        <v>0</v>
      </c>
      <c r="N33" s="2251">
        <f t="shared" si="117"/>
        <v>0</v>
      </c>
      <c r="O33" s="2251">
        <f t="shared" ref="O33:V33" si="123">IFERROR(SUM(O31:O32), 0)</f>
        <v>0</v>
      </c>
      <c r="P33" s="2251">
        <f t="shared" si="123"/>
        <v>0</v>
      </c>
      <c r="Q33" s="2251">
        <f t="shared" si="123"/>
        <v>0</v>
      </c>
      <c r="R33" s="2251">
        <f t="shared" si="123"/>
        <v>0</v>
      </c>
      <c r="S33" s="2251">
        <f t="shared" si="123"/>
        <v>0</v>
      </c>
      <c r="T33" s="2251">
        <f t="shared" si="123"/>
        <v>0</v>
      </c>
      <c r="U33" s="2251">
        <f t="shared" si="123"/>
        <v>0</v>
      </c>
      <c r="V33" s="2251">
        <f t="shared" si="123"/>
        <v>0</v>
      </c>
      <c r="W33" s="2251">
        <f>IFERROR(SUM(O33:V33), 0)</f>
        <v>0</v>
      </c>
      <c r="X33" s="2252"/>
      <c r="Y33" s="2252"/>
      <c r="Z33" s="2253"/>
      <c r="AA33" s="893"/>
      <c r="AB33" s="700" t="s">
        <v>8042</v>
      </c>
      <c r="AC33" s="1012"/>
      <c r="AD33" s="258"/>
      <c r="AE33" s="1012"/>
      <c r="AF33" s="1009"/>
      <c r="AG33" s="251"/>
      <c r="AH33" s="1010"/>
      <c r="AI33" s="252"/>
      <c r="AJ33" s="252"/>
      <c r="AK33" s="252"/>
      <c r="AL33" s="252"/>
      <c r="AM33" s="252"/>
      <c r="AN33" s="252"/>
      <c r="AO33" s="252"/>
      <c r="AP33" s="252"/>
      <c r="AQ33" s="200"/>
      <c r="AR33" s="252"/>
      <c r="AS33" s="252"/>
      <c r="AT33" s="252"/>
      <c r="AU33" s="252"/>
      <c r="AV33" s="252"/>
      <c r="AW33" s="252"/>
      <c r="AX33" s="252"/>
      <c r="AY33" s="252"/>
      <c r="AZ33" s="200"/>
      <c r="BA33" s="252"/>
      <c r="BB33" s="252"/>
      <c r="BC33" s="252"/>
      <c r="BD33" s="725"/>
      <c r="BF33" s="689" t="s">
        <v>8039</v>
      </c>
      <c r="BG33" s="318" t="s">
        <v>1694</v>
      </c>
      <c r="BH33" s="2251" t="s">
        <v>1233</v>
      </c>
      <c r="BI33" s="2251" t="s">
        <v>1234</v>
      </c>
      <c r="BJ33" s="2251" t="s">
        <v>1235</v>
      </c>
      <c r="BK33" s="2251" t="s">
        <v>1236</v>
      </c>
      <c r="BL33" s="2251" t="s">
        <v>1237</v>
      </c>
      <c r="BM33" s="2251" t="s">
        <v>1238</v>
      </c>
      <c r="BN33" s="2251" t="s">
        <v>1239</v>
      </c>
      <c r="BO33" s="2251" t="s">
        <v>1240</v>
      </c>
      <c r="BP33" s="2251" t="s">
        <v>1241</v>
      </c>
      <c r="BQ33" s="2251" t="s">
        <v>1242</v>
      </c>
      <c r="BR33" s="2251" t="s">
        <v>1243</v>
      </c>
      <c r="BS33" s="2251" t="s">
        <v>1244</v>
      </c>
      <c r="BT33" s="2251" t="s">
        <v>1245</v>
      </c>
      <c r="BU33" s="2251" t="s">
        <v>1246</v>
      </c>
      <c r="BV33" s="2251" t="s">
        <v>1247</v>
      </c>
      <c r="BW33" s="2251" t="s">
        <v>1248</v>
      </c>
      <c r="BX33" s="2251" t="s">
        <v>1249</v>
      </c>
      <c r="BY33" s="2251" t="s">
        <v>1250</v>
      </c>
      <c r="BZ33" s="2252"/>
      <c r="CA33" s="2252"/>
      <c r="CB33" s="2253"/>
    </row>
    <row r="34" spans="1:80" s="197" customFormat="1" ht="45" customHeight="1">
      <c r="B34" s="689" t="s">
        <v>8043</v>
      </c>
      <c r="C34" s="2220" t="s">
        <v>1694</v>
      </c>
      <c r="D34" s="290" t="s">
        <v>137</v>
      </c>
      <c r="E34" s="290">
        <v>3</v>
      </c>
      <c r="F34" s="2251">
        <f t="shared" ref="F34:M34" si="124">IFERROR(SUM(F30,F33), 0)</f>
        <v>1.1819999999999999</v>
      </c>
      <c r="G34" s="2251">
        <f t="shared" si="124"/>
        <v>0.33300000000000002</v>
      </c>
      <c r="H34" s="2251">
        <f t="shared" si="124"/>
        <v>9.2999999999999999E-2</v>
      </c>
      <c r="I34" s="2251">
        <f t="shared" si="124"/>
        <v>0</v>
      </c>
      <c r="J34" s="2251">
        <f t="shared" si="124"/>
        <v>0</v>
      </c>
      <c r="K34" s="2251">
        <f t="shared" si="124"/>
        <v>0</v>
      </c>
      <c r="L34" s="2251">
        <f t="shared" si="124"/>
        <v>0</v>
      </c>
      <c r="M34" s="2251">
        <f t="shared" si="124"/>
        <v>0</v>
      </c>
      <c r="N34" s="2251">
        <f t="shared" si="117"/>
        <v>1.6079999999999999</v>
      </c>
      <c r="O34" s="2251">
        <f t="shared" ref="O34:V34" si="125">IFERROR(SUM(O30,O33), 0)</f>
        <v>0</v>
      </c>
      <c r="P34" s="2251">
        <f t="shared" si="125"/>
        <v>0</v>
      </c>
      <c r="Q34" s="2251">
        <f t="shared" si="125"/>
        <v>0</v>
      </c>
      <c r="R34" s="2251">
        <f t="shared" si="125"/>
        <v>0</v>
      </c>
      <c r="S34" s="2251">
        <f t="shared" si="125"/>
        <v>0</v>
      </c>
      <c r="T34" s="2251">
        <f t="shared" si="125"/>
        <v>0</v>
      </c>
      <c r="U34" s="2251">
        <f t="shared" si="125"/>
        <v>0</v>
      </c>
      <c r="V34" s="2251">
        <f t="shared" si="125"/>
        <v>0</v>
      </c>
      <c r="W34" s="2251">
        <f>IFERROR(SUM(O34:V34), 0)</f>
        <v>0</v>
      </c>
      <c r="X34" s="655">
        <v>8.077</v>
      </c>
      <c r="Y34" s="655">
        <v>52.817999999999998</v>
      </c>
      <c r="Z34" s="693">
        <v>66.561000000000007</v>
      </c>
      <c r="AA34" s="893"/>
      <c r="AB34" s="700" t="s">
        <v>8044</v>
      </c>
      <c r="AC34" s="1012"/>
      <c r="AD34" s="258"/>
      <c r="AE34" s="1012"/>
      <c r="AF34" s="1009"/>
      <c r="AG34" s="251">
        <f t="shared" si="8"/>
        <v>0</v>
      </c>
      <c r="AH34" s="1010"/>
      <c r="AI34" s="200"/>
      <c r="AJ34" s="200"/>
      <c r="AK34" s="200"/>
      <c r="AL34" s="200"/>
      <c r="AM34" s="200"/>
      <c r="AN34" s="200"/>
      <c r="AO34" s="200"/>
      <c r="AP34" s="200"/>
      <c r="AQ34" s="200"/>
      <c r="AR34" s="200"/>
      <c r="AS34" s="200"/>
      <c r="AT34" s="200"/>
      <c r="AU34" s="200"/>
      <c r="AV34" s="200"/>
      <c r="AW34" s="200"/>
      <c r="AX34" s="200"/>
      <c r="AY34" s="200"/>
      <c r="AZ34" s="200"/>
      <c r="BA34" s="252">
        <f t="shared" ref="BA34" si="126" xml:space="preserve"> IF( ISNUMBER(X34), 0, 1 )</f>
        <v>0</v>
      </c>
      <c r="BB34" s="252">
        <f t="shared" ref="BB34" si="127" xml:space="preserve"> IF( ISNUMBER(Y34), 0, 1 )</f>
        <v>0</v>
      </c>
      <c r="BC34" s="252">
        <f t="shared" ref="BC34" si="128" xml:space="preserve"> IF( ISNUMBER(Z34), 0, 1 )</f>
        <v>0</v>
      </c>
      <c r="BD34" s="725"/>
      <c r="BF34" s="422" t="s">
        <v>8045</v>
      </c>
      <c r="BG34" s="318" t="s">
        <v>1694</v>
      </c>
      <c r="BH34" s="255" t="s">
        <v>8046</v>
      </c>
      <c r="BI34" s="255" t="s">
        <v>8047</v>
      </c>
      <c r="BJ34" s="255" t="s">
        <v>8048</v>
      </c>
      <c r="BK34" s="255" t="s">
        <v>8049</v>
      </c>
      <c r="BL34" s="255" t="s">
        <v>8050</v>
      </c>
      <c r="BM34" s="255" t="s">
        <v>8051</v>
      </c>
      <c r="BN34" s="255" t="s">
        <v>8052</v>
      </c>
      <c r="BO34" s="255" t="s">
        <v>8053</v>
      </c>
      <c r="BP34" s="255" t="s">
        <v>8054</v>
      </c>
      <c r="BQ34" s="255" t="s">
        <v>8055</v>
      </c>
      <c r="BR34" s="255" t="s">
        <v>8056</v>
      </c>
      <c r="BS34" s="255" t="s">
        <v>8057</v>
      </c>
      <c r="BT34" s="255" t="s">
        <v>8058</v>
      </c>
      <c r="BU34" s="255" t="s">
        <v>8059</v>
      </c>
      <c r="BV34" s="255" t="s">
        <v>8060</v>
      </c>
      <c r="BW34" s="255" t="s">
        <v>8061</v>
      </c>
      <c r="BX34" s="255" t="s">
        <v>8062</v>
      </c>
      <c r="BY34" s="255" t="s">
        <v>8063</v>
      </c>
      <c r="BZ34" s="644" t="s">
        <v>8064</v>
      </c>
      <c r="CA34" s="644" t="s">
        <v>8065</v>
      </c>
      <c r="CB34" s="1011" t="s">
        <v>8066</v>
      </c>
    </row>
    <row r="35" spans="1:80" s="197" customFormat="1" ht="15.75" customHeight="1">
      <c r="B35" s="689" t="s">
        <v>8067</v>
      </c>
      <c r="C35" s="2220" t="s">
        <v>1692</v>
      </c>
      <c r="D35" s="290" t="s">
        <v>137</v>
      </c>
      <c r="E35" s="290">
        <v>3</v>
      </c>
      <c r="F35" s="655">
        <v>0</v>
      </c>
      <c r="G35" s="655">
        <v>0</v>
      </c>
      <c r="H35" s="655">
        <v>0</v>
      </c>
      <c r="I35" s="655">
        <v>0</v>
      </c>
      <c r="J35" s="655">
        <v>0</v>
      </c>
      <c r="K35" s="655">
        <v>0</v>
      </c>
      <c r="L35" s="655">
        <v>0</v>
      </c>
      <c r="M35" s="655">
        <v>0</v>
      </c>
      <c r="N35" s="277">
        <f t="shared" si="7"/>
        <v>0</v>
      </c>
      <c r="O35" s="655">
        <v>0</v>
      </c>
      <c r="P35" s="655">
        <v>0</v>
      </c>
      <c r="Q35" s="655">
        <v>0</v>
      </c>
      <c r="R35" s="655">
        <v>0</v>
      </c>
      <c r="S35" s="655">
        <v>0</v>
      </c>
      <c r="T35" s="655">
        <v>0</v>
      </c>
      <c r="U35" s="655">
        <v>0</v>
      </c>
      <c r="V35" s="655">
        <v>0</v>
      </c>
      <c r="W35" s="277">
        <f t="shared" si="52"/>
        <v>0</v>
      </c>
      <c r="X35" s="2248"/>
      <c r="Y35" s="2248"/>
      <c r="Z35" s="2249"/>
      <c r="AA35" s="893"/>
      <c r="AB35" s="700" t="s">
        <v>8068</v>
      </c>
      <c r="AC35" s="1012"/>
      <c r="AD35" s="258"/>
      <c r="AE35" s="1012"/>
      <c r="AF35" s="1009"/>
      <c r="AG35" s="251">
        <f t="shared" si="8"/>
        <v>0</v>
      </c>
      <c r="AH35" s="1010"/>
      <c r="AI35" s="252">
        <f xml:space="preserve"> IF( ISNUMBER(F35), 0, 1 )</f>
        <v>0</v>
      </c>
      <c r="AJ35" s="252">
        <f t="shared" ref="AJ35:AJ36" si="129" xml:space="preserve"> IF( ISNUMBER(G35), 0, 1 )</f>
        <v>0</v>
      </c>
      <c r="AK35" s="252">
        <f t="shared" ref="AK35:AK36" si="130" xml:space="preserve"> IF( ISNUMBER(H35), 0, 1 )</f>
        <v>0</v>
      </c>
      <c r="AL35" s="252">
        <f t="shared" ref="AL35:AL36" si="131" xml:space="preserve"> IF( ISNUMBER(I35), 0, 1 )</f>
        <v>0</v>
      </c>
      <c r="AM35" s="252">
        <f t="shared" ref="AM35:AM36" si="132" xml:space="preserve"> IF( ISNUMBER(J35), 0, 1 )</f>
        <v>0</v>
      </c>
      <c r="AN35" s="252">
        <f t="shared" ref="AN35:AN36" si="133" xml:space="preserve"> IF( ISNUMBER(K35), 0, 1 )</f>
        <v>0</v>
      </c>
      <c r="AO35" s="252">
        <f t="shared" ref="AO35:AO36" si="134" xml:space="preserve"> IF( ISNUMBER(L35), 0, 1 )</f>
        <v>0</v>
      </c>
      <c r="AP35" s="252">
        <f t="shared" ref="AP35:AP36" si="135" xml:space="preserve"> IF( ISNUMBER(M35), 0, 1 )</f>
        <v>0</v>
      </c>
      <c r="AQ35" s="200"/>
      <c r="AR35" s="252">
        <f xml:space="preserve"> IF( ISNUMBER(O35), 0, 1 )</f>
        <v>0</v>
      </c>
      <c r="AS35" s="252">
        <f t="shared" ref="AS35:AS36" si="136" xml:space="preserve"> IF( ISNUMBER(P35), 0, 1 )</f>
        <v>0</v>
      </c>
      <c r="AT35" s="252">
        <f t="shared" ref="AT35:AT36" si="137" xml:space="preserve"> IF( ISNUMBER(Q35), 0, 1 )</f>
        <v>0</v>
      </c>
      <c r="AU35" s="252">
        <f t="shared" ref="AU35:AU36" si="138" xml:space="preserve"> IF( ISNUMBER(R35), 0, 1 )</f>
        <v>0</v>
      </c>
      <c r="AV35" s="252">
        <f t="shared" ref="AV35:AV36" si="139" xml:space="preserve"> IF( ISNUMBER(S35), 0, 1 )</f>
        <v>0</v>
      </c>
      <c r="AW35" s="252">
        <f t="shared" ref="AW35:AW36" si="140" xml:space="preserve"> IF( ISNUMBER(T35), 0, 1 )</f>
        <v>0</v>
      </c>
      <c r="AX35" s="252">
        <f t="shared" ref="AX35:AX36" si="141" xml:space="preserve"> IF( ISNUMBER(U35), 0, 1 )</f>
        <v>0</v>
      </c>
      <c r="AY35" s="252">
        <f t="shared" ref="AY35:AY36" si="142" xml:space="preserve"> IF( ISNUMBER(V35), 0, 1 )</f>
        <v>0</v>
      </c>
      <c r="AZ35" s="200"/>
      <c r="BA35" s="200"/>
      <c r="BB35" s="200"/>
      <c r="BC35" s="200"/>
      <c r="BD35" s="725"/>
      <c r="BF35" s="422" t="s">
        <v>8067</v>
      </c>
      <c r="BG35" s="318" t="s">
        <v>1692</v>
      </c>
      <c r="BH35" s="254" t="s">
        <v>8069</v>
      </c>
      <c r="BI35" s="254" t="s">
        <v>8070</v>
      </c>
      <c r="BJ35" s="254" t="s">
        <v>8071</v>
      </c>
      <c r="BK35" s="254" t="s">
        <v>8072</v>
      </c>
      <c r="BL35" s="254" t="s">
        <v>8073</v>
      </c>
      <c r="BM35" s="254" t="s">
        <v>8074</v>
      </c>
      <c r="BN35" s="254" t="s">
        <v>8075</v>
      </c>
      <c r="BO35" s="254" t="s">
        <v>8076</v>
      </c>
      <c r="BP35" s="255" t="s">
        <v>8077</v>
      </c>
      <c r="BQ35" s="254" t="s">
        <v>8078</v>
      </c>
      <c r="BR35" s="254" t="s">
        <v>8079</v>
      </c>
      <c r="BS35" s="254" t="s">
        <v>8080</v>
      </c>
      <c r="BT35" s="254" t="s">
        <v>8081</v>
      </c>
      <c r="BU35" s="254" t="s">
        <v>8082</v>
      </c>
      <c r="BV35" s="254" t="s">
        <v>8083</v>
      </c>
      <c r="BW35" s="254" t="s">
        <v>8084</v>
      </c>
      <c r="BX35" s="254" t="s">
        <v>8085</v>
      </c>
      <c r="BY35" s="255" t="s">
        <v>8086</v>
      </c>
      <c r="BZ35" s="648"/>
      <c r="CA35" s="648"/>
      <c r="CB35" s="649"/>
    </row>
    <row r="36" spans="1:80" s="200" customFormat="1" ht="15.75" customHeight="1">
      <c r="B36" s="689" t="s">
        <v>8067</v>
      </c>
      <c r="C36" s="2220" t="s">
        <v>1693</v>
      </c>
      <c r="D36" s="290" t="s">
        <v>137</v>
      </c>
      <c r="E36" s="290">
        <v>3</v>
      </c>
      <c r="F36" s="655">
        <v>0</v>
      </c>
      <c r="G36" s="655">
        <v>0</v>
      </c>
      <c r="H36" s="655">
        <v>0</v>
      </c>
      <c r="I36" s="655">
        <v>0</v>
      </c>
      <c r="J36" s="655">
        <v>0</v>
      </c>
      <c r="K36" s="655">
        <v>0</v>
      </c>
      <c r="L36" s="655">
        <v>0</v>
      </c>
      <c r="M36" s="655">
        <v>0</v>
      </c>
      <c r="N36" s="277">
        <f t="shared" si="7"/>
        <v>0</v>
      </c>
      <c r="O36" s="655">
        <v>0</v>
      </c>
      <c r="P36" s="655">
        <v>0</v>
      </c>
      <c r="Q36" s="655">
        <v>0</v>
      </c>
      <c r="R36" s="655">
        <v>0</v>
      </c>
      <c r="S36" s="655">
        <v>0</v>
      </c>
      <c r="T36" s="655">
        <v>0</v>
      </c>
      <c r="U36" s="655">
        <v>0</v>
      </c>
      <c r="V36" s="655">
        <v>0</v>
      </c>
      <c r="W36" s="277">
        <f t="shared" si="52"/>
        <v>0</v>
      </c>
      <c r="X36" s="2248"/>
      <c r="Y36" s="2248"/>
      <c r="Z36" s="2249"/>
      <c r="AA36" s="893"/>
      <c r="AB36" s="700" t="s">
        <v>8087</v>
      </c>
      <c r="AC36" s="1012"/>
      <c r="AD36" s="258"/>
      <c r="AE36" s="1012"/>
      <c r="AF36" s="1009"/>
      <c r="AG36" s="251">
        <f t="shared" si="8"/>
        <v>0</v>
      </c>
      <c r="AH36" s="952"/>
      <c r="AI36" s="252">
        <f t="shared" ref="AI36" si="143" xml:space="preserve"> IF( ISNUMBER(F36), 0, 1 )</f>
        <v>0</v>
      </c>
      <c r="AJ36" s="252">
        <f t="shared" si="129"/>
        <v>0</v>
      </c>
      <c r="AK36" s="252">
        <f t="shared" si="130"/>
        <v>0</v>
      </c>
      <c r="AL36" s="252">
        <f t="shared" si="131"/>
        <v>0</v>
      </c>
      <c r="AM36" s="252">
        <f t="shared" si="132"/>
        <v>0</v>
      </c>
      <c r="AN36" s="252">
        <f t="shared" si="133"/>
        <v>0</v>
      </c>
      <c r="AO36" s="252">
        <f t="shared" si="134"/>
        <v>0</v>
      </c>
      <c r="AP36" s="252">
        <f t="shared" si="135"/>
        <v>0</v>
      </c>
      <c r="AR36" s="252">
        <f t="shared" ref="AR36" si="144" xml:space="preserve"> IF( ISNUMBER(O36), 0, 1 )</f>
        <v>0</v>
      </c>
      <c r="AS36" s="252">
        <f t="shared" si="136"/>
        <v>0</v>
      </c>
      <c r="AT36" s="252">
        <f t="shared" si="137"/>
        <v>0</v>
      </c>
      <c r="AU36" s="252">
        <f t="shared" si="138"/>
        <v>0</v>
      </c>
      <c r="AV36" s="252">
        <f t="shared" si="139"/>
        <v>0</v>
      </c>
      <c r="AW36" s="252">
        <f t="shared" si="140"/>
        <v>0</v>
      </c>
      <c r="AX36" s="252">
        <f t="shared" si="141"/>
        <v>0</v>
      </c>
      <c r="AY36" s="252">
        <f t="shared" si="142"/>
        <v>0</v>
      </c>
      <c r="BD36" s="831"/>
      <c r="BF36" s="422" t="s">
        <v>8067</v>
      </c>
      <c r="BG36" s="318" t="s">
        <v>1693</v>
      </c>
      <c r="BH36" s="254" t="s">
        <v>8088</v>
      </c>
      <c r="BI36" s="254" t="s">
        <v>8089</v>
      </c>
      <c r="BJ36" s="254" t="s">
        <v>8090</v>
      </c>
      <c r="BK36" s="254" t="s">
        <v>8091</v>
      </c>
      <c r="BL36" s="254" t="s">
        <v>8092</v>
      </c>
      <c r="BM36" s="254" t="s">
        <v>8093</v>
      </c>
      <c r="BN36" s="254" t="s">
        <v>8094</v>
      </c>
      <c r="BO36" s="254" t="s">
        <v>8095</v>
      </c>
      <c r="BP36" s="255" t="s">
        <v>8096</v>
      </c>
      <c r="BQ36" s="254" t="s">
        <v>8097</v>
      </c>
      <c r="BR36" s="254" t="s">
        <v>8098</v>
      </c>
      <c r="BS36" s="254" t="s">
        <v>8099</v>
      </c>
      <c r="BT36" s="254" t="s">
        <v>8100</v>
      </c>
      <c r="BU36" s="254" t="s">
        <v>8101</v>
      </c>
      <c r="BV36" s="254" t="s">
        <v>8102</v>
      </c>
      <c r="BW36" s="254" t="s">
        <v>8103</v>
      </c>
      <c r="BX36" s="254" t="s">
        <v>8104</v>
      </c>
      <c r="BY36" s="255" t="s">
        <v>8105</v>
      </c>
      <c r="BZ36" s="648"/>
      <c r="CA36" s="648"/>
      <c r="CB36" s="649"/>
    </row>
    <row r="37" spans="1:80" s="200" customFormat="1" ht="15.75" customHeight="1">
      <c r="B37" s="689" t="s">
        <v>8067</v>
      </c>
      <c r="C37" s="2220" t="s">
        <v>1694</v>
      </c>
      <c r="D37" s="290" t="s">
        <v>137</v>
      </c>
      <c r="E37" s="290">
        <v>3</v>
      </c>
      <c r="F37" s="277">
        <f>IFERROR(SUM(F35:F36), 0)</f>
        <v>0</v>
      </c>
      <c r="G37" s="277">
        <f t="shared" ref="G37:M37" si="145">IFERROR(SUM(G35:G36), 0)</f>
        <v>0</v>
      </c>
      <c r="H37" s="277">
        <f t="shared" si="145"/>
        <v>0</v>
      </c>
      <c r="I37" s="277">
        <f t="shared" si="145"/>
        <v>0</v>
      </c>
      <c r="J37" s="277">
        <f t="shared" si="145"/>
        <v>0</v>
      </c>
      <c r="K37" s="277">
        <f t="shared" si="145"/>
        <v>0</v>
      </c>
      <c r="L37" s="277">
        <f t="shared" si="145"/>
        <v>0</v>
      </c>
      <c r="M37" s="277">
        <f t="shared" si="145"/>
        <v>0</v>
      </c>
      <c r="N37" s="277">
        <f t="shared" si="7"/>
        <v>0</v>
      </c>
      <c r="O37" s="277">
        <f>IFERROR(SUM(O35:O36), 0)</f>
        <v>0</v>
      </c>
      <c r="P37" s="277">
        <f t="shared" ref="P37:V37" si="146">IFERROR(SUM(P35:P36), 0)</f>
        <v>0</v>
      </c>
      <c r="Q37" s="277">
        <f t="shared" si="146"/>
        <v>0</v>
      </c>
      <c r="R37" s="277">
        <f t="shared" si="146"/>
        <v>0</v>
      </c>
      <c r="S37" s="277">
        <f t="shared" si="146"/>
        <v>0</v>
      </c>
      <c r="T37" s="277">
        <f t="shared" si="146"/>
        <v>0</v>
      </c>
      <c r="U37" s="277">
        <f t="shared" si="146"/>
        <v>0</v>
      </c>
      <c r="V37" s="277">
        <f t="shared" si="146"/>
        <v>0</v>
      </c>
      <c r="W37" s="277">
        <f t="shared" si="52"/>
        <v>0</v>
      </c>
      <c r="X37" s="655">
        <v>0</v>
      </c>
      <c r="Y37" s="655">
        <v>10.42</v>
      </c>
      <c r="Z37" s="693">
        <v>13.132</v>
      </c>
      <c r="AA37" s="893"/>
      <c r="AB37" s="700" t="s">
        <v>8106</v>
      </c>
      <c r="AC37" s="1012"/>
      <c r="AD37" s="258"/>
      <c r="AE37" s="1012"/>
      <c r="AF37" s="1009"/>
      <c r="AG37" s="251">
        <f t="shared" si="8"/>
        <v>0</v>
      </c>
      <c r="AH37" s="1010"/>
      <c r="BA37" s="252">
        <f t="shared" ref="BA37" si="147" xml:space="preserve"> IF( ISNUMBER(X37), 0, 1 )</f>
        <v>0</v>
      </c>
      <c r="BB37" s="252">
        <f t="shared" ref="BB37" si="148" xml:space="preserve"> IF( ISNUMBER(Y37), 0, 1 )</f>
        <v>0</v>
      </c>
      <c r="BC37" s="252">
        <f t="shared" ref="BC37" si="149" xml:space="preserve"> IF( ISNUMBER(Z37), 0, 1 )</f>
        <v>0</v>
      </c>
      <c r="BD37" s="831"/>
      <c r="BF37" s="422" t="s">
        <v>8067</v>
      </c>
      <c r="BG37" s="318" t="s">
        <v>1694</v>
      </c>
      <c r="BH37" s="255" t="s">
        <v>8107</v>
      </c>
      <c r="BI37" s="255" t="s">
        <v>8108</v>
      </c>
      <c r="BJ37" s="255" t="s">
        <v>8109</v>
      </c>
      <c r="BK37" s="255" t="s">
        <v>8110</v>
      </c>
      <c r="BL37" s="255" t="s">
        <v>8111</v>
      </c>
      <c r="BM37" s="255" t="s">
        <v>8112</v>
      </c>
      <c r="BN37" s="255" t="s">
        <v>8113</v>
      </c>
      <c r="BO37" s="255" t="s">
        <v>8114</v>
      </c>
      <c r="BP37" s="255" t="s">
        <v>8115</v>
      </c>
      <c r="BQ37" s="255" t="s">
        <v>8116</v>
      </c>
      <c r="BR37" s="255" t="s">
        <v>8117</v>
      </c>
      <c r="BS37" s="255" t="s">
        <v>8118</v>
      </c>
      <c r="BT37" s="255" t="s">
        <v>8119</v>
      </c>
      <c r="BU37" s="255" t="s">
        <v>8120</v>
      </c>
      <c r="BV37" s="255" t="s">
        <v>8121</v>
      </c>
      <c r="BW37" s="255" t="s">
        <v>8122</v>
      </c>
      <c r="BX37" s="255" t="s">
        <v>8123</v>
      </c>
      <c r="BY37" s="255" t="s">
        <v>8124</v>
      </c>
      <c r="BZ37" s="644" t="s">
        <v>8125</v>
      </c>
      <c r="CA37" s="644" t="s">
        <v>8126</v>
      </c>
      <c r="CB37" s="1011" t="s">
        <v>8127</v>
      </c>
    </row>
    <row r="38" spans="1:80" s="200" customFormat="1" ht="33" customHeight="1">
      <c r="B38" s="689" t="s">
        <v>8128</v>
      </c>
      <c r="C38" s="2220" t="s">
        <v>1692</v>
      </c>
      <c r="D38" s="290" t="s">
        <v>137</v>
      </c>
      <c r="E38" s="290">
        <v>3</v>
      </c>
      <c r="F38" s="655">
        <v>0</v>
      </c>
      <c r="G38" s="655">
        <v>0</v>
      </c>
      <c r="H38" s="655">
        <v>0</v>
      </c>
      <c r="I38" s="655">
        <v>-3.7999999999999999E-2</v>
      </c>
      <c r="J38" s="655">
        <v>0</v>
      </c>
      <c r="K38" s="655">
        <v>0</v>
      </c>
      <c r="L38" s="655">
        <v>0</v>
      </c>
      <c r="M38" s="655">
        <v>0</v>
      </c>
      <c r="N38" s="277">
        <f t="shared" si="7"/>
        <v>-3.7999999999999999E-2</v>
      </c>
      <c r="O38" s="2247"/>
      <c r="P38" s="2247"/>
      <c r="Q38" s="2247"/>
      <c r="R38" s="2247"/>
      <c r="S38" s="2247"/>
      <c r="T38" s="2247"/>
      <c r="U38" s="2247"/>
      <c r="V38" s="2247"/>
      <c r="W38" s="2247"/>
      <c r="X38" s="2248"/>
      <c r="Y38" s="2248"/>
      <c r="Z38" s="2249"/>
      <c r="AA38" s="893"/>
      <c r="AB38" s="700" t="s">
        <v>8129</v>
      </c>
      <c r="AC38" s="1012"/>
      <c r="AD38" s="258"/>
      <c r="AE38" s="1012"/>
      <c r="AF38" s="1009"/>
      <c r="AG38" s="251">
        <f t="shared" si="8"/>
        <v>0</v>
      </c>
      <c r="AH38" s="1010"/>
      <c r="AI38" s="252">
        <f xml:space="preserve"> IF( ISNUMBER(F38), 0, 1 )</f>
        <v>0</v>
      </c>
      <c r="AJ38" s="252">
        <f t="shared" ref="AJ38:AJ39" si="150" xml:space="preserve"> IF( ISNUMBER(G38), 0, 1 )</f>
        <v>0</v>
      </c>
      <c r="AK38" s="252">
        <f t="shared" ref="AK38:AK39" si="151" xml:space="preserve"> IF( ISNUMBER(H38), 0, 1 )</f>
        <v>0</v>
      </c>
      <c r="AL38" s="252">
        <f t="shared" ref="AL38:AL39" si="152" xml:space="preserve"> IF( ISNUMBER(I38), 0, 1 )</f>
        <v>0</v>
      </c>
      <c r="AM38" s="252">
        <f t="shared" ref="AM38:AM39" si="153" xml:space="preserve"> IF( ISNUMBER(J38), 0, 1 )</f>
        <v>0</v>
      </c>
      <c r="AN38" s="252">
        <f t="shared" ref="AN38:AN39" si="154" xml:space="preserve"> IF( ISNUMBER(K38), 0, 1 )</f>
        <v>0</v>
      </c>
      <c r="AO38" s="252">
        <f t="shared" ref="AO38:AO39" si="155" xml:space="preserve"> IF( ISNUMBER(L38), 0, 1 )</f>
        <v>0</v>
      </c>
      <c r="AP38" s="252">
        <f t="shared" ref="AP38:AP39" si="156" xml:space="preserve"> IF( ISNUMBER(M38), 0, 1 )</f>
        <v>0</v>
      </c>
      <c r="BD38" s="831"/>
      <c r="BF38" s="422" t="s">
        <v>8128</v>
      </c>
      <c r="BG38" s="318" t="s">
        <v>1692</v>
      </c>
      <c r="BH38" s="254" t="s">
        <v>8130</v>
      </c>
      <c r="BI38" s="254" t="s">
        <v>8131</v>
      </c>
      <c r="BJ38" s="254" t="s">
        <v>8132</v>
      </c>
      <c r="BK38" s="254" t="s">
        <v>8133</v>
      </c>
      <c r="BL38" s="254" t="s">
        <v>8134</v>
      </c>
      <c r="BM38" s="254" t="s">
        <v>8135</v>
      </c>
      <c r="BN38" s="254" t="s">
        <v>8136</v>
      </c>
      <c r="BO38" s="254" t="s">
        <v>8137</v>
      </c>
      <c r="BP38" s="255" t="s">
        <v>8138</v>
      </c>
      <c r="BQ38" s="361"/>
      <c r="BR38" s="361"/>
      <c r="BS38" s="361"/>
      <c r="BT38" s="361"/>
      <c r="BU38" s="361"/>
      <c r="BV38" s="361"/>
      <c r="BW38" s="361"/>
      <c r="BX38" s="361"/>
      <c r="BY38" s="361"/>
      <c r="BZ38" s="648"/>
      <c r="CA38" s="648"/>
      <c r="CB38" s="649"/>
    </row>
    <row r="39" spans="1:80" s="197" customFormat="1" ht="33" customHeight="1">
      <c r="B39" s="689" t="s">
        <v>8128</v>
      </c>
      <c r="C39" s="2220" t="s">
        <v>1693</v>
      </c>
      <c r="D39" s="290" t="s">
        <v>137</v>
      </c>
      <c r="E39" s="290">
        <v>3</v>
      </c>
      <c r="F39" s="655">
        <v>0</v>
      </c>
      <c r="G39" s="655">
        <v>0</v>
      </c>
      <c r="H39" s="655">
        <v>0</v>
      </c>
      <c r="I39" s="655">
        <v>0</v>
      </c>
      <c r="J39" s="655">
        <v>0</v>
      </c>
      <c r="K39" s="655">
        <v>0</v>
      </c>
      <c r="L39" s="655">
        <v>0</v>
      </c>
      <c r="M39" s="655">
        <v>0</v>
      </c>
      <c r="N39" s="277">
        <f t="shared" si="7"/>
        <v>0</v>
      </c>
      <c r="O39" s="2247"/>
      <c r="P39" s="2247"/>
      <c r="Q39" s="2247"/>
      <c r="R39" s="2247"/>
      <c r="S39" s="2247"/>
      <c r="T39" s="2247"/>
      <c r="U39" s="2247"/>
      <c r="V39" s="2247"/>
      <c r="W39" s="2247"/>
      <c r="X39" s="2248"/>
      <c r="Y39" s="2248"/>
      <c r="Z39" s="2249"/>
      <c r="AA39" s="893"/>
      <c r="AB39" s="700" t="s">
        <v>8139</v>
      </c>
      <c r="AC39" s="1012"/>
      <c r="AD39" s="258"/>
      <c r="AE39" s="1012"/>
      <c r="AF39" s="1009"/>
      <c r="AG39" s="251">
        <f t="shared" si="8"/>
        <v>0</v>
      </c>
      <c r="AH39" s="952"/>
      <c r="AI39" s="252">
        <f t="shared" ref="AI39" si="157" xml:space="preserve"> IF( ISNUMBER(F39), 0, 1 )</f>
        <v>0</v>
      </c>
      <c r="AJ39" s="252">
        <f t="shared" si="150"/>
        <v>0</v>
      </c>
      <c r="AK39" s="252">
        <f t="shared" si="151"/>
        <v>0</v>
      </c>
      <c r="AL39" s="252">
        <f t="shared" si="152"/>
        <v>0</v>
      </c>
      <c r="AM39" s="252">
        <f t="shared" si="153"/>
        <v>0</v>
      </c>
      <c r="AN39" s="252">
        <f t="shared" si="154"/>
        <v>0</v>
      </c>
      <c r="AO39" s="252">
        <f t="shared" si="155"/>
        <v>0</v>
      </c>
      <c r="AP39" s="252">
        <f t="shared" si="156"/>
        <v>0</v>
      </c>
      <c r="AQ39" s="200"/>
      <c r="AR39" s="200"/>
      <c r="AS39" s="200"/>
      <c r="AT39" s="200"/>
      <c r="AU39" s="200"/>
      <c r="AV39" s="200"/>
      <c r="AW39" s="200"/>
      <c r="AX39" s="200"/>
      <c r="AY39" s="200"/>
      <c r="AZ39" s="200"/>
      <c r="BA39" s="200"/>
      <c r="BB39" s="200"/>
      <c r="BC39" s="200"/>
      <c r="BD39" s="725"/>
      <c r="BF39" s="422" t="s">
        <v>8128</v>
      </c>
      <c r="BG39" s="318" t="s">
        <v>1693</v>
      </c>
      <c r="BH39" s="254" t="s">
        <v>8140</v>
      </c>
      <c r="BI39" s="254" t="s">
        <v>8141</v>
      </c>
      <c r="BJ39" s="254" t="s">
        <v>8142</v>
      </c>
      <c r="BK39" s="254" t="s">
        <v>8143</v>
      </c>
      <c r="BL39" s="254" t="s">
        <v>8144</v>
      </c>
      <c r="BM39" s="254" t="s">
        <v>8145</v>
      </c>
      <c r="BN39" s="254" t="s">
        <v>8146</v>
      </c>
      <c r="BO39" s="254" t="s">
        <v>8147</v>
      </c>
      <c r="BP39" s="255" t="s">
        <v>8148</v>
      </c>
      <c r="BQ39" s="361"/>
      <c r="BR39" s="361"/>
      <c r="BS39" s="361"/>
      <c r="BT39" s="361"/>
      <c r="BU39" s="361"/>
      <c r="BV39" s="361"/>
      <c r="BW39" s="361"/>
      <c r="BX39" s="361"/>
      <c r="BY39" s="361"/>
      <c r="BZ39" s="648"/>
      <c r="CA39" s="648"/>
      <c r="CB39" s="649"/>
    </row>
    <row r="40" spans="1:80" s="197" customFormat="1" ht="33" customHeight="1">
      <c r="B40" s="689" t="s">
        <v>8128</v>
      </c>
      <c r="C40" s="2220" t="s">
        <v>1694</v>
      </c>
      <c r="D40" s="290" t="s">
        <v>137</v>
      </c>
      <c r="E40" s="290">
        <v>3</v>
      </c>
      <c r="F40" s="277">
        <f>IFERROR(SUM(F38:F39), 0)</f>
        <v>0</v>
      </c>
      <c r="G40" s="277">
        <f t="shared" ref="G40:M40" si="158">IFERROR(SUM(G38:G39), 0)</f>
        <v>0</v>
      </c>
      <c r="H40" s="277">
        <f t="shared" si="158"/>
        <v>0</v>
      </c>
      <c r="I40" s="277">
        <f t="shared" si="158"/>
        <v>-3.7999999999999999E-2</v>
      </c>
      <c r="J40" s="277">
        <f t="shared" si="158"/>
        <v>0</v>
      </c>
      <c r="K40" s="277">
        <f t="shared" si="158"/>
        <v>0</v>
      </c>
      <c r="L40" s="277">
        <f t="shared" si="158"/>
        <v>0</v>
      </c>
      <c r="M40" s="277">
        <f t="shared" si="158"/>
        <v>0</v>
      </c>
      <c r="N40" s="277">
        <f t="shared" si="7"/>
        <v>-3.7999999999999999E-2</v>
      </c>
      <c r="O40" s="2247"/>
      <c r="P40" s="2247"/>
      <c r="Q40" s="2247"/>
      <c r="R40" s="2247"/>
      <c r="S40" s="2247"/>
      <c r="T40" s="2247"/>
      <c r="U40" s="2247"/>
      <c r="V40" s="2247"/>
      <c r="W40" s="2247"/>
      <c r="X40" s="655">
        <v>0.29399999999999998</v>
      </c>
      <c r="Y40" s="655">
        <v>1.921</v>
      </c>
      <c r="Z40" s="693">
        <v>2.4209999999999998</v>
      </c>
      <c r="AA40" s="893"/>
      <c r="AB40" s="700" t="s">
        <v>8149</v>
      </c>
      <c r="AC40" s="1012"/>
      <c r="AD40" s="258"/>
      <c r="AE40" s="1012"/>
      <c r="AF40" s="1009"/>
      <c r="AG40" s="251">
        <f t="shared" si="8"/>
        <v>0</v>
      </c>
      <c r="AH40" s="1010"/>
      <c r="AI40" s="200"/>
      <c r="AJ40" s="200"/>
      <c r="AK40" s="200"/>
      <c r="AL40" s="200"/>
      <c r="AM40" s="200"/>
      <c r="AN40" s="200"/>
      <c r="AO40" s="200"/>
      <c r="AP40" s="200"/>
      <c r="AQ40" s="200"/>
      <c r="AR40" s="200"/>
      <c r="AS40" s="200"/>
      <c r="AT40" s="200"/>
      <c r="AU40" s="200"/>
      <c r="AV40" s="200"/>
      <c r="AW40" s="200"/>
      <c r="AX40" s="200"/>
      <c r="AY40" s="200"/>
      <c r="AZ40" s="200"/>
      <c r="BA40" s="252">
        <f t="shared" ref="BA40" si="159" xml:space="preserve"> IF( ISNUMBER(X40), 0, 1 )</f>
        <v>0</v>
      </c>
      <c r="BB40" s="252">
        <f t="shared" ref="BB40" si="160" xml:space="preserve"> IF( ISNUMBER(Y40), 0, 1 )</f>
        <v>0</v>
      </c>
      <c r="BC40" s="252">
        <f t="shared" ref="BC40" si="161" xml:space="preserve"> IF( ISNUMBER(Z40), 0, 1 )</f>
        <v>0</v>
      </c>
      <c r="BD40" s="725"/>
      <c r="BF40" s="422" t="s">
        <v>8128</v>
      </c>
      <c r="BG40" s="318" t="s">
        <v>1694</v>
      </c>
      <c r="BH40" s="255" t="s">
        <v>8150</v>
      </c>
      <c r="BI40" s="255" t="s">
        <v>8151</v>
      </c>
      <c r="BJ40" s="255" t="s">
        <v>8152</v>
      </c>
      <c r="BK40" s="255" t="s">
        <v>8153</v>
      </c>
      <c r="BL40" s="255" t="s">
        <v>8154</v>
      </c>
      <c r="BM40" s="255" t="s">
        <v>8155</v>
      </c>
      <c r="BN40" s="255" t="s">
        <v>8156</v>
      </c>
      <c r="BO40" s="255" t="s">
        <v>8157</v>
      </c>
      <c r="BP40" s="255" t="s">
        <v>8158</v>
      </c>
      <c r="BQ40" s="361"/>
      <c r="BR40" s="361"/>
      <c r="BS40" s="361"/>
      <c r="BT40" s="361"/>
      <c r="BU40" s="361"/>
      <c r="BV40" s="361"/>
      <c r="BW40" s="361"/>
      <c r="BX40" s="361"/>
      <c r="BY40" s="361"/>
      <c r="BZ40" s="644" t="s">
        <v>8159</v>
      </c>
      <c r="CA40" s="644" t="s">
        <v>8160</v>
      </c>
      <c r="CB40" s="1011" t="s">
        <v>8161</v>
      </c>
    </row>
    <row r="41" spans="1:80" ht="15.75" customHeight="1">
      <c r="A41" s="197"/>
      <c r="B41" s="689" t="s">
        <v>8162</v>
      </c>
      <c r="C41" s="2220" t="s">
        <v>1692</v>
      </c>
      <c r="D41" s="290" t="s">
        <v>137</v>
      </c>
      <c r="E41" s="290">
        <v>3</v>
      </c>
      <c r="F41" s="655">
        <v>0</v>
      </c>
      <c r="G41" s="655">
        <v>0</v>
      </c>
      <c r="H41" s="655">
        <v>0</v>
      </c>
      <c r="I41" s="655">
        <v>0</v>
      </c>
      <c r="J41" s="655">
        <v>0</v>
      </c>
      <c r="K41" s="655">
        <v>0</v>
      </c>
      <c r="L41" s="655">
        <v>0</v>
      </c>
      <c r="M41" s="655">
        <v>0</v>
      </c>
      <c r="N41" s="277">
        <f t="shared" si="7"/>
        <v>0</v>
      </c>
      <c r="O41" s="2247"/>
      <c r="P41" s="2247"/>
      <c r="Q41" s="2247"/>
      <c r="R41" s="2247"/>
      <c r="S41" s="2247"/>
      <c r="T41" s="2247"/>
      <c r="U41" s="2247"/>
      <c r="V41" s="2247"/>
      <c r="W41" s="2247"/>
      <c r="X41" s="2248"/>
      <c r="Y41" s="2248"/>
      <c r="Z41" s="2249"/>
      <c r="AA41" s="893"/>
      <c r="AB41" s="700" t="s">
        <v>8163</v>
      </c>
      <c r="AC41" s="239"/>
      <c r="AD41" s="258"/>
      <c r="AE41" s="239"/>
      <c r="AF41" s="2576"/>
      <c r="AG41" s="251">
        <f t="shared" si="8"/>
        <v>0</v>
      </c>
      <c r="AH41" s="2576"/>
      <c r="AI41" s="252">
        <f xml:space="preserve"> IF( ISNUMBER(F41), 0, 1 )</f>
        <v>0</v>
      </c>
      <c r="AJ41" s="252">
        <f t="shared" ref="AJ41:AJ42" si="162" xml:space="preserve"> IF( ISNUMBER(G41), 0, 1 )</f>
        <v>0</v>
      </c>
      <c r="AK41" s="252">
        <f t="shared" ref="AK41:AK42" si="163" xml:space="preserve"> IF( ISNUMBER(H41), 0, 1 )</f>
        <v>0</v>
      </c>
      <c r="AL41" s="252">
        <f t="shared" ref="AL41:AL42" si="164" xml:space="preserve"> IF( ISNUMBER(I41), 0, 1 )</f>
        <v>0</v>
      </c>
      <c r="AM41" s="252">
        <f t="shared" ref="AM41:AM42" si="165" xml:space="preserve"> IF( ISNUMBER(J41), 0, 1 )</f>
        <v>0</v>
      </c>
      <c r="AN41" s="252">
        <f t="shared" ref="AN41:AN42" si="166" xml:space="preserve"> IF( ISNUMBER(K41), 0, 1 )</f>
        <v>0</v>
      </c>
      <c r="AO41" s="252">
        <f t="shared" ref="AO41:AO42" si="167" xml:space="preserve"> IF( ISNUMBER(L41), 0, 1 )</f>
        <v>0</v>
      </c>
      <c r="AP41" s="252">
        <f t="shared" ref="AP41:AP42" si="168" xml:space="preserve"> IF( ISNUMBER(M41), 0, 1 )</f>
        <v>0</v>
      </c>
      <c r="AQ41" s="200"/>
      <c r="AR41" s="200"/>
      <c r="AS41" s="200"/>
      <c r="AT41" s="200"/>
      <c r="AU41" s="200"/>
      <c r="AV41" s="200"/>
      <c r="AW41" s="200"/>
      <c r="AX41" s="200"/>
      <c r="AY41" s="200"/>
      <c r="AZ41" s="200"/>
      <c r="BA41" s="200"/>
      <c r="BB41" s="200"/>
      <c r="BC41" s="200"/>
      <c r="BD41" s="2578"/>
      <c r="BE41" s="2562"/>
      <c r="BF41" s="422" t="s">
        <v>8162</v>
      </c>
      <c r="BG41" s="318" t="s">
        <v>1692</v>
      </c>
      <c r="BH41" s="254" t="s">
        <v>8164</v>
      </c>
      <c r="BI41" s="254" t="s">
        <v>8165</v>
      </c>
      <c r="BJ41" s="254" t="s">
        <v>8166</v>
      </c>
      <c r="BK41" s="254" t="s">
        <v>8167</v>
      </c>
      <c r="BL41" s="254" t="s">
        <v>8168</v>
      </c>
      <c r="BM41" s="254" t="s">
        <v>8169</v>
      </c>
      <c r="BN41" s="254" t="s">
        <v>8170</v>
      </c>
      <c r="BO41" s="254" t="s">
        <v>8171</v>
      </c>
      <c r="BP41" s="255" t="s">
        <v>8172</v>
      </c>
      <c r="BQ41" s="361"/>
      <c r="BR41" s="361"/>
      <c r="BS41" s="361"/>
      <c r="BT41" s="361"/>
      <c r="BU41" s="361"/>
      <c r="BV41" s="361"/>
      <c r="BW41" s="361"/>
      <c r="BX41" s="361"/>
      <c r="BY41" s="361"/>
      <c r="BZ41" s="648"/>
      <c r="CA41" s="648"/>
      <c r="CB41" s="649"/>
    </row>
    <row r="42" spans="1:80" s="197" customFormat="1" ht="15.75" customHeight="1">
      <c r="B42" s="689" t="s">
        <v>8162</v>
      </c>
      <c r="C42" s="2220" t="s">
        <v>1693</v>
      </c>
      <c r="D42" s="290" t="s">
        <v>137</v>
      </c>
      <c r="E42" s="290">
        <v>3</v>
      </c>
      <c r="F42" s="655">
        <v>0</v>
      </c>
      <c r="G42" s="655">
        <v>0</v>
      </c>
      <c r="H42" s="655">
        <v>0</v>
      </c>
      <c r="I42" s="655">
        <v>0</v>
      </c>
      <c r="J42" s="655">
        <v>0</v>
      </c>
      <c r="K42" s="655">
        <v>0</v>
      </c>
      <c r="L42" s="655">
        <v>0</v>
      </c>
      <c r="M42" s="655">
        <v>0</v>
      </c>
      <c r="N42" s="277">
        <f t="shared" si="7"/>
        <v>0</v>
      </c>
      <c r="O42" s="2247"/>
      <c r="P42" s="2247"/>
      <c r="Q42" s="2247"/>
      <c r="R42" s="2247"/>
      <c r="S42" s="2247"/>
      <c r="T42" s="2247"/>
      <c r="U42" s="2247"/>
      <c r="V42" s="2247"/>
      <c r="W42" s="2247"/>
      <c r="X42" s="2248"/>
      <c r="Y42" s="2248"/>
      <c r="Z42" s="2249"/>
      <c r="AA42" s="893"/>
      <c r="AB42" s="700" t="s">
        <v>8173</v>
      </c>
      <c r="AC42" s="1008"/>
      <c r="AD42" s="258"/>
      <c r="AE42" s="1008"/>
      <c r="AF42" s="1009"/>
      <c r="AG42" s="251">
        <f t="shared" si="8"/>
        <v>0</v>
      </c>
      <c r="AH42" s="952"/>
      <c r="AI42" s="252">
        <f t="shared" ref="AI42" si="169" xml:space="preserve"> IF( ISNUMBER(F42), 0, 1 )</f>
        <v>0</v>
      </c>
      <c r="AJ42" s="252">
        <f t="shared" si="162"/>
        <v>0</v>
      </c>
      <c r="AK42" s="252">
        <f t="shared" si="163"/>
        <v>0</v>
      </c>
      <c r="AL42" s="252">
        <f t="shared" si="164"/>
        <v>0</v>
      </c>
      <c r="AM42" s="252">
        <f t="shared" si="165"/>
        <v>0</v>
      </c>
      <c r="AN42" s="252">
        <f t="shared" si="166"/>
        <v>0</v>
      </c>
      <c r="AO42" s="252">
        <f t="shared" si="167"/>
        <v>0</v>
      </c>
      <c r="AP42" s="252">
        <f t="shared" si="168"/>
        <v>0</v>
      </c>
      <c r="AQ42" s="200"/>
      <c r="AR42" s="200"/>
      <c r="AS42" s="200"/>
      <c r="AT42" s="200"/>
      <c r="AU42" s="200"/>
      <c r="AV42" s="200"/>
      <c r="AW42" s="200"/>
      <c r="AX42" s="200"/>
      <c r="AY42" s="200"/>
      <c r="AZ42" s="200"/>
      <c r="BA42" s="200"/>
      <c r="BB42" s="200"/>
      <c r="BC42" s="200"/>
      <c r="BD42" s="725"/>
      <c r="BF42" s="422" t="s">
        <v>8162</v>
      </c>
      <c r="BG42" s="318" t="s">
        <v>1693</v>
      </c>
      <c r="BH42" s="254" t="s">
        <v>8174</v>
      </c>
      <c r="BI42" s="254" t="s">
        <v>8175</v>
      </c>
      <c r="BJ42" s="254" t="s">
        <v>8176</v>
      </c>
      <c r="BK42" s="254" t="s">
        <v>8177</v>
      </c>
      <c r="BL42" s="254" t="s">
        <v>8178</v>
      </c>
      <c r="BM42" s="254" t="s">
        <v>8179</v>
      </c>
      <c r="BN42" s="254" t="s">
        <v>8180</v>
      </c>
      <c r="BO42" s="254" t="s">
        <v>8181</v>
      </c>
      <c r="BP42" s="255" t="s">
        <v>8182</v>
      </c>
      <c r="BQ42" s="361"/>
      <c r="BR42" s="361"/>
      <c r="BS42" s="361"/>
      <c r="BT42" s="361"/>
      <c r="BU42" s="361"/>
      <c r="BV42" s="361"/>
      <c r="BW42" s="361"/>
      <c r="BX42" s="361"/>
      <c r="BY42" s="361"/>
      <c r="BZ42" s="648"/>
      <c r="CA42" s="648"/>
      <c r="CB42" s="649"/>
    </row>
    <row r="43" spans="1:80" ht="15.75" customHeight="1">
      <c r="A43" s="197"/>
      <c r="B43" s="689" t="s">
        <v>8162</v>
      </c>
      <c r="C43" s="2220" t="s">
        <v>1694</v>
      </c>
      <c r="D43" s="290" t="s">
        <v>137</v>
      </c>
      <c r="E43" s="290">
        <v>3</v>
      </c>
      <c r="F43" s="277">
        <f>IFERROR(SUM(F41:F42), 0)</f>
        <v>0</v>
      </c>
      <c r="G43" s="277">
        <f t="shared" ref="G43:M43" si="170">IFERROR(SUM(G41:G42), 0)</f>
        <v>0</v>
      </c>
      <c r="H43" s="277">
        <f t="shared" si="170"/>
        <v>0</v>
      </c>
      <c r="I43" s="277">
        <f t="shared" si="170"/>
        <v>0</v>
      </c>
      <c r="J43" s="277">
        <f t="shared" si="170"/>
        <v>0</v>
      </c>
      <c r="K43" s="277">
        <f t="shared" si="170"/>
        <v>0</v>
      </c>
      <c r="L43" s="277">
        <f t="shared" si="170"/>
        <v>0</v>
      </c>
      <c r="M43" s="277">
        <f t="shared" si="170"/>
        <v>0</v>
      </c>
      <c r="N43" s="277">
        <f t="shared" si="7"/>
        <v>0</v>
      </c>
      <c r="O43" s="2247"/>
      <c r="P43" s="2247"/>
      <c r="Q43" s="2247"/>
      <c r="R43" s="2247"/>
      <c r="S43" s="2247"/>
      <c r="T43" s="2247"/>
      <c r="U43" s="2247"/>
      <c r="V43" s="2247"/>
      <c r="W43" s="2247"/>
      <c r="X43" s="655">
        <v>0</v>
      </c>
      <c r="Y43" s="655">
        <v>0</v>
      </c>
      <c r="Z43" s="693">
        <v>0</v>
      </c>
      <c r="AA43" s="893"/>
      <c r="AB43" s="700" t="s">
        <v>8183</v>
      </c>
      <c r="AC43" s="197"/>
      <c r="AD43" s="258"/>
      <c r="AE43" s="197"/>
      <c r="AF43" s="2576"/>
      <c r="AG43" s="251">
        <f t="shared" si="8"/>
        <v>0</v>
      </c>
      <c r="AH43" s="1010"/>
      <c r="AI43" s="200"/>
      <c r="AJ43" s="200"/>
      <c r="AK43" s="200"/>
      <c r="AL43" s="200"/>
      <c r="AM43" s="200"/>
      <c r="AN43" s="200"/>
      <c r="AO43" s="200"/>
      <c r="AP43" s="200"/>
      <c r="AQ43" s="200"/>
      <c r="AR43" s="200"/>
      <c r="AS43" s="200"/>
      <c r="AT43" s="200"/>
      <c r="AU43" s="200"/>
      <c r="AV43" s="200"/>
      <c r="AW43" s="200"/>
      <c r="AX43" s="200"/>
      <c r="AY43" s="200"/>
      <c r="AZ43" s="200"/>
      <c r="BA43" s="252">
        <f t="shared" ref="BA43" si="171" xml:space="preserve"> IF( ISNUMBER(X43), 0, 1 )</f>
        <v>0</v>
      </c>
      <c r="BB43" s="252">
        <f t="shared" ref="BB43" si="172" xml:space="preserve"> IF( ISNUMBER(Y43), 0, 1 )</f>
        <v>0</v>
      </c>
      <c r="BC43" s="252">
        <f t="shared" ref="BC43" si="173" xml:space="preserve"> IF( ISNUMBER(Z43), 0, 1 )</f>
        <v>0</v>
      </c>
      <c r="BD43" s="2578"/>
      <c r="BE43" s="2562"/>
      <c r="BF43" s="422" t="s">
        <v>8162</v>
      </c>
      <c r="BG43" s="318" t="s">
        <v>1694</v>
      </c>
      <c r="BH43" s="255" t="s">
        <v>8184</v>
      </c>
      <c r="BI43" s="255" t="s">
        <v>8185</v>
      </c>
      <c r="BJ43" s="255" t="s">
        <v>8186</v>
      </c>
      <c r="BK43" s="255" t="s">
        <v>8187</v>
      </c>
      <c r="BL43" s="255" t="s">
        <v>8188</v>
      </c>
      <c r="BM43" s="255" t="s">
        <v>8189</v>
      </c>
      <c r="BN43" s="255" t="s">
        <v>8190</v>
      </c>
      <c r="BO43" s="255" t="s">
        <v>8191</v>
      </c>
      <c r="BP43" s="255" t="s">
        <v>8192</v>
      </c>
      <c r="BQ43" s="361"/>
      <c r="BR43" s="361"/>
      <c r="BS43" s="361"/>
      <c r="BT43" s="361"/>
      <c r="BU43" s="361"/>
      <c r="BV43" s="361"/>
      <c r="BW43" s="361"/>
      <c r="BX43" s="361"/>
      <c r="BY43" s="361"/>
      <c r="BZ43" s="644" t="s">
        <v>8193</v>
      </c>
      <c r="CA43" s="644" t="s">
        <v>8194</v>
      </c>
      <c r="CB43" s="1011" t="s">
        <v>8195</v>
      </c>
    </row>
    <row r="44" spans="1:80" ht="15.75" customHeight="1">
      <c r="A44" s="197"/>
      <c r="B44" s="689" t="s">
        <v>8196</v>
      </c>
      <c r="C44" s="2220" t="s">
        <v>1692</v>
      </c>
      <c r="D44" s="290" t="s">
        <v>137</v>
      </c>
      <c r="E44" s="290">
        <v>3</v>
      </c>
      <c r="F44" s="655">
        <v>0</v>
      </c>
      <c r="G44" s="655">
        <v>0</v>
      </c>
      <c r="H44" s="655">
        <v>0</v>
      </c>
      <c r="I44" s="655">
        <v>83.397000000000006</v>
      </c>
      <c r="J44" s="655">
        <v>0</v>
      </c>
      <c r="K44" s="655">
        <v>0</v>
      </c>
      <c r="L44" s="655">
        <v>0</v>
      </c>
      <c r="M44" s="655">
        <v>0</v>
      </c>
      <c r="N44" s="277">
        <f t="shared" si="7"/>
        <v>83.397000000000006</v>
      </c>
      <c r="O44" s="655">
        <v>0</v>
      </c>
      <c r="P44" s="655">
        <v>0</v>
      </c>
      <c r="Q44" s="655">
        <v>0</v>
      </c>
      <c r="R44" s="655">
        <v>10.544</v>
      </c>
      <c r="S44" s="655">
        <v>0</v>
      </c>
      <c r="T44" s="655">
        <v>0</v>
      </c>
      <c r="U44" s="655">
        <v>0</v>
      </c>
      <c r="V44" s="655">
        <v>0</v>
      </c>
      <c r="W44" s="277">
        <f>IFERROR(SUM(O44:V44), 0)</f>
        <v>10.544</v>
      </c>
      <c r="X44" s="2248"/>
      <c r="Y44" s="2248"/>
      <c r="Z44" s="2249"/>
      <c r="AA44" s="893"/>
      <c r="AB44" s="700" t="s">
        <v>8197</v>
      </c>
      <c r="AC44" s="197"/>
      <c r="AD44" s="258"/>
      <c r="AE44" s="197"/>
      <c r="AF44" s="2576"/>
      <c r="AG44" s="251">
        <f t="shared" si="8"/>
        <v>0</v>
      </c>
      <c r="AH44" s="1010"/>
      <c r="AI44" s="252">
        <f xml:space="preserve"> IF( ISNUMBER(F44), 0, 1 )</f>
        <v>0</v>
      </c>
      <c r="AJ44" s="252">
        <f t="shared" ref="AJ44:AJ45" si="174" xml:space="preserve"> IF( ISNUMBER(G44), 0, 1 )</f>
        <v>0</v>
      </c>
      <c r="AK44" s="252">
        <f t="shared" ref="AK44:AK45" si="175" xml:space="preserve"> IF( ISNUMBER(H44), 0, 1 )</f>
        <v>0</v>
      </c>
      <c r="AL44" s="252">
        <f t="shared" ref="AL44:AL45" si="176" xml:space="preserve"> IF( ISNUMBER(I44), 0, 1 )</f>
        <v>0</v>
      </c>
      <c r="AM44" s="252">
        <f t="shared" ref="AM44:AM45" si="177" xml:space="preserve"> IF( ISNUMBER(J44), 0, 1 )</f>
        <v>0</v>
      </c>
      <c r="AN44" s="252">
        <f t="shared" ref="AN44:AN45" si="178" xml:space="preserve"> IF( ISNUMBER(K44), 0, 1 )</f>
        <v>0</v>
      </c>
      <c r="AO44" s="252">
        <f t="shared" ref="AO44:AO45" si="179" xml:space="preserve"> IF( ISNUMBER(L44), 0, 1 )</f>
        <v>0</v>
      </c>
      <c r="AP44" s="252">
        <f t="shared" ref="AP44:AP45" si="180" xml:space="preserve"> IF( ISNUMBER(M44), 0, 1 )</f>
        <v>0</v>
      </c>
      <c r="AQ44" s="200"/>
      <c r="AR44" s="252">
        <f xml:space="preserve"> IF( ISNUMBER(O44), 0, 1 )</f>
        <v>0</v>
      </c>
      <c r="AS44" s="252">
        <f t="shared" ref="AS44:AS45" si="181" xml:space="preserve"> IF( ISNUMBER(P44), 0, 1 )</f>
        <v>0</v>
      </c>
      <c r="AT44" s="252">
        <f t="shared" ref="AT44:AT45" si="182" xml:space="preserve"> IF( ISNUMBER(Q44), 0, 1 )</f>
        <v>0</v>
      </c>
      <c r="AU44" s="252">
        <f t="shared" ref="AU44:AU45" si="183" xml:space="preserve"> IF( ISNUMBER(R44), 0, 1 )</f>
        <v>0</v>
      </c>
      <c r="AV44" s="252">
        <f t="shared" ref="AV44:AV45" si="184" xml:space="preserve"> IF( ISNUMBER(S44), 0, 1 )</f>
        <v>0</v>
      </c>
      <c r="AW44" s="252">
        <f t="shared" ref="AW44:AW45" si="185" xml:space="preserve"> IF( ISNUMBER(T44), 0, 1 )</f>
        <v>0</v>
      </c>
      <c r="AX44" s="252">
        <f t="shared" ref="AX44:AX45" si="186" xml:space="preserve"> IF( ISNUMBER(U44), 0, 1 )</f>
        <v>0</v>
      </c>
      <c r="AY44" s="252">
        <f t="shared" ref="AY44:AY45" si="187" xml:space="preserve"> IF( ISNUMBER(V44), 0, 1 )</f>
        <v>0</v>
      </c>
      <c r="AZ44" s="200"/>
      <c r="BA44" s="200"/>
      <c r="BB44" s="200"/>
      <c r="BC44" s="200"/>
      <c r="BD44" s="2578"/>
      <c r="BE44" s="2562"/>
      <c r="BF44" s="422" t="s">
        <v>8196</v>
      </c>
      <c r="BG44" s="318" t="s">
        <v>1692</v>
      </c>
      <c r="BH44" s="254" t="s">
        <v>8198</v>
      </c>
      <c r="BI44" s="254" t="s">
        <v>8199</v>
      </c>
      <c r="BJ44" s="254" t="s">
        <v>8200</v>
      </c>
      <c r="BK44" s="254" t="s">
        <v>8201</v>
      </c>
      <c r="BL44" s="254" t="s">
        <v>8202</v>
      </c>
      <c r="BM44" s="254" t="s">
        <v>8203</v>
      </c>
      <c r="BN44" s="254" t="s">
        <v>8204</v>
      </c>
      <c r="BO44" s="254" t="s">
        <v>8205</v>
      </c>
      <c r="BP44" s="255" t="s">
        <v>8206</v>
      </c>
      <c r="BQ44" s="254" t="s">
        <v>8207</v>
      </c>
      <c r="BR44" s="254" t="s">
        <v>8208</v>
      </c>
      <c r="BS44" s="254" t="s">
        <v>8209</v>
      </c>
      <c r="BT44" s="254" t="s">
        <v>8210</v>
      </c>
      <c r="BU44" s="254" t="s">
        <v>8211</v>
      </c>
      <c r="BV44" s="254" t="s">
        <v>8212</v>
      </c>
      <c r="BW44" s="254" t="s">
        <v>8213</v>
      </c>
      <c r="BX44" s="254" t="s">
        <v>8214</v>
      </c>
      <c r="BY44" s="255" t="s">
        <v>8215</v>
      </c>
      <c r="BZ44" s="648"/>
      <c r="CA44" s="648"/>
      <c r="CB44" s="649"/>
    </row>
    <row r="45" spans="1:80" ht="15.75" customHeight="1">
      <c r="A45" s="197"/>
      <c r="B45" s="689" t="s">
        <v>8196</v>
      </c>
      <c r="C45" s="2220" t="s">
        <v>1693</v>
      </c>
      <c r="D45" s="290" t="s">
        <v>137</v>
      </c>
      <c r="E45" s="290">
        <v>3</v>
      </c>
      <c r="F45" s="655">
        <v>0</v>
      </c>
      <c r="G45" s="655">
        <v>0</v>
      </c>
      <c r="H45" s="655">
        <v>0</v>
      </c>
      <c r="I45" s="655">
        <v>0.35399999999999998</v>
      </c>
      <c r="J45" s="655">
        <v>0</v>
      </c>
      <c r="K45" s="655">
        <v>0</v>
      </c>
      <c r="L45" s="655">
        <v>0</v>
      </c>
      <c r="M45" s="655">
        <v>0</v>
      </c>
      <c r="N45" s="277">
        <f t="shared" si="7"/>
        <v>0.35399999999999998</v>
      </c>
      <c r="O45" s="655">
        <v>0</v>
      </c>
      <c r="P45" s="655">
        <v>0</v>
      </c>
      <c r="Q45" s="655">
        <v>0</v>
      </c>
      <c r="R45" s="655">
        <v>0.59</v>
      </c>
      <c r="S45" s="655">
        <v>0</v>
      </c>
      <c r="T45" s="655">
        <v>0</v>
      </c>
      <c r="U45" s="655">
        <v>0</v>
      </c>
      <c r="V45" s="655">
        <v>0</v>
      </c>
      <c r="W45" s="277">
        <f t="shared" ref="W45:W51" si="188">IFERROR(SUM(O45:V45), 0)</f>
        <v>0.59</v>
      </c>
      <c r="X45" s="2248"/>
      <c r="Y45" s="2248"/>
      <c r="Z45" s="2249"/>
      <c r="AA45" s="893"/>
      <c r="AB45" s="700" t="s">
        <v>8216</v>
      </c>
      <c r="AC45" s="197"/>
      <c r="AD45" s="258"/>
      <c r="AE45" s="197"/>
      <c r="AF45" s="2576"/>
      <c r="AG45" s="251">
        <f t="shared" si="8"/>
        <v>0</v>
      </c>
      <c r="AH45" s="952"/>
      <c r="AI45" s="252">
        <f t="shared" ref="AI45" si="189" xml:space="preserve"> IF( ISNUMBER(F45), 0, 1 )</f>
        <v>0</v>
      </c>
      <c r="AJ45" s="252">
        <f t="shared" si="174"/>
        <v>0</v>
      </c>
      <c r="AK45" s="252">
        <f t="shared" si="175"/>
        <v>0</v>
      </c>
      <c r="AL45" s="252">
        <f t="shared" si="176"/>
        <v>0</v>
      </c>
      <c r="AM45" s="252">
        <f t="shared" si="177"/>
        <v>0</v>
      </c>
      <c r="AN45" s="252">
        <f t="shared" si="178"/>
        <v>0</v>
      </c>
      <c r="AO45" s="252">
        <f t="shared" si="179"/>
        <v>0</v>
      </c>
      <c r="AP45" s="252">
        <f t="shared" si="180"/>
        <v>0</v>
      </c>
      <c r="AQ45" s="200"/>
      <c r="AR45" s="252">
        <f t="shared" ref="AR45" si="190" xml:space="preserve"> IF( ISNUMBER(O45), 0, 1 )</f>
        <v>0</v>
      </c>
      <c r="AS45" s="252">
        <f t="shared" si="181"/>
        <v>0</v>
      </c>
      <c r="AT45" s="252">
        <f t="shared" si="182"/>
        <v>0</v>
      </c>
      <c r="AU45" s="252">
        <f t="shared" si="183"/>
        <v>0</v>
      </c>
      <c r="AV45" s="252">
        <f t="shared" si="184"/>
        <v>0</v>
      </c>
      <c r="AW45" s="252">
        <f t="shared" si="185"/>
        <v>0</v>
      </c>
      <c r="AX45" s="252">
        <f t="shared" si="186"/>
        <v>0</v>
      </c>
      <c r="AY45" s="252">
        <f t="shared" si="187"/>
        <v>0</v>
      </c>
      <c r="AZ45" s="200"/>
      <c r="BA45" s="200"/>
      <c r="BB45" s="200"/>
      <c r="BC45" s="200"/>
      <c r="BD45" s="2578"/>
      <c r="BE45" s="2562"/>
      <c r="BF45" s="422" t="s">
        <v>8196</v>
      </c>
      <c r="BG45" s="318" t="s">
        <v>1693</v>
      </c>
      <c r="BH45" s="254" t="s">
        <v>8217</v>
      </c>
      <c r="BI45" s="254" t="s">
        <v>8218</v>
      </c>
      <c r="BJ45" s="254" t="s">
        <v>8219</v>
      </c>
      <c r="BK45" s="254" t="s">
        <v>8220</v>
      </c>
      <c r="BL45" s="254" t="s">
        <v>8221</v>
      </c>
      <c r="BM45" s="254" t="s">
        <v>8222</v>
      </c>
      <c r="BN45" s="254" t="s">
        <v>8223</v>
      </c>
      <c r="BO45" s="254" t="s">
        <v>8224</v>
      </c>
      <c r="BP45" s="255" t="s">
        <v>8225</v>
      </c>
      <c r="BQ45" s="254" t="s">
        <v>8226</v>
      </c>
      <c r="BR45" s="254" t="s">
        <v>8227</v>
      </c>
      <c r="BS45" s="254" t="s">
        <v>8228</v>
      </c>
      <c r="BT45" s="254" t="s">
        <v>8229</v>
      </c>
      <c r="BU45" s="254" t="s">
        <v>8230</v>
      </c>
      <c r="BV45" s="254" t="s">
        <v>8231</v>
      </c>
      <c r="BW45" s="254" t="s">
        <v>8232</v>
      </c>
      <c r="BX45" s="254" t="s">
        <v>8233</v>
      </c>
      <c r="BY45" s="255" t="s">
        <v>8234</v>
      </c>
      <c r="BZ45" s="648"/>
      <c r="CA45" s="648"/>
      <c r="CB45" s="649"/>
    </row>
    <row r="46" spans="1:80" ht="15.75" customHeight="1">
      <c r="A46" s="197"/>
      <c r="B46" s="689" t="s">
        <v>8196</v>
      </c>
      <c r="C46" s="2220" t="s">
        <v>1694</v>
      </c>
      <c r="D46" s="290" t="s">
        <v>137</v>
      </c>
      <c r="E46" s="290">
        <v>3</v>
      </c>
      <c r="F46" s="277">
        <f>IFERROR(SUM(F44:F45), 0)</f>
        <v>0</v>
      </c>
      <c r="G46" s="277">
        <f t="shared" ref="G46:M46" si="191">IFERROR(SUM(G44:G45), 0)</f>
        <v>0</v>
      </c>
      <c r="H46" s="277">
        <f t="shared" si="191"/>
        <v>0</v>
      </c>
      <c r="I46" s="277">
        <f t="shared" si="191"/>
        <v>83.751000000000005</v>
      </c>
      <c r="J46" s="277">
        <f t="shared" si="191"/>
        <v>0</v>
      </c>
      <c r="K46" s="277">
        <f t="shared" si="191"/>
        <v>0</v>
      </c>
      <c r="L46" s="277">
        <f t="shared" si="191"/>
        <v>0</v>
      </c>
      <c r="M46" s="277">
        <f t="shared" si="191"/>
        <v>0</v>
      </c>
      <c r="N46" s="277">
        <f t="shared" si="7"/>
        <v>83.751000000000005</v>
      </c>
      <c r="O46" s="277">
        <f>IFERROR(SUM(O44:O45), 0)</f>
        <v>0</v>
      </c>
      <c r="P46" s="277">
        <f t="shared" ref="P46:V46" si="192">IFERROR(SUM(P44:P45), 0)</f>
        <v>0</v>
      </c>
      <c r="Q46" s="277">
        <f t="shared" si="192"/>
        <v>0</v>
      </c>
      <c r="R46" s="277">
        <f>IFERROR(SUM(R44:R45), 0)</f>
        <v>11.134</v>
      </c>
      <c r="S46" s="277">
        <f t="shared" si="192"/>
        <v>0</v>
      </c>
      <c r="T46" s="277">
        <f t="shared" si="192"/>
        <v>0</v>
      </c>
      <c r="U46" s="277">
        <f t="shared" si="192"/>
        <v>0</v>
      </c>
      <c r="V46" s="277">
        <f t="shared" si="192"/>
        <v>0</v>
      </c>
      <c r="W46" s="277">
        <f t="shared" si="188"/>
        <v>11.134</v>
      </c>
      <c r="X46" s="655">
        <v>99.962999999999994</v>
      </c>
      <c r="Y46" s="655">
        <v>515.65099999999995</v>
      </c>
      <c r="Z46" s="693">
        <v>649.827</v>
      </c>
      <c r="AA46" s="893"/>
      <c r="AB46" s="700" t="s">
        <v>8235</v>
      </c>
      <c r="AC46" s="197"/>
      <c r="AD46" s="258"/>
      <c r="AE46" s="197"/>
      <c r="AF46" s="2576"/>
      <c r="AG46" s="251">
        <f t="shared" si="8"/>
        <v>0</v>
      </c>
      <c r="AH46" s="1010"/>
      <c r="AI46" s="200"/>
      <c r="AJ46" s="200"/>
      <c r="AK46" s="200"/>
      <c r="AL46" s="200"/>
      <c r="AM46" s="200"/>
      <c r="AN46" s="200"/>
      <c r="AO46" s="200"/>
      <c r="AP46" s="200"/>
      <c r="AQ46" s="200"/>
      <c r="AR46" s="200"/>
      <c r="AS46" s="200"/>
      <c r="AT46" s="200"/>
      <c r="AU46" s="200"/>
      <c r="AV46" s="200"/>
      <c r="AW46" s="200"/>
      <c r="AX46" s="200"/>
      <c r="AY46" s="200"/>
      <c r="AZ46" s="200"/>
      <c r="BA46" s="252">
        <f t="shared" ref="BA46" si="193" xml:space="preserve"> IF( ISNUMBER(X46), 0, 1 )</f>
        <v>0</v>
      </c>
      <c r="BB46" s="252">
        <f t="shared" ref="BB46" si="194" xml:space="preserve"> IF( ISNUMBER(Y46), 0, 1 )</f>
        <v>0</v>
      </c>
      <c r="BC46" s="252">
        <f t="shared" ref="BC46" si="195" xml:space="preserve"> IF( ISNUMBER(Z46), 0, 1 )</f>
        <v>0</v>
      </c>
      <c r="BD46" s="2578"/>
      <c r="BE46" s="2562"/>
      <c r="BF46" s="422" t="s">
        <v>8196</v>
      </c>
      <c r="BG46" s="318" t="s">
        <v>1694</v>
      </c>
      <c r="BH46" s="255" t="s">
        <v>8236</v>
      </c>
      <c r="BI46" s="255" t="s">
        <v>8237</v>
      </c>
      <c r="BJ46" s="255" t="s">
        <v>8238</v>
      </c>
      <c r="BK46" s="255" t="s">
        <v>8239</v>
      </c>
      <c r="BL46" s="255" t="s">
        <v>8240</v>
      </c>
      <c r="BM46" s="255" t="s">
        <v>8241</v>
      </c>
      <c r="BN46" s="255" t="s">
        <v>8242</v>
      </c>
      <c r="BO46" s="255" t="s">
        <v>8243</v>
      </c>
      <c r="BP46" s="255" t="s">
        <v>8244</v>
      </c>
      <c r="BQ46" s="255" t="s">
        <v>8245</v>
      </c>
      <c r="BR46" s="255" t="s">
        <v>8246</v>
      </c>
      <c r="BS46" s="255" t="s">
        <v>8247</v>
      </c>
      <c r="BT46" s="255" t="s">
        <v>8248</v>
      </c>
      <c r="BU46" s="255" t="s">
        <v>8249</v>
      </c>
      <c r="BV46" s="255" t="s">
        <v>8250</v>
      </c>
      <c r="BW46" s="255" t="s">
        <v>8251</v>
      </c>
      <c r="BX46" s="255" t="s">
        <v>8252</v>
      </c>
      <c r="BY46" s="255" t="s">
        <v>8253</v>
      </c>
      <c r="BZ46" s="644" t="s">
        <v>8254</v>
      </c>
      <c r="CA46" s="644" t="s">
        <v>8255</v>
      </c>
      <c r="CB46" s="1011" t="s">
        <v>8256</v>
      </c>
    </row>
    <row r="47" spans="1:80" ht="15.75" customHeight="1">
      <c r="A47" s="197"/>
      <c r="B47" s="689" t="s">
        <v>8257</v>
      </c>
      <c r="C47" s="2220" t="s">
        <v>1692</v>
      </c>
      <c r="D47" s="290" t="s">
        <v>137</v>
      </c>
      <c r="E47" s="290">
        <v>3</v>
      </c>
      <c r="F47" s="655">
        <v>0</v>
      </c>
      <c r="G47" s="655">
        <v>0</v>
      </c>
      <c r="H47" s="655">
        <v>0</v>
      </c>
      <c r="I47" s="655">
        <v>1.0169999999999999</v>
      </c>
      <c r="J47" s="655">
        <v>0</v>
      </c>
      <c r="K47" s="655">
        <v>0</v>
      </c>
      <c r="L47" s="655">
        <v>0</v>
      </c>
      <c r="M47" s="655">
        <v>0</v>
      </c>
      <c r="N47" s="277">
        <f t="shared" si="7"/>
        <v>1.0169999999999999</v>
      </c>
      <c r="O47" s="655">
        <v>0</v>
      </c>
      <c r="P47" s="655">
        <v>0</v>
      </c>
      <c r="Q47" s="655">
        <v>0</v>
      </c>
      <c r="R47" s="655">
        <v>0.76900000000000002</v>
      </c>
      <c r="S47" s="655">
        <v>0</v>
      </c>
      <c r="T47" s="655">
        <v>0</v>
      </c>
      <c r="U47" s="655">
        <v>0</v>
      </c>
      <c r="V47" s="655">
        <v>0</v>
      </c>
      <c r="W47" s="277">
        <f t="shared" si="188"/>
        <v>0.76900000000000002</v>
      </c>
      <c r="X47" s="2248"/>
      <c r="Y47" s="2248"/>
      <c r="Z47" s="2249"/>
      <c r="AA47" s="893"/>
      <c r="AB47" s="700" t="s">
        <v>8258</v>
      </c>
      <c r="AC47" s="197"/>
      <c r="AD47" s="258"/>
      <c r="AE47" s="197"/>
      <c r="AF47" s="2576"/>
      <c r="AG47" s="251">
        <f t="shared" si="8"/>
        <v>0</v>
      </c>
      <c r="AH47" s="1010"/>
      <c r="AI47" s="252">
        <f xml:space="preserve"> IF( ISNUMBER(F47), 0, 1 )</f>
        <v>0</v>
      </c>
      <c r="AJ47" s="252">
        <f t="shared" ref="AJ47:AJ48" si="196" xml:space="preserve"> IF( ISNUMBER(G47), 0, 1 )</f>
        <v>0</v>
      </c>
      <c r="AK47" s="252">
        <f t="shared" ref="AK47:AK48" si="197" xml:space="preserve"> IF( ISNUMBER(H47), 0, 1 )</f>
        <v>0</v>
      </c>
      <c r="AL47" s="252">
        <f t="shared" ref="AL47:AL48" si="198" xml:space="preserve"> IF( ISNUMBER(I47), 0, 1 )</f>
        <v>0</v>
      </c>
      <c r="AM47" s="252">
        <f t="shared" ref="AM47:AM48" si="199" xml:space="preserve"> IF( ISNUMBER(J47), 0, 1 )</f>
        <v>0</v>
      </c>
      <c r="AN47" s="252">
        <f t="shared" ref="AN47:AN48" si="200" xml:space="preserve"> IF( ISNUMBER(K47), 0, 1 )</f>
        <v>0</v>
      </c>
      <c r="AO47" s="252">
        <f t="shared" ref="AO47:AO48" si="201" xml:space="preserve"> IF( ISNUMBER(L47), 0, 1 )</f>
        <v>0</v>
      </c>
      <c r="AP47" s="252">
        <f t="shared" ref="AP47:AP48" si="202" xml:space="preserve"> IF( ISNUMBER(M47), 0, 1 )</f>
        <v>0</v>
      </c>
      <c r="AQ47" s="200"/>
      <c r="AR47" s="252">
        <f xml:space="preserve"> IF( ISNUMBER(O47), 0, 1 )</f>
        <v>0</v>
      </c>
      <c r="AS47" s="252">
        <f t="shared" ref="AS47:AS48" si="203" xml:space="preserve"> IF( ISNUMBER(P47), 0, 1 )</f>
        <v>0</v>
      </c>
      <c r="AT47" s="252">
        <f t="shared" ref="AT47:AT48" si="204" xml:space="preserve"> IF( ISNUMBER(Q47), 0, 1 )</f>
        <v>0</v>
      </c>
      <c r="AU47" s="252">
        <f t="shared" ref="AU47:AU48" si="205" xml:space="preserve"> IF( ISNUMBER(R47), 0, 1 )</f>
        <v>0</v>
      </c>
      <c r="AV47" s="252">
        <f t="shared" ref="AV47:AV48" si="206" xml:space="preserve"> IF( ISNUMBER(S47), 0, 1 )</f>
        <v>0</v>
      </c>
      <c r="AW47" s="252">
        <f t="shared" ref="AW47:AW48" si="207" xml:space="preserve"> IF( ISNUMBER(T47), 0, 1 )</f>
        <v>0</v>
      </c>
      <c r="AX47" s="252">
        <f t="shared" ref="AX47:AX48" si="208" xml:space="preserve"> IF( ISNUMBER(U47), 0, 1 )</f>
        <v>0</v>
      </c>
      <c r="AY47" s="252">
        <f t="shared" ref="AY47:AY48" si="209" xml:space="preserve"> IF( ISNUMBER(V47), 0, 1 )</f>
        <v>0</v>
      </c>
      <c r="AZ47" s="200"/>
      <c r="BA47" s="200"/>
      <c r="BB47" s="200"/>
      <c r="BC47" s="200"/>
      <c r="BD47" s="2578"/>
      <c r="BE47" s="2562"/>
      <c r="BF47" s="422" t="s">
        <v>8257</v>
      </c>
      <c r="BG47" s="318" t="s">
        <v>1692</v>
      </c>
      <c r="BH47" s="254" t="s">
        <v>8259</v>
      </c>
      <c r="BI47" s="254" t="s">
        <v>8260</v>
      </c>
      <c r="BJ47" s="254" t="s">
        <v>8261</v>
      </c>
      <c r="BK47" s="254" t="s">
        <v>8262</v>
      </c>
      <c r="BL47" s="254" t="s">
        <v>8263</v>
      </c>
      <c r="BM47" s="254" t="s">
        <v>8264</v>
      </c>
      <c r="BN47" s="254" t="s">
        <v>8265</v>
      </c>
      <c r="BO47" s="254" t="s">
        <v>8266</v>
      </c>
      <c r="BP47" s="255" t="s">
        <v>8267</v>
      </c>
      <c r="BQ47" s="254" t="s">
        <v>8268</v>
      </c>
      <c r="BR47" s="254" t="s">
        <v>8269</v>
      </c>
      <c r="BS47" s="254" t="s">
        <v>8270</v>
      </c>
      <c r="BT47" s="254" t="s">
        <v>8271</v>
      </c>
      <c r="BU47" s="254" t="s">
        <v>8272</v>
      </c>
      <c r="BV47" s="254" t="s">
        <v>8273</v>
      </c>
      <c r="BW47" s="254" t="s">
        <v>8274</v>
      </c>
      <c r="BX47" s="254" t="s">
        <v>8275</v>
      </c>
      <c r="BY47" s="255" t="s">
        <v>8276</v>
      </c>
      <c r="BZ47" s="648"/>
      <c r="CA47" s="648"/>
      <c r="CB47" s="649"/>
    </row>
    <row r="48" spans="1:80" s="234" customFormat="1" ht="15.75" customHeight="1">
      <c r="A48" s="239"/>
      <c r="B48" s="689" t="s">
        <v>8257</v>
      </c>
      <c r="C48" s="2220" t="s">
        <v>1693</v>
      </c>
      <c r="D48" s="290" t="s">
        <v>137</v>
      </c>
      <c r="E48" s="290">
        <v>3</v>
      </c>
      <c r="F48" s="655">
        <v>0</v>
      </c>
      <c r="G48" s="655">
        <v>0</v>
      </c>
      <c r="H48" s="655">
        <v>0</v>
      </c>
      <c r="I48" s="655">
        <v>0</v>
      </c>
      <c r="J48" s="655">
        <v>0</v>
      </c>
      <c r="K48" s="655">
        <v>0</v>
      </c>
      <c r="L48" s="655">
        <v>0</v>
      </c>
      <c r="M48" s="655">
        <v>0</v>
      </c>
      <c r="N48" s="277">
        <f t="shared" si="7"/>
        <v>0</v>
      </c>
      <c r="O48" s="655">
        <v>0</v>
      </c>
      <c r="P48" s="655">
        <v>0</v>
      </c>
      <c r="Q48" s="655">
        <v>0</v>
      </c>
      <c r="R48" s="655">
        <v>0</v>
      </c>
      <c r="S48" s="655">
        <v>0</v>
      </c>
      <c r="T48" s="655">
        <v>0</v>
      </c>
      <c r="U48" s="655">
        <v>0</v>
      </c>
      <c r="V48" s="655">
        <v>0</v>
      </c>
      <c r="W48" s="277">
        <f t="shared" si="188"/>
        <v>0</v>
      </c>
      <c r="X48" s="2248"/>
      <c r="Y48" s="2248"/>
      <c r="Z48" s="2249"/>
      <c r="AA48" s="313"/>
      <c r="AB48" s="700" t="s">
        <v>8277</v>
      </c>
      <c r="AC48" s="197"/>
      <c r="AD48" s="258"/>
      <c r="AE48" s="197"/>
      <c r="AF48" s="2576"/>
      <c r="AG48" s="251">
        <f t="shared" si="8"/>
        <v>0</v>
      </c>
      <c r="AH48" s="952"/>
      <c r="AI48" s="252">
        <f t="shared" ref="AI48" si="210" xml:space="preserve"> IF( ISNUMBER(F48), 0, 1 )</f>
        <v>0</v>
      </c>
      <c r="AJ48" s="252">
        <f t="shared" si="196"/>
        <v>0</v>
      </c>
      <c r="AK48" s="252">
        <f t="shared" si="197"/>
        <v>0</v>
      </c>
      <c r="AL48" s="252">
        <f t="shared" si="198"/>
        <v>0</v>
      </c>
      <c r="AM48" s="252">
        <f t="shared" si="199"/>
        <v>0</v>
      </c>
      <c r="AN48" s="252">
        <f t="shared" si="200"/>
        <v>0</v>
      </c>
      <c r="AO48" s="252">
        <f t="shared" si="201"/>
        <v>0</v>
      </c>
      <c r="AP48" s="252">
        <f t="shared" si="202"/>
        <v>0</v>
      </c>
      <c r="AQ48" s="200"/>
      <c r="AR48" s="252">
        <f t="shared" ref="AR48" si="211" xml:space="preserve"> IF( ISNUMBER(O48), 0, 1 )</f>
        <v>0</v>
      </c>
      <c r="AS48" s="252">
        <f t="shared" si="203"/>
        <v>0</v>
      </c>
      <c r="AT48" s="252">
        <f t="shared" si="204"/>
        <v>0</v>
      </c>
      <c r="AU48" s="252">
        <f t="shared" si="205"/>
        <v>0</v>
      </c>
      <c r="AV48" s="252">
        <f t="shared" si="206"/>
        <v>0</v>
      </c>
      <c r="AW48" s="252">
        <f t="shared" si="207"/>
        <v>0</v>
      </c>
      <c r="AX48" s="252">
        <f t="shared" si="208"/>
        <v>0</v>
      </c>
      <c r="AY48" s="252">
        <f t="shared" si="209"/>
        <v>0</v>
      </c>
      <c r="AZ48" s="200"/>
      <c r="BA48" s="200"/>
      <c r="BB48" s="200"/>
      <c r="BC48" s="200"/>
      <c r="BD48" s="2578"/>
      <c r="BE48" s="2573"/>
      <c r="BF48" s="422" t="s">
        <v>8257</v>
      </c>
      <c r="BG48" s="318" t="s">
        <v>1693</v>
      </c>
      <c r="BH48" s="254" t="s">
        <v>8278</v>
      </c>
      <c r="BI48" s="254" t="s">
        <v>8279</v>
      </c>
      <c r="BJ48" s="254" t="s">
        <v>8280</v>
      </c>
      <c r="BK48" s="254" t="s">
        <v>8281</v>
      </c>
      <c r="BL48" s="254" t="s">
        <v>8282</v>
      </c>
      <c r="BM48" s="254" t="s">
        <v>8283</v>
      </c>
      <c r="BN48" s="254" t="s">
        <v>8284</v>
      </c>
      <c r="BO48" s="254" t="s">
        <v>8285</v>
      </c>
      <c r="BP48" s="255" t="s">
        <v>8286</v>
      </c>
      <c r="BQ48" s="254" t="s">
        <v>8287</v>
      </c>
      <c r="BR48" s="254" t="s">
        <v>8288</v>
      </c>
      <c r="BS48" s="254" t="s">
        <v>8289</v>
      </c>
      <c r="BT48" s="254" t="s">
        <v>8290</v>
      </c>
      <c r="BU48" s="254" t="s">
        <v>8291</v>
      </c>
      <c r="BV48" s="254" t="s">
        <v>8292</v>
      </c>
      <c r="BW48" s="254" t="s">
        <v>8293</v>
      </c>
      <c r="BX48" s="254" t="s">
        <v>8294</v>
      </c>
      <c r="BY48" s="255" t="s">
        <v>8295</v>
      </c>
      <c r="BZ48" s="648"/>
      <c r="CA48" s="648"/>
      <c r="CB48" s="649"/>
    </row>
    <row r="49" spans="1:80" s="234" customFormat="1" ht="15.75" customHeight="1">
      <c r="A49" s="239"/>
      <c r="B49" s="689" t="s">
        <v>8257</v>
      </c>
      <c r="C49" s="2220" t="s">
        <v>1694</v>
      </c>
      <c r="D49" s="290" t="s">
        <v>137</v>
      </c>
      <c r="E49" s="290">
        <v>3</v>
      </c>
      <c r="F49" s="277">
        <f>IFERROR(SUM(F47:F48), 0)</f>
        <v>0</v>
      </c>
      <c r="G49" s="277">
        <f t="shared" ref="G49:M49" si="212">IFERROR(SUM(G47:G48), 0)</f>
        <v>0</v>
      </c>
      <c r="H49" s="277">
        <f t="shared" si="212"/>
        <v>0</v>
      </c>
      <c r="I49" s="277">
        <f t="shared" si="212"/>
        <v>1.0169999999999999</v>
      </c>
      <c r="J49" s="277">
        <f t="shared" si="212"/>
        <v>0</v>
      </c>
      <c r="K49" s="277">
        <f t="shared" si="212"/>
        <v>0</v>
      </c>
      <c r="L49" s="277">
        <f t="shared" si="212"/>
        <v>0</v>
      </c>
      <c r="M49" s="277">
        <f t="shared" si="212"/>
        <v>0</v>
      </c>
      <c r="N49" s="277">
        <f t="shared" si="7"/>
        <v>1.0169999999999999</v>
      </c>
      <c r="O49" s="277">
        <f>IFERROR(SUM(O47:O48), 0)</f>
        <v>0</v>
      </c>
      <c r="P49" s="277">
        <f t="shared" ref="P49:V49" si="213">IFERROR(SUM(P47:P48), 0)</f>
        <v>0</v>
      </c>
      <c r="Q49" s="277">
        <f t="shared" si="213"/>
        <v>0</v>
      </c>
      <c r="R49" s="277">
        <f t="shared" si="213"/>
        <v>0.76900000000000002</v>
      </c>
      <c r="S49" s="277">
        <f t="shared" si="213"/>
        <v>0</v>
      </c>
      <c r="T49" s="277">
        <f t="shared" si="213"/>
        <v>0</v>
      </c>
      <c r="U49" s="277">
        <f t="shared" si="213"/>
        <v>0</v>
      </c>
      <c r="V49" s="277">
        <f t="shared" si="213"/>
        <v>0</v>
      </c>
      <c r="W49" s="277">
        <f t="shared" si="188"/>
        <v>0.76900000000000002</v>
      </c>
      <c r="X49" s="655">
        <v>3.1259999999999999</v>
      </c>
      <c r="Y49" s="655">
        <v>9.3539999999999992</v>
      </c>
      <c r="Z49" s="693">
        <v>11.788</v>
      </c>
      <c r="AA49" s="313"/>
      <c r="AB49" s="700" t="s">
        <v>8296</v>
      </c>
      <c r="AC49" s="197"/>
      <c r="AD49" s="258"/>
      <c r="AE49" s="197"/>
      <c r="AF49" s="2576"/>
      <c r="AG49" s="251">
        <f t="shared" si="8"/>
        <v>0</v>
      </c>
      <c r="AH49" s="1010"/>
      <c r="AI49" s="200"/>
      <c r="AJ49" s="200"/>
      <c r="AK49" s="200"/>
      <c r="AL49" s="200"/>
      <c r="AM49" s="200"/>
      <c r="AN49" s="200"/>
      <c r="AO49" s="200"/>
      <c r="AP49" s="200"/>
      <c r="AQ49" s="200"/>
      <c r="AR49" s="200"/>
      <c r="AS49" s="200"/>
      <c r="AT49" s="200"/>
      <c r="AU49" s="200"/>
      <c r="AV49" s="200"/>
      <c r="AW49" s="200"/>
      <c r="AX49" s="200"/>
      <c r="AY49" s="200"/>
      <c r="AZ49" s="200"/>
      <c r="BA49" s="252">
        <f t="shared" ref="BA49" si="214" xml:space="preserve"> IF( ISNUMBER(X49), 0, 1 )</f>
        <v>0</v>
      </c>
      <c r="BB49" s="252">
        <f t="shared" ref="BB49" si="215" xml:space="preserve"> IF( ISNUMBER(Y49), 0, 1 )</f>
        <v>0</v>
      </c>
      <c r="BC49" s="252">
        <f t="shared" ref="BC49" si="216" xml:space="preserve"> IF( ISNUMBER(Z49), 0, 1 )</f>
        <v>0</v>
      </c>
      <c r="BD49" s="2578"/>
      <c r="BE49" s="2573"/>
      <c r="BF49" s="422" t="s">
        <v>8257</v>
      </c>
      <c r="BG49" s="318" t="s">
        <v>1694</v>
      </c>
      <c r="BH49" s="255" t="s">
        <v>8297</v>
      </c>
      <c r="BI49" s="255" t="s">
        <v>8298</v>
      </c>
      <c r="BJ49" s="255" t="s">
        <v>8299</v>
      </c>
      <c r="BK49" s="255" t="s">
        <v>8300</v>
      </c>
      <c r="BL49" s="255" t="s">
        <v>8301</v>
      </c>
      <c r="BM49" s="255" t="s">
        <v>8302</v>
      </c>
      <c r="BN49" s="255" t="s">
        <v>8303</v>
      </c>
      <c r="BO49" s="255" t="s">
        <v>8304</v>
      </c>
      <c r="BP49" s="255" t="s">
        <v>8305</v>
      </c>
      <c r="BQ49" s="255" t="s">
        <v>8306</v>
      </c>
      <c r="BR49" s="255" t="s">
        <v>8307</v>
      </c>
      <c r="BS49" s="255" t="s">
        <v>8308</v>
      </c>
      <c r="BT49" s="255" t="s">
        <v>8309</v>
      </c>
      <c r="BU49" s="255" t="s">
        <v>8310</v>
      </c>
      <c r="BV49" s="255" t="s">
        <v>8311</v>
      </c>
      <c r="BW49" s="255" t="s">
        <v>8312</v>
      </c>
      <c r="BX49" s="255" t="s">
        <v>8313</v>
      </c>
      <c r="BY49" s="255" t="s">
        <v>8314</v>
      </c>
      <c r="BZ49" s="644" t="s">
        <v>8315</v>
      </c>
      <c r="CA49" s="644" t="s">
        <v>8316</v>
      </c>
      <c r="CB49" s="1011" t="s">
        <v>8317</v>
      </c>
    </row>
    <row r="50" spans="1:80" s="234" customFormat="1" ht="15.65" customHeight="1">
      <c r="A50" s="239"/>
      <c r="B50" s="689" t="s">
        <v>8318</v>
      </c>
      <c r="C50" s="2220" t="s">
        <v>1692</v>
      </c>
      <c r="D50" s="290" t="s">
        <v>137</v>
      </c>
      <c r="E50" s="290">
        <v>3</v>
      </c>
      <c r="F50" s="655">
        <v>0</v>
      </c>
      <c r="G50" s="655">
        <v>0</v>
      </c>
      <c r="H50" s="655">
        <v>0</v>
      </c>
      <c r="I50" s="655">
        <v>0</v>
      </c>
      <c r="J50" s="655">
        <v>0</v>
      </c>
      <c r="K50" s="655">
        <v>0</v>
      </c>
      <c r="L50" s="655">
        <v>0</v>
      </c>
      <c r="M50" s="655">
        <v>0</v>
      </c>
      <c r="N50" s="277">
        <f t="shared" si="7"/>
        <v>0</v>
      </c>
      <c r="O50" s="655">
        <v>0</v>
      </c>
      <c r="P50" s="655">
        <v>0</v>
      </c>
      <c r="Q50" s="655">
        <v>0</v>
      </c>
      <c r="R50" s="655">
        <v>0</v>
      </c>
      <c r="S50" s="655">
        <v>0</v>
      </c>
      <c r="T50" s="655">
        <v>0</v>
      </c>
      <c r="U50" s="655">
        <v>0</v>
      </c>
      <c r="V50" s="655">
        <v>0</v>
      </c>
      <c r="W50" s="277">
        <f t="shared" si="188"/>
        <v>0</v>
      </c>
      <c r="X50" s="2248"/>
      <c r="Y50" s="2248"/>
      <c r="Z50" s="2249"/>
      <c r="AA50" s="313"/>
      <c r="AB50" s="700" t="s">
        <v>8319</v>
      </c>
      <c r="AC50" s="197"/>
      <c r="AD50" s="258"/>
      <c r="AE50" s="197"/>
      <c r="AF50" s="2576"/>
      <c r="AG50" s="251">
        <f t="shared" si="8"/>
        <v>0</v>
      </c>
      <c r="AH50" s="1010"/>
      <c r="AI50" s="252">
        <f xml:space="preserve"> IF( ISNUMBER(F50), 0, 1 )</f>
        <v>0</v>
      </c>
      <c r="AJ50" s="252">
        <f t="shared" ref="AJ50:AJ51" si="217" xml:space="preserve"> IF( ISNUMBER(G50), 0, 1 )</f>
        <v>0</v>
      </c>
      <c r="AK50" s="252">
        <f t="shared" ref="AK50:AK51" si="218" xml:space="preserve"> IF( ISNUMBER(H50), 0, 1 )</f>
        <v>0</v>
      </c>
      <c r="AL50" s="252">
        <f t="shared" ref="AL50:AL51" si="219" xml:space="preserve"> IF( ISNUMBER(I50), 0, 1 )</f>
        <v>0</v>
      </c>
      <c r="AM50" s="252">
        <f t="shared" ref="AM50:AM51" si="220" xml:space="preserve"> IF( ISNUMBER(J50), 0, 1 )</f>
        <v>0</v>
      </c>
      <c r="AN50" s="252">
        <f t="shared" ref="AN50:AN51" si="221" xml:space="preserve"> IF( ISNUMBER(K50), 0, 1 )</f>
        <v>0</v>
      </c>
      <c r="AO50" s="252">
        <f t="shared" ref="AO50:AO51" si="222" xml:space="preserve"> IF( ISNUMBER(L50), 0, 1 )</f>
        <v>0</v>
      </c>
      <c r="AP50" s="252">
        <f t="shared" ref="AP50:AP51" si="223" xml:space="preserve"> IF( ISNUMBER(M50), 0, 1 )</f>
        <v>0</v>
      </c>
      <c r="AQ50" s="200"/>
      <c r="AR50" s="252">
        <f xml:space="preserve"> IF( ISNUMBER(O50), 0, 1 )</f>
        <v>0</v>
      </c>
      <c r="AS50" s="252">
        <f t="shared" ref="AS50:AS51" si="224" xml:space="preserve"> IF( ISNUMBER(P50), 0, 1 )</f>
        <v>0</v>
      </c>
      <c r="AT50" s="252">
        <f t="shared" ref="AT50:AT51" si="225" xml:space="preserve"> IF( ISNUMBER(Q50), 0, 1 )</f>
        <v>0</v>
      </c>
      <c r="AU50" s="252">
        <f t="shared" ref="AU50:AU51" si="226" xml:space="preserve"> IF( ISNUMBER(R50), 0, 1 )</f>
        <v>0</v>
      </c>
      <c r="AV50" s="252">
        <f t="shared" ref="AV50:AV51" si="227" xml:space="preserve"> IF( ISNUMBER(S50), 0, 1 )</f>
        <v>0</v>
      </c>
      <c r="AW50" s="252">
        <f t="shared" ref="AW50:AW51" si="228" xml:space="preserve"> IF( ISNUMBER(T50), 0, 1 )</f>
        <v>0</v>
      </c>
      <c r="AX50" s="252">
        <f t="shared" ref="AX50:AX51" si="229" xml:space="preserve"> IF( ISNUMBER(U50), 0, 1 )</f>
        <v>0</v>
      </c>
      <c r="AY50" s="252">
        <f t="shared" ref="AY50:AY51" si="230" xml:space="preserve"> IF( ISNUMBER(V50), 0, 1 )</f>
        <v>0</v>
      </c>
      <c r="AZ50" s="200"/>
      <c r="BA50" s="200"/>
      <c r="BB50" s="200"/>
      <c r="BC50" s="200"/>
      <c r="BD50" s="2578"/>
      <c r="BE50" s="2573"/>
      <c r="BF50" s="422" t="s">
        <v>8318</v>
      </c>
      <c r="BG50" s="318" t="s">
        <v>1692</v>
      </c>
      <c r="BH50" s="254" t="s">
        <v>8320</v>
      </c>
      <c r="BI50" s="254" t="s">
        <v>8321</v>
      </c>
      <c r="BJ50" s="254" t="s">
        <v>8322</v>
      </c>
      <c r="BK50" s="254" t="s">
        <v>8323</v>
      </c>
      <c r="BL50" s="254" t="s">
        <v>8324</v>
      </c>
      <c r="BM50" s="254" t="s">
        <v>8325</v>
      </c>
      <c r="BN50" s="254" t="s">
        <v>8326</v>
      </c>
      <c r="BO50" s="254" t="s">
        <v>8327</v>
      </c>
      <c r="BP50" s="255" t="s">
        <v>8328</v>
      </c>
      <c r="BQ50" s="254" t="s">
        <v>8329</v>
      </c>
      <c r="BR50" s="254" t="s">
        <v>8330</v>
      </c>
      <c r="BS50" s="254" t="s">
        <v>8331</v>
      </c>
      <c r="BT50" s="254" t="s">
        <v>8332</v>
      </c>
      <c r="BU50" s="254" t="s">
        <v>8333</v>
      </c>
      <c r="BV50" s="254" t="s">
        <v>8334</v>
      </c>
      <c r="BW50" s="254" t="s">
        <v>8335</v>
      </c>
      <c r="BX50" s="254" t="s">
        <v>8336</v>
      </c>
      <c r="BY50" s="255" t="s">
        <v>8337</v>
      </c>
      <c r="BZ50" s="648"/>
      <c r="CA50" s="648"/>
      <c r="CB50" s="649"/>
    </row>
    <row r="51" spans="1:80" s="234" customFormat="1" ht="15.75" customHeight="1">
      <c r="A51" s="239"/>
      <c r="B51" s="689" t="s">
        <v>8318</v>
      </c>
      <c r="C51" s="2220" t="s">
        <v>1693</v>
      </c>
      <c r="D51" s="290" t="s">
        <v>137</v>
      </c>
      <c r="E51" s="290">
        <v>3</v>
      </c>
      <c r="F51" s="655">
        <v>0</v>
      </c>
      <c r="G51" s="655">
        <v>0</v>
      </c>
      <c r="H51" s="655">
        <v>0</v>
      </c>
      <c r="I51" s="655">
        <v>0</v>
      </c>
      <c r="J51" s="655">
        <v>0</v>
      </c>
      <c r="K51" s="655">
        <v>0</v>
      </c>
      <c r="L51" s="655">
        <v>0</v>
      </c>
      <c r="M51" s="655">
        <v>0</v>
      </c>
      <c r="N51" s="277">
        <f t="shared" si="7"/>
        <v>0</v>
      </c>
      <c r="O51" s="655">
        <v>0</v>
      </c>
      <c r="P51" s="655">
        <v>0</v>
      </c>
      <c r="Q51" s="655">
        <v>0</v>
      </c>
      <c r="R51" s="655">
        <v>0</v>
      </c>
      <c r="S51" s="655">
        <v>0</v>
      </c>
      <c r="T51" s="655">
        <v>0</v>
      </c>
      <c r="U51" s="655">
        <v>0</v>
      </c>
      <c r="V51" s="655">
        <v>0</v>
      </c>
      <c r="W51" s="277">
        <f t="shared" si="188"/>
        <v>0</v>
      </c>
      <c r="X51" s="2248"/>
      <c r="Y51" s="2248"/>
      <c r="Z51" s="2249"/>
      <c r="AA51" s="313"/>
      <c r="AB51" s="700" t="s">
        <v>8338</v>
      </c>
      <c r="AC51" s="197"/>
      <c r="AD51" s="258"/>
      <c r="AE51" s="197"/>
      <c r="AF51" s="2576"/>
      <c r="AG51" s="251">
        <f t="shared" si="8"/>
        <v>0</v>
      </c>
      <c r="AH51" s="952"/>
      <c r="AI51" s="252">
        <f t="shared" ref="AI51" si="231" xml:space="preserve"> IF( ISNUMBER(F51), 0, 1 )</f>
        <v>0</v>
      </c>
      <c r="AJ51" s="252">
        <f t="shared" si="217"/>
        <v>0</v>
      </c>
      <c r="AK51" s="252">
        <f t="shared" si="218"/>
        <v>0</v>
      </c>
      <c r="AL51" s="252">
        <f t="shared" si="219"/>
        <v>0</v>
      </c>
      <c r="AM51" s="252">
        <f t="shared" si="220"/>
        <v>0</v>
      </c>
      <c r="AN51" s="252">
        <f t="shared" si="221"/>
        <v>0</v>
      </c>
      <c r="AO51" s="252">
        <f t="shared" si="222"/>
        <v>0</v>
      </c>
      <c r="AP51" s="252">
        <f t="shared" si="223"/>
        <v>0</v>
      </c>
      <c r="AQ51" s="200"/>
      <c r="AR51" s="252">
        <f t="shared" ref="AR51" si="232" xml:space="preserve"> IF( ISNUMBER(O51), 0, 1 )</f>
        <v>0</v>
      </c>
      <c r="AS51" s="252">
        <f t="shared" si="224"/>
        <v>0</v>
      </c>
      <c r="AT51" s="252">
        <f t="shared" si="225"/>
        <v>0</v>
      </c>
      <c r="AU51" s="252">
        <f t="shared" si="226"/>
        <v>0</v>
      </c>
      <c r="AV51" s="252">
        <f t="shared" si="227"/>
        <v>0</v>
      </c>
      <c r="AW51" s="252">
        <f t="shared" si="228"/>
        <v>0</v>
      </c>
      <c r="AX51" s="252">
        <f t="shared" si="229"/>
        <v>0</v>
      </c>
      <c r="AY51" s="252">
        <f t="shared" si="230"/>
        <v>0</v>
      </c>
      <c r="AZ51" s="200"/>
      <c r="BA51" s="200"/>
      <c r="BB51" s="200"/>
      <c r="BC51" s="200"/>
      <c r="BD51" s="2578"/>
      <c r="BE51" s="2573"/>
      <c r="BF51" s="422" t="s">
        <v>8318</v>
      </c>
      <c r="BG51" s="318" t="s">
        <v>1693</v>
      </c>
      <c r="BH51" s="254" t="s">
        <v>8339</v>
      </c>
      <c r="BI51" s="254" t="s">
        <v>8340</v>
      </c>
      <c r="BJ51" s="254" t="s">
        <v>8341</v>
      </c>
      <c r="BK51" s="254" t="s">
        <v>8342</v>
      </c>
      <c r="BL51" s="254" t="s">
        <v>8343</v>
      </c>
      <c r="BM51" s="254" t="s">
        <v>8344</v>
      </c>
      <c r="BN51" s="254" t="s">
        <v>8345</v>
      </c>
      <c r="BO51" s="254" t="s">
        <v>8346</v>
      </c>
      <c r="BP51" s="255" t="s">
        <v>8347</v>
      </c>
      <c r="BQ51" s="254" t="s">
        <v>8348</v>
      </c>
      <c r="BR51" s="254" t="s">
        <v>8349</v>
      </c>
      <c r="BS51" s="254" t="s">
        <v>8350</v>
      </c>
      <c r="BT51" s="254" t="s">
        <v>8351</v>
      </c>
      <c r="BU51" s="254" t="s">
        <v>8352</v>
      </c>
      <c r="BV51" s="254" t="s">
        <v>8353</v>
      </c>
      <c r="BW51" s="254" t="s">
        <v>8354</v>
      </c>
      <c r="BX51" s="254" t="s">
        <v>8355</v>
      </c>
      <c r="BY51" s="255" t="s">
        <v>8356</v>
      </c>
      <c r="BZ51" s="648"/>
      <c r="CA51" s="648"/>
      <c r="CB51" s="649"/>
    </row>
    <row r="52" spans="1:80" s="234" customFormat="1" ht="15.75" customHeight="1">
      <c r="A52" s="239"/>
      <c r="B52" s="689" t="s">
        <v>8318</v>
      </c>
      <c r="C52" s="2220" t="s">
        <v>1694</v>
      </c>
      <c r="D52" s="290" t="s">
        <v>137</v>
      </c>
      <c r="E52" s="290">
        <v>3</v>
      </c>
      <c r="F52" s="277">
        <f>IFERROR(SUM(F50:F51), 0)</f>
        <v>0</v>
      </c>
      <c r="G52" s="277">
        <f t="shared" ref="G52:M52" si="233">IFERROR(SUM(G50:G51), 0)</f>
        <v>0</v>
      </c>
      <c r="H52" s="277">
        <f t="shared" si="233"/>
        <v>0</v>
      </c>
      <c r="I52" s="277">
        <f t="shared" si="233"/>
        <v>0</v>
      </c>
      <c r="J52" s="277">
        <f t="shared" si="233"/>
        <v>0</v>
      </c>
      <c r="K52" s="277">
        <f t="shared" si="233"/>
        <v>0</v>
      </c>
      <c r="L52" s="277">
        <f t="shared" si="233"/>
        <v>0</v>
      </c>
      <c r="M52" s="277">
        <f t="shared" si="233"/>
        <v>0</v>
      </c>
      <c r="N52" s="277">
        <f t="shared" si="7"/>
        <v>0</v>
      </c>
      <c r="O52" s="277">
        <f>IFERROR(SUM(O50:O51), 0)</f>
        <v>0</v>
      </c>
      <c r="P52" s="277">
        <f t="shared" ref="P52:V52" si="234">IFERROR(SUM(P50:P51), 0)</f>
        <v>0</v>
      </c>
      <c r="Q52" s="277">
        <f t="shared" si="234"/>
        <v>0</v>
      </c>
      <c r="R52" s="277">
        <f t="shared" si="234"/>
        <v>0</v>
      </c>
      <c r="S52" s="277">
        <f t="shared" si="234"/>
        <v>0</v>
      </c>
      <c r="T52" s="277">
        <f t="shared" si="234"/>
        <v>0</v>
      </c>
      <c r="U52" s="277">
        <f t="shared" si="234"/>
        <v>0</v>
      </c>
      <c r="V52" s="277">
        <f t="shared" si="234"/>
        <v>0</v>
      </c>
      <c r="W52" s="277">
        <f>IFERROR(SUM(O52:V52), 0)</f>
        <v>0</v>
      </c>
      <c r="X52" s="655">
        <v>0</v>
      </c>
      <c r="Y52" s="655">
        <v>0</v>
      </c>
      <c r="Z52" s="693">
        <v>0</v>
      </c>
      <c r="AA52" s="313"/>
      <c r="AB52" s="700" t="s">
        <v>8357</v>
      </c>
      <c r="AC52" s="197"/>
      <c r="AD52" s="258"/>
      <c r="AE52" s="197"/>
      <c r="AF52" s="2576"/>
      <c r="AG52" s="251">
        <f t="shared" si="8"/>
        <v>0</v>
      </c>
      <c r="AH52" s="1010"/>
      <c r="AI52" s="200"/>
      <c r="AJ52" s="200"/>
      <c r="AK52" s="200"/>
      <c r="AL52" s="200"/>
      <c r="AM52" s="200"/>
      <c r="AN52" s="200"/>
      <c r="AO52" s="200"/>
      <c r="AP52" s="200"/>
      <c r="AQ52" s="200"/>
      <c r="AR52" s="200"/>
      <c r="AS52" s="200"/>
      <c r="AT52" s="200"/>
      <c r="AU52" s="200"/>
      <c r="AV52" s="200"/>
      <c r="AW52" s="200"/>
      <c r="AX52" s="200"/>
      <c r="AY52" s="200"/>
      <c r="AZ52" s="200"/>
      <c r="BA52" s="252">
        <f t="shared" ref="BA52" si="235" xml:space="preserve"> IF( ISNUMBER(X52), 0, 1 )</f>
        <v>0</v>
      </c>
      <c r="BB52" s="252">
        <f t="shared" ref="BB52" si="236" xml:space="preserve"> IF( ISNUMBER(Y52), 0, 1 )</f>
        <v>0</v>
      </c>
      <c r="BC52" s="252">
        <f t="shared" ref="BC52" si="237" xml:space="preserve"> IF( ISNUMBER(Z52), 0, 1 )</f>
        <v>0</v>
      </c>
      <c r="BD52" s="2578"/>
      <c r="BE52" s="2573"/>
      <c r="BF52" s="422" t="s">
        <v>8318</v>
      </c>
      <c r="BG52" s="318" t="s">
        <v>1694</v>
      </c>
      <c r="BH52" s="255" t="s">
        <v>8358</v>
      </c>
      <c r="BI52" s="255" t="s">
        <v>8359</v>
      </c>
      <c r="BJ52" s="255" t="s">
        <v>8360</v>
      </c>
      <c r="BK52" s="255" t="s">
        <v>8361</v>
      </c>
      <c r="BL52" s="255" t="s">
        <v>8362</v>
      </c>
      <c r="BM52" s="255" t="s">
        <v>8363</v>
      </c>
      <c r="BN52" s="255" t="s">
        <v>8364</v>
      </c>
      <c r="BO52" s="255" t="s">
        <v>8365</v>
      </c>
      <c r="BP52" s="255" t="s">
        <v>8366</v>
      </c>
      <c r="BQ52" s="255" t="s">
        <v>8367</v>
      </c>
      <c r="BR52" s="255" t="s">
        <v>8368</v>
      </c>
      <c r="BS52" s="255" t="s">
        <v>8369</v>
      </c>
      <c r="BT52" s="255" t="s">
        <v>8370</v>
      </c>
      <c r="BU52" s="255" t="s">
        <v>8371</v>
      </c>
      <c r="BV52" s="255" t="s">
        <v>8372</v>
      </c>
      <c r="BW52" s="255" t="s">
        <v>8373</v>
      </c>
      <c r="BX52" s="255" t="s">
        <v>8374</v>
      </c>
      <c r="BY52" s="255" t="s">
        <v>8375</v>
      </c>
      <c r="BZ52" s="644" t="s">
        <v>8376</v>
      </c>
      <c r="CA52" s="644" t="s">
        <v>8377</v>
      </c>
      <c r="CB52" s="1011" t="s">
        <v>8378</v>
      </c>
    </row>
    <row r="53" spans="1:80" s="234" customFormat="1" ht="15.75" customHeight="1">
      <c r="A53" s="239"/>
      <c r="B53" s="689" t="s">
        <v>7173</v>
      </c>
      <c r="C53" s="2220" t="s">
        <v>1692</v>
      </c>
      <c r="D53" s="290" t="s">
        <v>137</v>
      </c>
      <c r="E53" s="290">
        <v>3</v>
      </c>
      <c r="F53" s="655">
        <v>0</v>
      </c>
      <c r="G53" s="655">
        <v>0</v>
      </c>
      <c r="H53" s="655">
        <v>0</v>
      </c>
      <c r="I53" s="655">
        <v>0.59</v>
      </c>
      <c r="J53" s="655">
        <v>0</v>
      </c>
      <c r="K53" s="655">
        <v>0</v>
      </c>
      <c r="L53" s="655">
        <v>0</v>
      </c>
      <c r="M53" s="655">
        <v>0</v>
      </c>
      <c r="N53" s="277">
        <f t="shared" si="7"/>
        <v>0.59</v>
      </c>
      <c r="O53" s="2247"/>
      <c r="P53" s="2247"/>
      <c r="Q53" s="2247"/>
      <c r="R53" s="2247"/>
      <c r="S53" s="2247"/>
      <c r="T53" s="2247"/>
      <c r="U53" s="2247"/>
      <c r="V53" s="2247"/>
      <c r="W53" s="2247"/>
      <c r="X53" s="2248"/>
      <c r="Y53" s="2248"/>
      <c r="Z53" s="2249"/>
      <c r="AA53" s="313"/>
      <c r="AB53" s="700" t="s">
        <v>8379</v>
      </c>
      <c r="AC53" s="197"/>
      <c r="AD53" s="258"/>
      <c r="AE53" s="197"/>
      <c r="AF53" s="2576"/>
      <c r="AG53" s="251">
        <f t="shared" si="8"/>
        <v>0</v>
      </c>
      <c r="AH53" s="2576"/>
      <c r="AI53" s="252">
        <f xml:space="preserve"> IF( ISNUMBER(F53), 0, 1 )</f>
        <v>0</v>
      </c>
      <c r="AJ53" s="252">
        <f t="shared" ref="AJ53:AJ54" si="238" xml:space="preserve"> IF( ISNUMBER(G53), 0, 1 )</f>
        <v>0</v>
      </c>
      <c r="AK53" s="252">
        <f t="shared" ref="AK53:AK54" si="239" xml:space="preserve"> IF( ISNUMBER(H53), 0, 1 )</f>
        <v>0</v>
      </c>
      <c r="AL53" s="252">
        <f t="shared" ref="AL53:AL54" si="240" xml:space="preserve"> IF( ISNUMBER(I53), 0, 1 )</f>
        <v>0</v>
      </c>
      <c r="AM53" s="252">
        <f t="shared" ref="AM53:AM54" si="241" xml:space="preserve"> IF( ISNUMBER(J53), 0, 1 )</f>
        <v>0</v>
      </c>
      <c r="AN53" s="252">
        <f t="shared" ref="AN53:AN54" si="242" xml:space="preserve"> IF( ISNUMBER(K53), 0, 1 )</f>
        <v>0</v>
      </c>
      <c r="AO53" s="252">
        <f t="shared" ref="AO53:AO54" si="243" xml:space="preserve"> IF( ISNUMBER(L53), 0, 1 )</f>
        <v>0</v>
      </c>
      <c r="AP53" s="252">
        <f t="shared" ref="AP53:AP54" si="244" xml:space="preserve"> IF( ISNUMBER(M53), 0, 1 )</f>
        <v>0</v>
      </c>
      <c r="AQ53" s="200"/>
      <c r="AR53" s="200"/>
      <c r="AS53" s="200"/>
      <c r="AT53" s="200"/>
      <c r="AU53" s="200"/>
      <c r="AV53" s="200"/>
      <c r="AW53" s="200"/>
      <c r="AX53" s="200"/>
      <c r="AY53" s="200"/>
      <c r="AZ53" s="200"/>
      <c r="BA53" s="200"/>
      <c r="BB53" s="200"/>
      <c r="BC53" s="200"/>
      <c r="BD53" s="2578"/>
      <c r="BE53" s="2573"/>
      <c r="BF53" s="422" t="s">
        <v>7173</v>
      </c>
      <c r="BG53" s="318" t="s">
        <v>1692</v>
      </c>
      <c r="BH53" s="254" t="s">
        <v>8380</v>
      </c>
      <c r="BI53" s="254" t="s">
        <v>8381</v>
      </c>
      <c r="BJ53" s="254" t="s">
        <v>8382</v>
      </c>
      <c r="BK53" s="254" t="s">
        <v>8383</v>
      </c>
      <c r="BL53" s="254" t="s">
        <v>8384</v>
      </c>
      <c r="BM53" s="254" t="s">
        <v>8385</v>
      </c>
      <c r="BN53" s="254" t="s">
        <v>8386</v>
      </c>
      <c r="BO53" s="254" t="s">
        <v>8387</v>
      </c>
      <c r="BP53" s="255" t="s">
        <v>8388</v>
      </c>
      <c r="BQ53" s="361"/>
      <c r="BR53" s="361"/>
      <c r="BS53" s="361"/>
      <c r="BT53" s="361"/>
      <c r="BU53" s="361"/>
      <c r="BV53" s="361"/>
      <c r="BW53" s="361"/>
      <c r="BX53" s="361"/>
      <c r="BY53" s="361"/>
      <c r="BZ53" s="648"/>
      <c r="CA53" s="648"/>
      <c r="CB53" s="649"/>
    </row>
    <row r="54" spans="1:80" s="234" customFormat="1" ht="15.75" customHeight="1">
      <c r="A54" s="239"/>
      <c r="B54" s="689" t="s">
        <v>7173</v>
      </c>
      <c r="C54" s="2220" t="s">
        <v>1693</v>
      </c>
      <c r="D54" s="290" t="s">
        <v>137</v>
      </c>
      <c r="E54" s="290">
        <v>3</v>
      </c>
      <c r="F54" s="655">
        <v>0</v>
      </c>
      <c r="G54" s="655">
        <v>0</v>
      </c>
      <c r="H54" s="655">
        <v>0</v>
      </c>
      <c r="I54" s="655">
        <v>0</v>
      </c>
      <c r="J54" s="655">
        <v>0</v>
      </c>
      <c r="K54" s="655">
        <v>0</v>
      </c>
      <c r="L54" s="655">
        <v>0</v>
      </c>
      <c r="M54" s="655">
        <v>0</v>
      </c>
      <c r="N54" s="277">
        <f t="shared" si="7"/>
        <v>0</v>
      </c>
      <c r="O54" s="2247"/>
      <c r="P54" s="2247"/>
      <c r="Q54" s="2247"/>
      <c r="R54" s="2247"/>
      <c r="S54" s="2247"/>
      <c r="T54" s="2247"/>
      <c r="U54" s="2247"/>
      <c r="V54" s="2247"/>
      <c r="W54" s="2247"/>
      <c r="X54" s="2248"/>
      <c r="Y54" s="2248"/>
      <c r="Z54" s="2249"/>
      <c r="AA54" s="313"/>
      <c r="AB54" s="700" t="s">
        <v>8389</v>
      </c>
      <c r="AC54" s="197"/>
      <c r="AD54" s="258"/>
      <c r="AE54" s="197"/>
      <c r="AF54" s="2576"/>
      <c r="AG54" s="251">
        <f t="shared" si="8"/>
        <v>0</v>
      </c>
      <c r="AH54" s="2576"/>
      <c r="AI54" s="252">
        <f t="shared" ref="AI54" si="245" xml:space="preserve"> IF( ISNUMBER(F54), 0, 1 )</f>
        <v>0</v>
      </c>
      <c r="AJ54" s="252">
        <f t="shared" si="238"/>
        <v>0</v>
      </c>
      <c r="AK54" s="252">
        <f t="shared" si="239"/>
        <v>0</v>
      </c>
      <c r="AL54" s="252">
        <f t="shared" si="240"/>
        <v>0</v>
      </c>
      <c r="AM54" s="252">
        <f t="shared" si="241"/>
        <v>0</v>
      </c>
      <c r="AN54" s="252">
        <f t="shared" si="242"/>
        <v>0</v>
      </c>
      <c r="AO54" s="252">
        <f t="shared" si="243"/>
        <v>0</v>
      </c>
      <c r="AP54" s="252">
        <f t="shared" si="244"/>
        <v>0</v>
      </c>
      <c r="AQ54" s="200"/>
      <c r="AR54" s="200"/>
      <c r="AS54" s="200"/>
      <c r="AT54" s="200"/>
      <c r="AU54" s="200"/>
      <c r="AV54" s="200"/>
      <c r="AW54" s="200"/>
      <c r="AX54" s="200"/>
      <c r="AY54" s="200"/>
      <c r="AZ54" s="200"/>
      <c r="BA54" s="200"/>
      <c r="BB54" s="200"/>
      <c r="BC54" s="200"/>
      <c r="BD54" s="2578"/>
      <c r="BE54" s="2573"/>
      <c r="BF54" s="422" t="s">
        <v>7173</v>
      </c>
      <c r="BG54" s="318" t="s">
        <v>1693</v>
      </c>
      <c r="BH54" s="254" t="s">
        <v>8390</v>
      </c>
      <c r="BI54" s="254" t="s">
        <v>8391</v>
      </c>
      <c r="BJ54" s="254" t="s">
        <v>8392</v>
      </c>
      <c r="BK54" s="254" t="s">
        <v>8393</v>
      </c>
      <c r="BL54" s="254" t="s">
        <v>8394</v>
      </c>
      <c r="BM54" s="254" t="s">
        <v>8395</v>
      </c>
      <c r="BN54" s="254" t="s">
        <v>8396</v>
      </c>
      <c r="BO54" s="254" t="s">
        <v>8397</v>
      </c>
      <c r="BP54" s="255" t="s">
        <v>8398</v>
      </c>
      <c r="BQ54" s="361"/>
      <c r="BR54" s="361"/>
      <c r="BS54" s="361"/>
      <c r="BT54" s="361"/>
      <c r="BU54" s="361"/>
      <c r="BV54" s="361"/>
      <c r="BW54" s="361"/>
      <c r="BX54" s="361"/>
      <c r="BY54" s="361"/>
      <c r="BZ54" s="648"/>
      <c r="CA54" s="648"/>
      <c r="CB54" s="649"/>
    </row>
    <row r="55" spans="1:80" s="234" customFormat="1" ht="15.75" customHeight="1">
      <c r="A55" s="239"/>
      <c r="B55" s="689" t="s">
        <v>7173</v>
      </c>
      <c r="C55" s="2220" t="s">
        <v>1694</v>
      </c>
      <c r="D55" s="290" t="s">
        <v>137</v>
      </c>
      <c r="E55" s="290">
        <v>3</v>
      </c>
      <c r="F55" s="277">
        <f>IFERROR(SUM(F53:F54), 0)</f>
        <v>0</v>
      </c>
      <c r="G55" s="277">
        <f t="shared" ref="G55:M55" si="246">IFERROR(SUM(G53:G54), 0)</f>
        <v>0</v>
      </c>
      <c r="H55" s="277">
        <f t="shared" si="246"/>
        <v>0</v>
      </c>
      <c r="I55" s="277">
        <f t="shared" si="246"/>
        <v>0.59</v>
      </c>
      <c r="J55" s="277">
        <f t="shared" si="246"/>
        <v>0</v>
      </c>
      <c r="K55" s="277">
        <f t="shared" si="246"/>
        <v>0</v>
      </c>
      <c r="L55" s="277">
        <f t="shared" si="246"/>
        <v>0</v>
      </c>
      <c r="M55" s="277">
        <f t="shared" si="246"/>
        <v>0</v>
      </c>
      <c r="N55" s="277">
        <f t="shared" si="7"/>
        <v>0.59</v>
      </c>
      <c r="O55" s="2247"/>
      <c r="P55" s="2247"/>
      <c r="Q55" s="2247"/>
      <c r="R55" s="2247"/>
      <c r="S55" s="2247"/>
      <c r="T55" s="2247"/>
      <c r="U55" s="2247"/>
      <c r="V55" s="2247"/>
      <c r="W55" s="2247"/>
      <c r="X55" s="655">
        <v>3.2210000000000001</v>
      </c>
      <c r="Y55" s="655">
        <v>31.574000000000002</v>
      </c>
      <c r="Z55" s="693">
        <v>39.79</v>
      </c>
      <c r="AA55" s="313"/>
      <c r="AB55" s="700" t="s">
        <v>8399</v>
      </c>
      <c r="AC55" s="197"/>
      <c r="AD55" s="258"/>
      <c r="AE55" s="197"/>
      <c r="AF55" s="2576"/>
      <c r="AG55" s="251">
        <f t="shared" si="8"/>
        <v>0</v>
      </c>
      <c r="AH55" s="1010"/>
      <c r="AI55" s="200"/>
      <c r="AJ55" s="200"/>
      <c r="AK55" s="200"/>
      <c r="AL55" s="200"/>
      <c r="AM55" s="200"/>
      <c r="AN55" s="200"/>
      <c r="AO55" s="200"/>
      <c r="AP55" s="200"/>
      <c r="AQ55" s="200"/>
      <c r="AR55" s="200"/>
      <c r="AS55" s="200"/>
      <c r="AT55" s="200"/>
      <c r="AU55" s="200"/>
      <c r="AV55" s="200"/>
      <c r="AW55" s="200"/>
      <c r="AX55" s="200"/>
      <c r="AY55" s="200"/>
      <c r="AZ55" s="200"/>
      <c r="BA55" s="252">
        <f t="shared" ref="BA55" si="247" xml:space="preserve"> IF( ISNUMBER(X55), 0, 1 )</f>
        <v>0</v>
      </c>
      <c r="BB55" s="252">
        <f t="shared" ref="BB55" si="248" xml:space="preserve"> IF( ISNUMBER(Y55), 0, 1 )</f>
        <v>0</v>
      </c>
      <c r="BC55" s="252">
        <f t="shared" ref="BC55" si="249" xml:space="preserve"> IF( ISNUMBER(Z55), 0, 1 )</f>
        <v>0</v>
      </c>
      <c r="BD55" s="2578"/>
      <c r="BE55" s="2573"/>
      <c r="BF55" s="422" t="s">
        <v>7173</v>
      </c>
      <c r="BG55" s="318" t="s">
        <v>1694</v>
      </c>
      <c r="BH55" s="255" t="s">
        <v>8400</v>
      </c>
      <c r="BI55" s="255" t="s">
        <v>8401</v>
      </c>
      <c r="BJ55" s="255" t="s">
        <v>8402</v>
      </c>
      <c r="BK55" s="255" t="s">
        <v>8403</v>
      </c>
      <c r="BL55" s="255" t="s">
        <v>8404</v>
      </c>
      <c r="BM55" s="255" t="s">
        <v>8405</v>
      </c>
      <c r="BN55" s="255" t="s">
        <v>8406</v>
      </c>
      <c r="BO55" s="255" t="s">
        <v>8407</v>
      </c>
      <c r="BP55" s="255" t="s">
        <v>8408</v>
      </c>
      <c r="BQ55" s="361"/>
      <c r="BR55" s="361"/>
      <c r="BS55" s="361"/>
      <c r="BT55" s="361"/>
      <c r="BU55" s="361"/>
      <c r="BV55" s="361"/>
      <c r="BW55" s="361"/>
      <c r="BX55" s="361"/>
      <c r="BY55" s="361"/>
      <c r="BZ55" s="644" t="s">
        <v>8409</v>
      </c>
      <c r="CA55" s="644" t="s">
        <v>8410</v>
      </c>
      <c r="CB55" s="1011" t="s">
        <v>8411</v>
      </c>
    </row>
    <row r="56" spans="1:80" s="234" customFormat="1" ht="31.5" thickBot="1">
      <c r="A56" s="239"/>
      <c r="B56" s="415" t="s">
        <v>7198</v>
      </c>
      <c r="C56" s="2218" t="s">
        <v>1694</v>
      </c>
      <c r="D56" s="297" t="s">
        <v>137</v>
      </c>
      <c r="E56" s="297">
        <v>3</v>
      </c>
      <c r="F56" s="279">
        <f t="shared" ref="F56:M56" si="250">IFERROR(SUM(F12,F15,F18,F21,F24,F27,F34,F37,F40,F43,F46,F49,F52,F55), 0)</f>
        <v>1.88</v>
      </c>
      <c r="G56" s="279">
        <f t="shared" si="250"/>
        <v>0.58899999999999997</v>
      </c>
      <c r="H56" s="279">
        <f t="shared" si="250"/>
        <v>0.16499999999999998</v>
      </c>
      <c r="I56" s="279">
        <f t="shared" si="250"/>
        <v>95.394000000000005</v>
      </c>
      <c r="J56" s="279">
        <f t="shared" si="250"/>
        <v>0</v>
      </c>
      <c r="K56" s="279">
        <f t="shared" si="250"/>
        <v>0</v>
      </c>
      <c r="L56" s="279">
        <f t="shared" si="250"/>
        <v>0</v>
      </c>
      <c r="M56" s="279">
        <f t="shared" si="250"/>
        <v>0</v>
      </c>
      <c r="N56" s="279">
        <f>IFERROR(SUM(F56:M56), 0)</f>
        <v>98.028000000000006</v>
      </c>
      <c r="O56" s="2254"/>
      <c r="P56" s="2254"/>
      <c r="Q56" s="2254"/>
      <c r="R56" s="2254"/>
      <c r="S56" s="2254"/>
      <c r="T56" s="2254"/>
      <c r="U56" s="2254"/>
      <c r="V56" s="2254"/>
      <c r="W56" s="2254"/>
      <c r="X56" s="279">
        <f>IFERROR(SUM(X12,X15,X18,X21,X24,X34,X37,X40,X43,X46,X49,X52,X55), 0)</f>
        <v>129.065</v>
      </c>
      <c r="Y56" s="279">
        <f>IFERROR(SUM(Y12,Y15,Y18,Y21,Y24,Y34,Y37,Y40,Y43,Y46,Y49,Y52,Y55), 0)</f>
        <v>691.1149999999999</v>
      </c>
      <c r="Z56" s="280">
        <f>IFERROR(SUM(Z12,Z15,Z18,Z21,Z24,Z34,Z37,Z40,Z43,Z46,Z49,Z52,Z55), 0)</f>
        <v>870.94899999999996</v>
      </c>
      <c r="AA56" s="313"/>
      <c r="AB56" s="710" t="s">
        <v>8412</v>
      </c>
      <c r="AC56" s="197"/>
      <c r="AD56" s="269"/>
      <c r="AE56" s="197"/>
      <c r="AF56" s="2576"/>
      <c r="AG56" s="2562"/>
      <c r="AH56" s="2576"/>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578"/>
      <c r="BE56" s="2573"/>
      <c r="BF56" s="425" t="s">
        <v>7198</v>
      </c>
      <c r="BG56" s="976" t="s">
        <v>1694</v>
      </c>
      <c r="BH56" s="265" t="s">
        <v>8413</v>
      </c>
      <c r="BI56" s="265" t="s">
        <v>8414</v>
      </c>
      <c r="BJ56" s="265" t="s">
        <v>8415</v>
      </c>
      <c r="BK56" s="265" t="s">
        <v>8416</v>
      </c>
      <c r="BL56" s="265" t="s">
        <v>8417</v>
      </c>
      <c r="BM56" s="265" t="s">
        <v>8418</v>
      </c>
      <c r="BN56" s="265" t="s">
        <v>8419</v>
      </c>
      <c r="BO56" s="265" t="s">
        <v>8420</v>
      </c>
      <c r="BP56" s="265" t="s">
        <v>8421</v>
      </c>
      <c r="BQ56" s="370"/>
      <c r="BR56" s="370"/>
      <c r="BS56" s="370"/>
      <c r="BT56" s="370"/>
      <c r="BU56" s="370"/>
      <c r="BV56" s="370"/>
      <c r="BW56" s="370"/>
      <c r="BX56" s="370"/>
      <c r="BY56" s="370"/>
      <c r="BZ56" s="265" t="s">
        <v>8422</v>
      </c>
      <c r="CA56" s="265" t="s">
        <v>8423</v>
      </c>
      <c r="CB56" s="266" t="s">
        <v>8424</v>
      </c>
    </row>
    <row r="57" spans="1:80" s="234" customFormat="1" ht="15" customHeight="1" thickTop="1" thickBot="1">
      <c r="A57" s="239"/>
      <c r="B57" s="195"/>
      <c r="C57" s="197"/>
      <c r="D57" s="197"/>
      <c r="E57" s="197"/>
      <c r="F57" s="271"/>
      <c r="G57" s="271"/>
      <c r="H57" s="271"/>
      <c r="I57" s="271"/>
      <c r="J57" s="271"/>
      <c r="K57" s="271"/>
      <c r="L57" s="271"/>
      <c r="M57" s="271"/>
      <c r="N57" s="271"/>
      <c r="O57" s="271"/>
      <c r="P57" s="271"/>
      <c r="Q57" s="271"/>
      <c r="R57" s="271"/>
      <c r="S57" s="271"/>
      <c r="T57" s="271"/>
      <c r="U57" s="271"/>
      <c r="V57" s="271"/>
      <c r="W57" s="271"/>
      <c r="X57" s="271"/>
      <c r="Y57" s="271"/>
      <c r="Z57" s="271"/>
      <c r="AA57" s="197"/>
      <c r="AB57" s="197"/>
      <c r="AC57" s="197"/>
      <c r="AD57" s="106"/>
      <c r="AE57" s="197"/>
      <c r="AF57" s="2576"/>
      <c r="AG57" s="2562"/>
      <c r="AH57" s="2576"/>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578"/>
      <c r="BE57" s="2573"/>
      <c r="BF57" s="195"/>
      <c r="BG57" s="197"/>
      <c r="BH57" s="271"/>
      <c r="BI57" s="271"/>
      <c r="BJ57" s="271"/>
      <c r="BK57" s="271"/>
      <c r="BL57" s="271"/>
      <c r="BM57" s="271"/>
      <c r="BN57" s="271"/>
      <c r="BO57" s="271"/>
      <c r="BP57" s="271"/>
      <c r="BQ57" s="271"/>
      <c r="BR57" s="271"/>
      <c r="BS57" s="271"/>
      <c r="BT57" s="271"/>
      <c r="BU57" s="271"/>
      <c r="BV57" s="271"/>
      <c r="BW57" s="271"/>
      <c r="BX57" s="271"/>
      <c r="BY57" s="271"/>
      <c r="BZ57" s="271"/>
      <c r="CA57" s="271"/>
      <c r="CB57" s="271"/>
    </row>
    <row r="58" spans="1:80" s="234" customFormat="1" ht="15.75" customHeight="1" thickTop="1" thickBot="1">
      <c r="A58" s="239"/>
      <c r="B58" s="355" t="s">
        <v>7457</v>
      </c>
      <c r="C58" s="197"/>
      <c r="D58" s="197"/>
      <c r="E58" s="197"/>
      <c r="F58" s="271"/>
      <c r="G58" s="271"/>
      <c r="H58" s="271"/>
      <c r="I58" s="271"/>
      <c r="J58" s="271"/>
      <c r="K58" s="271"/>
      <c r="L58" s="271"/>
      <c r="M58" s="271"/>
      <c r="N58" s="271"/>
      <c r="O58" s="271"/>
      <c r="P58" s="271"/>
      <c r="Q58" s="271"/>
      <c r="R58" s="271"/>
      <c r="S58" s="271"/>
      <c r="T58" s="271"/>
      <c r="U58" s="271"/>
      <c r="V58" s="271"/>
      <c r="W58" s="271"/>
      <c r="X58" s="271"/>
      <c r="Y58" s="271"/>
      <c r="Z58" s="271"/>
      <c r="AA58" s="197"/>
      <c r="AB58" s="197"/>
      <c r="AC58" s="197"/>
      <c r="AD58" s="106"/>
      <c r="AE58" s="197"/>
      <c r="AF58" s="2576"/>
      <c r="AG58" s="2562"/>
      <c r="AH58" s="2576"/>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578"/>
      <c r="BE58" s="2573"/>
      <c r="BF58" s="355" t="s">
        <v>7457</v>
      </c>
      <c r="BG58" s="197"/>
      <c r="BH58" s="271"/>
      <c r="BI58" s="271"/>
      <c r="BJ58" s="271"/>
      <c r="BK58" s="271"/>
      <c r="BL58" s="271"/>
      <c r="BM58" s="271"/>
      <c r="BN58" s="271"/>
      <c r="BO58" s="271"/>
      <c r="BP58" s="271"/>
      <c r="BQ58" s="271"/>
      <c r="BR58" s="271"/>
      <c r="BS58" s="271"/>
      <c r="BT58" s="271"/>
      <c r="BU58" s="271"/>
      <c r="BV58" s="271"/>
      <c r="BW58" s="271"/>
      <c r="BX58" s="271"/>
      <c r="BY58" s="271"/>
      <c r="BZ58" s="271"/>
      <c r="CA58" s="271"/>
      <c r="CB58" s="271"/>
    </row>
    <row r="59" spans="1:80" ht="33" customHeight="1">
      <c r="A59" s="197"/>
      <c r="B59" s="711" t="s">
        <v>8425</v>
      </c>
      <c r="C59" s="2219" t="s">
        <v>1692</v>
      </c>
      <c r="D59" s="283" t="s">
        <v>137</v>
      </c>
      <c r="E59" s="283">
        <v>3</v>
      </c>
      <c r="F59" s="652">
        <v>0</v>
      </c>
      <c r="G59" s="652">
        <v>0</v>
      </c>
      <c r="H59" s="652">
        <v>0</v>
      </c>
      <c r="I59" s="652">
        <v>0.219</v>
      </c>
      <c r="J59" s="652">
        <v>0</v>
      </c>
      <c r="K59" s="652">
        <v>0</v>
      </c>
      <c r="L59" s="652">
        <v>0</v>
      </c>
      <c r="M59" s="652">
        <v>0</v>
      </c>
      <c r="N59" s="2243">
        <f>IFERROR(SUM(F59:M59), 0)</f>
        <v>0.219</v>
      </c>
      <c r="O59" s="652">
        <v>0</v>
      </c>
      <c r="P59" s="652">
        <v>0</v>
      </c>
      <c r="Q59" s="652">
        <v>0</v>
      </c>
      <c r="R59" s="652">
        <v>2.754</v>
      </c>
      <c r="S59" s="652">
        <v>0</v>
      </c>
      <c r="T59" s="652">
        <v>0</v>
      </c>
      <c r="U59" s="652">
        <v>0</v>
      </c>
      <c r="V59" s="652">
        <v>0</v>
      </c>
      <c r="W59" s="2243">
        <f t="shared" ref="W59:W66" si="251">IFERROR(SUM(O59:V59), 0)</f>
        <v>2.754</v>
      </c>
      <c r="X59" s="2245"/>
      <c r="Y59" s="2245"/>
      <c r="Z59" s="2246"/>
      <c r="AA59" s="756"/>
      <c r="AB59" s="688" t="s">
        <v>8426</v>
      </c>
      <c r="AC59" s="197"/>
      <c r="AD59" s="250"/>
      <c r="AE59" s="197"/>
      <c r="AF59" s="2576"/>
      <c r="AG59" s="251">
        <f t="shared" ref="AG59:AG60" si="252">IF( SUM( AI59:BC59 ) = 0, 0, $AI$9 )</f>
        <v>0</v>
      </c>
      <c r="AH59" s="1010"/>
      <c r="AI59" s="252">
        <f xml:space="preserve"> IF( ISNUMBER(F59), 0, 1 )</f>
        <v>0</v>
      </c>
      <c r="AJ59" s="252">
        <f t="shared" ref="AJ59:AJ60" si="253" xml:space="preserve"> IF( ISNUMBER(G59), 0, 1 )</f>
        <v>0</v>
      </c>
      <c r="AK59" s="252">
        <f t="shared" ref="AK59:AK60" si="254" xml:space="preserve"> IF( ISNUMBER(H59), 0, 1 )</f>
        <v>0</v>
      </c>
      <c r="AL59" s="252">
        <f t="shared" ref="AL59:AL60" si="255" xml:space="preserve"> IF( ISNUMBER(I59), 0, 1 )</f>
        <v>0</v>
      </c>
      <c r="AM59" s="252">
        <f t="shared" ref="AM59:AM60" si="256" xml:space="preserve"> IF( ISNUMBER(J59), 0, 1 )</f>
        <v>0</v>
      </c>
      <c r="AN59" s="252">
        <f t="shared" ref="AN59:AN60" si="257" xml:space="preserve"> IF( ISNUMBER(K59), 0, 1 )</f>
        <v>0</v>
      </c>
      <c r="AO59" s="252">
        <f t="shared" ref="AO59:AO60" si="258" xml:space="preserve"> IF( ISNUMBER(L59), 0, 1 )</f>
        <v>0</v>
      </c>
      <c r="AP59" s="252">
        <f t="shared" ref="AP59:AP60" si="259" xml:space="preserve"> IF( ISNUMBER(M59), 0, 1 )</f>
        <v>0</v>
      </c>
      <c r="AQ59" s="200"/>
      <c r="AR59" s="252">
        <f xml:space="preserve"> IF( ISNUMBER(O59), 0, 1 )</f>
        <v>0</v>
      </c>
      <c r="AS59" s="252">
        <f t="shared" ref="AS59:AS60" si="260" xml:space="preserve"> IF( ISNUMBER(P59), 0, 1 )</f>
        <v>0</v>
      </c>
      <c r="AT59" s="252">
        <f t="shared" ref="AT59:AT60" si="261" xml:space="preserve"> IF( ISNUMBER(Q59), 0, 1 )</f>
        <v>0</v>
      </c>
      <c r="AU59" s="252">
        <f t="shared" ref="AU59:AU60" si="262" xml:space="preserve"> IF( ISNUMBER(R59), 0, 1 )</f>
        <v>0</v>
      </c>
      <c r="AV59" s="252">
        <f t="shared" ref="AV59:AV60" si="263" xml:space="preserve"> IF( ISNUMBER(S59), 0, 1 )</f>
        <v>0</v>
      </c>
      <c r="AW59" s="252">
        <f t="shared" ref="AW59:AW60" si="264" xml:space="preserve"> IF( ISNUMBER(T59), 0, 1 )</f>
        <v>0</v>
      </c>
      <c r="AX59" s="252">
        <f t="shared" ref="AX59:AX60" si="265" xml:space="preserve"> IF( ISNUMBER(U59), 0, 1 )</f>
        <v>0</v>
      </c>
      <c r="AY59" s="252">
        <f t="shared" ref="AY59:AY60" si="266" xml:space="preserve"> IF( ISNUMBER(V59), 0, 1 )</f>
        <v>0</v>
      </c>
      <c r="AZ59" s="200"/>
      <c r="BA59" s="200"/>
      <c r="BB59" s="200"/>
      <c r="BC59" s="200"/>
      <c r="BD59" s="2578"/>
      <c r="BE59" s="2562"/>
      <c r="BF59" s="413" t="s">
        <v>8425</v>
      </c>
      <c r="BG59" s="958" t="s">
        <v>1692</v>
      </c>
      <c r="BH59" s="245" t="s">
        <v>8427</v>
      </c>
      <c r="BI59" s="245" t="s">
        <v>8428</v>
      </c>
      <c r="BJ59" s="245" t="s">
        <v>8429</v>
      </c>
      <c r="BK59" s="245" t="s">
        <v>8430</v>
      </c>
      <c r="BL59" s="245" t="s">
        <v>8431</v>
      </c>
      <c r="BM59" s="245" t="s">
        <v>8432</v>
      </c>
      <c r="BN59" s="245" t="s">
        <v>8433</v>
      </c>
      <c r="BO59" s="245" t="s">
        <v>8434</v>
      </c>
      <c r="BP59" s="246" t="s">
        <v>8435</v>
      </c>
      <c r="BQ59" s="245" t="s">
        <v>8436</v>
      </c>
      <c r="BR59" s="245" t="s">
        <v>8437</v>
      </c>
      <c r="BS59" s="245" t="s">
        <v>8438</v>
      </c>
      <c r="BT59" s="245" t="s">
        <v>8439</v>
      </c>
      <c r="BU59" s="245" t="s">
        <v>8440</v>
      </c>
      <c r="BV59" s="245" t="s">
        <v>8441</v>
      </c>
      <c r="BW59" s="245" t="s">
        <v>8442</v>
      </c>
      <c r="BX59" s="245" t="s">
        <v>8443</v>
      </c>
      <c r="BY59" s="246" t="s">
        <v>8444</v>
      </c>
      <c r="BZ59" s="571"/>
      <c r="CA59" s="571"/>
      <c r="CB59" s="647"/>
    </row>
    <row r="60" spans="1:80" ht="33" customHeight="1">
      <c r="A60" s="197"/>
      <c r="B60" s="689" t="s">
        <v>8425</v>
      </c>
      <c r="C60" s="2220" t="s">
        <v>1693</v>
      </c>
      <c r="D60" s="290" t="s">
        <v>137</v>
      </c>
      <c r="E60" s="290">
        <v>3</v>
      </c>
      <c r="F60" s="655">
        <v>0</v>
      </c>
      <c r="G60" s="655">
        <v>0</v>
      </c>
      <c r="H60" s="655">
        <v>0</v>
      </c>
      <c r="I60" s="655">
        <v>0</v>
      </c>
      <c r="J60" s="655">
        <v>0</v>
      </c>
      <c r="K60" s="655">
        <v>0</v>
      </c>
      <c r="L60" s="655">
        <v>0</v>
      </c>
      <c r="M60" s="655">
        <v>0</v>
      </c>
      <c r="N60" s="277">
        <f t="shared" ref="N60:N96" si="267">IFERROR(SUM(F60:M60), 0)</f>
        <v>0</v>
      </c>
      <c r="O60" s="655">
        <v>0</v>
      </c>
      <c r="P60" s="655">
        <v>0</v>
      </c>
      <c r="Q60" s="655">
        <v>0</v>
      </c>
      <c r="R60" s="655">
        <v>0</v>
      </c>
      <c r="S60" s="655">
        <v>0</v>
      </c>
      <c r="T60" s="655">
        <v>0</v>
      </c>
      <c r="U60" s="655">
        <v>0</v>
      </c>
      <c r="V60" s="655">
        <v>0</v>
      </c>
      <c r="W60" s="277">
        <f t="shared" si="251"/>
        <v>0</v>
      </c>
      <c r="X60" s="2248"/>
      <c r="Y60" s="2248"/>
      <c r="Z60" s="2249"/>
      <c r="AA60" s="756"/>
      <c r="AB60" s="692" t="s">
        <v>8445</v>
      </c>
      <c r="AC60" s="197"/>
      <c r="AD60" s="258"/>
      <c r="AE60" s="197"/>
      <c r="AF60" s="2576"/>
      <c r="AG60" s="251">
        <f t="shared" si="252"/>
        <v>0</v>
      </c>
      <c r="AH60" s="952"/>
      <c r="AI60" s="252">
        <f t="shared" ref="AI60" si="268" xml:space="preserve"> IF( ISNUMBER(F60), 0, 1 )</f>
        <v>0</v>
      </c>
      <c r="AJ60" s="252">
        <f t="shared" si="253"/>
        <v>0</v>
      </c>
      <c r="AK60" s="252">
        <f t="shared" si="254"/>
        <v>0</v>
      </c>
      <c r="AL60" s="252">
        <f t="shared" si="255"/>
        <v>0</v>
      </c>
      <c r="AM60" s="252">
        <f t="shared" si="256"/>
        <v>0</v>
      </c>
      <c r="AN60" s="252">
        <f t="shared" si="257"/>
        <v>0</v>
      </c>
      <c r="AO60" s="252">
        <f t="shared" si="258"/>
        <v>0</v>
      </c>
      <c r="AP60" s="252">
        <f t="shared" si="259"/>
        <v>0</v>
      </c>
      <c r="AQ60" s="200"/>
      <c r="AR60" s="252">
        <f t="shared" ref="AR60" si="269" xml:space="preserve"> IF( ISNUMBER(O60), 0, 1 )</f>
        <v>0</v>
      </c>
      <c r="AS60" s="252">
        <f t="shared" si="260"/>
        <v>0</v>
      </c>
      <c r="AT60" s="252">
        <f t="shared" si="261"/>
        <v>0</v>
      </c>
      <c r="AU60" s="252">
        <f t="shared" si="262"/>
        <v>0</v>
      </c>
      <c r="AV60" s="252">
        <f t="shared" si="263"/>
        <v>0</v>
      </c>
      <c r="AW60" s="252">
        <f t="shared" si="264"/>
        <v>0</v>
      </c>
      <c r="AX60" s="252">
        <f t="shared" si="265"/>
        <v>0</v>
      </c>
      <c r="AY60" s="252">
        <f t="shared" si="266"/>
        <v>0</v>
      </c>
      <c r="AZ60" s="200"/>
      <c r="BA60" s="200"/>
      <c r="BB60" s="200"/>
      <c r="BC60" s="200"/>
      <c r="BD60" s="2578"/>
      <c r="BE60" s="2562"/>
      <c r="BF60" s="422" t="s">
        <v>8425</v>
      </c>
      <c r="BG60" s="318" t="s">
        <v>1693</v>
      </c>
      <c r="BH60" s="254" t="s">
        <v>8446</v>
      </c>
      <c r="BI60" s="254" t="s">
        <v>8447</v>
      </c>
      <c r="BJ60" s="254" t="s">
        <v>8448</v>
      </c>
      <c r="BK60" s="254" t="s">
        <v>8449</v>
      </c>
      <c r="BL60" s="254" t="s">
        <v>8450</v>
      </c>
      <c r="BM60" s="254" t="s">
        <v>8451</v>
      </c>
      <c r="BN60" s="254" t="s">
        <v>8452</v>
      </c>
      <c r="BO60" s="254" t="s">
        <v>8453</v>
      </c>
      <c r="BP60" s="255" t="s">
        <v>8454</v>
      </c>
      <c r="BQ60" s="254" t="s">
        <v>8455</v>
      </c>
      <c r="BR60" s="254" t="s">
        <v>8456</v>
      </c>
      <c r="BS60" s="254" t="s">
        <v>8457</v>
      </c>
      <c r="BT60" s="254" t="s">
        <v>8458</v>
      </c>
      <c r="BU60" s="254" t="s">
        <v>8459</v>
      </c>
      <c r="BV60" s="254" t="s">
        <v>8460</v>
      </c>
      <c r="BW60" s="254" t="s">
        <v>8461</v>
      </c>
      <c r="BX60" s="254" t="s">
        <v>8462</v>
      </c>
      <c r="BY60" s="255" t="s">
        <v>8463</v>
      </c>
      <c r="BZ60" s="648"/>
      <c r="CA60" s="648"/>
      <c r="CB60" s="649"/>
    </row>
    <row r="61" spans="1:80" ht="33" customHeight="1">
      <c r="A61" s="197"/>
      <c r="B61" s="689" t="s">
        <v>8425</v>
      </c>
      <c r="C61" s="2220" t="s">
        <v>1694</v>
      </c>
      <c r="D61" s="290" t="s">
        <v>137</v>
      </c>
      <c r="E61" s="290">
        <v>3</v>
      </c>
      <c r="F61" s="277">
        <f>IFERROR(SUM(F59:F60), 0)</f>
        <v>0</v>
      </c>
      <c r="G61" s="277">
        <f t="shared" ref="G61:M61" si="270">IFERROR(SUM(G59:G60), 0)</f>
        <v>0</v>
      </c>
      <c r="H61" s="277">
        <f t="shared" si="270"/>
        <v>0</v>
      </c>
      <c r="I61" s="277">
        <f t="shared" si="270"/>
        <v>0.219</v>
      </c>
      <c r="J61" s="277">
        <f t="shared" si="270"/>
        <v>0</v>
      </c>
      <c r="K61" s="277">
        <f t="shared" si="270"/>
        <v>0</v>
      </c>
      <c r="L61" s="277">
        <f t="shared" si="270"/>
        <v>0</v>
      </c>
      <c r="M61" s="277">
        <f t="shared" si="270"/>
        <v>0</v>
      </c>
      <c r="N61" s="277">
        <f>IFERROR(SUM(F61:M61), 0)</f>
        <v>0.219</v>
      </c>
      <c r="O61" s="277">
        <f>IFERROR(SUM(O59:O60), 0)</f>
        <v>0</v>
      </c>
      <c r="P61" s="277">
        <f t="shared" ref="P61:V61" si="271">IFERROR(SUM(P59:P60), 0)</f>
        <v>0</v>
      </c>
      <c r="Q61" s="277">
        <f t="shared" si="271"/>
        <v>0</v>
      </c>
      <c r="R61" s="277">
        <f t="shared" si="271"/>
        <v>2.754</v>
      </c>
      <c r="S61" s="277">
        <f t="shared" si="271"/>
        <v>0</v>
      </c>
      <c r="T61" s="277">
        <f t="shared" si="271"/>
        <v>0</v>
      </c>
      <c r="U61" s="277">
        <f t="shared" si="271"/>
        <v>0</v>
      </c>
      <c r="V61" s="277">
        <f t="shared" si="271"/>
        <v>0</v>
      </c>
      <c r="W61" s="277">
        <f t="shared" si="251"/>
        <v>2.754</v>
      </c>
      <c r="X61" s="2248"/>
      <c r="Y61" s="2248"/>
      <c r="Z61" s="2249"/>
      <c r="AA61" s="313"/>
      <c r="AB61" s="692" t="s">
        <v>8464</v>
      </c>
      <c r="AC61" s="197"/>
      <c r="AD61" s="258"/>
      <c r="AE61" s="197"/>
      <c r="AF61" s="2576"/>
      <c r="AG61" s="2562"/>
      <c r="AH61" s="2576"/>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578"/>
      <c r="BE61" s="2562"/>
      <c r="BF61" s="422" t="s">
        <v>8425</v>
      </c>
      <c r="BG61" s="318" t="s">
        <v>1694</v>
      </c>
      <c r="BH61" s="255" t="s">
        <v>8465</v>
      </c>
      <c r="BI61" s="255" t="s">
        <v>8466</v>
      </c>
      <c r="BJ61" s="255" t="s">
        <v>8467</v>
      </c>
      <c r="BK61" s="255" t="s">
        <v>8468</v>
      </c>
      <c r="BL61" s="255" t="s">
        <v>8469</v>
      </c>
      <c r="BM61" s="255" t="s">
        <v>8470</v>
      </c>
      <c r="BN61" s="255" t="s">
        <v>8471</v>
      </c>
      <c r="BO61" s="255" t="s">
        <v>8472</v>
      </c>
      <c r="BP61" s="255" t="s">
        <v>8473</v>
      </c>
      <c r="BQ61" s="255" t="s">
        <v>8474</v>
      </c>
      <c r="BR61" s="255" t="s">
        <v>8475</v>
      </c>
      <c r="BS61" s="255" t="s">
        <v>8476</v>
      </c>
      <c r="BT61" s="255" t="s">
        <v>8477</v>
      </c>
      <c r="BU61" s="255" t="s">
        <v>8478</v>
      </c>
      <c r="BV61" s="255" t="s">
        <v>8479</v>
      </c>
      <c r="BW61" s="255" t="s">
        <v>8480</v>
      </c>
      <c r="BX61" s="255" t="s">
        <v>8481</v>
      </c>
      <c r="BY61" s="255" t="s">
        <v>8482</v>
      </c>
      <c r="BZ61" s="648"/>
      <c r="CA61" s="648"/>
      <c r="CB61" s="649"/>
    </row>
    <row r="62" spans="1:80" ht="15.75" customHeight="1">
      <c r="A62" s="197"/>
      <c r="B62" s="689" t="s">
        <v>8483</v>
      </c>
      <c r="C62" s="2220" t="s">
        <v>1692</v>
      </c>
      <c r="D62" s="290" t="s">
        <v>137</v>
      </c>
      <c r="E62" s="290">
        <v>3</v>
      </c>
      <c r="F62" s="655">
        <v>6.3E-2</v>
      </c>
      <c r="G62" s="655">
        <v>2.3E-2</v>
      </c>
      <c r="H62" s="655">
        <v>6.0000000000000001E-3</v>
      </c>
      <c r="I62" s="655">
        <v>0</v>
      </c>
      <c r="J62" s="655">
        <v>0</v>
      </c>
      <c r="K62" s="655">
        <v>0</v>
      </c>
      <c r="L62" s="655">
        <v>0</v>
      </c>
      <c r="M62" s="655">
        <v>0</v>
      </c>
      <c r="N62" s="277">
        <f t="shared" si="267"/>
        <v>9.1999999999999998E-2</v>
      </c>
      <c r="O62" s="655">
        <v>0.41199999999999998</v>
      </c>
      <c r="P62" s="655">
        <v>0.151</v>
      </c>
      <c r="Q62" s="655">
        <v>4.2000000000000003E-2</v>
      </c>
      <c r="R62" s="655">
        <v>0</v>
      </c>
      <c r="S62" s="655">
        <v>0</v>
      </c>
      <c r="T62" s="655">
        <v>0</v>
      </c>
      <c r="U62" s="655">
        <v>0</v>
      </c>
      <c r="V62" s="655">
        <v>0</v>
      </c>
      <c r="W62" s="277">
        <f t="shared" si="251"/>
        <v>0.60499999999999998</v>
      </c>
      <c r="X62" s="2248"/>
      <c r="Y62" s="2248"/>
      <c r="Z62" s="2249"/>
      <c r="AA62" s="313"/>
      <c r="AB62" s="692" t="s">
        <v>8484</v>
      </c>
      <c r="AC62" s="197"/>
      <c r="AD62" s="258"/>
      <c r="AE62" s="197"/>
      <c r="AF62" s="2576"/>
      <c r="AG62" s="251">
        <f t="shared" ref="AG62:AG63" si="272">IF( SUM( AI62:BC62 ) = 0, 0, $AI$9 )</f>
        <v>0</v>
      </c>
      <c r="AH62" s="1010"/>
      <c r="AI62" s="252">
        <f xml:space="preserve"> IF( ISNUMBER(F62), 0, 1 )</f>
        <v>0</v>
      </c>
      <c r="AJ62" s="252">
        <f t="shared" ref="AJ62:AJ63" si="273" xml:space="preserve"> IF( ISNUMBER(G62), 0, 1 )</f>
        <v>0</v>
      </c>
      <c r="AK62" s="252">
        <f t="shared" ref="AK62:AK63" si="274" xml:space="preserve"> IF( ISNUMBER(H62), 0, 1 )</f>
        <v>0</v>
      </c>
      <c r="AL62" s="252">
        <f t="shared" ref="AL62:AL63" si="275" xml:space="preserve"> IF( ISNUMBER(I62), 0, 1 )</f>
        <v>0</v>
      </c>
      <c r="AM62" s="252">
        <f t="shared" ref="AM62:AM63" si="276" xml:space="preserve"> IF( ISNUMBER(J62), 0, 1 )</f>
        <v>0</v>
      </c>
      <c r="AN62" s="252">
        <f t="shared" ref="AN62:AN63" si="277" xml:space="preserve"> IF( ISNUMBER(K62), 0, 1 )</f>
        <v>0</v>
      </c>
      <c r="AO62" s="252">
        <f t="shared" ref="AO62:AO63" si="278" xml:space="preserve"> IF( ISNUMBER(L62), 0, 1 )</f>
        <v>0</v>
      </c>
      <c r="AP62" s="252">
        <f t="shared" ref="AP62:AP63" si="279" xml:space="preserve"> IF( ISNUMBER(M62), 0, 1 )</f>
        <v>0</v>
      </c>
      <c r="AQ62" s="200"/>
      <c r="AR62" s="252">
        <f xml:space="preserve"> IF( ISNUMBER(O62), 0, 1 )</f>
        <v>0</v>
      </c>
      <c r="AS62" s="252">
        <f t="shared" ref="AS62:AS63" si="280" xml:space="preserve"> IF( ISNUMBER(P62), 0, 1 )</f>
        <v>0</v>
      </c>
      <c r="AT62" s="252">
        <f t="shared" ref="AT62:AT63" si="281" xml:space="preserve"> IF( ISNUMBER(Q62), 0, 1 )</f>
        <v>0</v>
      </c>
      <c r="AU62" s="252">
        <f t="shared" ref="AU62:AU63" si="282" xml:space="preserve"> IF( ISNUMBER(R62), 0, 1 )</f>
        <v>0</v>
      </c>
      <c r="AV62" s="252">
        <f t="shared" ref="AV62:AV63" si="283" xml:space="preserve"> IF( ISNUMBER(S62), 0, 1 )</f>
        <v>0</v>
      </c>
      <c r="AW62" s="252">
        <f t="shared" ref="AW62:AW63" si="284" xml:space="preserve"> IF( ISNUMBER(T62), 0, 1 )</f>
        <v>0</v>
      </c>
      <c r="AX62" s="252">
        <f t="shared" ref="AX62:AX63" si="285" xml:space="preserve"> IF( ISNUMBER(U62), 0, 1 )</f>
        <v>0</v>
      </c>
      <c r="AY62" s="252">
        <f t="shared" ref="AY62:AY63" si="286" xml:space="preserve"> IF( ISNUMBER(V62), 0, 1 )</f>
        <v>0</v>
      </c>
      <c r="AZ62" s="200"/>
      <c r="BA62" s="200"/>
      <c r="BB62" s="200"/>
      <c r="BC62" s="200"/>
      <c r="BD62" s="2578"/>
      <c r="BE62" s="2562"/>
      <c r="BF62" s="422" t="s">
        <v>8483</v>
      </c>
      <c r="BG62" s="318" t="s">
        <v>1692</v>
      </c>
      <c r="BH62" s="254" t="s">
        <v>8485</v>
      </c>
      <c r="BI62" s="254" t="s">
        <v>8486</v>
      </c>
      <c r="BJ62" s="254" t="s">
        <v>8487</v>
      </c>
      <c r="BK62" s="254" t="s">
        <v>8488</v>
      </c>
      <c r="BL62" s="254" t="s">
        <v>8489</v>
      </c>
      <c r="BM62" s="254" t="s">
        <v>8490</v>
      </c>
      <c r="BN62" s="254" t="s">
        <v>8491</v>
      </c>
      <c r="BO62" s="254" t="s">
        <v>8492</v>
      </c>
      <c r="BP62" s="255" t="s">
        <v>8493</v>
      </c>
      <c r="BQ62" s="254" t="s">
        <v>8494</v>
      </c>
      <c r="BR62" s="254" t="s">
        <v>8495</v>
      </c>
      <c r="BS62" s="254" t="s">
        <v>8496</v>
      </c>
      <c r="BT62" s="254" t="s">
        <v>8497</v>
      </c>
      <c r="BU62" s="254" t="s">
        <v>8498</v>
      </c>
      <c r="BV62" s="254" t="s">
        <v>8499</v>
      </c>
      <c r="BW62" s="254" t="s">
        <v>8500</v>
      </c>
      <c r="BX62" s="254" t="s">
        <v>8501</v>
      </c>
      <c r="BY62" s="255" t="s">
        <v>8502</v>
      </c>
      <c r="BZ62" s="648"/>
      <c r="CA62" s="648"/>
      <c r="CB62" s="649"/>
    </row>
    <row r="63" spans="1:80" ht="15.75" customHeight="1">
      <c r="A63" s="197"/>
      <c r="B63" s="689" t="s">
        <v>8483</v>
      </c>
      <c r="C63" s="2220" t="s">
        <v>1693</v>
      </c>
      <c r="D63" s="290" t="s">
        <v>137</v>
      </c>
      <c r="E63" s="290">
        <v>3</v>
      </c>
      <c r="F63" s="655">
        <v>0</v>
      </c>
      <c r="G63" s="655">
        <v>0</v>
      </c>
      <c r="H63" s="655">
        <v>0</v>
      </c>
      <c r="I63" s="655">
        <v>0</v>
      </c>
      <c r="J63" s="655">
        <v>0</v>
      </c>
      <c r="K63" s="655">
        <v>0</v>
      </c>
      <c r="L63" s="655">
        <v>0</v>
      </c>
      <c r="M63" s="655">
        <v>0</v>
      </c>
      <c r="N63" s="277">
        <f>IFERROR(SUM(F63:M63), 0)</f>
        <v>0</v>
      </c>
      <c r="O63" s="655">
        <v>0</v>
      </c>
      <c r="P63" s="655">
        <v>0</v>
      </c>
      <c r="Q63" s="655">
        <v>0</v>
      </c>
      <c r="R63" s="655">
        <v>0</v>
      </c>
      <c r="S63" s="655">
        <v>0</v>
      </c>
      <c r="T63" s="655">
        <v>0</v>
      </c>
      <c r="U63" s="655">
        <v>0</v>
      </c>
      <c r="V63" s="655">
        <v>0</v>
      </c>
      <c r="W63" s="277">
        <f t="shared" si="251"/>
        <v>0</v>
      </c>
      <c r="X63" s="2248"/>
      <c r="Y63" s="2248"/>
      <c r="Z63" s="2249"/>
      <c r="AA63" s="313"/>
      <c r="AB63" s="692" t="s">
        <v>8503</v>
      </c>
      <c r="AC63" s="197"/>
      <c r="AD63" s="258"/>
      <c r="AE63" s="197"/>
      <c r="AF63" s="2576"/>
      <c r="AG63" s="251">
        <f t="shared" si="272"/>
        <v>0</v>
      </c>
      <c r="AH63" s="952"/>
      <c r="AI63" s="252">
        <f t="shared" ref="AI63" si="287" xml:space="preserve"> IF( ISNUMBER(F63), 0, 1 )</f>
        <v>0</v>
      </c>
      <c r="AJ63" s="252">
        <f t="shared" si="273"/>
        <v>0</v>
      </c>
      <c r="AK63" s="252">
        <f t="shared" si="274"/>
        <v>0</v>
      </c>
      <c r="AL63" s="252">
        <f t="shared" si="275"/>
        <v>0</v>
      </c>
      <c r="AM63" s="252">
        <f t="shared" si="276"/>
        <v>0</v>
      </c>
      <c r="AN63" s="252">
        <f t="shared" si="277"/>
        <v>0</v>
      </c>
      <c r="AO63" s="252">
        <f t="shared" si="278"/>
        <v>0</v>
      </c>
      <c r="AP63" s="252">
        <f t="shared" si="279"/>
        <v>0</v>
      </c>
      <c r="AQ63" s="200"/>
      <c r="AR63" s="252">
        <f t="shared" ref="AR63" si="288" xml:space="preserve"> IF( ISNUMBER(O63), 0, 1 )</f>
        <v>0</v>
      </c>
      <c r="AS63" s="252">
        <f t="shared" si="280"/>
        <v>0</v>
      </c>
      <c r="AT63" s="252">
        <f t="shared" si="281"/>
        <v>0</v>
      </c>
      <c r="AU63" s="252">
        <f t="shared" si="282"/>
        <v>0</v>
      </c>
      <c r="AV63" s="252">
        <f t="shared" si="283"/>
        <v>0</v>
      </c>
      <c r="AW63" s="252">
        <f t="shared" si="284"/>
        <v>0</v>
      </c>
      <c r="AX63" s="252">
        <f t="shared" si="285"/>
        <v>0</v>
      </c>
      <c r="AY63" s="252">
        <f t="shared" si="286"/>
        <v>0</v>
      </c>
      <c r="AZ63" s="200"/>
      <c r="BA63" s="200"/>
      <c r="BB63" s="200"/>
      <c r="BC63" s="200"/>
      <c r="BD63" s="2578"/>
      <c r="BE63" s="2562"/>
      <c r="BF63" s="422" t="s">
        <v>8483</v>
      </c>
      <c r="BG63" s="318" t="s">
        <v>1693</v>
      </c>
      <c r="BH63" s="254" t="s">
        <v>8504</v>
      </c>
      <c r="BI63" s="254" t="s">
        <v>8505</v>
      </c>
      <c r="BJ63" s="254" t="s">
        <v>8506</v>
      </c>
      <c r="BK63" s="254" t="s">
        <v>8507</v>
      </c>
      <c r="BL63" s="254" t="s">
        <v>8508</v>
      </c>
      <c r="BM63" s="254" t="s">
        <v>8509</v>
      </c>
      <c r="BN63" s="254" t="s">
        <v>8510</v>
      </c>
      <c r="BO63" s="254" t="s">
        <v>8511</v>
      </c>
      <c r="BP63" s="255" t="s">
        <v>8512</v>
      </c>
      <c r="BQ63" s="254" t="s">
        <v>8513</v>
      </c>
      <c r="BR63" s="254" t="s">
        <v>8514</v>
      </c>
      <c r="BS63" s="254" t="s">
        <v>8515</v>
      </c>
      <c r="BT63" s="254" t="s">
        <v>8516</v>
      </c>
      <c r="BU63" s="254" t="s">
        <v>8517</v>
      </c>
      <c r="BV63" s="254" t="s">
        <v>8518</v>
      </c>
      <c r="BW63" s="254" t="s">
        <v>8519</v>
      </c>
      <c r="BX63" s="254" t="s">
        <v>8520</v>
      </c>
      <c r="BY63" s="255" t="s">
        <v>8521</v>
      </c>
      <c r="BZ63" s="648"/>
      <c r="CA63" s="648"/>
      <c r="CB63" s="649"/>
    </row>
    <row r="64" spans="1:80" ht="15.75" customHeight="1">
      <c r="A64" s="197"/>
      <c r="B64" s="689" t="s">
        <v>8483</v>
      </c>
      <c r="C64" s="2220" t="s">
        <v>1694</v>
      </c>
      <c r="D64" s="290" t="s">
        <v>137</v>
      </c>
      <c r="E64" s="290">
        <v>3</v>
      </c>
      <c r="F64" s="277">
        <f>IFERROR(SUM(F62:F63), 0)</f>
        <v>6.3E-2</v>
      </c>
      <c r="G64" s="277">
        <f t="shared" ref="G64:M64" si="289">IFERROR(SUM(G62:G63), 0)</f>
        <v>2.3E-2</v>
      </c>
      <c r="H64" s="277">
        <f t="shared" si="289"/>
        <v>6.0000000000000001E-3</v>
      </c>
      <c r="I64" s="277">
        <f t="shared" si="289"/>
        <v>0</v>
      </c>
      <c r="J64" s="277">
        <f t="shared" si="289"/>
        <v>0</v>
      </c>
      <c r="K64" s="277">
        <f t="shared" si="289"/>
        <v>0</v>
      </c>
      <c r="L64" s="277">
        <f t="shared" si="289"/>
        <v>0</v>
      </c>
      <c r="M64" s="277">
        <f t="shared" si="289"/>
        <v>0</v>
      </c>
      <c r="N64" s="277">
        <f t="shared" si="267"/>
        <v>9.1999999999999998E-2</v>
      </c>
      <c r="O64" s="277">
        <f>IFERROR(SUM(O62:O63), 0)</f>
        <v>0.41199999999999998</v>
      </c>
      <c r="P64" s="277">
        <f t="shared" ref="P64:V64" si="290">IFERROR(SUM(P62:P63), 0)</f>
        <v>0.151</v>
      </c>
      <c r="Q64" s="277">
        <f t="shared" si="290"/>
        <v>4.2000000000000003E-2</v>
      </c>
      <c r="R64" s="277">
        <f t="shared" si="290"/>
        <v>0</v>
      </c>
      <c r="S64" s="277">
        <f t="shared" si="290"/>
        <v>0</v>
      </c>
      <c r="T64" s="277">
        <f t="shared" si="290"/>
        <v>0</v>
      </c>
      <c r="U64" s="277">
        <f t="shared" si="290"/>
        <v>0</v>
      </c>
      <c r="V64" s="277">
        <f t="shared" si="290"/>
        <v>0</v>
      </c>
      <c r="W64" s="277">
        <f t="shared" si="251"/>
        <v>0.60499999999999998</v>
      </c>
      <c r="X64" s="2248"/>
      <c r="Y64" s="2248"/>
      <c r="Z64" s="2249"/>
      <c r="AA64" s="313"/>
      <c r="AB64" s="692" t="s">
        <v>8522</v>
      </c>
      <c r="AC64" s="197"/>
      <c r="AD64" s="258"/>
      <c r="AE64" s="197"/>
      <c r="AF64" s="2576"/>
      <c r="AG64" s="2562"/>
      <c r="AH64" s="2576"/>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578"/>
      <c r="BE64" s="2562"/>
      <c r="BF64" s="422" t="s">
        <v>8483</v>
      </c>
      <c r="BG64" s="318" t="s">
        <v>1694</v>
      </c>
      <c r="BH64" s="255" t="s">
        <v>8523</v>
      </c>
      <c r="BI64" s="255" t="s">
        <v>8524</v>
      </c>
      <c r="BJ64" s="255" t="s">
        <v>8525</v>
      </c>
      <c r="BK64" s="255" t="s">
        <v>8526</v>
      </c>
      <c r="BL64" s="255" t="s">
        <v>8527</v>
      </c>
      <c r="BM64" s="255" t="s">
        <v>8528</v>
      </c>
      <c r="BN64" s="255" t="s">
        <v>8529</v>
      </c>
      <c r="BO64" s="255" t="s">
        <v>8530</v>
      </c>
      <c r="BP64" s="255" t="s">
        <v>8531</v>
      </c>
      <c r="BQ64" s="255" t="s">
        <v>8532</v>
      </c>
      <c r="BR64" s="255" t="s">
        <v>8533</v>
      </c>
      <c r="BS64" s="255" t="s">
        <v>8534</v>
      </c>
      <c r="BT64" s="255" t="s">
        <v>8535</v>
      </c>
      <c r="BU64" s="255" t="s">
        <v>8536</v>
      </c>
      <c r="BV64" s="255" t="s">
        <v>8537</v>
      </c>
      <c r="BW64" s="255" t="s">
        <v>8538</v>
      </c>
      <c r="BX64" s="255" t="s">
        <v>8539</v>
      </c>
      <c r="BY64" s="255" t="s">
        <v>8540</v>
      </c>
      <c r="BZ64" s="648"/>
      <c r="CA64" s="648"/>
      <c r="CB64" s="649"/>
    </row>
    <row r="65" spans="1:80" ht="15.75" customHeight="1">
      <c r="A65" s="197"/>
      <c r="B65" s="689" t="s">
        <v>8541</v>
      </c>
      <c r="C65" s="2220" t="s">
        <v>1692</v>
      </c>
      <c r="D65" s="290" t="s">
        <v>137</v>
      </c>
      <c r="E65" s="290">
        <v>3</v>
      </c>
      <c r="F65" s="655">
        <v>3.9E-2</v>
      </c>
      <c r="G65" s="655">
        <v>0</v>
      </c>
      <c r="H65" s="655">
        <v>0</v>
      </c>
      <c r="I65" s="655">
        <v>-7.0000000000000001E-3</v>
      </c>
      <c r="J65" s="655">
        <v>0</v>
      </c>
      <c r="K65" s="655">
        <v>0</v>
      </c>
      <c r="L65" s="655">
        <v>0</v>
      </c>
      <c r="M65" s="655">
        <v>0</v>
      </c>
      <c r="N65" s="277">
        <f t="shared" si="267"/>
        <v>3.2000000000000001E-2</v>
      </c>
      <c r="O65" s="655">
        <v>0</v>
      </c>
      <c r="P65" s="655">
        <v>0</v>
      </c>
      <c r="Q65" s="655">
        <v>0</v>
      </c>
      <c r="R65" s="655">
        <v>0</v>
      </c>
      <c r="S65" s="655">
        <v>0</v>
      </c>
      <c r="T65" s="655">
        <v>0</v>
      </c>
      <c r="U65" s="655">
        <v>0</v>
      </c>
      <c r="V65" s="655">
        <v>0</v>
      </c>
      <c r="W65" s="277">
        <f t="shared" si="251"/>
        <v>0</v>
      </c>
      <c r="X65" s="2248"/>
      <c r="Y65" s="2248"/>
      <c r="Z65" s="2249"/>
      <c r="AA65" s="313"/>
      <c r="AB65" s="692" t="s">
        <v>8542</v>
      </c>
      <c r="AC65" s="197"/>
      <c r="AD65" s="258"/>
      <c r="AE65" s="197"/>
      <c r="AF65" s="2576"/>
      <c r="AG65" s="251">
        <f t="shared" ref="AG65:AG95" si="291">IF( SUM( AI65:BC65 ) = 0, 0, $AI$9 )</f>
        <v>0</v>
      </c>
      <c r="AH65" s="1010"/>
      <c r="AI65" s="252">
        <f xml:space="preserve"> IF( ISNUMBER(F65), 0, 1 )</f>
        <v>0</v>
      </c>
      <c r="AJ65" s="252">
        <f t="shared" ref="AJ65:AJ66" si="292" xml:space="preserve"> IF( ISNUMBER(G65), 0, 1 )</f>
        <v>0</v>
      </c>
      <c r="AK65" s="252">
        <f t="shared" ref="AK65:AK66" si="293" xml:space="preserve"> IF( ISNUMBER(H65), 0, 1 )</f>
        <v>0</v>
      </c>
      <c r="AL65" s="252">
        <f t="shared" ref="AL65:AL66" si="294" xml:space="preserve"> IF( ISNUMBER(I65), 0, 1 )</f>
        <v>0</v>
      </c>
      <c r="AM65" s="252">
        <f t="shared" ref="AM65:AM66" si="295" xml:space="preserve"> IF( ISNUMBER(J65), 0, 1 )</f>
        <v>0</v>
      </c>
      <c r="AN65" s="252">
        <f t="shared" ref="AN65:AN66" si="296" xml:space="preserve"> IF( ISNUMBER(K65), 0, 1 )</f>
        <v>0</v>
      </c>
      <c r="AO65" s="252">
        <f t="shared" ref="AO65:AO66" si="297" xml:space="preserve"> IF( ISNUMBER(L65), 0, 1 )</f>
        <v>0</v>
      </c>
      <c r="AP65" s="252">
        <f t="shared" ref="AP65:AP66" si="298" xml:space="preserve"> IF( ISNUMBER(M65), 0, 1 )</f>
        <v>0</v>
      </c>
      <c r="AQ65" s="200"/>
      <c r="AR65" s="252">
        <f xml:space="preserve"> IF( ISNUMBER(O65), 0, 1 )</f>
        <v>0</v>
      </c>
      <c r="AS65" s="252">
        <f t="shared" ref="AS65:AS66" si="299" xml:space="preserve"> IF( ISNUMBER(P65), 0, 1 )</f>
        <v>0</v>
      </c>
      <c r="AT65" s="252">
        <f t="shared" ref="AT65:AT66" si="300" xml:space="preserve"> IF( ISNUMBER(Q65), 0, 1 )</f>
        <v>0</v>
      </c>
      <c r="AU65" s="252">
        <f t="shared" ref="AU65:AU66" si="301" xml:space="preserve"> IF( ISNUMBER(R65), 0, 1 )</f>
        <v>0</v>
      </c>
      <c r="AV65" s="252">
        <f t="shared" ref="AV65:AV66" si="302" xml:space="preserve"> IF( ISNUMBER(S65), 0, 1 )</f>
        <v>0</v>
      </c>
      <c r="AW65" s="252">
        <f t="shared" ref="AW65:AW66" si="303" xml:space="preserve"> IF( ISNUMBER(T65), 0, 1 )</f>
        <v>0</v>
      </c>
      <c r="AX65" s="252">
        <f t="shared" ref="AX65:AX66" si="304" xml:space="preserve"> IF( ISNUMBER(U65), 0, 1 )</f>
        <v>0</v>
      </c>
      <c r="AY65" s="252">
        <f t="shared" ref="AY65:AY66" si="305" xml:space="preserve"> IF( ISNUMBER(V65), 0, 1 )</f>
        <v>0</v>
      </c>
      <c r="AZ65" s="200"/>
      <c r="BA65" s="200"/>
      <c r="BB65" s="200"/>
      <c r="BC65" s="200"/>
      <c r="BD65" s="2578"/>
      <c r="BE65" s="2562"/>
      <c r="BF65" s="422" t="s">
        <v>8541</v>
      </c>
      <c r="BG65" s="318" t="s">
        <v>1692</v>
      </c>
      <c r="BH65" s="254" t="s">
        <v>8543</v>
      </c>
      <c r="BI65" s="254" t="s">
        <v>8544</v>
      </c>
      <c r="BJ65" s="254" t="s">
        <v>8545</v>
      </c>
      <c r="BK65" s="254" t="s">
        <v>8546</v>
      </c>
      <c r="BL65" s="254" t="s">
        <v>8547</v>
      </c>
      <c r="BM65" s="254" t="s">
        <v>8548</v>
      </c>
      <c r="BN65" s="254" t="s">
        <v>8549</v>
      </c>
      <c r="BO65" s="254" t="s">
        <v>8550</v>
      </c>
      <c r="BP65" s="255" t="s">
        <v>8551</v>
      </c>
      <c r="BQ65" s="254" t="s">
        <v>8552</v>
      </c>
      <c r="BR65" s="254" t="s">
        <v>8553</v>
      </c>
      <c r="BS65" s="254" t="s">
        <v>8554</v>
      </c>
      <c r="BT65" s="254" t="s">
        <v>8555</v>
      </c>
      <c r="BU65" s="254" t="s">
        <v>8556</v>
      </c>
      <c r="BV65" s="254" t="s">
        <v>8557</v>
      </c>
      <c r="BW65" s="254" t="s">
        <v>8558</v>
      </c>
      <c r="BX65" s="254" t="s">
        <v>8559</v>
      </c>
      <c r="BY65" s="255" t="s">
        <v>8560</v>
      </c>
      <c r="BZ65" s="648"/>
      <c r="CA65" s="648"/>
      <c r="CB65" s="649"/>
    </row>
    <row r="66" spans="1:80" ht="15.75" customHeight="1">
      <c r="A66" s="197"/>
      <c r="B66" s="689" t="s">
        <v>8541</v>
      </c>
      <c r="C66" s="2220" t="s">
        <v>1693</v>
      </c>
      <c r="D66" s="290" t="s">
        <v>137</v>
      </c>
      <c r="E66" s="290">
        <v>3</v>
      </c>
      <c r="F66" s="655">
        <v>0</v>
      </c>
      <c r="G66" s="655">
        <v>0</v>
      </c>
      <c r="H66" s="655">
        <v>0</v>
      </c>
      <c r="I66" s="655">
        <v>0</v>
      </c>
      <c r="J66" s="655">
        <v>0</v>
      </c>
      <c r="K66" s="655">
        <v>0</v>
      </c>
      <c r="L66" s="655">
        <v>0</v>
      </c>
      <c r="M66" s="655">
        <v>0</v>
      </c>
      <c r="N66" s="277">
        <f t="shared" si="267"/>
        <v>0</v>
      </c>
      <c r="O66" s="655">
        <v>0</v>
      </c>
      <c r="P66" s="655">
        <v>0</v>
      </c>
      <c r="Q66" s="655">
        <v>0</v>
      </c>
      <c r="R66" s="655">
        <v>0</v>
      </c>
      <c r="S66" s="655">
        <v>0</v>
      </c>
      <c r="T66" s="655">
        <v>0</v>
      </c>
      <c r="U66" s="655">
        <v>0</v>
      </c>
      <c r="V66" s="655">
        <v>0</v>
      </c>
      <c r="W66" s="277">
        <f t="shared" si="251"/>
        <v>0</v>
      </c>
      <c r="X66" s="2248"/>
      <c r="Y66" s="2248"/>
      <c r="Z66" s="2249"/>
      <c r="AA66" s="313"/>
      <c r="AB66" s="692" t="s">
        <v>8561</v>
      </c>
      <c r="AC66" s="197"/>
      <c r="AD66" s="258"/>
      <c r="AE66" s="197"/>
      <c r="AF66" s="2576"/>
      <c r="AG66" s="251">
        <f t="shared" si="291"/>
        <v>0</v>
      </c>
      <c r="AH66" s="952"/>
      <c r="AI66" s="252">
        <f t="shared" ref="AI66" si="306" xml:space="preserve"> IF( ISNUMBER(F66), 0, 1 )</f>
        <v>0</v>
      </c>
      <c r="AJ66" s="252">
        <f t="shared" si="292"/>
        <v>0</v>
      </c>
      <c r="AK66" s="252">
        <f t="shared" si="293"/>
        <v>0</v>
      </c>
      <c r="AL66" s="252">
        <f t="shared" si="294"/>
        <v>0</v>
      </c>
      <c r="AM66" s="252">
        <f t="shared" si="295"/>
        <v>0</v>
      </c>
      <c r="AN66" s="252">
        <f t="shared" si="296"/>
        <v>0</v>
      </c>
      <c r="AO66" s="252">
        <f t="shared" si="297"/>
        <v>0</v>
      </c>
      <c r="AP66" s="252">
        <f t="shared" si="298"/>
        <v>0</v>
      </c>
      <c r="AQ66" s="200"/>
      <c r="AR66" s="252">
        <f t="shared" ref="AR66" si="307" xml:space="preserve"> IF( ISNUMBER(O66), 0, 1 )</f>
        <v>0</v>
      </c>
      <c r="AS66" s="252">
        <f t="shared" si="299"/>
        <v>0</v>
      </c>
      <c r="AT66" s="252">
        <f t="shared" si="300"/>
        <v>0</v>
      </c>
      <c r="AU66" s="252">
        <f t="shared" si="301"/>
        <v>0</v>
      </c>
      <c r="AV66" s="252">
        <f t="shared" si="302"/>
        <v>0</v>
      </c>
      <c r="AW66" s="252">
        <f t="shared" si="303"/>
        <v>0</v>
      </c>
      <c r="AX66" s="252">
        <f t="shared" si="304"/>
        <v>0</v>
      </c>
      <c r="AY66" s="252">
        <f t="shared" si="305"/>
        <v>0</v>
      </c>
      <c r="AZ66" s="200"/>
      <c r="BA66" s="200"/>
      <c r="BB66" s="200"/>
      <c r="BC66" s="200"/>
      <c r="BD66" s="2578"/>
      <c r="BE66" s="2562"/>
      <c r="BF66" s="422" t="s">
        <v>8541</v>
      </c>
      <c r="BG66" s="318" t="s">
        <v>1693</v>
      </c>
      <c r="BH66" s="254" t="s">
        <v>8562</v>
      </c>
      <c r="BI66" s="254" t="s">
        <v>8563</v>
      </c>
      <c r="BJ66" s="254" t="s">
        <v>8564</v>
      </c>
      <c r="BK66" s="254" t="s">
        <v>8565</v>
      </c>
      <c r="BL66" s="254" t="s">
        <v>8566</v>
      </c>
      <c r="BM66" s="254" t="s">
        <v>8567</v>
      </c>
      <c r="BN66" s="254" t="s">
        <v>8568</v>
      </c>
      <c r="BO66" s="254" t="s">
        <v>8569</v>
      </c>
      <c r="BP66" s="255" t="s">
        <v>8570</v>
      </c>
      <c r="BQ66" s="254" t="s">
        <v>8571</v>
      </c>
      <c r="BR66" s="254" t="s">
        <v>8572</v>
      </c>
      <c r="BS66" s="254" t="s">
        <v>8573</v>
      </c>
      <c r="BT66" s="254" t="s">
        <v>8574</v>
      </c>
      <c r="BU66" s="254" t="s">
        <v>8575</v>
      </c>
      <c r="BV66" s="254" t="s">
        <v>8576</v>
      </c>
      <c r="BW66" s="254" t="s">
        <v>8577</v>
      </c>
      <c r="BX66" s="254" t="s">
        <v>8578</v>
      </c>
      <c r="BY66" s="255" t="s">
        <v>8579</v>
      </c>
      <c r="BZ66" s="648"/>
      <c r="CA66" s="648"/>
      <c r="CB66" s="649"/>
    </row>
    <row r="67" spans="1:80" ht="15.75" customHeight="1">
      <c r="A67" s="197"/>
      <c r="B67" s="689" t="s">
        <v>8541</v>
      </c>
      <c r="C67" s="2220" t="s">
        <v>1694</v>
      </c>
      <c r="D67" s="290" t="s">
        <v>137</v>
      </c>
      <c r="E67" s="290">
        <v>3</v>
      </c>
      <c r="F67" s="277">
        <f>IFERROR(SUM(F65:F66), 0)</f>
        <v>3.9E-2</v>
      </c>
      <c r="G67" s="277">
        <f t="shared" ref="G67:M67" si="308">IFERROR(SUM(G65:G66), 0)</f>
        <v>0</v>
      </c>
      <c r="H67" s="277">
        <f t="shared" si="308"/>
        <v>0</v>
      </c>
      <c r="I67" s="277">
        <f t="shared" si="308"/>
        <v>-7.0000000000000001E-3</v>
      </c>
      <c r="J67" s="277">
        <f t="shared" si="308"/>
        <v>0</v>
      </c>
      <c r="K67" s="277">
        <f t="shared" si="308"/>
        <v>0</v>
      </c>
      <c r="L67" s="277">
        <f t="shared" si="308"/>
        <v>0</v>
      </c>
      <c r="M67" s="277">
        <f t="shared" si="308"/>
        <v>0</v>
      </c>
      <c r="N67" s="277">
        <f t="shared" si="267"/>
        <v>3.2000000000000001E-2</v>
      </c>
      <c r="O67" s="277">
        <f>IFERROR(SUM(O65:O66), 0)</f>
        <v>0</v>
      </c>
      <c r="P67" s="277">
        <f t="shared" ref="P67:V67" si="309">IFERROR(SUM(P65:P66), 0)</f>
        <v>0</v>
      </c>
      <c r="Q67" s="277">
        <f t="shared" si="309"/>
        <v>0</v>
      </c>
      <c r="R67" s="277">
        <f t="shared" si="309"/>
        <v>0</v>
      </c>
      <c r="S67" s="277">
        <f t="shared" si="309"/>
        <v>0</v>
      </c>
      <c r="T67" s="277">
        <f t="shared" si="309"/>
        <v>0</v>
      </c>
      <c r="U67" s="277">
        <f t="shared" si="309"/>
        <v>0</v>
      </c>
      <c r="V67" s="277">
        <f t="shared" si="309"/>
        <v>0</v>
      </c>
      <c r="W67" s="277">
        <f>IFERROR(SUM(O67:V67), 0)</f>
        <v>0</v>
      </c>
      <c r="X67" s="655">
        <v>0.129</v>
      </c>
      <c r="Y67" s="655">
        <v>0.95199999999999996</v>
      </c>
      <c r="Z67" s="693">
        <v>1.1990000000000001</v>
      </c>
      <c r="AA67" s="313"/>
      <c r="AB67" s="692" t="s">
        <v>8580</v>
      </c>
      <c r="AC67" s="197"/>
      <c r="AD67" s="258"/>
      <c r="AE67" s="197"/>
      <c r="AF67" s="2576"/>
      <c r="AG67" s="251">
        <f t="shared" si="291"/>
        <v>0</v>
      </c>
      <c r="AH67" s="1010"/>
      <c r="AI67" s="200"/>
      <c r="AJ67" s="200"/>
      <c r="AK67" s="200"/>
      <c r="AL67" s="200"/>
      <c r="AM67" s="200"/>
      <c r="AN67" s="200"/>
      <c r="AO67" s="200"/>
      <c r="AP67" s="200"/>
      <c r="AQ67" s="200"/>
      <c r="AR67" s="200"/>
      <c r="AS67" s="200"/>
      <c r="AT67" s="200"/>
      <c r="AU67" s="200"/>
      <c r="AV67" s="200"/>
      <c r="AW67" s="200"/>
      <c r="AX67" s="200"/>
      <c r="AY67" s="200"/>
      <c r="AZ67" s="200"/>
      <c r="BA67" s="252">
        <f t="shared" ref="BA67" si="310" xml:space="preserve"> IF( ISNUMBER(X67), 0, 1 )</f>
        <v>0</v>
      </c>
      <c r="BB67" s="252">
        <f t="shared" ref="BB67" si="311" xml:space="preserve"> IF( ISNUMBER(Y67), 0, 1 )</f>
        <v>0</v>
      </c>
      <c r="BC67" s="252">
        <f t="shared" ref="BC67" si="312" xml:space="preserve"> IF( ISNUMBER(Z67), 0, 1 )</f>
        <v>0</v>
      </c>
      <c r="BD67" s="2578"/>
      <c r="BE67" s="2562"/>
      <c r="BF67" s="422" t="s">
        <v>8541</v>
      </c>
      <c r="BG67" s="318" t="s">
        <v>1694</v>
      </c>
      <c r="BH67" s="255" t="s">
        <v>8581</v>
      </c>
      <c r="BI67" s="255" t="s">
        <v>8582</v>
      </c>
      <c r="BJ67" s="255" t="s">
        <v>8583</v>
      </c>
      <c r="BK67" s="255" t="s">
        <v>8584</v>
      </c>
      <c r="BL67" s="255" t="s">
        <v>8585</v>
      </c>
      <c r="BM67" s="255" t="s">
        <v>8586</v>
      </c>
      <c r="BN67" s="255" t="s">
        <v>8587</v>
      </c>
      <c r="BO67" s="255" t="s">
        <v>8588</v>
      </c>
      <c r="BP67" s="255" t="s">
        <v>8589</v>
      </c>
      <c r="BQ67" s="255" t="s">
        <v>8590</v>
      </c>
      <c r="BR67" s="255" t="s">
        <v>8591</v>
      </c>
      <c r="BS67" s="255" t="s">
        <v>8592</v>
      </c>
      <c r="BT67" s="255" t="s">
        <v>8593</v>
      </c>
      <c r="BU67" s="255" t="s">
        <v>8594</v>
      </c>
      <c r="BV67" s="255" t="s">
        <v>8595</v>
      </c>
      <c r="BW67" s="255" t="s">
        <v>8596</v>
      </c>
      <c r="BX67" s="255" t="s">
        <v>8597</v>
      </c>
      <c r="BY67" s="255" t="s">
        <v>8598</v>
      </c>
      <c r="BZ67" s="644" t="s">
        <v>8599</v>
      </c>
      <c r="CA67" s="644" t="s">
        <v>8600</v>
      </c>
      <c r="CB67" s="1011" t="s">
        <v>8601</v>
      </c>
    </row>
    <row r="68" spans="1:80" ht="15.75" customHeight="1">
      <c r="A68" s="197"/>
      <c r="B68" s="689" t="s">
        <v>8602</v>
      </c>
      <c r="C68" s="2220" t="s">
        <v>1692</v>
      </c>
      <c r="D68" s="290" t="s">
        <v>137</v>
      </c>
      <c r="E68" s="290">
        <v>3</v>
      </c>
      <c r="F68" s="655">
        <v>0</v>
      </c>
      <c r="G68" s="655">
        <v>0</v>
      </c>
      <c r="H68" s="655">
        <v>0</v>
      </c>
      <c r="I68" s="655">
        <v>0</v>
      </c>
      <c r="J68" s="655">
        <v>0</v>
      </c>
      <c r="K68" s="655">
        <v>0</v>
      </c>
      <c r="L68" s="655">
        <v>1.427</v>
      </c>
      <c r="M68" s="655">
        <v>0</v>
      </c>
      <c r="N68" s="277">
        <f t="shared" si="267"/>
        <v>1.427</v>
      </c>
      <c r="O68" s="2247"/>
      <c r="P68" s="2247"/>
      <c r="Q68" s="2247"/>
      <c r="R68" s="2247"/>
      <c r="S68" s="2247"/>
      <c r="T68" s="2247"/>
      <c r="U68" s="2247"/>
      <c r="V68" s="2247"/>
      <c r="W68" s="2247"/>
      <c r="X68" s="2248"/>
      <c r="Y68" s="2248"/>
      <c r="Z68" s="2249"/>
      <c r="AA68" s="313"/>
      <c r="AB68" s="692" t="s">
        <v>8603</v>
      </c>
      <c r="AC68" s="197"/>
      <c r="AD68" s="258"/>
      <c r="AE68" s="197"/>
      <c r="AF68" s="2576"/>
      <c r="AG68" s="251">
        <f t="shared" si="291"/>
        <v>0</v>
      </c>
      <c r="AH68" s="2576"/>
      <c r="AI68" s="252">
        <f xml:space="preserve"> IF( ISNUMBER(F68), 0, 1 )</f>
        <v>0</v>
      </c>
      <c r="AJ68" s="252">
        <f t="shared" ref="AJ68:AJ69" si="313" xml:space="preserve"> IF( ISNUMBER(G68), 0, 1 )</f>
        <v>0</v>
      </c>
      <c r="AK68" s="252">
        <f t="shared" ref="AK68:AK69" si="314" xml:space="preserve"> IF( ISNUMBER(H68), 0, 1 )</f>
        <v>0</v>
      </c>
      <c r="AL68" s="252">
        <f t="shared" ref="AL68:AL69" si="315" xml:space="preserve"> IF( ISNUMBER(I68), 0, 1 )</f>
        <v>0</v>
      </c>
      <c r="AM68" s="252">
        <f t="shared" ref="AM68:AM69" si="316" xml:space="preserve"> IF( ISNUMBER(J68), 0, 1 )</f>
        <v>0</v>
      </c>
      <c r="AN68" s="252">
        <f t="shared" ref="AN68:AN69" si="317" xml:space="preserve"> IF( ISNUMBER(K68), 0, 1 )</f>
        <v>0</v>
      </c>
      <c r="AO68" s="252">
        <f t="shared" ref="AO68:AO69" si="318" xml:space="preserve"> IF( ISNUMBER(L68), 0, 1 )</f>
        <v>0</v>
      </c>
      <c r="AP68" s="252">
        <f t="shared" ref="AP68:AP69" si="319" xml:space="preserve"> IF( ISNUMBER(M68), 0, 1 )</f>
        <v>0</v>
      </c>
      <c r="AQ68" s="200"/>
      <c r="AR68" s="200"/>
      <c r="AS68" s="200"/>
      <c r="AT68" s="200"/>
      <c r="AU68" s="200"/>
      <c r="AV68" s="200"/>
      <c r="AW68" s="200"/>
      <c r="AX68" s="200"/>
      <c r="AY68" s="200"/>
      <c r="AZ68" s="200"/>
      <c r="BA68" s="200"/>
      <c r="BB68" s="200"/>
      <c r="BC68" s="200"/>
      <c r="BD68" s="2578"/>
      <c r="BE68" s="2562"/>
      <c r="BF68" s="422" t="s">
        <v>8602</v>
      </c>
      <c r="BG68" s="318" t="s">
        <v>1692</v>
      </c>
      <c r="BH68" s="254" t="s">
        <v>8604</v>
      </c>
      <c r="BI68" s="254" t="s">
        <v>8605</v>
      </c>
      <c r="BJ68" s="254" t="s">
        <v>8606</v>
      </c>
      <c r="BK68" s="254" t="s">
        <v>8607</v>
      </c>
      <c r="BL68" s="254" t="s">
        <v>8608</v>
      </c>
      <c r="BM68" s="254" t="s">
        <v>8609</v>
      </c>
      <c r="BN68" s="254" t="s">
        <v>8610</v>
      </c>
      <c r="BO68" s="254" t="s">
        <v>8611</v>
      </c>
      <c r="BP68" s="255" t="s">
        <v>8612</v>
      </c>
      <c r="BQ68" s="361"/>
      <c r="BR68" s="361"/>
      <c r="BS68" s="361"/>
      <c r="BT68" s="361"/>
      <c r="BU68" s="361"/>
      <c r="BV68" s="361"/>
      <c r="BW68" s="361"/>
      <c r="BX68" s="361"/>
      <c r="BY68" s="361"/>
      <c r="BZ68" s="648"/>
      <c r="CA68" s="648"/>
      <c r="CB68" s="649"/>
    </row>
    <row r="69" spans="1:80" ht="15.75" customHeight="1">
      <c r="A69" s="197"/>
      <c r="B69" s="689" t="s">
        <v>8602</v>
      </c>
      <c r="C69" s="2220" t="s">
        <v>1693</v>
      </c>
      <c r="D69" s="290" t="s">
        <v>137</v>
      </c>
      <c r="E69" s="290">
        <v>3</v>
      </c>
      <c r="F69" s="655">
        <v>0</v>
      </c>
      <c r="G69" s="655">
        <v>0</v>
      </c>
      <c r="H69" s="655">
        <v>0</v>
      </c>
      <c r="I69" s="655">
        <v>0</v>
      </c>
      <c r="J69" s="655">
        <v>0</v>
      </c>
      <c r="K69" s="655">
        <v>0</v>
      </c>
      <c r="L69" s="655">
        <v>0</v>
      </c>
      <c r="M69" s="655">
        <v>0</v>
      </c>
      <c r="N69" s="277">
        <f t="shared" si="267"/>
        <v>0</v>
      </c>
      <c r="O69" s="2247"/>
      <c r="P69" s="2247"/>
      <c r="Q69" s="2247"/>
      <c r="R69" s="2247"/>
      <c r="S69" s="2247"/>
      <c r="T69" s="2247"/>
      <c r="U69" s="2247"/>
      <c r="V69" s="2247"/>
      <c r="W69" s="2247"/>
      <c r="X69" s="2248"/>
      <c r="Y69" s="2248"/>
      <c r="Z69" s="2249"/>
      <c r="AA69" s="313"/>
      <c r="AB69" s="692" t="s">
        <v>8613</v>
      </c>
      <c r="AC69" s="197"/>
      <c r="AD69" s="258"/>
      <c r="AE69" s="197"/>
      <c r="AF69" s="2576"/>
      <c r="AG69" s="251">
        <f t="shared" si="291"/>
        <v>0</v>
      </c>
      <c r="AH69" s="2576"/>
      <c r="AI69" s="252">
        <f t="shared" ref="AI69" si="320" xml:space="preserve"> IF( ISNUMBER(F69), 0, 1 )</f>
        <v>0</v>
      </c>
      <c r="AJ69" s="252">
        <f t="shared" si="313"/>
        <v>0</v>
      </c>
      <c r="AK69" s="252">
        <f t="shared" si="314"/>
        <v>0</v>
      </c>
      <c r="AL69" s="252">
        <f t="shared" si="315"/>
        <v>0</v>
      </c>
      <c r="AM69" s="252">
        <f t="shared" si="316"/>
        <v>0</v>
      </c>
      <c r="AN69" s="252">
        <f t="shared" si="317"/>
        <v>0</v>
      </c>
      <c r="AO69" s="252">
        <f t="shared" si="318"/>
        <v>0</v>
      </c>
      <c r="AP69" s="252">
        <f t="shared" si="319"/>
        <v>0</v>
      </c>
      <c r="AQ69" s="200"/>
      <c r="AR69" s="200"/>
      <c r="AS69" s="200"/>
      <c r="AT69" s="200"/>
      <c r="AU69" s="200"/>
      <c r="AV69" s="200"/>
      <c r="AW69" s="200"/>
      <c r="AX69" s="200"/>
      <c r="AY69" s="200"/>
      <c r="AZ69" s="200"/>
      <c r="BA69" s="200"/>
      <c r="BB69" s="200"/>
      <c r="BC69" s="200"/>
      <c r="BD69" s="2578"/>
      <c r="BE69" s="2562"/>
      <c r="BF69" s="422" t="s">
        <v>8602</v>
      </c>
      <c r="BG69" s="318" t="s">
        <v>1693</v>
      </c>
      <c r="BH69" s="254" t="s">
        <v>8614</v>
      </c>
      <c r="BI69" s="254" t="s">
        <v>8615</v>
      </c>
      <c r="BJ69" s="254" t="s">
        <v>8616</v>
      </c>
      <c r="BK69" s="254" t="s">
        <v>8617</v>
      </c>
      <c r="BL69" s="254" t="s">
        <v>8618</v>
      </c>
      <c r="BM69" s="254" t="s">
        <v>8619</v>
      </c>
      <c r="BN69" s="254" t="s">
        <v>8620</v>
      </c>
      <c r="BO69" s="254" t="s">
        <v>8621</v>
      </c>
      <c r="BP69" s="255" t="s">
        <v>8622</v>
      </c>
      <c r="BQ69" s="361"/>
      <c r="BR69" s="361"/>
      <c r="BS69" s="361"/>
      <c r="BT69" s="361"/>
      <c r="BU69" s="361"/>
      <c r="BV69" s="361"/>
      <c r="BW69" s="361"/>
      <c r="BX69" s="361"/>
      <c r="BY69" s="361"/>
      <c r="BZ69" s="648"/>
      <c r="CA69" s="648"/>
      <c r="CB69" s="649"/>
    </row>
    <row r="70" spans="1:80" ht="15.75" customHeight="1">
      <c r="A70" s="197"/>
      <c r="B70" s="689" t="s">
        <v>8602</v>
      </c>
      <c r="C70" s="2220" t="s">
        <v>1694</v>
      </c>
      <c r="D70" s="290" t="s">
        <v>137</v>
      </c>
      <c r="E70" s="290">
        <v>3</v>
      </c>
      <c r="F70" s="277">
        <f>IFERROR(SUM(F68:F69), 0)</f>
        <v>0</v>
      </c>
      <c r="G70" s="277">
        <f t="shared" ref="G70:M70" si="321">IFERROR(SUM(G68:G69), 0)</f>
        <v>0</v>
      </c>
      <c r="H70" s="277">
        <f t="shared" si="321"/>
        <v>0</v>
      </c>
      <c r="I70" s="277">
        <f t="shared" si="321"/>
        <v>0</v>
      </c>
      <c r="J70" s="277">
        <f t="shared" si="321"/>
        <v>0</v>
      </c>
      <c r="K70" s="277">
        <f t="shared" si="321"/>
        <v>0</v>
      </c>
      <c r="L70" s="277">
        <f t="shared" si="321"/>
        <v>1.427</v>
      </c>
      <c r="M70" s="277">
        <f t="shared" si="321"/>
        <v>0</v>
      </c>
      <c r="N70" s="277">
        <f t="shared" si="267"/>
        <v>1.427</v>
      </c>
      <c r="O70" s="2247"/>
      <c r="P70" s="2247"/>
      <c r="Q70" s="2247"/>
      <c r="R70" s="2247"/>
      <c r="S70" s="2247"/>
      <c r="T70" s="2247"/>
      <c r="U70" s="2247"/>
      <c r="V70" s="2247"/>
      <c r="W70" s="2247"/>
      <c r="X70" s="655">
        <v>1.643</v>
      </c>
      <c r="Y70" s="655">
        <v>5.5469999999999997</v>
      </c>
      <c r="Z70" s="693">
        <v>41.01</v>
      </c>
      <c r="AA70" s="313"/>
      <c r="AB70" s="692" t="s">
        <v>8623</v>
      </c>
      <c r="AC70" s="197"/>
      <c r="AD70" s="258"/>
      <c r="AE70" s="197"/>
      <c r="AF70" s="2576"/>
      <c r="AG70" s="251">
        <f t="shared" si="291"/>
        <v>0</v>
      </c>
      <c r="AH70" s="1010"/>
      <c r="AI70" s="200"/>
      <c r="AJ70" s="200"/>
      <c r="AK70" s="200"/>
      <c r="AL70" s="200"/>
      <c r="AM70" s="200"/>
      <c r="AN70" s="200"/>
      <c r="AO70" s="200"/>
      <c r="AP70" s="200"/>
      <c r="AQ70" s="200"/>
      <c r="AR70" s="200"/>
      <c r="AS70" s="200"/>
      <c r="AT70" s="200"/>
      <c r="AU70" s="200"/>
      <c r="AV70" s="200"/>
      <c r="AW70" s="200"/>
      <c r="AX70" s="200"/>
      <c r="AY70" s="200"/>
      <c r="AZ70" s="200"/>
      <c r="BA70" s="252">
        <f t="shared" ref="BA70" si="322" xml:space="preserve"> IF( ISNUMBER(X70), 0, 1 )</f>
        <v>0</v>
      </c>
      <c r="BB70" s="252">
        <f t="shared" ref="BB70" si="323" xml:space="preserve"> IF( ISNUMBER(Y70), 0, 1 )</f>
        <v>0</v>
      </c>
      <c r="BC70" s="252">
        <f t="shared" ref="BC70" si="324" xml:space="preserve"> IF( ISNUMBER(Z70), 0, 1 )</f>
        <v>0</v>
      </c>
      <c r="BD70" s="2578"/>
      <c r="BE70" s="2562"/>
      <c r="BF70" s="422" t="s">
        <v>8602</v>
      </c>
      <c r="BG70" s="318" t="s">
        <v>1694</v>
      </c>
      <c r="BH70" s="255" t="s">
        <v>8624</v>
      </c>
      <c r="BI70" s="255" t="s">
        <v>8625</v>
      </c>
      <c r="BJ70" s="255" t="s">
        <v>8626</v>
      </c>
      <c r="BK70" s="255" t="s">
        <v>8627</v>
      </c>
      <c r="BL70" s="255" t="s">
        <v>8628</v>
      </c>
      <c r="BM70" s="255" t="s">
        <v>8629</v>
      </c>
      <c r="BN70" s="255" t="s">
        <v>8630</v>
      </c>
      <c r="BO70" s="255" t="s">
        <v>8631</v>
      </c>
      <c r="BP70" s="255" t="s">
        <v>8632</v>
      </c>
      <c r="BQ70" s="361"/>
      <c r="BR70" s="361"/>
      <c r="BS70" s="361"/>
      <c r="BT70" s="361"/>
      <c r="BU70" s="361"/>
      <c r="BV70" s="361"/>
      <c r="BW70" s="361"/>
      <c r="BX70" s="361"/>
      <c r="BY70" s="361"/>
      <c r="BZ70" s="644" t="s">
        <v>8633</v>
      </c>
      <c r="CA70" s="644" t="s">
        <v>8634</v>
      </c>
      <c r="CB70" s="1011" t="s">
        <v>8635</v>
      </c>
    </row>
    <row r="71" spans="1:80" ht="15.75" customHeight="1">
      <c r="A71" s="197"/>
      <c r="B71" s="689" t="s">
        <v>8636</v>
      </c>
      <c r="C71" s="2220" t="s">
        <v>1692</v>
      </c>
      <c r="D71" s="290" t="s">
        <v>137</v>
      </c>
      <c r="E71" s="290">
        <v>3</v>
      </c>
      <c r="F71" s="655">
        <v>0</v>
      </c>
      <c r="G71" s="655">
        <v>0</v>
      </c>
      <c r="H71" s="655">
        <v>0</v>
      </c>
      <c r="I71" s="655">
        <v>0</v>
      </c>
      <c r="J71" s="655">
        <v>0</v>
      </c>
      <c r="K71" s="655">
        <v>0</v>
      </c>
      <c r="L71" s="655">
        <v>0</v>
      </c>
      <c r="M71" s="655">
        <v>0</v>
      </c>
      <c r="N71" s="277">
        <f t="shared" si="267"/>
        <v>0</v>
      </c>
      <c r="O71" s="2247"/>
      <c r="P71" s="2247"/>
      <c r="Q71" s="2247"/>
      <c r="R71" s="2247"/>
      <c r="S71" s="2247"/>
      <c r="T71" s="2247"/>
      <c r="U71" s="2247"/>
      <c r="V71" s="2247"/>
      <c r="W71" s="2247"/>
      <c r="X71" s="2248"/>
      <c r="Y71" s="2248"/>
      <c r="Z71" s="2249"/>
      <c r="AA71" s="313"/>
      <c r="AB71" s="692" t="s">
        <v>8637</v>
      </c>
      <c r="AC71" s="197"/>
      <c r="AD71" s="258"/>
      <c r="AE71" s="197"/>
      <c r="AF71" s="2576"/>
      <c r="AG71" s="251">
        <f t="shared" si="291"/>
        <v>0</v>
      </c>
      <c r="AH71" s="2576"/>
      <c r="AI71" s="252">
        <f xml:space="preserve"> IF( ISNUMBER(F71), 0, 1 )</f>
        <v>0</v>
      </c>
      <c r="AJ71" s="252">
        <f t="shared" ref="AJ71:AJ72" si="325" xml:space="preserve"> IF( ISNUMBER(G71), 0, 1 )</f>
        <v>0</v>
      </c>
      <c r="AK71" s="252">
        <f t="shared" ref="AK71:AK72" si="326" xml:space="preserve"> IF( ISNUMBER(H71), 0, 1 )</f>
        <v>0</v>
      </c>
      <c r="AL71" s="252">
        <f t="shared" ref="AL71:AL72" si="327" xml:space="preserve"> IF( ISNUMBER(I71), 0, 1 )</f>
        <v>0</v>
      </c>
      <c r="AM71" s="252">
        <f t="shared" ref="AM71:AM72" si="328" xml:space="preserve"> IF( ISNUMBER(J71), 0, 1 )</f>
        <v>0</v>
      </c>
      <c r="AN71" s="252">
        <f t="shared" ref="AN71:AN72" si="329" xml:space="preserve"> IF( ISNUMBER(K71), 0, 1 )</f>
        <v>0</v>
      </c>
      <c r="AO71" s="252">
        <f t="shared" ref="AO71:AO72" si="330" xml:space="preserve"> IF( ISNUMBER(L71), 0, 1 )</f>
        <v>0</v>
      </c>
      <c r="AP71" s="252">
        <f t="shared" ref="AP71:AP72" si="331" xml:space="preserve"> IF( ISNUMBER(M71), 0, 1 )</f>
        <v>0</v>
      </c>
      <c r="AQ71" s="200"/>
      <c r="AR71" s="200"/>
      <c r="AS71" s="200"/>
      <c r="AT71" s="200"/>
      <c r="AU71" s="200"/>
      <c r="AV71" s="200"/>
      <c r="AW71" s="200"/>
      <c r="AX71" s="200"/>
      <c r="AY71" s="200"/>
      <c r="AZ71" s="200"/>
      <c r="BA71" s="200"/>
      <c r="BB71" s="200"/>
      <c r="BC71" s="200"/>
      <c r="BD71" s="2578"/>
      <c r="BE71" s="2562"/>
      <c r="BF71" s="422" t="s">
        <v>8636</v>
      </c>
      <c r="BG71" s="318" t="s">
        <v>1692</v>
      </c>
      <c r="BH71" s="254" t="s">
        <v>8638</v>
      </c>
      <c r="BI71" s="254" t="s">
        <v>8639</v>
      </c>
      <c r="BJ71" s="254" t="s">
        <v>8640</v>
      </c>
      <c r="BK71" s="254" t="s">
        <v>8641</v>
      </c>
      <c r="BL71" s="254" t="s">
        <v>8642</v>
      </c>
      <c r="BM71" s="254" t="s">
        <v>8643</v>
      </c>
      <c r="BN71" s="254" t="s">
        <v>8644</v>
      </c>
      <c r="BO71" s="254" t="s">
        <v>8645</v>
      </c>
      <c r="BP71" s="255" t="s">
        <v>8646</v>
      </c>
      <c r="BQ71" s="361"/>
      <c r="BR71" s="361"/>
      <c r="BS71" s="361"/>
      <c r="BT71" s="361"/>
      <c r="BU71" s="361"/>
      <c r="BV71" s="361"/>
      <c r="BW71" s="361"/>
      <c r="BX71" s="361"/>
      <c r="BY71" s="361"/>
      <c r="BZ71" s="648"/>
      <c r="CA71" s="648"/>
      <c r="CB71" s="649"/>
    </row>
    <row r="72" spans="1:80" ht="15.75" customHeight="1">
      <c r="A72" s="197"/>
      <c r="B72" s="689" t="s">
        <v>8636</v>
      </c>
      <c r="C72" s="2220" t="s">
        <v>1693</v>
      </c>
      <c r="D72" s="290" t="s">
        <v>137</v>
      </c>
      <c r="E72" s="290">
        <v>3</v>
      </c>
      <c r="F72" s="655">
        <v>0</v>
      </c>
      <c r="G72" s="655">
        <v>0</v>
      </c>
      <c r="H72" s="655">
        <v>0</v>
      </c>
      <c r="I72" s="655">
        <v>0</v>
      </c>
      <c r="J72" s="655">
        <v>0</v>
      </c>
      <c r="K72" s="655">
        <v>0</v>
      </c>
      <c r="L72" s="655">
        <v>0</v>
      </c>
      <c r="M72" s="655">
        <v>0</v>
      </c>
      <c r="N72" s="277">
        <f t="shared" si="267"/>
        <v>0</v>
      </c>
      <c r="O72" s="2247"/>
      <c r="P72" s="2247"/>
      <c r="Q72" s="2247"/>
      <c r="R72" s="2247"/>
      <c r="S72" s="2247"/>
      <c r="T72" s="2247"/>
      <c r="U72" s="2247"/>
      <c r="V72" s="2247"/>
      <c r="W72" s="2247"/>
      <c r="X72" s="2248"/>
      <c r="Y72" s="2248"/>
      <c r="Z72" s="2249"/>
      <c r="AA72" s="313"/>
      <c r="AB72" s="692" t="s">
        <v>8647</v>
      </c>
      <c r="AC72" s="197"/>
      <c r="AD72" s="258"/>
      <c r="AE72" s="197"/>
      <c r="AF72" s="2576"/>
      <c r="AG72" s="251">
        <f t="shared" si="291"/>
        <v>0</v>
      </c>
      <c r="AH72" s="2576"/>
      <c r="AI72" s="252">
        <f t="shared" ref="AI72" si="332" xml:space="preserve"> IF( ISNUMBER(F72), 0, 1 )</f>
        <v>0</v>
      </c>
      <c r="AJ72" s="252">
        <f t="shared" si="325"/>
        <v>0</v>
      </c>
      <c r="AK72" s="252">
        <f t="shared" si="326"/>
        <v>0</v>
      </c>
      <c r="AL72" s="252">
        <f t="shared" si="327"/>
        <v>0</v>
      </c>
      <c r="AM72" s="252">
        <f t="shared" si="328"/>
        <v>0</v>
      </c>
      <c r="AN72" s="252">
        <f t="shared" si="329"/>
        <v>0</v>
      </c>
      <c r="AO72" s="252">
        <f t="shared" si="330"/>
        <v>0</v>
      </c>
      <c r="AP72" s="252">
        <f t="shared" si="331"/>
        <v>0</v>
      </c>
      <c r="AQ72" s="200"/>
      <c r="AR72" s="200"/>
      <c r="AS72" s="200"/>
      <c r="AT72" s="200"/>
      <c r="AU72" s="200"/>
      <c r="AV72" s="200"/>
      <c r="AW72" s="200"/>
      <c r="AX72" s="200"/>
      <c r="AY72" s="200"/>
      <c r="AZ72" s="200"/>
      <c r="BA72" s="200"/>
      <c r="BB72" s="200"/>
      <c r="BC72" s="200"/>
      <c r="BD72" s="2578"/>
      <c r="BE72" s="2562"/>
      <c r="BF72" s="422" t="s">
        <v>8636</v>
      </c>
      <c r="BG72" s="318" t="s">
        <v>1693</v>
      </c>
      <c r="BH72" s="254" t="s">
        <v>8648</v>
      </c>
      <c r="BI72" s="254" t="s">
        <v>8649</v>
      </c>
      <c r="BJ72" s="254" t="s">
        <v>8650</v>
      </c>
      <c r="BK72" s="254" t="s">
        <v>8651</v>
      </c>
      <c r="BL72" s="254" t="s">
        <v>8652</v>
      </c>
      <c r="BM72" s="254" t="s">
        <v>8653</v>
      </c>
      <c r="BN72" s="254" t="s">
        <v>8654</v>
      </c>
      <c r="BO72" s="254" t="s">
        <v>8655</v>
      </c>
      <c r="BP72" s="255" t="s">
        <v>8656</v>
      </c>
      <c r="BQ72" s="361"/>
      <c r="BR72" s="361"/>
      <c r="BS72" s="361"/>
      <c r="BT72" s="361"/>
      <c r="BU72" s="361"/>
      <c r="BV72" s="361"/>
      <c r="BW72" s="361"/>
      <c r="BX72" s="361"/>
      <c r="BY72" s="361"/>
      <c r="BZ72" s="648"/>
      <c r="CA72" s="648"/>
      <c r="CB72" s="649"/>
    </row>
    <row r="73" spans="1:80" ht="15.75" customHeight="1">
      <c r="A73" s="197"/>
      <c r="B73" s="689" t="s">
        <v>8636</v>
      </c>
      <c r="C73" s="2220" t="s">
        <v>1694</v>
      </c>
      <c r="D73" s="290" t="s">
        <v>137</v>
      </c>
      <c r="E73" s="290">
        <v>3</v>
      </c>
      <c r="F73" s="277">
        <f>IFERROR(SUM(F71:F72), 0)</f>
        <v>0</v>
      </c>
      <c r="G73" s="277">
        <f t="shared" ref="G73:M73" si="333">IFERROR(SUM(G71:G72), 0)</f>
        <v>0</v>
      </c>
      <c r="H73" s="277">
        <f t="shared" si="333"/>
        <v>0</v>
      </c>
      <c r="I73" s="277">
        <f t="shared" si="333"/>
        <v>0</v>
      </c>
      <c r="J73" s="277">
        <f t="shared" si="333"/>
        <v>0</v>
      </c>
      <c r="K73" s="277">
        <f t="shared" si="333"/>
        <v>0</v>
      </c>
      <c r="L73" s="277">
        <f t="shared" si="333"/>
        <v>0</v>
      </c>
      <c r="M73" s="277">
        <f t="shared" si="333"/>
        <v>0</v>
      </c>
      <c r="N73" s="277">
        <f t="shared" si="267"/>
        <v>0</v>
      </c>
      <c r="O73" s="2247"/>
      <c r="P73" s="2247"/>
      <c r="Q73" s="2247"/>
      <c r="R73" s="2247"/>
      <c r="S73" s="2247"/>
      <c r="T73" s="2247"/>
      <c r="U73" s="2247"/>
      <c r="V73" s="2247"/>
      <c r="W73" s="2247"/>
      <c r="X73" s="655">
        <v>3.6999999999999998E-2</v>
      </c>
      <c r="Y73" s="655">
        <v>0</v>
      </c>
      <c r="Z73" s="693">
        <v>0</v>
      </c>
      <c r="AA73" s="313"/>
      <c r="AB73" s="692" t="s">
        <v>8657</v>
      </c>
      <c r="AC73" s="197"/>
      <c r="AD73" s="258"/>
      <c r="AE73" s="197"/>
      <c r="AF73" s="2576"/>
      <c r="AG73" s="251">
        <f t="shared" si="291"/>
        <v>0</v>
      </c>
      <c r="AH73" s="1010"/>
      <c r="AI73" s="200"/>
      <c r="AJ73" s="200"/>
      <c r="AK73" s="200"/>
      <c r="AL73" s="200"/>
      <c r="AM73" s="200"/>
      <c r="AN73" s="200"/>
      <c r="AO73" s="200"/>
      <c r="AP73" s="200"/>
      <c r="AQ73" s="200"/>
      <c r="AR73" s="200"/>
      <c r="AS73" s="200"/>
      <c r="AT73" s="200"/>
      <c r="AU73" s="200"/>
      <c r="AV73" s="200"/>
      <c r="AW73" s="200"/>
      <c r="AX73" s="200"/>
      <c r="AY73" s="200"/>
      <c r="AZ73" s="200"/>
      <c r="BA73" s="252">
        <f t="shared" ref="BA73" si="334" xml:space="preserve"> IF( ISNUMBER(X73), 0, 1 )</f>
        <v>0</v>
      </c>
      <c r="BB73" s="252">
        <f t="shared" ref="BB73" si="335" xml:space="preserve"> IF( ISNUMBER(Y73), 0, 1 )</f>
        <v>0</v>
      </c>
      <c r="BC73" s="252">
        <f t="shared" ref="BC73" si="336" xml:space="preserve"> IF( ISNUMBER(Z73), 0, 1 )</f>
        <v>0</v>
      </c>
      <c r="BD73" s="2578"/>
      <c r="BE73" s="2562"/>
      <c r="BF73" s="422" t="s">
        <v>8636</v>
      </c>
      <c r="BG73" s="318" t="s">
        <v>1694</v>
      </c>
      <c r="BH73" s="255" t="s">
        <v>8658</v>
      </c>
      <c r="BI73" s="255" t="s">
        <v>8659</v>
      </c>
      <c r="BJ73" s="255" t="s">
        <v>8660</v>
      </c>
      <c r="BK73" s="255" t="s">
        <v>8661</v>
      </c>
      <c r="BL73" s="255" t="s">
        <v>8662</v>
      </c>
      <c r="BM73" s="255" t="s">
        <v>8663</v>
      </c>
      <c r="BN73" s="255" t="s">
        <v>8664</v>
      </c>
      <c r="BO73" s="255" t="s">
        <v>8665</v>
      </c>
      <c r="BP73" s="255" t="s">
        <v>8666</v>
      </c>
      <c r="BQ73" s="361"/>
      <c r="BR73" s="361"/>
      <c r="BS73" s="361"/>
      <c r="BT73" s="361"/>
      <c r="BU73" s="361"/>
      <c r="BV73" s="361"/>
      <c r="BW73" s="361"/>
      <c r="BX73" s="361"/>
      <c r="BY73" s="361"/>
      <c r="BZ73" s="644" t="s">
        <v>8667</v>
      </c>
      <c r="CA73" s="644" t="s">
        <v>8668</v>
      </c>
      <c r="CB73" s="1011" t="s">
        <v>8669</v>
      </c>
    </row>
    <row r="74" spans="1:80" ht="15.75" customHeight="1">
      <c r="A74" s="197"/>
      <c r="B74" s="689" t="s">
        <v>8670</v>
      </c>
      <c r="C74" s="2220" t="s">
        <v>1692</v>
      </c>
      <c r="D74" s="290" t="s">
        <v>137</v>
      </c>
      <c r="E74" s="290">
        <v>3</v>
      </c>
      <c r="F74" s="655">
        <v>0</v>
      </c>
      <c r="G74" s="655">
        <v>0</v>
      </c>
      <c r="H74" s="655">
        <v>0</v>
      </c>
      <c r="I74" s="655">
        <v>0</v>
      </c>
      <c r="J74" s="655">
        <v>0</v>
      </c>
      <c r="K74" s="655">
        <v>0</v>
      </c>
      <c r="L74" s="655">
        <v>0</v>
      </c>
      <c r="M74" s="655">
        <v>0</v>
      </c>
      <c r="N74" s="277">
        <f t="shared" si="267"/>
        <v>0</v>
      </c>
      <c r="O74" s="2247"/>
      <c r="P74" s="2247"/>
      <c r="Q74" s="2247"/>
      <c r="R74" s="2247"/>
      <c r="S74" s="2247"/>
      <c r="T74" s="2247"/>
      <c r="U74" s="2247"/>
      <c r="V74" s="2247"/>
      <c r="W74" s="2247"/>
      <c r="X74" s="2248"/>
      <c r="Y74" s="2248"/>
      <c r="Z74" s="2249"/>
      <c r="AA74" s="313"/>
      <c r="AB74" s="692" t="s">
        <v>8671</v>
      </c>
      <c r="AC74" s="197"/>
      <c r="AD74" s="258"/>
      <c r="AE74" s="197"/>
      <c r="AF74" s="2576"/>
      <c r="AG74" s="251">
        <f t="shared" si="291"/>
        <v>0</v>
      </c>
      <c r="AH74" s="2576"/>
      <c r="AI74" s="252">
        <f xml:space="preserve"> IF( ISNUMBER(F74), 0, 1 )</f>
        <v>0</v>
      </c>
      <c r="AJ74" s="252">
        <f t="shared" ref="AJ74:AJ75" si="337" xml:space="preserve"> IF( ISNUMBER(G74), 0, 1 )</f>
        <v>0</v>
      </c>
      <c r="AK74" s="252">
        <f t="shared" ref="AK74:AK75" si="338" xml:space="preserve"> IF( ISNUMBER(H74), 0, 1 )</f>
        <v>0</v>
      </c>
      <c r="AL74" s="252">
        <f t="shared" ref="AL74:AL75" si="339" xml:space="preserve"> IF( ISNUMBER(I74), 0, 1 )</f>
        <v>0</v>
      </c>
      <c r="AM74" s="252">
        <f t="shared" ref="AM74:AM75" si="340" xml:space="preserve"> IF( ISNUMBER(J74), 0, 1 )</f>
        <v>0</v>
      </c>
      <c r="AN74" s="252">
        <f t="shared" ref="AN74:AN75" si="341" xml:space="preserve"> IF( ISNUMBER(K74), 0, 1 )</f>
        <v>0</v>
      </c>
      <c r="AO74" s="252">
        <f t="shared" ref="AO74:AO75" si="342" xml:space="preserve"> IF( ISNUMBER(L74), 0, 1 )</f>
        <v>0</v>
      </c>
      <c r="AP74" s="252">
        <f t="shared" ref="AP74:AP75" si="343" xml:space="preserve"> IF( ISNUMBER(M74), 0, 1 )</f>
        <v>0</v>
      </c>
      <c r="AQ74" s="200"/>
      <c r="AR74" s="200"/>
      <c r="AS74" s="200"/>
      <c r="AT74" s="200"/>
      <c r="AU74" s="200"/>
      <c r="AV74" s="200"/>
      <c r="AW74" s="200"/>
      <c r="AX74" s="200"/>
      <c r="AY74" s="200"/>
      <c r="AZ74" s="200"/>
      <c r="BA74" s="200"/>
      <c r="BB74" s="200"/>
      <c r="BC74" s="200"/>
      <c r="BD74" s="2578"/>
      <c r="BE74" s="2562"/>
      <c r="BF74" s="422" t="s">
        <v>8670</v>
      </c>
      <c r="BG74" s="318" t="s">
        <v>1692</v>
      </c>
      <c r="BH74" s="254" t="s">
        <v>8672</v>
      </c>
      <c r="BI74" s="254" t="s">
        <v>8673</v>
      </c>
      <c r="BJ74" s="254" t="s">
        <v>8674</v>
      </c>
      <c r="BK74" s="254" t="s">
        <v>8675</v>
      </c>
      <c r="BL74" s="254" t="s">
        <v>8676</v>
      </c>
      <c r="BM74" s="254" t="s">
        <v>8677</v>
      </c>
      <c r="BN74" s="254" t="s">
        <v>8678</v>
      </c>
      <c r="BO74" s="254" t="s">
        <v>8679</v>
      </c>
      <c r="BP74" s="255" t="s">
        <v>8680</v>
      </c>
      <c r="BQ74" s="361"/>
      <c r="BR74" s="361"/>
      <c r="BS74" s="361"/>
      <c r="BT74" s="361"/>
      <c r="BU74" s="361"/>
      <c r="BV74" s="361"/>
      <c r="BW74" s="361"/>
      <c r="BX74" s="361"/>
      <c r="BY74" s="361"/>
      <c r="BZ74" s="648"/>
      <c r="CA74" s="648"/>
      <c r="CB74" s="649"/>
    </row>
    <row r="75" spans="1:80" ht="15.75" customHeight="1">
      <c r="A75" s="197"/>
      <c r="B75" s="689" t="s">
        <v>8670</v>
      </c>
      <c r="C75" s="2220" t="s">
        <v>1693</v>
      </c>
      <c r="D75" s="290" t="s">
        <v>137</v>
      </c>
      <c r="E75" s="290">
        <v>3</v>
      </c>
      <c r="F75" s="655">
        <v>0</v>
      </c>
      <c r="G75" s="655">
        <v>0</v>
      </c>
      <c r="H75" s="655">
        <v>0</v>
      </c>
      <c r="I75" s="655">
        <v>0</v>
      </c>
      <c r="J75" s="655">
        <v>0</v>
      </c>
      <c r="K75" s="655">
        <v>0</v>
      </c>
      <c r="L75" s="655">
        <v>0</v>
      </c>
      <c r="M75" s="655">
        <v>0</v>
      </c>
      <c r="N75" s="277">
        <f t="shared" si="267"/>
        <v>0</v>
      </c>
      <c r="O75" s="2247"/>
      <c r="P75" s="2247"/>
      <c r="Q75" s="2247"/>
      <c r="R75" s="2247"/>
      <c r="S75" s="2247"/>
      <c r="T75" s="2247"/>
      <c r="U75" s="2247"/>
      <c r="V75" s="2247"/>
      <c r="W75" s="2247"/>
      <c r="X75" s="2248"/>
      <c r="Y75" s="2248"/>
      <c r="Z75" s="2249"/>
      <c r="AA75" s="313"/>
      <c r="AB75" s="692" t="s">
        <v>8681</v>
      </c>
      <c r="AC75" s="197"/>
      <c r="AD75" s="258"/>
      <c r="AE75" s="197"/>
      <c r="AF75" s="2576"/>
      <c r="AG75" s="251">
        <f t="shared" si="291"/>
        <v>0</v>
      </c>
      <c r="AH75" s="2576"/>
      <c r="AI75" s="252">
        <f t="shared" ref="AI75" si="344" xml:space="preserve"> IF( ISNUMBER(F75), 0, 1 )</f>
        <v>0</v>
      </c>
      <c r="AJ75" s="252">
        <f t="shared" si="337"/>
        <v>0</v>
      </c>
      <c r="AK75" s="252">
        <f t="shared" si="338"/>
        <v>0</v>
      </c>
      <c r="AL75" s="252">
        <f t="shared" si="339"/>
        <v>0</v>
      </c>
      <c r="AM75" s="252">
        <f t="shared" si="340"/>
        <v>0</v>
      </c>
      <c r="AN75" s="252">
        <f t="shared" si="341"/>
        <v>0</v>
      </c>
      <c r="AO75" s="252">
        <f t="shared" si="342"/>
        <v>0</v>
      </c>
      <c r="AP75" s="252">
        <f t="shared" si="343"/>
        <v>0</v>
      </c>
      <c r="AQ75" s="200"/>
      <c r="AR75" s="200"/>
      <c r="AS75" s="200"/>
      <c r="AT75" s="200"/>
      <c r="AU75" s="200"/>
      <c r="AV75" s="200"/>
      <c r="AW75" s="200"/>
      <c r="AX75" s="200"/>
      <c r="AY75" s="200"/>
      <c r="AZ75" s="200"/>
      <c r="BA75" s="200"/>
      <c r="BB75" s="200"/>
      <c r="BC75" s="200"/>
      <c r="BD75" s="2578"/>
      <c r="BE75" s="2562"/>
      <c r="BF75" s="422" t="s">
        <v>8670</v>
      </c>
      <c r="BG75" s="318" t="s">
        <v>1693</v>
      </c>
      <c r="BH75" s="254" t="s">
        <v>8682</v>
      </c>
      <c r="BI75" s="254" t="s">
        <v>8683</v>
      </c>
      <c r="BJ75" s="254" t="s">
        <v>8684</v>
      </c>
      <c r="BK75" s="254" t="s">
        <v>8685</v>
      </c>
      <c r="BL75" s="254" t="s">
        <v>8686</v>
      </c>
      <c r="BM75" s="254" t="s">
        <v>8687</v>
      </c>
      <c r="BN75" s="254" t="s">
        <v>8688</v>
      </c>
      <c r="BO75" s="254" t="s">
        <v>8689</v>
      </c>
      <c r="BP75" s="255" t="s">
        <v>8690</v>
      </c>
      <c r="BQ75" s="361"/>
      <c r="BR75" s="361"/>
      <c r="BS75" s="361"/>
      <c r="BT75" s="361"/>
      <c r="BU75" s="361"/>
      <c r="BV75" s="361"/>
      <c r="BW75" s="361"/>
      <c r="BX75" s="361"/>
      <c r="BY75" s="361"/>
      <c r="BZ75" s="648"/>
      <c r="CA75" s="648"/>
      <c r="CB75" s="649"/>
    </row>
    <row r="76" spans="1:80" ht="15.75" customHeight="1">
      <c r="A76" s="197"/>
      <c r="B76" s="689" t="s">
        <v>8670</v>
      </c>
      <c r="C76" s="2220" t="s">
        <v>1694</v>
      </c>
      <c r="D76" s="290" t="s">
        <v>137</v>
      </c>
      <c r="E76" s="290">
        <v>3</v>
      </c>
      <c r="F76" s="277">
        <f>IFERROR(SUM(F74:F75), 0)</f>
        <v>0</v>
      </c>
      <c r="G76" s="277">
        <f t="shared" ref="G76:M76" si="345">IFERROR(SUM(G74:G75), 0)</f>
        <v>0</v>
      </c>
      <c r="H76" s="277">
        <f t="shared" si="345"/>
        <v>0</v>
      </c>
      <c r="I76" s="277">
        <f t="shared" si="345"/>
        <v>0</v>
      </c>
      <c r="J76" s="277">
        <f t="shared" si="345"/>
        <v>0</v>
      </c>
      <c r="K76" s="277">
        <f t="shared" si="345"/>
        <v>0</v>
      </c>
      <c r="L76" s="277">
        <f t="shared" si="345"/>
        <v>0</v>
      </c>
      <c r="M76" s="277">
        <f t="shared" si="345"/>
        <v>0</v>
      </c>
      <c r="N76" s="277">
        <f t="shared" si="267"/>
        <v>0</v>
      </c>
      <c r="O76" s="2247"/>
      <c r="P76" s="2247"/>
      <c r="Q76" s="2247"/>
      <c r="R76" s="2247"/>
      <c r="S76" s="2247"/>
      <c r="T76" s="2247"/>
      <c r="U76" s="2247"/>
      <c r="V76" s="2247"/>
      <c r="W76" s="2247"/>
      <c r="X76" s="655">
        <v>0</v>
      </c>
      <c r="Y76" s="655">
        <v>0</v>
      </c>
      <c r="Z76" s="693">
        <v>0</v>
      </c>
      <c r="AA76" s="313"/>
      <c r="AB76" s="692" t="s">
        <v>8691</v>
      </c>
      <c r="AC76" s="197"/>
      <c r="AD76" s="258"/>
      <c r="AE76" s="197"/>
      <c r="AF76" s="2576"/>
      <c r="AG76" s="251">
        <f t="shared" si="291"/>
        <v>0</v>
      </c>
      <c r="AH76" s="1010"/>
      <c r="AI76" s="200"/>
      <c r="AJ76" s="200"/>
      <c r="AK76" s="200"/>
      <c r="AL76" s="200"/>
      <c r="AM76" s="200"/>
      <c r="AN76" s="200"/>
      <c r="AO76" s="200"/>
      <c r="AP76" s="200"/>
      <c r="AQ76" s="200"/>
      <c r="AR76" s="200"/>
      <c r="AS76" s="200"/>
      <c r="AT76" s="200"/>
      <c r="AU76" s="200"/>
      <c r="AV76" s="200"/>
      <c r="AW76" s="200"/>
      <c r="AX76" s="200"/>
      <c r="AY76" s="200"/>
      <c r="AZ76" s="200"/>
      <c r="BA76" s="252">
        <f t="shared" ref="BA76" si="346" xml:space="preserve"> IF( ISNUMBER(X76), 0, 1 )</f>
        <v>0</v>
      </c>
      <c r="BB76" s="252">
        <f t="shared" ref="BB76" si="347" xml:space="preserve"> IF( ISNUMBER(Y76), 0, 1 )</f>
        <v>0</v>
      </c>
      <c r="BC76" s="252">
        <f t="shared" ref="BC76" si="348" xml:space="preserve"> IF( ISNUMBER(Z76), 0, 1 )</f>
        <v>0</v>
      </c>
      <c r="BD76" s="2578"/>
      <c r="BE76" s="2562"/>
      <c r="BF76" s="422" t="s">
        <v>8670</v>
      </c>
      <c r="BG76" s="318" t="s">
        <v>1694</v>
      </c>
      <c r="BH76" s="255" t="s">
        <v>8692</v>
      </c>
      <c r="BI76" s="255" t="s">
        <v>8693</v>
      </c>
      <c r="BJ76" s="255" t="s">
        <v>8694</v>
      </c>
      <c r="BK76" s="255" t="s">
        <v>8695</v>
      </c>
      <c r="BL76" s="255" t="s">
        <v>8696</v>
      </c>
      <c r="BM76" s="255" t="s">
        <v>8697</v>
      </c>
      <c r="BN76" s="255" t="s">
        <v>8698</v>
      </c>
      <c r="BO76" s="255" t="s">
        <v>8699</v>
      </c>
      <c r="BP76" s="255" t="s">
        <v>8700</v>
      </c>
      <c r="BQ76" s="361"/>
      <c r="BR76" s="361"/>
      <c r="BS76" s="361"/>
      <c r="BT76" s="361"/>
      <c r="BU76" s="361"/>
      <c r="BV76" s="361"/>
      <c r="BW76" s="361"/>
      <c r="BX76" s="361"/>
      <c r="BY76" s="361"/>
      <c r="BZ76" s="644" t="s">
        <v>8701</v>
      </c>
      <c r="CA76" s="644" t="s">
        <v>8702</v>
      </c>
      <c r="CB76" s="1011" t="s">
        <v>8703</v>
      </c>
    </row>
    <row r="77" spans="1:80" ht="33" customHeight="1">
      <c r="A77" s="197"/>
      <c r="B77" s="689" t="s">
        <v>7550</v>
      </c>
      <c r="C77" s="2220" t="s">
        <v>1692</v>
      </c>
      <c r="D77" s="290" t="s">
        <v>137</v>
      </c>
      <c r="E77" s="290">
        <v>3</v>
      </c>
      <c r="F77" s="655">
        <v>5.0000000000000001E-3</v>
      </c>
      <c r="G77" s="655">
        <v>1E-3</v>
      </c>
      <c r="H77" s="655">
        <v>0</v>
      </c>
      <c r="I77" s="655">
        <v>0</v>
      </c>
      <c r="J77" s="655">
        <v>0</v>
      </c>
      <c r="K77" s="655">
        <v>0</v>
      </c>
      <c r="L77" s="655">
        <v>0.156</v>
      </c>
      <c r="M77" s="655">
        <v>0</v>
      </c>
      <c r="N77" s="277">
        <f t="shared" si="267"/>
        <v>0.16200000000000001</v>
      </c>
      <c r="O77" s="655">
        <v>0</v>
      </c>
      <c r="P77" s="655">
        <v>0</v>
      </c>
      <c r="Q77" s="655">
        <v>0</v>
      </c>
      <c r="R77" s="655">
        <v>0</v>
      </c>
      <c r="S77" s="655">
        <v>0</v>
      </c>
      <c r="T77" s="655">
        <v>0</v>
      </c>
      <c r="U77" s="655">
        <v>0</v>
      </c>
      <c r="V77" s="655">
        <v>0</v>
      </c>
      <c r="W77" s="277">
        <f t="shared" ref="W77:W84" si="349">IFERROR(SUM(O77:V77), 0)</f>
        <v>0</v>
      </c>
      <c r="X77" s="2248"/>
      <c r="Y77" s="2248"/>
      <c r="Z77" s="2249"/>
      <c r="AA77" s="313"/>
      <c r="AB77" s="692" t="s">
        <v>8704</v>
      </c>
      <c r="AC77" s="197"/>
      <c r="AD77" s="258"/>
      <c r="AE77" s="197"/>
      <c r="AF77" s="2576"/>
      <c r="AG77" s="251">
        <f t="shared" si="291"/>
        <v>0</v>
      </c>
      <c r="AH77" s="1010"/>
      <c r="AI77" s="252">
        <f xml:space="preserve"> IF( ISNUMBER(F77), 0, 1 )</f>
        <v>0</v>
      </c>
      <c r="AJ77" s="252">
        <f t="shared" ref="AJ77:AJ78" si="350" xml:space="preserve"> IF( ISNUMBER(G77), 0, 1 )</f>
        <v>0</v>
      </c>
      <c r="AK77" s="252">
        <f t="shared" ref="AK77:AK78" si="351" xml:space="preserve"> IF( ISNUMBER(H77), 0, 1 )</f>
        <v>0</v>
      </c>
      <c r="AL77" s="252">
        <f t="shared" ref="AL77:AL78" si="352" xml:space="preserve"> IF( ISNUMBER(I77), 0, 1 )</f>
        <v>0</v>
      </c>
      <c r="AM77" s="252">
        <f t="shared" ref="AM77:AM78" si="353" xml:space="preserve"> IF( ISNUMBER(J77), 0, 1 )</f>
        <v>0</v>
      </c>
      <c r="AN77" s="252">
        <f t="shared" ref="AN77:AN78" si="354" xml:space="preserve"> IF( ISNUMBER(K77), 0, 1 )</f>
        <v>0</v>
      </c>
      <c r="AO77" s="252">
        <f t="shared" ref="AO77:AO78" si="355" xml:space="preserve"> IF( ISNUMBER(L77), 0, 1 )</f>
        <v>0</v>
      </c>
      <c r="AP77" s="252">
        <f t="shared" ref="AP77:AP78" si="356" xml:space="preserve"> IF( ISNUMBER(M77), 0, 1 )</f>
        <v>0</v>
      </c>
      <c r="AQ77" s="200"/>
      <c r="AR77" s="252">
        <f xml:space="preserve"> IF( ISNUMBER(O77), 0, 1 )</f>
        <v>0</v>
      </c>
      <c r="AS77" s="252">
        <f t="shared" ref="AS77:AS78" si="357" xml:space="preserve"> IF( ISNUMBER(P77), 0, 1 )</f>
        <v>0</v>
      </c>
      <c r="AT77" s="252">
        <f t="shared" ref="AT77:AT78" si="358" xml:space="preserve"> IF( ISNUMBER(Q77), 0, 1 )</f>
        <v>0</v>
      </c>
      <c r="AU77" s="252">
        <f t="shared" ref="AU77:AU78" si="359" xml:space="preserve"> IF( ISNUMBER(R77), 0, 1 )</f>
        <v>0</v>
      </c>
      <c r="AV77" s="252">
        <f t="shared" ref="AV77:AV78" si="360" xml:space="preserve"> IF( ISNUMBER(S77), 0, 1 )</f>
        <v>0</v>
      </c>
      <c r="AW77" s="252">
        <f t="shared" ref="AW77:AW78" si="361" xml:space="preserve"> IF( ISNUMBER(T77), 0, 1 )</f>
        <v>0</v>
      </c>
      <c r="AX77" s="252">
        <f t="shared" ref="AX77:AX78" si="362" xml:space="preserve"> IF( ISNUMBER(U77), 0, 1 )</f>
        <v>0</v>
      </c>
      <c r="AY77" s="252">
        <f t="shared" ref="AY77:AY78" si="363" xml:space="preserve"> IF( ISNUMBER(V77), 0, 1 )</f>
        <v>0</v>
      </c>
      <c r="AZ77" s="200"/>
      <c r="BA77" s="200"/>
      <c r="BB77" s="200"/>
      <c r="BC77" s="200"/>
      <c r="BD77" s="2578"/>
      <c r="BE77" s="2562"/>
      <c r="BF77" s="422" t="s">
        <v>7550</v>
      </c>
      <c r="BG77" s="318" t="s">
        <v>1692</v>
      </c>
      <c r="BH77" s="254" t="s">
        <v>8705</v>
      </c>
      <c r="BI77" s="254" t="s">
        <v>8706</v>
      </c>
      <c r="BJ77" s="254" t="s">
        <v>8707</v>
      </c>
      <c r="BK77" s="254" t="s">
        <v>8708</v>
      </c>
      <c r="BL77" s="254" t="s">
        <v>8709</v>
      </c>
      <c r="BM77" s="254" t="s">
        <v>8710</v>
      </c>
      <c r="BN77" s="254" t="s">
        <v>8711</v>
      </c>
      <c r="BO77" s="254" t="s">
        <v>8712</v>
      </c>
      <c r="BP77" s="255" t="s">
        <v>8713</v>
      </c>
      <c r="BQ77" s="254" t="s">
        <v>8714</v>
      </c>
      <c r="BR77" s="254" t="s">
        <v>8715</v>
      </c>
      <c r="BS77" s="254" t="s">
        <v>8716</v>
      </c>
      <c r="BT77" s="254" t="s">
        <v>8717</v>
      </c>
      <c r="BU77" s="254" t="s">
        <v>8718</v>
      </c>
      <c r="BV77" s="254" t="s">
        <v>8719</v>
      </c>
      <c r="BW77" s="254" t="s">
        <v>8720</v>
      </c>
      <c r="BX77" s="254" t="s">
        <v>8721</v>
      </c>
      <c r="BY77" s="255" t="s">
        <v>8722</v>
      </c>
      <c r="BZ77" s="648"/>
      <c r="CA77" s="648"/>
      <c r="CB77" s="649"/>
    </row>
    <row r="78" spans="1:80" ht="33" customHeight="1">
      <c r="A78" s="197"/>
      <c r="B78" s="689" t="s">
        <v>7550</v>
      </c>
      <c r="C78" s="2220" t="s">
        <v>1693</v>
      </c>
      <c r="D78" s="290" t="s">
        <v>137</v>
      </c>
      <c r="E78" s="290">
        <v>3</v>
      </c>
      <c r="F78" s="655">
        <v>0</v>
      </c>
      <c r="G78" s="655">
        <v>0</v>
      </c>
      <c r="H78" s="655">
        <v>0</v>
      </c>
      <c r="I78" s="655">
        <v>0</v>
      </c>
      <c r="J78" s="655">
        <v>0</v>
      </c>
      <c r="K78" s="655">
        <v>0</v>
      </c>
      <c r="L78" s="655">
        <v>0</v>
      </c>
      <c r="M78" s="655">
        <v>0</v>
      </c>
      <c r="N78" s="277">
        <f t="shared" si="267"/>
        <v>0</v>
      </c>
      <c r="O78" s="655">
        <v>0</v>
      </c>
      <c r="P78" s="655">
        <v>0</v>
      </c>
      <c r="Q78" s="655">
        <v>0</v>
      </c>
      <c r="R78" s="655">
        <v>0</v>
      </c>
      <c r="S78" s="655">
        <v>0</v>
      </c>
      <c r="T78" s="655">
        <v>0</v>
      </c>
      <c r="U78" s="655">
        <v>0</v>
      </c>
      <c r="V78" s="655">
        <v>0</v>
      </c>
      <c r="W78" s="277">
        <f t="shared" si="349"/>
        <v>0</v>
      </c>
      <c r="X78" s="2248"/>
      <c r="Y78" s="2248"/>
      <c r="Z78" s="2249"/>
      <c r="AA78" s="313"/>
      <c r="AB78" s="692" t="s">
        <v>8723</v>
      </c>
      <c r="AC78" s="197"/>
      <c r="AD78" s="258"/>
      <c r="AE78" s="197"/>
      <c r="AF78" s="2576"/>
      <c r="AG78" s="251">
        <f t="shared" si="291"/>
        <v>0</v>
      </c>
      <c r="AH78" s="952"/>
      <c r="AI78" s="252">
        <f t="shared" ref="AI78" si="364" xml:space="preserve"> IF( ISNUMBER(F78), 0, 1 )</f>
        <v>0</v>
      </c>
      <c r="AJ78" s="252">
        <f t="shared" si="350"/>
        <v>0</v>
      </c>
      <c r="AK78" s="252">
        <f t="shared" si="351"/>
        <v>0</v>
      </c>
      <c r="AL78" s="252">
        <f t="shared" si="352"/>
        <v>0</v>
      </c>
      <c r="AM78" s="252">
        <f t="shared" si="353"/>
        <v>0</v>
      </c>
      <c r="AN78" s="252">
        <f t="shared" si="354"/>
        <v>0</v>
      </c>
      <c r="AO78" s="252">
        <f t="shared" si="355"/>
        <v>0</v>
      </c>
      <c r="AP78" s="252">
        <f t="shared" si="356"/>
        <v>0</v>
      </c>
      <c r="AQ78" s="200"/>
      <c r="AR78" s="252">
        <f t="shared" ref="AR78" si="365" xml:space="preserve"> IF( ISNUMBER(O78), 0, 1 )</f>
        <v>0</v>
      </c>
      <c r="AS78" s="252">
        <f t="shared" si="357"/>
        <v>0</v>
      </c>
      <c r="AT78" s="252">
        <f t="shared" si="358"/>
        <v>0</v>
      </c>
      <c r="AU78" s="252">
        <f t="shared" si="359"/>
        <v>0</v>
      </c>
      <c r="AV78" s="252">
        <f t="shared" si="360"/>
        <v>0</v>
      </c>
      <c r="AW78" s="252">
        <f t="shared" si="361"/>
        <v>0</v>
      </c>
      <c r="AX78" s="252">
        <f t="shared" si="362"/>
        <v>0</v>
      </c>
      <c r="AY78" s="252">
        <f t="shared" si="363"/>
        <v>0</v>
      </c>
      <c r="AZ78" s="200"/>
      <c r="BA78" s="200"/>
      <c r="BB78" s="200"/>
      <c r="BC78" s="200"/>
      <c r="BD78" s="2578"/>
      <c r="BE78" s="2562"/>
      <c r="BF78" s="422" t="s">
        <v>7550</v>
      </c>
      <c r="BG78" s="318" t="s">
        <v>1693</v>
      </c>
      <c r="BH78" s="254" t="s">
        <v>8724</v>
      </c>
      <c r="BI78" s="254" t="s">
        <v>8725</v>
      </c>
      <c r="BJ78" s="254" t="s">
        <v>8726</v>
      </c>
      <c r="BK78" s="254" t="s">
        <v>8727</v>
      </c>
      <c r="BL78" s="254" t="s">
        <v>8728</v>
      </c>
      <c r="BM78" s="254" t="s">
        <v>8729</v>
      </c>
      <c r="BN78" s="254" t="s">
        <v>8730</v>
      </c>
      <c r="BO78" s="254" t="s">
        <v>8731</v>
      </c>
      <c r="BP78" s="255" t="s">
        <v>8732</v>
      </c>
      <c r="BQ78" s="254" t="s">
        <v>8733</v>
      </c>
      <c r="BR78" s="254" t="s">
        <v>8734</v>
      </c>
      <c r="BS78" s="254" t="s">
        <v>8735</v>
      </c>
      <c r="BT78" s="254" t="s">
        <v>8736</v>
      </c>
      <c r="BU78" s="254" t="s">
        <v>8737</v>
      </c>
      <c r="BV78" s="254" t="s">
        <v>8738</v>
      </c>
      <c r="BW78" s="254" t="s">
        <v>8739</v>
      </c>
      <c r="BX78" s="254" t="s">
        <v>8740</v>
      </c>
      <c r="BY78" s="255" t="s">
        <v>8741</v>
      </c>
      <c r="BZ78" s="648"/>
      <c r="CA78" s="648"/>
      <c r="CB78" s="649"/>
    </row>
    <row r="79" spans="1:80" ht="33" customHeight="1">
      <c r="A79" s="197"/>
      <c r="B79" s="689" t="s">
        <v>7550</v>
      </c>
      <c r="C79" s="2220" t="s">
        <v>1694</v>
      </c>
      <c r="D79" s="290" t="s">
        <v>137</v>
      </c>
      <c r="E79" s="290">
        <v>3</v>
      </c>
      <c r="F79" s="277">
        <f>IFERROR(SUM(F77:F78), 0)</f>
        <v>5.0000000000000001E-3</v>
      </c>
      <c r="G79" s="277">
        <f t="shared" ref="G79:M79" si="366">IFERROR(SUM(G77:G78), 0)</f>
        <v>1E-3</v>
      </c>
      <c r="H79" s="277">
        <f t="shared" si="366"/>
        <v>0</v>
      </c>
      <c r="I79" s="277">
        <f t="shared" si="366"/>
        <v>0</v>
      </c>
      <c r="J79" s="277">
        <f t="shared" si="366"/>
        <v>0</v>
      </c>
      <c r="K79" s="277">
        <f t="shared" si="366"/>
        <v>0</v>
      </c>
      <c r="L79" s="277">
        <f t="shared" si="366"/>
        <v>0.156</v>
      </c>
      <c r="M79" s="277">
        <f t="shared" si="366"/>
        <v>0</v>
      </c>
      <c r="N79" s="277">
        <f t="shared" si="267"/>
        <v>0.16200000000000001</v>
      </c>
      <c r="O79" s="277">
        <f>IFERROR(SUM(O77:O78), 0)</f>
        <v>0</v>
      </c>
      <c r="P79" s="277">
        <f t="shared" ref="P79:V79" si="367">IFERROR(SUM(P77:P78), 0)</f>
        <v>0</v>
      </c>
      <c r="Q79" s="277">
        <f t="shared" si="367"/>
        <v>0</v>
      </c>
      <c r="R79" s="277">
        <f t="shared" si="367"/>
        <v>0</v>
      </c>
      <c r="S79" s="277">
        <f t="shared" si="367"/>
        <v>0</v>
      </c>
      <c r="T79" s="277">
        <f t="shared" si="367"/>
        <v>0</v>
      </c>
      <c r="U79" s="277">
        <f t="shared" si="367"/>
        <v>0</v>
      </c>
      <c r="V79" s="277">
        <f t="shared" si="367"/>
        <v>0</v>
      </c>
      <c r="W79" s="277">
        <f t="shared" si="349"/>
        <v>0</v>
      </c>
      <c r="X79" s="655">
        <v>0.63100000000000001</v>
      </c>
      <c r="Y79" s="655">
        <v>0</v>
      </c>
      <c r="Z79" s="693">
        <v>0</v>
      </c>
      <c r="AA79" s="313"/>
      <c r="AB79" s="692" t="s">
        <v>8742</v>
      </c>
      <c r="AC79" s="197"/>
      <c r="AD79" s="258"/>
      <c r="AE79" s="197"/>
      <c r="AF79" s="2576"/>
      <c r="AG79" s="251">
        <f t="shared" si="291"/>
        <v>0</v>
      </c>
      <c r="AH79" s="1010"/>
      <c r="AI79" s="200"/>
      <c r="AJ79" s="200"/>
      <c r="AK79" s="200"/>
      <c r="AL79" s="200"/>
      <c r="AM79" s="200"/>
      <c r="AN79" s="200"/>
      <c r="AO79" s="200"/>
      <c r="AP79" s="200"/>
      <c r="AQ79" s="200"/>
      <c r="AR79" s="200"/>
      <c r="AS79" s="200"/>
      <c r="AT79" s="200"/>
      <c r="AU79" s="200"/>
      <c r="AV79" s="200"/>
      <c r="AW79" s="200"/>
      <c r="AX79" s="200"/>
      <c r="AY79" s="200"/>
      <c r="AZ79" s="200"/>
      <c r="BA79" s="252">
        <f t="shared" ref="BA79" si="368" xml:space="preserve"> IF( ISNUMBER(X79), 0, 1 )</f>
        <v>0</v>
      </c>
      <c r="BB79" s="252">
        <f t="shared" ref="BB79" si="369" xml:space="preserve"> IF( ISNUMBER(Y79), 0, 1 )</f>
        <v>0</v>
      </c>
      <c r="BC79" s="252">
        <f t="shared" ref="BC79" si="370" xml:space="preserve"> IF( ISNUMBER(Z79), 0, 1 )</f>
        <v>0</v>
      </c>
      <c r="BD79" s="2578"/>
      <c r="BE79" s="2562"/>
      <c r="BF79" s="422" t="s">
        <v>7550</v>
      </c>
      <c r="BG79" s="318" t="s">
        <v>1694</v>
      </c>
      <c r="BH79" s="255" t="s">
        <v>8743</v>
      </c>
      <c r="BI79" s="255" t="s">
        <v>8744</v>
      </c>
      <c r="BJ79" s="255" t="s">
        <v>8745</v>
      </c>
      <c r="BK79" s="255" t="s">
        <v>8746</v>
      </c>
      <c r="BL79" s="255" t="s">
        <v>8747</v>
      </c>
      <c r="BM79" s="255" t="s">
        <v>8748</v>
      </c>
      <c r="BN79" s="255" t="s">
        <v>8749</v>
      </c>
      <c r="BO79" s="255" t="s">
        <v>8750</v>
      </c>
      <c r="BP79" s="255" t="s">
        <v>8751</v>
      </c>
      <c r="BQ79" s="255" t="s">
        <v>8752</v>
      </c>
      <c r="BR79" s="255" t="s">
        <v>8753</v>
      </c>
      <c r="BS79" s="255" t="s">
        <v>8754</v>
      </c>
      <c r="BT79" s="255" t="s">
        <v>8755</v>
      </c>
      <c r="BU79" s="255" t="s">
        <v>8756</v>
      </c>
      <c r="BV79" s="255" t="s">
        <v>8757</v>
      </c>
      <c r="BW79" s="255" t="s">
        <v>8758</v>
      </c>
      <c r="BX79" s="255" t="s">
        <v>8759</v>
      </c>
      <c r="BY79" s="255" t="s">
        <v>8760</v>
      </c>
      <c r="BZ79" s="644" t="s">
        <v>8761</v>
      </c>
      <c r="CA79" s="644" t="s">
        <v>8762</v>
      </c>
      <c r="CB79" s="1011" t="s">
        <v>8763</v>
      </c>
    </row>
    <row r="80" spans="1:80" ht="15.75" customHeight="1">
      <c r="A80" s="197"/>
      <c r="B80" s="689" t="s">
        <v>7621</v>
      </c>
      <c r="C80" s="2220" t="s">
        <v>1692</v>
      </c>
      <c r="D80" s="290" t="s">
        <v>137</v>
      </c>
      <c r="E80" s="290">
        <v>3</v>
      </c>
      <c r="F80" s="655">
        <v>0</v>
      </c>
      <c r="G80" s="655">
        <v>0</v>
      </c>
      <c r="H80" s="655">
        <v>0</v>
      </c>
      <c r="I80" s="655">
        <v>0</v>
      </c>
      <c r="J80" s="655">
        <v>0</v>
      </c>
      <c r="K80" s="655">
        <v>0</v>
      </c>
      <c r="L80" s="655">
        <v>0</v>
      </c>
      <c r="M80" s="655">
        <v>0</v>
      </c>
      <c r="N80" s="277">
        <f t="shared" si="267"/>
        <v>0</v>
      </c>
      <c r="O80" s="655">
        <v>0</v>
      </c>
      <c r="P80" s="655">
        <v>0</v>
      </c>
      <c r="Q80" s="655">
        <v>0</v>
      </c>
      <c r="R80" s="655">
        <v>0</v>
      </c>
      <c r="S80" s="655">
        <v>0</v>
      </c>
      <c r="T80" s="655">
        <v>0</v>
      </c>
      <c r="U80" s="655">
        <v>0</v>
      </c>
      <c r="V80" s="655">
        <v>0</v>
      </c>
      <c r="W80" s="277">
        <f t="shared" si="349"/>
        <v>0</v>
      </c>
      <c r="X80" s="2248"/>
      <c r="Y80" s="2248"/>
      <c r="Z80" s="2249"/>
      <c r="AA80" s="313"/>
      <c r="AB80" s="692" t="s">
        <v>8764</v>
      </c>
      <c r="AC80" s="197"/>
      <c r="AD80" s="258"/>
      <c r="AE80" s="197"/>
      <c r="AF80" s="2576"/>
      <c r="AG80" s="251">
        <f t="shared" si="291"/>
        <v>0</v>
      </c>
      <c r="AH80" s="1010"/>
      <c r="AI80" s="252">
        <f xml:space="preserve"> IF( ISNUMBER(F80), 0, 1 )</f>
        <v>0</v>
      </c>
      <c r="AJ80" s="252">
        <f t="shared" ref="AJ80:AJ81" si="371" xml:space="preserve"> IF( ISNUMBER(G80), 0, 1 )</f>
        <v>0</v>
      </c>
      <c r="AK80" s="252">
        <f t="shared" ref="AK80:AK81" si="372" xml:space="preserve"> IF( ISNUMBER(H80), 0, 1 )</f>
        <v>0</v>
      </c>
      <c r="AL80" s="252">
        <f t="shared" ref="AL80:AL81" si="373" xml:space="preserve"> IF( ISNUMBER(I80), 0, 1 )</f>
        <v>0</v>
      </c>
      <c r="AM80" s="252">
        <f t="shared" ref="AM80:AM81" si="374" xml:space="preserve"> IF( ISNUMBER(J80), 0, 1 )</f>
        <v>0</v>
      </c>
      <c r="AN80" s="252">
        <f t="shared" ref="AN80:AN81" si="375" xml:space="preserve"> IF( ISNUMBER(K80), 0, 1 )</f>
        <v>0</v>
      </c>
      <c r="AO80" s="252">
        <f t="shared" ref="AO80:AO81" si="376" xml:space="preserve"> IF( ISNUMBER(L80), 0, 1 )</f>
        <v>0</v>
      </c>
      <c r="AP80" s="252">
        <f t="shared" ref="AP80:AP81" si="377" xml:space="preserve"> IF( ISNUMBER(M80), 0, 1 )</f>
        <v>0</v>
      </c>
      <c r="AQ80" s="200"/>
      <c r="AR80" s="252">
        <f xml:space="preserve"> IF( ISNUMBER(O80), 0, 1 )</f>
        <v>0</v>
      </c>
      <c r="AS80" s="252">
        <f t="shared" ref="AS80:AS81" si="378" xml:space="preserve"> IF( ISNUMBER(P80), 0, 1 )</f>
        <v>0</v>
      </c>
      <c r="AT80" s="252">
        <f t="shared" ref="AT80:AT81" si="379" xml:space="preserve"> IF( ISNUMBER(Q80), 0, 1 )</f>
        <v>0</v>
      </c>
      <c r="AU80" s="252">
        <f t="shared" ref="AU80:AU81" si="380" xml:space="preserve"> IF( ISNUMBER(R80), 0, 1 )</f>
        <v>0</v>
      </c>
      <c r="AV80" s="252">
        <f t="shared" ref="AV80:AV81" si="381" xml:space="preserve"> IF( ISNUMBER(S80), 0, 1 )</f>
        <v>0</v>
      </c>
      <c r="AW80" s="252">
        <f t="shared" ref="AW80:AW81" si="382" xml:space="preserve"> IF( ISNUMBER(T80), 0, 1 )</f>
        <v>0</v>
      </c>
      <c r="AX80" s="252">
        <f t="shared" ref="AX80:AX81" si="383" xml:space="preserve"> IF( ISNUMBER(U80), 0, 1 )</f>
        <v>0</v>
      </c>
      <c r="AY80" s="252">
        <f t="shared" ref="AY80:AY81" si="384" xml:space="preserve"> IF( ISNUMBER(V80), 0, 1 )</f>
        <v>0</v>
      </c>
      <c r="AZ80" s="200"/>
      <c r="BA80" s="200"/>
      <c r="BB80" s="200"/>
      <c r="BC80" s="200"/>
      <c r="BD80" s="2578"/>
      <c r="BE80" s="2562"/>
      <c r="BF80" s="422" t="s">
        <v>7621</v>
      </c>
      <c r="BG80" s="318" t="s">
        <v>1692</v>
      </c>
      <c r="BH80" s="254" t="s">
        <v>8765</v>
      </c>
      <c r="BI80" s="254" t="s">
        <v>8766</v>
      </c>
      <c r="BJ80" s="254" t="s">
        <v>8767</v>
      </c>
      <c r="BK80" s="254" t="s">
        <v>8768</v>
      </c>
      <c r="BL80" s="254" t="s">
        <v>8769</v>
      </c>
      <c r="BM80" s="254" t="s">
        <v>8770</v>
      </c>
      <c r="BN80" s="254" t="s">
        <v>8771</v>
      </c>
      <c r="BO80" s="254" t="s">
        <v>8772</v>
      </c>
      <c r="BP80" s="255" t="s">
        <v>8773</v>
      </c>
      <c r="BQ80" s="254" t="s">
        <v>8774</v>
      </c>
      <c r="BR80" s="254" t="s">
        <v>8775</v>
      </c>
      <c r="BS80" s="254" t="s">
        <v>8776</v>
      </c>
      <c r="BT80" s="254" t="s">
        <v>8777</v>
      </c>
      <c r="BU80" s="254" t="s">
        <v>8778</v>
      </c>
      <c r="BV80" s="254" t="s">
        <v>8779</v>
      </c>
      <c r="BW80" s="254" t="s">
        <v>8780</v>
      </c>
      <c r="BX80" s="254" t="s">
        <v>8781</v>
      </c>
      <c r="BY80" s="255" t="s">
        <v>8782</v>
      </c>
      <c r="BZ80" s="648"/>
      <c r="CA80" s="648"/>
      <c r="CB80" s="649"/>
    </row>
    <row r="81" spans="1:80" ht="15.75" customHeight="1">
      <c r="A81" s="197"/>
      <c r="B81" s="689" t="s">
        <v>7621</v>
      </c>
      <c r="C81" s="2220" t="s">
        <v>1693</v>
      </c>
      <c r="D81" s="290" t="s">
        <v>137</v>
      </c>
      <c r="E81" s="290">
        <v>3</v>
      </c>
      <c r="F81" s="655">
        <v>0</v>
      </c>
      <c r="G81" s="655">
        <v>0</v>
      </c>
      <c r="H81" s="655">
        <v>0</v>
      </c>
      <c r="I81" s="655">
        <v>0</v>
      </c>
      <c r="J81" s="655">
        <v>0</v>
      </c>
      <c r="K81" s="655">
        <v>0</v>
      </c>
      <c r="L81" s="655">
        <v>0</v>
      </c>
      <c r="M81" s="655">
        <v>0</v>
      </c>
      <c r="N81" s="277">
        <f t="shared" si="267"/>
        <v>0</v>
      </c>
      <c r="O81" s="655">
        <v>0</v>
      </c>
      <c r="P81" s="655">
        <v>0</v>
      </c>
      <c r="Q81" s="655">
        <v>0</v>
      </c>
      <c r="R81" s="655">
        <v>0</v>
      </c>
      <c r="S81" s="655">
        <v>0</v>
      </c>
      <c r="T81" s="655">
        <v>0</v>
      </c>
      <c r="U81" s="655">
        <v>0</v>
      </c>
      <c r="V81" s="655">
        <v>0</v>
      </c>
      <c r="W81" s="277">
        <f t="shared" si="349"/>
        <v>0</v>
      </c>
      <c r="X81" s="2248"/>
      <c r="Y81" s="2248"/>
      <c r="Z81" s="2249"/>
      <c r="AA81" s="313"/>
      <c r="AB81" s="692" t="s">
        <v>8783</v>
      </c>
      <c r="AC81" s="197"/>
      <c r="AD81" s="258"/>
      <c r="AE81" s="197"/>
      <c r="AF81" s="2576"/>
      <c r="AG81" s="251">
        <f t="shared" si="291"/>
        <v>0</v>
      </c>
      <c r="AH81" s="952"/>
      <c r="AI81" s="252">
        <f t="shared" ref="AI81" si="385" xml:space="preserve"> IF( ISNUMBER(F81), 0, 1 )</f>
        <v>0</v>
      </c>
      <c r="AJ81" s="252">
        <f t="shared" si="371"/>
        <v>0</v>
      </c>
      <c r="AK81" s="252">
        <f t="shared" si="372"/>
        <v>0</v>
      </c>
      <c r="AL81" s="252">
        <f t="shared" si="373"/>
        <v>0</v>
      </c>
      <c r="AM81" s="252">
        <f t="shared" si="374"/>
        <v>0</v>
      </c>
      <c r="AN81" s="252">
        <f t="shared" si="375"/>
        <v>0</v>
      </c>
      <c r="AO81" s="252">
        <f t="shared" si="376"/>
        <v>0</v>
      </c>
      <c r="AP81" s="252">
        <f t="shared" si="377"/>
        <v>0</v>
      </c>
      <c r="AQ81" s="200"/>
      <c r="AR81" s="252">
        <f t="shared" ref="AR81" si="386" xml:space="preserve"> IF( ISNUMBER(O81), 0, 1 )</f>
        <v>0</v>
      </c>
      <c r="AS81" s="252">
        <f t="shared" si="378"/>
        <v>0</v>
      </c>
      <c r="AT81" s="252">
        <f t="shared" si="379"/>
        <v>0</v>
      </c>
      <c r="AU81" s="252">
        <f t="shared" si="380"/>
        <v>0</v>
      </c>
      <c r="AV81" s="252">
        <f t="shared" si="381"/>
        <v>0</v>
      </c>
      <c r="AW81" s="252">
        <f t="shared" si="382"/>
        <v>0</v>
      </c>
      <c r="AX81" s="252">
        <f t="shared" si="383"/>
        <v>0</v>
      </c>
      <c r="AY81" s="252">
        <f t="shared" si="384"/>
        <v>0</v>
      </c>
      <c r="AZ81" s="200"/>
      <c r="BA81" s="200"/>
      <c r="BB81" s="200"/>
      <c r="BC81" s="200"/>
      <c r="BD81" s="2578"/>
      <c r="BE81" s="2562"/>
      <c r="BF81" s="422" t="s">
        <v>7621</v>
      </c>
      <c r="BG81" s="318" t="s">
        <v>1693</v>
      </c>
      <c r="BH81" s="254" t="s">
        <v>8784</v>
      </c>
      <c r="BI81" s="254" t="s">
        <v>8785</v>
      </c>
      <c r="BJ81" s="254" t="s">
        <v>8786</v>
      </c>
      <c r="BK81" s="254" t="s">
        <v>8787</v>
      </c>
      <c r="BL81" s="254" t="s">
        <v>8788</v>
      </c>
      <c r="BM81" s="254" t="s">
        <v>8789</v>
      </c>
      <c r="BN81" s="254" t="s">
        <v>8790</v>
      </c>
      <c r="BO81" s="254" t="s">
        <v>8791</v>
      </c>
      <c r="BP81" s="255" t="s">
        <v>8792</v>
      </c>
      <c r="BQ81" s="254" t="s">
        <v>8793</v>
      </c>
      <c r="BR81" s="254" t="s">
        <v>8794</v>
      </c>
      <c r="BS81" s="254" t="s">
        <v>8795</v>
      </c>
      <c r="BT81" s="254" t="s">
        <v>8796</v>
      </c>
      <c r="BU81" s="254" t="s">
        <v>8797</v>
      </c>
      <c r="BV81" s="254" t="s">
        <v>8798</v>
      </c>
      <c r="BW81" s="254" t="s">
        <v>8799</v>
      </c>
      <c r="BX81" s="254" t="s">
        <v>8800</v>
      </c>
      <c r="BY81" s="255" t="s">
        <v>8801</v>
      </c>
      <c r="BZ81" s="648"/>
      <c r="CA81" s="648"/>
      <c r="CB81" s="649"/>
    </row>
    <row r="82" spans="1:80" ht="15.75" customHeight="1">
      <c r="A82" s="197"/>
      <c r="B82" s="689" t="s">
        <v>7621</v>
      </c>
      <c r="C82" s="2220" t="s">
        <v>1694</v>
      </c>
      <c r="D82" s="290" t="s">
        <v>137</v>
      </c>
      <c r="E82" s="290">
        <v>3</v>
      </c>
      <c r="F82" s="277">
        <f>IFERROR(SUM(F80:F81), 0)</f>
        <v>0</v>
      </c>
      <c r="G82" s="277">
        <f t="shared" ref="G82:M82" si="387">IFERROR(SUM(G80:G81), 0)</f>
        <v>0</v>
      </c>
      <c r="H82" s="277">
        <f t="shared" si="387"/>
        <v>0</v>
      </c>
      <c r="I82" s="277">
        <f t="shared" si="387"/>
        <v>0</v>
      </c>
      <c r="J82" s="277">
        <f t="shared" si="387"/>
        <v>0</v>
      </c>
      <c r="K82" s="277">
        <f t="shared" si="387"/>
        <v>0</v>
      </c>
      <c r="L82" s="277">
        <f t="shared" si="387"/>
        <v>0</v>
      </c>
      <c r="M82" s="277">
        <f t="shared" si="387"/>
        <v>0</v>
      </c>
      <c r="N82" s="277">
        <f t="shared" si="267"/>
        <v>0</v>
      </c>
      <c r="O82" s="277">
        <f>IFERROR(SUM(O80:O81), 0)</f>
        <v>0</v>
      </c>
      <c r="P82" s="277">
        <f t="shared" ref="P82:V82" si="388">IFERROR(SUM(P80:P81), 0)</f>
        <v>0</v>
      </c>
      <c r="Q82" s="277">
        <f t="shared" si="388"/>
        <v>0</v>
      </c>
      <c r="R82" s="277">
        <f t="shared" si="388"/>
        <v>0</v>
      </c>
      <c r="S82" s="277">
        <f t="shared" si="388"/>
        <v>0</v>
      </c>
      <c r="T82" s="277">
        <f t="shared" si="388"/>
        <v>0</v>
      </c>
      <c r="U82" s="277">
        <f t="shared" si="388"/>
        <v>0</v>
      </c>
      <c r="V82" s="277">
        <f t="shared" si="388"/>
        <v>0</v>
      </c>
      <c r="W82" s="277">
        <f t="shared" si="349"/>
        <v>0</v>
      </c>
      <c r="X82" s="655">
        <v>0.02</v>
      </c>
      <c r="Y82" s="655">
        <v>0</v>
      </c>
      <c r="Z82" s="693">
        <v>0</v>
      </c>
      <c r="AA82" s="313"/>
      <c r="AB82" s="692" t="s">
        <v>8802</v>
      </c>
      <c r="AC82" s="197"/>
      <c r="AD82" s="258"/>
      <c r="AE82" s="197"/>
      <c r="AF82" s="2576"/>
      <c r="AG82" s="251">
        <f t="shared" si="291"/>
        <v>0</v>
      </c>
      <c r="AH82" s="1010"/>
      <c r="AI82" s="200"/>
      <c r="AJ82" s="200"/>
      <c r="AK82" s="200"/>
      <c r="AL82" s="200"/>
      <c r="AM82" s="200"/>
      <c r="AN82" s="200"/>
      <c r="AO82" s="200"/>
      <c r="AP82" s="200"/>
      <c r="AQ82" s="200"/>
      <c r="AR82" s="200"/>
      <c r="AS82" s="200"/>
      <c r="AT82" s="200"/>
      <c r="AU82" s="200"/>
      <c r="AV82" s="200"/>
      <c r="AW82" s="200"/>
      <c r="AX82" s="200"/>
      <c r="AY82" s="200"/>
      <c r="AZ82" s="200"/>
      <c r="BA82" s="252">
        <f t="shared" ref="BA82" si="389" xml:space="preserve"> IF( ISNUMBER(X82), 0, 1 )</f>
        <v>0</v>
      </c>
      <c r="BB82" s="252">
        <f t="shared" ref="BB82" si="390" xml:space="preserve"> IF( ISNUMBER(Y82), 0, 1 )</f>
        <v>0</v>
      </c>
      <c r="BC82" s="252">
        <f t="shared" ref="BC82" si="391" xml:space="preserve"> IF( ISNUMBER(Z82), 0, 1 )</f>
        <v>0</v>
      </c>
      <c r="BD82" s="2578"/>
      <c r="BE82" s="2562"/>
      <c r="BF82" s="422" t="s">
        <v>7621</v>
      </c>
      <c r="BG82" s="318" t="s">
        <v>1694</v>
      </c>
      <c r="BH82" s="255" t="s">
        <v>8803</v>
      </c>
      <c r="BI82" s="255" t="s">
        <v>8804</v>
      </c>
      <c r="BJ82" s="255" t="s">
        <v>8805</v>
      </c>
      <c r="BK82" s="255" t="s">
        <v>8806</v>
      </c>
      <c r="BL82" s="255" t="s">
        <v>8807</v>
      </c>
      <c r="BM82" s="255" t="s">
        <v>8808</v>
      </c>
      <c r="BN82" s="255" t="s">
        <v>8809</v>
      </c>
      <c r="BO82" s="255" t="s">
        <v>8810</v>
      </c>
      <c r="BP82" s="255" t="s">
        <v>8811</v>
      </c>
      <c r="BQ82" s="255" t="s">
        <v>8812</v>
      </c>
      <c r="BR82" s="255" t="s">
        <v>8813</v>
      </c>
      <c r="BS82" s="255" t="s">
        <v>8814</v>
      </c>
      <c r="BT82" s="255" t="s">
        <v>8815</v>
      </c>
      <c r="BU82" s="255" t="s">
        <v>8816</v>
      </c>
      <c r="BV82" s="255" t="s">
        <v>8817</v>
      </c>
      <c r="BW82" s="255" t="s">
        <v>8818</v>
      </c>
      <c r="BX82" s="255" t="s">
        <v>8819</v>
      </c>
      <c r="BY82" s="255" t="s">
        <v>8820</v>
      </c>
      <c r="BZ82" s="644" t="s">
        <v>8821</v>
      </c>
      <c r="CA82" s="644" t="s">
        <v>8822</v>
      </c>
      <c r="CB82" s="1011" t="s">
        <v>8823</v>
      </c>
    </row>
    <row r="83" spans="1:80" ht="15.75" customHeight="1">
      <c r="A83" s="197"/>
      <c r="B83" s="689" t="s">
        <v>7646</v>
      </c>
      <c r="C83" s="2220" t="s">
        <v>1692</v>
      </c>
      <c r="D83" s="290" t="s">
        <v>137</v>
      </c>
      <c r="E83" s="290">
        <v>3</v>
      </c>
      <c r="F83" s="655">
        <v>0.28899999999999998</v>
      </c>
      <c r="G83" s="655">
        <v>0.106</v>
      </c>
      <c r="H83" s="655">
        <v>0.03</v>
      </c>
      <c r="I83" s="655">
        <v>0.29599999999999999</v>
      </c>
      <c r="J83" s="655">
        <v>5.0000000000000001E-3</v>
      </c>
      <c r="K83" s="655">
        <v>4.0000000000000001E-3</v>
      </c>
      <c r="L83" s="655">
        <v>7.6999999999999999E-2</v>
      </c>
      <c r="M83" s="655">
        <v>1E-3</v>
      </c>
      <c r="N83" s="277">
        <f t="shared" si="267"/>
        <v>0.80799999999999983</v>
      </c>
      <c r="O83" s="655">
        <v>0</v>
      </c>
      <c r="P83" s="655">
        <v>0</v>
      </c>
      <c r="Q83" s="655">
        <v>0</v>
      </c>
      <c r="R83" s="655">
        <v>0</v>
      </c>
      <c r="S83" s="655">
        <v>0</v>
      </c>
      <c r="T83" s="655">
        <v>0</v>
      </c>
      <c r="U83" s="655">
        <v>0</v>
      </c>
      <c r="V83" s="655">
        <v>0</v>
      </c>
      <c r="W83" s="277">
        <f t="shared" si="349"/>
        <v>0</v>
      </c>
      <c r="X83" s="2248"/>
      <c r="Y83" s="2248"/>
      <c r="Z83" s="2249"/>
      <c r="AA83" s="313"/>
      <c r="AB83" s="692" t="s">
        <v>8824</v>
      </c>
      <c r="AC83" s="197"/>
      <c r="AD83" s="258"/>
      <c r="AE83" s="197"/>
      <c r="AF83" s="2576"/>
      <c r="AG83" s="251">
        <f t="shared" si="291"/>
        <v>0</v>
      </c>
      <c r="AH83" s="1010"/>
      <c r="AI83" s="252">
        <f xml:space="preserve"> IF( ISNUMBER(F83), 0, 1 )</f>
        <v>0</v>
      </c>
      <c r="AJ83" s="252">
        <f t="shared" ref="AJ83:AJ84" si="392" xml:space="preserve"> IF( ISNUMBER(G83), 0, 1 )</f>
        <v>0</v>
      </c>
      <c r="AK83" s="252">
        <f t="shared" ref="AK83:AK84" si="393" xml:space="preserve"> IF( ISNUMBER(H83), 0, 1 )</f>
        <v>0</v>
      </c>
      <c r="AL83" s="252">
        <f t="shared" ref="AL83:AL84" si="394" xml:space="preserve"> IF( ISNUMBER(I83), 0, 1 )</f>
        <v>0</v>
      </c>
      <c r="AM83" s="252">
        <f t="shared" ref="AM83:AM84" si="395" xml:space="preserve"> IF( ISNUMBER(J83), 0, 1 )</f>
        <v>0</v>
      </c>
      <c r="AN83" s="252">
        <f t="shared" ref="AN83:AN84" si="396" xml:space="preserve"> IF( ISNUMBER(K83), 0, 1 )</f>
        <v>0</v>
      </c>
      <c r="AO83" s="252">
        <f t="shared" ref="AO83:AO84" si="397" xml:space="preserve"> IF( ISNUMBER(L83), 0, 1 )</f>
        <v>0</v>
      </c>
      <c r="AP83" s="252">
        <f t="shared" ref="AP83:AP84" si="398" xml:space="preserve"> IF( ISNUMBER(M83), 0, 1 )</f>
        <v>0</v>
      </c>
      <c r="AQ83" s="200"/>
      <c r="AR83" s="252">
        <f xml:space="preserve"> IF( ISNUMBER(O83), 0, 1 )</f>
        <v>0</v>
      </c>
      <c r="AS83" s="252">
        <f t="shared" ref="AS83:AS84" si="399" xml:space="preserve"> IF( ISNUMBER(P83), 0, 1 )</f>
        <v>0</v>
      </c>
      <c r="AT83" s="252">
        <f t="shared" ref="AT83:AT84" si="400" xml:space="preserve"> IF( ISNUMBER(Q83), 0, 1 )</f>
        <v>0</v>
      </c>
      <c r="AU83" s="252">
        <f t="shared" ref="AU83:AU84" si="401" xml:space="preserve"> IF( ISNUMBER(R83), 0, 1 )</f>
        <v>0</v>
      </c>
      <c r="AV83" s="252">
        <f t="shared" ref="AV83:AV84" si="402" xml:space="preserve"> IF( ISNUMBER(S83), 0, 1 )</f>
        <v>0</v>
      </c>
      <c r="AW83" s="252">
        <f t="shared" ref="AW83:AW84" si="403" xml:space="preserve"> IF( ISNUMBER(T83), 0, 1 )</f>
        <v>0</v>
      </c>
      <c r="AX83" s="252">
        <f t="shared" ref="AX83:AX84" si="404" xml:space="preserve"> IF( ISNUMBER(U83), 0, 1 )</f>
        <v>0</v>
      </c>
      <c r="AY83" s="252">
        <f t="shared" ref="AY83:AY84" si="405" xml:space="preserve"> IF( ISNUMBER(V83), 0, 1 )</f>
        <v>0</v>
      </c>
      <c r="AZ83" s="200"/>
      <c r="BA83" s="200"/>
      <c r="BB83" s="200"/>
      <c r="BC83" s="200"/>
      <c r="BD83" s="2578"/>
      <c r="BE83" s="2562"/>
      <c r="BF83" s="422" t="s">
        <v>7646</v>
      </c>
      <c r="BG83" s="318" t="s">
        <v>1692</v>
      </c>
      <c r="BH83" s="254" t="s">
        <v>8825</v>
      </c>
      <c r="BI83" s="254" t="s">
        <v>8826</v>
      </c>
      <c r="BJ83" s="254" t="s">
        <v>8827</v>
      </c>
      <c r="BK83" s="254" t="s">
        <v>8828</v>
      </c>
      <c r="BL83" s="254" t="s">
        <v>8829</v>
      </c>
      <c r="BM83" s="254" t="s">
        <v>8830</v>
      </c>
      <c r="BN83" s="254" t="s">
        <v>8831</v>
      </c>
      <c r="BO83" s="254" t="s">
        <v>8832</v>
      </c>
      <c r="BP83" s="255" t="s">
        <v>8833</v>
      </c>
      <c r="BQ83" s="254" t="s">
        <v>8834</v>
      </c>
      <c r="BR83" s="254" t="s">
        <v>8835</v>
      </c>
      <c r="BS83" s="254" t="s">
        <v>8836</v>
      </c>
      <c r="BT83" s="254" t="s">
        <v>8837</v>
      </c>
      <c r="BU83" s="254" t="s">
        <v>8838</v>
      </c>
      <c r="BV83" s="254" t="s">
        <v>8839</v>
      </c>
      <c r="BW83" s="254" t="s">
        <v>8840</v>
      </c>
      <c r="BX83" s="254" t="s">
        <v>8841</v>
      </c>
      <c r="BY83" s="255" t="s">
        <v>8842</v>
      </c>
      <c r="BZ83" s="648"/>
      <c r="CA83" s="648"/>
      <c r="CB83" s="649"/>
    </row>
    <row r="84" spans="1:80" ht="15.75" customHeight="1">
      <c r="A84" s="197"/>
      <c r="B84" s="689" t="s">
        <v>7646</v>
      </c>
      <c r="C84" s="2220" t="s">
        <v>1693</v>
      </c>
      <c r="D84" s="290" t="s">
        <v>137</v>
      </c>
      <c r="E84" s="290">
        <v>3</v>
      </c>
      <c r="F84" s="655">
        <v>0</v>
      </c>
      <c r="G84" s="655">
        <v>0</v>
      </c>
      <c r="H84" s="655">
        <v>0</v>
      </c>
      <c r="I84" s="655">
        <v>0</v>
      </c>
      <c r="J84" s="655">
        <v>0</v>
      </c>
      <c r="K84" s="655">
        <v>0</v>
      </c>
      <c r="L84" s="655">
        <v>0</v>
      </c>
      <c r="M84" s="655">
        <v>0</v>
      </c>
      <c r="N84" s="277">
        <f t="shared" si="267"/>
        <v>0</v>
      </c>
      <c r="O84" s="655">
        <v>0</v>
      </c>
      <c r="P84" s="655">
        <v>0</v>
      </c>
      <c r="Q84" s="655">
        <v>0</v>
      </c>
      <c r="R84" s="655">
        <v>0</v>
      </c>
      <c r="S84" s="655">
        <v>0</v>
      </c>
      <c r="T84" s="655">
        <v>0</v>
      </c>
      <c r="U84" s="655">
        <v>0</v>
      </c>
      <c r="V84" s="655">
        <v>0</v>
      </c>
      <c r="W84" s="277">
        <f t="shared" si="349"/>
        <v>0</v>
      </c>
      <c r="X84" s="2248"/>
      <c r="Y84" s="2248"/>
      <c r="Z84" s="2249"/>
      <c r="AA84" s="313"/>
      <c r="AB84" s="692" t="s">
        <v>8843</v>
      </c>
      <c r="AC84" s="197"/>
      <c r="AD84" s="258"/>
      <c r="AE84" s="197"/>
      <c r="AF84" s="2576"/>
      <c r="AG84" s="251">
        <f t="shared" si="291"/>
        <v>0</v>
      </c>
      <c r="AH84" s="952"/>
      <c r="AI84" s="252">
        <f t="shared" ref="AI84" si="406" xml:space="preserve"> IF( ISNUMBER(F84), 0, 1 )</f>
        <v>0</v>
      </c>
      <c r="AJ84" s="252">
        <f t="shared" si="392"/>
        <v>0</v>
      </c>
      <c r="AK84" s="252">
        <f t="shared" si="393"/>
        <v>0</v>
      </c>
      <c r="AL84" s="252">
        <f t="shared" si="394"/>
        <v>0</v>
      </c>
      <c r="AM84" s="252">
        <f t="shared" si="395"/>
        <v>0</v>
      </c>
      <c r="AN84" s="252">
        <f t="shared" si="396"/>
        <v>0</v>
      </c>
      <c r="AO84" s="252">
        <f t="shared" si="397"/>
        <v>0</v>
      </c>
      <c r="AP84" s="252">
        <f t="shared" si="398"/>
        <v>0</v>
      </c>
      <c r="AQ84" s="200"/>
      <c r="AR84" s="252">
        <f t="shared" ref="AR84" si="407" xml:space="preserve"> IF( ISNUMBER(O84), 0, 1 )</f>
        <v>0</v>
      </c>
      <c r="AS84" s="252">
        <f t="shared" si="399"/>
        <v>0</v>
      </c>
      <c r="AT84" s="252">
        <f t="shared" si="400"/>
        <v>0</v>
      </c>
      <c r="AU84" s="252">
        <f t="shared" si="401"/>
        <v>0</v>
      </c>
      <c r="AV84" s="252">
        <f t="shared" si="402"/>
        <v>0</v>
      </c>
      <c r="AW84" s="252">
        <f t="shared" si="403"/>
        <v>0</v>
      </c>
      <c r="AX84" s="252">
        <f t="shared" si="404"/>
        <v>0</v>
      </c>
      <c r="AY84" s="252">
        <f t="shared" si="405"/>
        <v>0</v>
      </c>
      <c r="AZ84" s="200"/>
      <c r="BA84" s="200"/>
      <c r="BB84" s="200"/>
      <c r="BC84" s="200"/>
      <c r="BD84" s="2578"/>
      <c r="BE84" s="2562"/>
      <c r="BF84" s="422" t="s">
        <v>7646</v>
      </c>
      <c r="BG84" s="318" t="s">
        <v>1693</v>
      </c>
      <c r="BH84" s="254" t="s">
        <v>8844</v>
      </c>
      <c r="BI84" s="254" t="s">
        <v>8845</v>
      </c>
      <c r="BJ84" s="254" t="s">
        <v>8846</v>
      </c>
      <c r="BK84" s="254" t="s">
        <v>8847</v>
      </c>
      <c r="BL84" s="254" t="s">
        <v>8848</v>
      </c>
      <c r="BM84" s="254" t="s">
        <v>8849</v>
      </c>
      <c r="BN84" s="254" t="s">
        <v>8850</v>
      </c>
      <c r="BO84" s="254" t="s">
        <v>8851</v>
      </c>
      <c r="BP84" s="255" t="s">
        <v>8852</v>
      </c>
      <c r="BQ84" s="254" t="s">
        <v>8853</v>
      </c>
      <c r="BR84" s="254" t="s">
        <v>8854</v>
      </c>
      <c r="BS84" s="254" t="s">
        <v>8855</v>
      </c>
      <c r="BT84" s="254" t="s">
        <v>8856</v>
      </c>
      <c r="BU84" s="254" t="s">
        <v>8857</v>
      </c>
      <c r="BV84" s="254" t="s">
        <v>8858</v>
      </c>
      <c r="BW84" s="254" t="s">
        <v>8859</v>
      </c>
      <c r="BX84" s="254" t="s">
        <v>8860</v>
      </c>
      <c r="BY84" s="255" t="s">
        <v>8861</v>
      </c>
      <c r="BZ84" s="648"/>
      <c r="CA84" s="648"/>
      <c r="CB84" s="649"/>
    </row>
    <row r="85" spans="1:80" ht="15.75" customHeight="1">
      <c r="A85" s="197"/>
      <c r="B85" s="689" t="s">
        <v>7646</v>
      </c>
      <c r="C85" s="2220" t="s">
        <v>1694</v>
      </c>
      <c r="D85" s="290" t="s">
        <v>137</v>
      </c>
      <c r="E85" s="290">
        <v>3</v>
      </c>
      <c r="F85" s="277">
        <f>IFERROR(SUM(F83:F84), 0)</f>
        <v>0.28899999999999998</v>
      </c>
      <c r="G85" s="277">
        <f t="shared" ref="G85:M85" si="408">IFERROR(SUM(G83:G84), 0)</f>
        <v>0.106</v>
      </c>
      <c r="H85" s="277">
        <f t="shared" si="408"/>
        <v>0.03</v>
      </c>
      <c r="I85" s="277">
        <f t="shared" si="408"/>
        <v>0.29599999999999999</v>
      </c>
      <c r="J85" s="277">
        <f t="shared" si="408"/>
        <v>5.0000000000000001E-3</v>
      </c>
      <c r="K85" s="277">
        <f t="shared" si="408"/>
        <v>4.0000000000000001E-3</v>
      </c>
      <c r="L85" s="277">
        <f t="shared" si="408"/>
        <v>7.6999999999999999E-2</v>
      </c>
      <c r="M85" s="277">
        <f t="shared" si="408"/>
        <v>1E-3</v>
      </c>
      <c r="N85" s="277">
        <f t="shared" si="267"/>
        <v>0.80799999999999983</v>
      </c>
      <c r="O85" s="277">
        <f>IFERROR(SUM(O83:O84), 0)</f>
        <v>0</v>
      </c>
      <c r="P85" s="277">
        <f t="shared" ref="P85:V85" si="409">IFERROR(SUM(P83:P84), 0)</f>
        <v>0</v>
      </c>
      <c r="Q85" s="277">
        <f t="shared" si="409"/>
        <v>0</v>
      </c>
      <c r="R85" s="277">
        <f t="shared" si="409"/>
        <v>0</v>
      </c>
      <c r="S85" s="277">
        <f t="shared" si="409"/>
        <v>0</v>
      </c>
      <c r="T85" s="277">
        <f t="shared" si="409"/>
        <v>0</v>
      </c>
      <c r="U85" s="277">
        <f t="shared" si="409"/>
        <v>0</v>
      </c>
      <c r="V85" s="277">
        <f t="shared" si="409"/>
        <v>0</v>
      </c>
      <c r="W85" s="277">
        <f>IFERROR(SUM(O85:V85), 0)</f>
        <v>0</v>
      </c>
      <c r="X85" s="655">
        <v>0.998</v>
      </c>
      <c r="Y85" s="655">
        <v>0.14000000000000001</v>
      </c>
      <c r="Z85" s="693">
        <v>0.33500000000000002</v>
      </c>
      <c r="AA85" s="313"/>
      <c r="AB85" s="692" t="s">
        <v>8862</v>
      </c>
      <c r="AC85" s="197"/>
      <c r="AD85" s="258"/>
      <c r="AE85" s="197"/>
      <c r="AF85" s="2576"/>
      <c r="AG85" s="251">
        <f t="shared" si="291"/>
        <v>0</v>
      </c>
      <c r="AH85" s="1010"/>
      <c r="AI85" s="200"/>
      <c r="AJ85" s="200"/>
      <c r="AK85" s="200"/>
      <c r="AL85" s="200"/>
      <c r="AM85" s="200"/>
      <c r="AN85" s="200"/>
      <c r="AO85" s="200"/>
      <c r="AP85" s="200"/>
      <c r="AQ85" s="200"/>
      <c r="AR85" s="200"/>
      <c r="AS85" s="200"/>
      <c r="AT85" s="200"/>
      <c r="AU85" s="200"/>
      <c r="AV85" s="200"/>
      <c r="AW85" s="200"/>
      <c r="AX85" s="200"/>
      <c r="AY85" s="200"/>
      <c r="AZ85" s="200"/>
      <c r="BA85" s="252">
        <f t="shared" ref="BA85:BA95" si="410" xml:space="preserve"> IF( ISNUMBER(X85), 0, 1 )</f>
        <v>0</v>
      </c>
      <c r="BB85" s="252">
        <f t="shared" ref="BB85:BB95" si="411" xml:space="preserve"> IF( ISNUMBER(Y85), 0, 1 )</f>
        <v>0</v>
      </c>
      <c r="BC85" s="252">
        <f t="shared" ref="BC85:BC95" si="412" xml:space="preserve"> IF( ISNUMBER(Z85), 0, 1 )</f>
        <v>0</v>
      </c>
      <c r="BD85" s="2578"/>
      <c r="BE85" s="2562"/>
      <c r="BF85" s="422" t="s">
        <v>7646</v>
      </c>
      <c r="BG85" s="318" t="s">
        <v>1694</v>
      </c>
      <c r="BH85" s="255" t="s">
        <v>8863</v>
      </c>
      <c r="BI85" s="255" t="s">
        <v>8864</v>
      </c>
      <c r="BJ85" s="255" t="s">
        <v>8865</v>
      </c>
      <c r="BK85" s="255" t="s">
        <v>8866</v>
      </c>
      <c r="BL85" s="255" t="s">
        <v>8867</v>
      </c>
      <c r="BM85" s="255" t="s">
        <v>8868</v>
      </c>
      <c r="BN85" s="255" t="s">
        <v>8869</v>
      </c>
      <c r="BO85" s="255" t="s">
        <v>8870</v>
      </c>
      <c r="BP85" s="255" t="s">
        <v>8871</v>
      </c>
      <c r="BQ85" s="255" t="s">
        <v>8872</v>
      </c>
      <c r="BR85" s="255" t="s">
        <v>8873</v>
      </c>
      <c r="BS85" s="255" t="s">
        <v>8874</v>
      </c>
      <c r="BT85" s="255" t="s">
        <v>8875</v>
      </c>
      <c r="BU85" s="255" t="s">
        <v>8876</v>
      </c>
      <c r="BV85" s="255" t="s">
        <v>8877</v>
      </c>
      <c r="BW85" s="255" t="s">
        <v>8878</v>
      </c>
      <c r="BX85" s="255" t="s">
        <v>8879</v>
      </c>
      <c r="BY85" s="255" t="s">
        <v>8880</v>
      </c>
      <c r="BZ85" s="644" t="s">
        <v>8881</v>
      </c>
      <c r="CA85" s="644" t="s">
        <v>8882</v>
      </c>
      <c r="CB85" s="1011" t="s">
        <v>8883</v>
      </c>
    </row>
    <row r="86" spans="1:80" ht="15.75" customHeight="1">
      <c r="A86" s="197"/>
      <c r="B86" s="2255" t="s">
        <v>8884</v>
      </c>
      <c r="C86" s="2220" t="s">
        <v>1692</v>
      </c>
      <c r="D86" s="290" t="s">
        <v>137</v>
      </c>
      <c r="E86" s="290">
        <v>3</v>
      </c>
      <c r="F86" s="655">
        <v>2.835</v>
      </c>
      <c r="G86" s="655">
        <v>1.042</v>
      </c>
      <c r="H86" s="655">
        <v>0.29199999999999998</v>
      </c>
      <c r="I86" s="655">
        <v>0</v>
      </c>
      <c r="J86" s="655">
        <v>0</v>
      </c>
      <c r="K86" s="655">
        <v>0</v>
      </c>
      <c r="L86" s="655">
        <v>0</v>
      </c>
      <c r="M86" s="655">
        <v>0</v>
      </c>
      <c r="N86" s="277">
        <f t="shared" si="267"/>
        <v>4.1689999999999996</v>
      </c>
      <c r="O86" s="2247"/>
      <c r="P86" s="2247"/>
      <c r="Q86" s="2247"/>
      <c r="R86" s="2247"/>
      <c r="S86" s="2247"/>
      <c r="T86" s="2247"/>
      <c r="U86" s="2247"/>
      <c r="V86" s="2247"/>
      <c r="W86" s="2247"/>
      <c r="X86" s="655">
        <v>4.4580000000000002</v>
      </c>
      <c r="Y86" s="655">
        <v>0</v>
      </c>
      <c r="Z86" s="693">
        <v>0</v>
      </c>
      <c r="AA86" s="313"/>
      <c r="AB86" s="692" t="s">
        <v>8885</v>
      </c>
      <c r="AC86" s="197"/>
      <c r="AD86" s="258"/>
      <c r="AE86" s="197"/>
      <c r="AF86" s="2576"/>
      <c r="AG86" s="251">
        <f t="shared" si="291"/>
        <v>0</v>
      </c>
      <c r="AH86" s="2576"/>
      <c r="AI86" s="252">
        <f t="shared" ref="AI86:AI95" si="413" xml:space="preserve"> IF( ISNUMBER(F86), 0, 1 )</f>
        <v>0</v>
      </c>
      <c r="AJ86" s="252">
        <f t="shared" ref="AJ86:AJ95" si="414" xml:space="preserve"> IF( ISNUMBER(G86), 0, 1 )</f>
        <v>0</v>
      </c>
      <c r="AK86" s="252">
        <f t="shared" ref="AK86:AK95" si="415" xml:space="preserve"> IF( ISNUMBER(H86), 0, 1 )</f>
        <v>0</v>
      </c>
      <c r="AL86" s="252">
        <f t="shared" ref="AL86:AL95" si="416" xml:space="preserve"> IF( ISNUMBER(I86), 0, 1 )</f>
        <v>0</v>
      </c>
      <c r="AM86" s="252">
        <f t="shared" ref="AM86:AM95" si="417" xml:space="preserve"> IF( ISNUMBER(J86), 0, 1 )</f>
        <v>0</v>
      </c>
      <c r="AN86" s="252">
        <f t="shared" ref="AN86:AN95" si="418" xml:space="preserve"> IF( ISNUMBER(K86), 0, 1 )</f>
        <v>0</v>
      </c>
      <c r="AO86" s="252">
        <f t="shared" ref="AO86:AO95" si="419" xml:space="preserve"> IF( ISNUMBER(L86), 0, 1 )</f>
        <v>0</v>
      </c>
      <c r="AP86" s="252">
        <f t="shared" ref="AP86:AP95" si="420" xml:space="preserve"> IF( ISNUMBER(M86), 0, 1 )</f>
        <v>0</v>
      </c>
      <c r="AQ86" s="200"/>
      <c r="AR86" s="200"/>
      <c r="AS86" s="200"/>
      <c r="AT86" s="200"/>
      <c r="AU86" s="200"/>
      <c r="AV86" s="200"/>
      <c r="AW86" s="200"/>
      <c r="AX86" s="200"/>
      <c r="AY86" s="200"/>
      <c r="AZ86" s="200"/>
      <c r="BA86" s="252">
        <f t="shared" si="410"/>
        <v>0</v>
      </c>
      <c r="BB86" s="252">
        <f t="shared" si="411"/>
        <v>0</v>
      </c>
      <c r="BC86" s="252">
        <f t="shared" si="412"/>
        <v>0</v>
      </c>
      <c r="BD86" s="2578"/>
      <c r="BE86" s="2562"/>
      <c r="BF86" s="675" t="s">
        <v>7673</v>
      </c>
      <c r="BG86" s="318" t="s">
        <v>1692</v>
      </c>
      <c r="BH86" s="254" t="s">
        <v>8886</v>
      </c>
      <c r="BI86" s="254" t="s">
        <v>8887</v>
      </c>
      <c r="BJ86" s="254" t="s">
        <v>8888</v>
      </c>
      <c r="BK86" s="254" t="s">
        <v>8889</v>
      </c>
      <c r="BL86" s="254" t="s">
        <v>8890</v>
      </c>
      <c r="BM86" s="254" t="s">
        <v>8891</v>
      </c>
      <c r="BN86" s="254" t="s">
        <v>8892</v>
      </c>
      <c r="BO86" s="254" t="s">
        <v>8893</v>
      </c>
      <c r="BP86" s="255" t="s">
        <v>8894</v>
      </c>
      <c r="BQ86" s="361"/>
      <c r="BR86" s="361"/>
      <c r="BS86" s="361"/>
      <c r="BT86" s="361"/>
      <c r="BU86" s="361"/>
      <c r="BV86" s="361"/>
      <c r="BW86" s="361"/>
      <c r="BX86" s="361"/>
      <c r="BY86" s="361"/>
      <c r="BZ86" s="644" t="s">
        <v>8895</v>
      </c>
      <c r="CA86" s="644" t="s">
        <v>8896</v>
      </c>
      <c r="CB86" s="1011" t="s">
        <v>8897</v>
      </c>
    </row>
    <row r="87" spans="1:80" ht="15.75" customHeight="1">
      <c r="A87" s="197"/>
      <c r="B87" s="2255" t="s">
        <v>8884</v>
      </c>
      <c r="C87" s="2220" t="s">
        <v>1693</v>
      </c>
      <c r="D87" s="290" t="s">
        <v>137</v>
      </c>
      <c r="E87" s="290">
        <v>3</v>
      </c>
      <c r="F87" s="655">
        <v>0</v>
      </c>
      <c r="G87" s="655">
        <v>0</v>
      </c>
      <c r="H87" s="655">
        <v>0</v>
      </c>
      <c r="I87" s="655">
        <v>0</v>
      </c>
      <c r="J87" s="655">
        <v>0</v>
      </c>
      <c r="K87" s="655">
        <v>0</v>
      </c>
      <c r="L87" s="655">
        <v>0</v>
      </c>
      <c r="M87" s="655">
        <v>0</v>
      </c>
      <c r="N87" s="277">
        <f t="shared" si="267"/>
        <v>0</v>
      </c>
      <c r="O87" s="2247"/>
      <c r="P87" s="2247"/>
      <c r="Q87" s="2247"/>
      <c r="R87" s="2247"/>
      <c r="S87" s="2247"/>
      <c r="T87" s="2247"/>
      <c r="U87" s="2247"/>
      <c r="V87" s="2247"/>
      <c r="W87" s="2247"/>
      <c r="X87" s="655">
        <v>0</v>
      </c>
      <c r="Y87" s="655">
        <v>0</v>
      </c>
      <c r="Z87" s="693">
        <v>0</v>
      </c>
      <c r="AA87" s="313"/>
      <c r="AB87" s="692" t="s">
        <v>8898</v>
      </c>
      <c r="AC87" s="197"/>
      <c r="AD87" s="258"/>
      <c r="AE87" s="197"/>
      <c r="AF87" s="2576"/>
      <c r="AG87" s="251">
        <f t="shared" si="291"/>
        <v>0</v>
      </c>
      <c r="AH87" s="2576"/>
      <c r="AI87" s="252">
        <f t="shared" si="413"/>
        <v>0</v>
      </c>
      <c r="AJ87" s="252">
        <f t="shared" si="414"/>
        <v>0</v>
      </c>
      <c r="AK87" s="252">
        <f t="shared" si="415"/>
        <v>0</v>
      </c>
      <c r="AL87" s="252">
        <f t="shared" si="416"/>
        <v>0</v>
      </c>
      <c r="AM87" s="252">
        <f t="shared" si="417"/>
        <v>0</v>
      </c>
      <c r="AN87" s="252">
        <f t="shared" si="418"/>
        <v>0</v>
      </c>
      <c r="AO87" s="252">
        <f t="shared" si="419"/>
        <v>0</v>
      </c>
      <c r="AP87" s="252">
        <f t="shared" si="420"/>
        <v>0</v>
      </c>
      <c r="AQ87" s="200"/>
      <c r="AR87" s="200"/>
      <c r="AS87" s="200"/>
      <c r="AT87" s="200"/>
      <c r="AU87" s="200"/>
      <c r="AV87" s="200"/>
      <c r="AW87" s="200"/>
      <c r="AX87" s="200"/>
      <c r="AY87" s="200"/>
      <c r="AZ87" s="200"/>
      <c r="BA87" s="252">
        <f t="shared" si="410"/>
        <v>0</v>
      </c>
      <c r="BB87" s="252">
        <f t="shared" si="411"/>
        <v>0</v>
      </c>
      <c r="BC87" s="252">
        <f t="shared" si="412"/>
        <v>0</v>
      </c>
      <c r="BD87" s="2578"/>
      <c r="BE87" s="2562"/>
      <c r="BF87" s="675" t="s">
        <v>7673</v>
      </c>
      <c r="BG87" s="318" t="s">
        <v>1693</v>
      </c>
      <c r="BH87" s="254" t="s">
        <v>8899</v>
      </c>
      <c r="BI87" s="254" t="s">
        <v>8900</v>
      </c>
      <c r="BJ87" s="254" t="s">
        <v>8901</v>
      </c>
      <c r="BK87" s="254" t="s">
        <v>8902</v>
      </c>
      <c r="BL87" s="254" t="s">
        <v>8903</v>
      </c>
      <c r="BM87" s="254" t="s">
        <v>8904</v>
      </c>
      <c r="BN87" s="254" t="s">
        <v>8905</v>
      </c>
      <c r="BO87" s="254" t="s">
        <v>8906</v>
      </c>
      <c r="BP87" s="255" t="s">
        <v>8907</v>
      </c>
      <c r="BQ87" s="361"/>
      <c r="BR87" s="361"/>
      <c r="BS87" s="361"/>
      <c r="BT87" s="361"/>
      <c r="BU87" s="361"/>
      <c r="BV87" s="361"/>
      <c r="BW87" s="361"/>
      <c r="BX87" s="361"/>
      <c r="BY87" s="361"/>
      <c r="BZ87" s="644" t="s">
        <v>8908</v>
      </c>
      <c r="CA87" s="644" t="s">
        <v>8909</v>
      </c>
      <c r="CB87" s="1011" t="s">
        <v>8910</v>
      </c>
    </row>
    <row r="88" spans="1:80" ht="15.75" customHeight="1">
      <c r="A88" s="197"/>
      <c r="B88" s="2255" t="s">
        <v>7693</v>
      </c>
      <c r="C88" s="2220" t="s">
        <v>1692</v>
      </c>
      <c r="D88" s="290" t="s">
        <v>137</v>
      </c>
      <c r="E88" s="290">
        <v>3</v>
      </c>
      <c r="F88" s="655">
        <v>0</v>
      </c>
      <c r="G88" s="655">
        <v>0</v>
      </c>
      <c r="H88" s="655">
        <v>0</v>
      </c>
      <c r="I88" s="655">
        <v>0</v>
      </c>
      <c r="J88" s="655">
        <v>0</v>
      </c>
      <c r="K88" s="655">
        <v>0</v>
      </c>
      <c r="L88" s="655">
        <v>0</v>
      </c>
      <c r="M88" s="655">
        <v>0</v>
      </c>
      <c r="N88" s="277">
        <f t="shared" si="267"/>
        <v>0</v>
      </c>
      <c r="O88" s="2247"/>
      <c r="P88" s="2247"/>
      <c r="Q88" s="2247"/>
      <c r="R88" s="2247"/>
      <c r="S88" s="2247"/>
      <c r="T88" s="2247"/>
      <c r="U88" s="2247"/>
      <c r="V88" s="2247"/>
      <c r="W88" s="2247"/>
      <c r="X88" s="655">
        <v>0</v>
      </c>
      <c r="Y88" s="655">
        <v>0</v>
      </c>
      <c r="Z88" s="693">
        <v>0</v>
      </c>
      <c r="AA88" s="313"/>
      <c r="AB88" s="692" t="s">
        <v>8911</v>
      </c>
      <c r="AC88" s="197"/>
      <c r="AD88" s="258"/>
      <c r="AE88" s="197"/>
      <c r="AF88" s="2576"/>
      <c r="AG88" s="251">
        <f t="shared" si="291"/>
        <v>0</v>
      </c>
      <c r="AH88" s="2576"/>
      <c r="AI88" s="252">
        <f t="shared" si="413"/>
        <v>0</v>
      </c>
      <c r="AJ88" s="252">
        <f t="shared" si="414"/>
        <v>0</v>
      </c>
      <c r="AK88" s="252">
        <f t="shared" si="415"/>
        <v>0</v>
      </c>
      <c r="AL88" s="252">
        <f t="shared" si="416"/>
        <v>0</v>
      </c>
      <c r="AM88" s="252">
        <f t="shared" si="417"/>
        <v>0</v>
      </c>
      <c r="AN88" s="252">
        <f t="shared" si="418"/>
        <v>0</v>
      </c>
      <c r="AO88" s="252">
        <f t="shared" si="419"/>
        <v>0</v>
      </c>
      <c r="AP88" s="252">
        <f t="shared" si="420"/>
        <v>0</v>
      </c>
      <c r="AQ88" s="200"/>
      <c r="AR88" s="200"/>
      <c r="AS88" s="200"/>
      <c r="AT88" s="200"/>
      <c r="AU88" s="200"/>
      <c r="AV88" s="200"/>
      <c r="AW88" s="200"/>
      <c r="AX88" s="200"/>
      <c r="AY88" s="200"/>
      <c r="AZ88" s="200"/>
      <c r="BA88" s="252">
        <f t="shared" si="410"/>
        <v>0</v>
      </c>
      <c r="BB88" s="252">
        <f t="shared" si="411"/>
        <v>0</v>
      </c>
      <c r="BC88" s="252">
        <f t="shared" si="412"/>
        <v>0</v>
      </c>
      <c r="BD88" s="2578"/>
      <c r="BE88" s="2562"/>
      <c r="BF88" s="675" t="s">
        <v>7693</v>
      </c>
      <c r="BG88" s="318" t="s">
        <v>1692</v>
      </c>
      <c r="BH88" s="254" t="s">
        <v>8912</v>
      </c>
      <c r="BI88" s="254" t="s">
        <v>8913</v>
      </c>
      <c r="BJ88" s="254" t="s">
        <v>8914</v>
      </c>
      <c r="BK88" s="254" t="s">
        <v>8915</v>
      </c>
      <c r="BL88" s="254" t="s">
        <v>8916</v>
      </c>
      <c r="BM88" s="254" t="s">
        <v>8917</v>
      </c>
      <c r="BN88" s="254" t="s">
        <v>8918</v>
      </c>
      <c r="BO88" s="254" t="s">
        <v>8919</v>
      </c>
      <c r="BP88" s="255" t="s">
        <v>8920</v>
      </c>
      <c r="BQ88" s="361"/>
      <c r="BR88" s="361"/>
      <c r="BS88" s="361"/>
      <c r="BT88" s="361"/>
      <c r="BU88" s="361"/>
      <c r="BV88" s="361"/>
      <c r="BW88" s="361"/>
      <c r="BX88" s="361"/>
      <c r="BY88" s="361"/>
      <c r="BZ88" s="644" t="s">
        <v>8921</v>
      </c>
      <c r="CA88" s="644" t="s">
        <v>8922</v>
      </c>
      <c r="CB88" s="1011" t="s">
        <v>8923</v>
      </c>
    </row>
    <row r="89" spans="1:80" ht="15.75" customHeight="1">
      <c r="A89" s="197"/>
      <c r="B89" s="2255" t="s">
        <v>7693</v>
      </c>
      <c r="C89" s="2220" t="s">
        <v>1693</v>
      </c>
      <c r="D89" s="290" t="s">
        <v>137</v>
      </c>
      <c r="E89" s="290">
        <v>3</v>
      </c>
      <c r="F89" s="655">
        <v>0</v>
      </c>
      <c r="G89" s="655">
        <v>0</v>
      </c>
      <c r="H89" s="655">
        <v>0</v>
      </c>
      <c r="I89" s="655">
        <v>0</v>
      </c>
      <c r="J89" s="655">
        <v>0</v>
      </c>
      <c r="K89" s="655">
        <v>0</v>
      </c>
      <c r="L89" s="655">
        <v>0</v>
      </c>
      <c r="M89" s="655">
        <v>0</v>
      </c>
      <c r="N89" s="277">
        <f t="shared" si="267"/>
        <v>0</v>
      </c>
      <c r="O89" s="2247"/>
      <c r="P89" s="2247"/>
      <c r="Q89" s="2247"/>
      <c r="R89" s="2247"/>
      <c r="S89" s="2247"/>
      <c r="T89" s="2247"/>
      <c r="U89" s="2247"/>
      <c r="V89" s="2247"/>
      <c r="W89" s="2247"/>
      <c r="X89" s="655">
        <v>0</v>
      </c>
      <c r="Y89" s="655">
        <v>0</v>
      </c>
      <c r="Z89" s="693">
        <v>0</v>
      </c>
      <c r="AA89" s="313"/>
      <c r="AB89" s="692" t="s">
        <v>8924</v>
      </c>
      <c r="AC89" s="197"/>
      <c r="AD89" s="258"/>
      <c r="AE89" s="197"/>
      <c r="AF89" s="2576"/>
      <c r="AG89" s="251">
        <f t="shared" si="291"/>
        <v>0</v>
      </c>
      <c r="AH89" s="2576"/>
      <c r="AI89" s="252">
        <f t="shared" si="413"/>
        <v>0</v>
      </c>
      <c r="AJ89" s="252">
        <f t="shared" si="414"/>
        <v>0</v>
      </c>
      <c r="AK89" s="252">
        <f t="shared" si="415"/>
        <v>0</v>
      </c>
      <c r="AL89" s="252">
        <f t="shared" si="416"/>
        <v>0</v>
      </c>
      <c r="AM89" s="252">
        <f t="shared" si="417"/>
        <v>0</v>
      </c>
      <c r="AN89" s="252">
        <f t="shared" si="418"/>
        <v>0</v>
      </c>
      <c r="AO89" s="252">
        <f t="shared" si="419"/>
        <v>0</v>
      </c>
      <c r="AP89" s="252">
        <f t="shared" si="420"/>
        <v>0</v>
      </c>
      <c r="AQ89" s="200"/>
      <c r="AR89" s="200"/>
      <c r="AS89" s="200"/>
      <c r="AT89" s="200"/>
      <c r="AU89" s="200"/>
      <c r="AV89" s="200"/>
      <c r="AW89" s="200"/>
      <c r="AX89" s="200"/>
      <c r="AY89" s="200"/>
      <c r="AZ89" s="200"/>
      <c r="BA89" s="252">
        <f t="shared" si="410"/>
        <v>0</v>
      </c>
      <c r="BB89" s="252">
        <f t="shared" si="411"/>
        <v>0</v>
      </c>
      <c r="BC89" s="252">
        <f t="shared" si="412"/>
        <v>0</v>
      </c>
      <c r="BD89" s="2578"/>
      <c r="BE89" s="2562"/>
      <c r="BF89" s="675" t="s">
        <v>7693</v>
      </c>
      <c r="BG89" s="318" t="s">
        <v>1693</v>
      </c>
      <c r="BH89" s="254" t="s">
        <v>8925</v>
      </c>
      <c r="BI89" s="254" t="s">
        <v>8926</v>
      </c>
      <c r="BJ89" s="254" t="s">
        <v>8927</v>
      </c>
      <c r="BK89" s="254" t="s">
        <v>8928</v>
      </c>
      <c r="BL89" s="254" t="s">
        <v>8929</v>
      </c>
      <c r="BM89" s="254" t="s">
        <v>8930</v>
      </c>
      <c r="BN89" s="254" t="s">
        <v>8931</v>
      </c>
      <c r="BO89" s="254" t="s">
        <v>8932</v>
      </c>
      <c r="BP89" s="255" t="s">
        <v>8933</v>
      </c>
      <c r="BQ89" s="361"/>
      <c r="BR89" s="361"/>
      <c r="BS89" s="361"/>
      <c r="BT89" s="361"/>
      <c r="BU89" s="361"/>
      <c r="BV89" s="361"/>
      <c r="BW89" s="361"/>
      <c r="BX89" s="361"/>
      <c r="BY89" s="361"/>
      <c r="BZ89" s="644" t="s">
        <v>8934</v>
      </c>
      <c r="CA89" s="644" t="s">
        <v>8935</v>
      </c>
      <c r="CB89" s="1011" t="s">
        <v>8936</v>
      </c>
    </row>
    <row r="90" spans="1:80" ht="15.75" customHeight="1">
      <c r="A90" s="197"/>
      <c r="B90" s="2255" t="s">
        <v>8937</v>
      </c>
      <c r="C90" s="2220" t="s">
        <v>1692</v>
      </c>
      <c r="D90" s="290" t="s">
        <v>137</v>
      </c>
      <c r="E90" s="290">
        <v>3</v>
      </c>
      <c r="F90" s="655">
        <v>0</v>
      </c>
      <c r="G90" s="655">
        <v>3.1429999999999998</v>
      </c>
      <c r="H90" s="655">
        <v>0</v>
      </c>
      <c r="I90" s="655">
        <v>0</v>
      </c>
      <c r="J90" s="655">
        <v>0</v>
      </c>
      <c r="K90" s="655">
        <v>0</v>
      </c>
      <c r="L90" s="655">
        <v>0</v>
      </c>
      <c r="M90" s="655">
        <v>0</v>
      </c>
      <c r="N90" s="277">
        <f t="shared" si="267"/>
        <v>3.1429999999999998</v>
      </c>
      <c r="O90" s="2247"/>
      <c r="P90" s="2247"/>
      <c r="Q90" s="2247"/>
      <c r="R90" s="2247"/>
      <c r="S90" s="2247"/>
      <c r="T90" s="2247"/>
      <c r="U90" s="2247"/>
      <c r="V90" s="2247"/>
      <c r="W90" s="2247"/>
      <c r="X90" s="655">
        <v>3.1429999999999998</v>
      </c>
      <c r="Y90" s="655">
        <v>6.0439999999999996</v>
      </c>
      <c r="Z90" s="693">
        <v>7.617</v>
      </c>
      <c r="AA90" s="313"/>
      <c r="AB90" s="692" t="s">
        <v>8938</v>
      </c>
      <c r="AC90" s="197"/>
      <c r="AD90" s="258"/>
      <c r="AE90" s="197"/>
      <c r="AF90" s="2576"/>
      <c r="AG90" s="251">
        <f t="shared" si="291"/>
        <v>0</v>
      </c>
      <c r="AH90" s="2576"/>
      <c r="AI90" s="252">
        <f t="shared" si="413"/>
        <v>0</v>
      </c>
      <c r="AJ90" s="252">
        <f t="shared" si="414"/>
        <v>0</v>
      </c>
      <c r="AK90" s="252">
        <f t="shared" si="415"/>
        <v>0</v>
      </c>
      <c r="AL90" s="252">
        <f t="shared" si="416"/>
        <v>0</v>
      </c>
      <c r="AM90" s="252">
        <f t="shared" si="417"/>
        <v>0</v>
      </c>
      <c r="AN90" s="252">
        <f t="shared" si="418"/>
        <v>0</v>
      </c>
      <c r="AO90" s="252">
        <f t="shared" si="419"/>
        <v>0</v>
      </c>
      <c r="AP90" s="252">
        <f t="shared" si="420"/>
        <v>0</v>
      </c>
      <c r="AQ90" s="200"/>
      <c r="AR90" s="200"/>
      <c r="AS90" s="200"/>
      <c r="AT90" s="200"/>
      <c r="AU90" s="200"/>
      <c r="AV90" s="200"/>
      <c r="AW90" s="200"/>
      <c r="AX90" s="200"/>
      <c r="AY90" s="200"/>
      <c r="AZ90" s="200"/>
      <c r="BA90" s="252">
        <f t="shared" si="410"/>
        <v>0</v>
      </c>
      <c r="BB90" s="252">
        <f t="shared" si="411"/>
        <v>0</v>
      </c>
      <c r="BC90" s="252">
        <f t="shared" si="412"/>
        <v>0</v>
      </c>
      <c r="BD90" s="2578"/>
      <c r="BE90" s="2562"/>
      <c r="BF90" s="675" t="s">
        <v>7714</v>
      </c>
      <c r="BG90" s="318" t="s">
        <v>1692</v>
      </c>
      <c r="BH90" s="254" t="s">
        <v>8939</v>
      </c>
      <c r="BI90" s="254" t="s">
        <v>8940</v>
      </c>
      <c r="BJ90" s="254" t="s">
        <v>8941</v>
      </c>
      <c r="BK90" s="254" t="s">
        <v>8942</v>
      </c>
      <c r="BL90" s="254" t="s">
        <v>8943</v>
      </c>
      <c r="BM90" s="254" t="s">
        <v>8944</v>
      </c>
      <c r="BN90" s="254" t="s">
        <v>8945</v>
      </c>
      <c r="BO90" s="254" t="s">
        <v>8946</v>
      </c>
      <c r="BP90" s="255" t="s">
        <v>8947</v>
      </c>
      <c r="BQ90" s="361"/>
      <c r="BR90" s="361"/>
      <c r="BS90" s="361"/>
      <c r="BT90" s="361"/>
      <c r="BU90" s="361"/>
      <c r="BV90" s="361"/>
      <c r="BW90" s="361"/>
      <c r="BX90" s="361"/>
      <c r="BY90" s="361"/>
      <c r="BZ90" s="644" t="s">
        <v>8948</v>
      </c>
      <c r="CA90" s="644" t="s">
        <v>8949</v>
      </c>
      <c r="CB90" s="1011" t="s">
        <v>8950</v>
      </c>
    </row>
    <row r="91" spans="1:80" ht="15.75" customHeight="1">
      <c r="A91" s="197"/>
      <c r="B91" s="2255" t="s">
        <v>8937</v>
      </c>
      <c r="C91" s="2220" t="s">
        <v>1693</v>
      </c>
      <c r="D91" s="290" t="s">
        <v>137</v>
      </c>
      <c r="E91" s="290">
        <v>3</v>
      </c>
      <c r="F91" s="655">
        <v>0</v>
      </c>
      <c r="G91" s="655">
        <v>0</v>
      </c>
      <c r="H91" s="655">
        <v>0</v>
      </c>
      <c r="I91" s="655">
        <v>0</v>
      </c>
      <c r="J91" s="655">
        <v>0</v>
      </c>
      <c r="K91" s="655">
        <v>0</v>
      </c>
      <c r="L91" s="655">
        <v>0</v>
      </c>
      <c r="M91" s="655">
        <v>0</v>
      </c>
      <c r="N91" s="277">
        <f t="shared" si="267"/>
        <v>0</v>
      </c>
      <c r="O91" s="2247"/>
      <c r="P91" s="2247"/>
      <c r="Q91" s="2247"/>
      <c r="R91" s="2247"/>
      <c r="S91" s="2247"/>
      <c r="T91" s="2247"/>
      <c r="U91" s="2247"/>
      <c r="V91" s="2247"/>
      <c r="W91" s="2247"/>
      <c r="X91" s="655">
        <v>0</v>
      </c>
      <c r="Y91" s="655">
        <v>0</v>
      </c>
      <c r="Z91" s="693">
        <v>0</v>
      </c>
      <c r="AA91" s="313"/>
      <c r="AB91" s="692" t="s">
        <v>8951</v>
      </c>
      <c r="AC91" s="197"/>
      <c r="AD91" s="258"/>
      <c r="AE91" s="197"/>
      <c r="AF91" s="2576"/>
      <c r="AG91" s="251">
        <f t="shared" si="291"/>
        <v>0</v>
      </c>
      <c r="AH91" s="2576"/>
      <c r="AI91" s="252">
        <f t="shared" si="413"/>
        <v>0</v>
      </c>
      <c r="AJ91" s="252">
        <f t="shared" si="414"/>
        <v>0</v>
      </c>
      <c r="AK91" s="252">
        <f t="shared" si="415"/>
        <v>0</v>
      </c>
      <c r="AL91" s="252">
        <f t="shared" si="416"/>
        <v>0</v>
      </c>
      <c r="AM91" s="252">
        <f t="shared" si="417"/>
        <v>0</v>
      </c>
      <c r="AN91" s="252">
        <f t="shared" si="418"/>
        <v>0</v>
      </c>
      <c r="AO91" s="252">
        <f t="shared" si="419"/>
        <v>0</v>
      </c>
      <c r="AP91" s="252">
        <f t="shared" si="420"/>
        <v>0</v>
      </c>
      <c r="AQ91" s="200"/>
      <c r="AR91" s="200"/>
      <c r="AS91" s="200"/>
      <c r="AT91" s="200"/>
      <c r="AU91" s="200"/>
      <c r="AV91" s="200"/>
      <c r="AW91" s="200"/>
      <c r="AX91" s="200"/>
      <c r="AY91" s="200"/>
      <c r="AZ91" s="200"/>
      <c r="BA91" s="252">
        <f t="shared" si="410"/>
        <v>0</v>
      </c>
      <c r="BB91" s="252">
        <f t="shared" si="411"/>
        <v>0</v>
      </c>
      <c r="BC91" s="252">
        <f t="shared" si="412"/>
        <v>0</v>
      </c>
      <c r="BD91" s="2578"/>
      <c r="BE91" s="2562"/>
      <c r="BF91" s="675" t="s">
        <v>7714</v>
      </c>
      <c r="BG91" s="318" t="s">
        <v>1693</v>
      </c>
      <c r="BH91" s="254" t="s">
        <v>8952</v>
      </c>
      <c r="BI91" s="254" t="s">
        <v>8953</v>
      </c>
      <c r="BJ91" s="254" t="s">
        <v>8954</v>
      </c>
      <c r="BK91" s="254" t="s">
        <v>8955</v>
      </c>
      <c r="BL91" s="254" t="s">
        <v>8956</v>
      </c>
      <c r="BM91" s="254" t="s">
        <v>8957</v>
      </c>
      <c r="BN91" s="254" t="s">
        <v>8958</v>
      </c>
      <c r="BO91" s="254" t="s">
        <v>8959</v>
      </c>
      <c r="BP91" s="255" t="s">
        <v>8960</v>
      </c>
      <c r="BQ91" s="361"/>
      <c r="BR91" s="361"/>
      <c r="BS91" s="361"/>
      <c r="BT91" s="361"/>
      <c r="BU91" s="361"/>
      <c r="BV91" s="361"/>
      <c r="BW91" s="361"/>
      <c r="BX91" s="361"/>
      <c r="BY91" s="361"/>
      <c r="BZ91" s="644" t="s">
        <v>8961</v>
      </c>
      <c r="CA91" s="644" t="s">
        <v>8962</v>
      </c>
      <c r="CB91" s="1011" t="s">
        <v>8963</v>
      </c>
    </row>
    <row r="92" spans="1:80" ht="15.75" customHeight="1">
      <c r="A92" s="197"/>
      <c r="B92" s="2255" t="s">
        <v>7735</v>
      </c>
      <c r="C92" s="2220" t="s">
        <v>1692</v>
      </c>
      <c r="D92" s="290" t="s">
        <v>137</v>
      </c>
      <c r="E92" s="290">
        <v>3</v>
      </c>
      <c r="F92" s="655">
        <v>0</v>
      </c>
      <c r="G92" s="655">
        <v>0</v>
      </c>
      <c r="H92" s="655">
        <v>0</v>
      </c>
      <c r="I92" s="655">
        <v>0</v>
      </c>
      <c r="J92" s="655">
        <v>0</v>
      </c>
      <c r="K92" s="655">
        <v>0</v>
      </c>
      <c r="L92" s="655">
        <v>0</v>
      </c>
      <c r="M92" s="655">
        <v>0</v>
      </c>
      <c r="N92" s="277">
        <f t="shared" si="267"/>
        <v>0</v>
      </c>
      <c r="O92" s="2247"/>
      <c r="P92" s="2247"/>
      <c r="Q92" s="2247"/>
      <c r="R92" s="2247"/>
      <c r="S92" s="2247"/>
      <c r="T92" s="2247"/>
      <c r="U92" s="2247"/>
      <c r="V92" s="2247"/>
      <c r="W92" s="2247"/>
      <c r="X92" s="655">
        <v>0</v>
      </c>
      <c r="Y92" s="655">
        <v>0</v>
      </c>
      <c r="Z92" s="693">
        <v>0</v>
      </c>
      <c r="AA92" s="106"/>
      <c r="AB92" s="692" t="s">
        <v>8964</v>
      </c>
      <c r="AC92" s="197"/>
      <c r="AD92" s="258"/>
      <c r="AE92" s="197"/>
      <c r="AF92" s="2576"/>
      <c r="AG92" s="251">
        <f t="shared" si="291"/>
        <v>0</v>
      </c>
      <c r="AH92" s="2576"/>
      <c r="AI92" s="252">
        <f t="shared" si="413"/>
        <v>0</v>
      </c>
      <c r="AJ92" s="252">
        <f t="shared" si="414"/>
        <v>0</v>
      </c>
      <c r="AK92" s="252">
        <f t="shared" si="415"/>
        <v>0</v>
      </c>
      <c r="AL92" s="252">
        <f t="shared" si="416"/>
        <v>0</v>
      </c>
      <c r="AM92" s="252">
        <f t="shared" si="417"/>
        <v>0</v>
      </c>
      <c r="AN92" s="252">
        <f t="shared" si="418"/>
        <v>0</v>
      </c>
      <c r="AO92" s="252">
        <f t="shared" si="419"/>
        <v>0</v>
      </c>
      <c r="AP92" s="252">
        <f t="shared" si="420"/>
        <v>0</v>
      </c>
      <c r="AQ92" s="200"/>
      <c r="AR92" s="200"/>
      <c r="AS92" s="200"/>
      <c r="AT92" s="200"/>
      <c r="AU92" s="200"/>
      <c r="AV92" s="200"/>
      <c r="AW92" s="200"/>
      <c r="AX92" s="200"/>
      <c r="AY92" s="200"/>
      <c r="AZ92" s="200"/>
      <c r="BA92" s="252">
        <f t="shared" si="410"/>
        <v>0</v>
      </c>
      <c r="BB92" s="252">
        <f t="shared" si="411"/>
        <v>0</v>
      </c>
      <c r="BC92" s="252">
        <f t="shared" si="412"/>
        <v>0</v>
      </c>
      <c r="BD92" s="2578"/>
      <c r="BE92" s="2562"/>
      <c r="BF92" s="675" t="s">
        <v>7735</v>
      </c>
      <c r="BG92" s="318" t="s">
        <v>1692</v>
      </c>
      <c r="BH92" s="254" t="s">
        <v>8965</v>
      </c>
      <c r="BI92" s="254" t="s">
        <v>8966</v>
      </c>
      <c r="BJ92" s="254" t="s">
        <v>8967</v>
      </c>
      <c r="BK92" s="254" t="s">
        <v>8968</v>
      </c>
      <c r="BL92" s="254" t="s">
        <v>8969</v>
      </c>
      <c r="BM92" s="254" t="s">
        <v>8970</v>
      </c>
      <c r="BN92" s="254" t="s">
        <v>8971</v>
      </c>
      <c r="BO92" s="254" t="s">
        <v>8972</v>
      </c>
      <c r="BP92" s="255" t="s">
        <v>8973</v>
      </c>
      <c r="BQ92" s="361"/>
      <c r="BR92" s="361"/>
      <c r="BS92" s="361"/>
      <c r="BT92" s="361"/>
      <c r="BU92" s="361"/>
      <c r="BV92" s="361"/>
      <c r="BW92" s="361"/>
      <c r="BX92" s="361"/>
      <c r="BY92" s="361"/>
      <c r="BZ92" s="644" t="s">
        <v>8974</v>
      </c>
      <c r="CA92" s="644" t="s">
        <v>8975</v>
      </c>
      <c r="CB92" s="1011" t="s">
        <v>8976</v>
      </c>
    </row>
    <row r="93" spans="1:80" ht="15.75" customHeight="1">
      <c r="A93" s="197"/>
      <c r="B93" s="2255" t="s">
        <v>7735</v>
      </c>
      <c r="C93" s="2220" t="s">
        <v>1693</v>
      </c>
      <c r="D93" s="290" t="s">
        <v>137</v>
      </c>
      <c r="E93" s="290">
        <v>3</v>
      </c>
      <c r="F93" s="655">
        <v>0</v>
      </c>
      <c r="G93" s="655">
        <v>0</v>
      </c>
      <c r="H93" s="655">
        <v>0</v>
      </c>
      <c r="I93" s="655">
        <v>0</v>
      </c>
      <c r="J93" s="655">
        <v>0</v>
      </c>
      <c r="K93" s="655">
        <v>0</v>
      </c>
      <c r="L93" s="655">
        <v>0</v>
      </c>
      <c r="M93" s="655">
        <v>0</v>
      </c>
      <c r="N93" s="277">
        <f t="shared" si="267"/>
        <v>0</v>
      </c>
      <c r="O93" s="2247"/>
      <c r="P93" s="2247"/>
      <c r="Q93" s="2247"/>
      <c r="R93" s="2247"/>
      <c r="S93" s="2247"/>
      <c r="T93" s="2247"/>
      <c r="U93" s="2247"/>
      <c r="V93" s="2247"/>
      <c r="W93" s="2247"/>
      <c r="X93" s="655">
        <v>0</v>
      </c>
      <c r="Y93" s="655">
        <v>0</v>
      </c>
      <c r="Z93" s="693">
        <v>0</v>
      </c>
      <c r="AA93" s="106"/>
      <c r="AB93" s="692" t="s">
        <v>8977</v>
      </c>
      <c r="AC93" s="197"/>
      <c r="AD93" s="258"/>
      <c r="AE93" s="197"/>
      <c r="AF93" s="2576"/>
      <c r="AG93" s="251">
        <f t="shared" si="291"/>
        <v>0</v>
      </c>
      <c r="AH93" s="2576"/>
      <c r="AI93" s="252">
        <f t="shared" si="413"/>
        <v>0</v>
      </c>
      <c r="AJ93" s="252">
        <f t="shared" si="414"/>
        <v>0</v>
      </c>
      <c r="AK93" s="252">
        <f t="shared" si="415"/>
        <v>0</v>
      </c>
      <c r="AL93" s="252">
        <f t="shared" si="416"/>
        <v>0</v>
      </c>
      <c r="AM93" s="252">
        <f t="shared" si="417"/>
        <v>0</v>
      </c>
      <c r="AN93" s="252">
        <f t="shared" si="418"/>
        <v>0</v>
      </c>
      <c r="AO93" s="252">
        <f t="shared" si="419"/>
        <v>0</v>
      </c>
      <c r="AP93" s="252">
        <f t="shared" si="420"/>
        <v>0</v>
      </c>
      <c r="AQ93" s="200"/>
      <c r="AR93" s="200"/>
      <c r="AS93" s="200"/>
      <c r="AT93" s="200"/>
      <c r="AU93" s="200"/>
      <c r="AV93" s="200"/>
      <c r="AW93" s="200"/>
      <c r="AX93" s="200"/>
      <c r="AY93" s="200"/>
      <c r="AZ93" s="200"/>
      <c r="BA93" s="252">
        <f t="shared" si="410"/>
        <v>0</v>
      </c>
      <c r="BB93" s="252">
        <f t="shared" si="411"/>
        <v>0</v>
      </c>
      <c r="BC93" s="252">
        <f t="shared" si="412"/>
        <v>0</v>
      </c>
      <c r="BD93" s="2578"/>
      <c r="BE93" s="2562"/>
      <c r="BF93" s="675" t="s">
        <v>7735</v>
      </c>
      <c r="BG93" s="318" t="s">
        <v>1693</v>
      </c>
      <c r="BH93" s="254" t="s">
        <v>8978</v>
      </c>
      <c r="BI93" s="254" t="s">
        <v>8979</v>
      </c>
      <c r="BJ93" s="254" t="s">
        <v>8980</v>
      </c>
      <c r="BK93" s="254" t="s">
        <v>8981</v>
      </c>
      <c r="BL93" s="254" t="s">
        <v>8982</v>
      </c>
      <c r="BM93" s="254" t="s">
        <v>8983</v>
      </c>
      <c r="BN93" s="254" t="s">
        <v>8984</v>
      </c>
      <c r="BO93" s="254" t="s">
        <v>8985</v>
      </c>
      <c r="BP93" s="255" t="s">
        <v>8986</v>
      </c>
      <c r="BQ93" s="361"/>
      <c r="BR93" s="361"/>
      <c r="BS93" s="361"/>
      <c r="BT93" s="361"/>
      <c r="BU93" s="361"/>
      <c r="BV93" s="361"/>
      <c r="BW93" s="361"/>
      <c r="BX93" s="361"/>
      <c r="BY93" s="361"/>
      <c r="BZ93" s="644" t="s">
        <v>8987</v>
      </c>
      <c r="CA93" s="644" t="s">
        <v>8988</v>
      </c>
      <c r="CB93" s="1011" t="s">
        <v>8989</v>
      </c>
    </row>
    <row r="94" spans="1:80" ht="15.75" customHeight="1">
      <c r="A94" s="197"/>
      <c r="B94" s="2255" t="s">
        <v>7756</v>
      </c>
      <c r="C94" s="2220" t="s">
        <v>1692</v>
      </c>
      <c r="D94" s="290" t="s">
        <v>137</v>
      </c>
      <c r="E94" s="290">
        <v>3</v>
      </c>
      <c r="F94" s="655">
        <v>0</v>
      </c>
      <c r="G94" s="655">
        <v>0</v>
      </c>
      <c r="H94" s="655">
        <v>0</v>
      </c>
      <c r="I94" s="655">
        <v>0</v>
      </c>
      <c r="J94" s="655">
        <v>0</v>
      </c>
      <c r="K94" s="655">
        <v>0</v>
      </c>
      <c r="L94" s="655">
        <v>0</v>
      </c>
      <c r="M94" s="655">
        <v>0</v>
      </c>
      <c r="N94" s="277">
        <f t="shared" si="267"/>
        <v>0</v>
      </c>
      <c r="O94" s="2247"/>
      <c r="P94" s="2247"/>
      <c r="Q94" s="2247"/>
      <c r="R94" s="2247"/>
      <c r="S94" s="2247"/>
      <c r="T94" s="2247"/>
      <c r="U94" s="2247"/>
      <c r="V94" s="2247"/>
      <c r="W94" s="2247"/>
      <c r="X94" s="655">
        <v>0</v>
      </c>
      <c r="Y94" s="655">
        <v>0</v>
      </c>
      <c r="Z94" s="693">
        <v>0</v>
      </c>
      <c r="AA94" s="106"/>
      <c r="AB94" s="692" t="s">
        <v>8990</v>
      </c>
      <c r="AC94" s="197"/>
      <c r="AD94" s="258"/>
      <c r="AE94" s="197"/>
      <c r="AF94" s="2576"/>
      <c r="AG94" s="251">
        <f t="shared" si="291"/>
        <v>0</v>
      </c>
      <c r="AH94" s="2576"/>
      <c r="AI94" s="252">
        <f t="shared" si="413"/>
        <v>0</v>
      </c>
      <c r="AJ94" s="252">
        <f t="shared" si="414"/>
        <v>0</v>
      </c>
      <c r="AK94" s="252">
        <f t="shared" si="415"/>
        <v>0</v>
      </c>
      <c r="AL94" s="252">
        <f t="shared" si="416"/>
        <v>0</v>
      </c>
      <c r="AM94" s="252">
        <f t="shared" si="417"/>
        <v>0</v>
      </c>
      <c r="AN94" s="252">
        <f t="shared" si="418"/>
        <v>0</v>
      </c>
      <c r="AO94" s="252">
        <f t="shared" si="419"/>
        <v>0</v>
      </c>
      <c r="AP94" s="252">
        <f t="shared" si="420"/>
        <v>0</v>
      </c>
      <c r="AQ94" s="200"/>
      <c r="AR94" s="200"/>
      <c r="AS94" s="200"/>
      <c r="AT94" s="200"/>
      <c r="AU94" s="200"/>
      <c r="AV94" s="200"/>
      <c r="AW94" s="200"/>
      <c r="AX94" s="200"/>
      <c r="AY94" s="200"/>
      <c r="AZ94" s="200"/>
      <c r="BA94" s="252">
        <f t="shared" si="410"/>
        <v>0</v>
      </c>
      <c r="BB94" s="252">
        <f t="shared" si="411"/>
        <v>0</v>
      </c>
      <c r="BC94" s="252">
        <f t="shared" si="412"/>
        <v>0</v>
      </c>
      <c r="BD94" s="2578"/>
      <c r="BE94" s="2562"/>
      <c r="BF94" s="675" t="s">
        <v>7756</v>
      </c>
      <c r="BG94" s="318" t="s">
        <v>1692</v>
      </c>
      <c r="BH94" s="254" t="s">
        <v>8991</v>
      </c>
      <c r="BI94" s="254" t="s">
        <v>8992</v>
      </c>
      <c r="BJ94" s="254" t="s">
        <v>8993</v>
      </c>
      <c r="BK94" s="254" t="s">
        <v>8994</v>
      </c>
      <c r="BL94" s="254" t="s">
        <v>8995</v>
      </c>
      <c r="BM94" s="254" t="s">
        <v>8996</v>
      </c>
      <c r="BN94" s="254" t="s">
        <v>8997</v>
      </c>
      <c r="BO94" s="254" t="s">
        <v>8998</v>
      </c>
      <c r="BP94" s="255" t="s">
        <v>8999</v>
      </c>
      <c r="BQ94" s="361"/>
      <c r="BR94" s="361"/>
      <c r="BS94" s="361"/>
      <c r="BT94" s="361"/>
      <c r="BU94" s="361"/>
      <c r="BV94" s="361"/>
      <c r="BW94" s="361"/>
      <c r="BX94" s="361"/>
      <c r="BY94" s="361"/>
      <c r="BZ94" s="644" t="s">
        <v>9000</v>
      </c>
      <c r="CA94" s="644" t="s">
        <v>9001</v>
      </c>
      <c r="CB94" s="1011" t="s">
        <v>9002</v>
      </c>
    </row>
    <row r="95" spans="1:80" ht="15.75" customHeight="1">
      <c r="A95" s="197"/>
      <c r="B95" s="2255" t="s">
        <v>7756</v>
      </c>
      <c r="C95" s="2220" t="s">
        <v>1693</v>
      </c>
      <c r="D95" s="290" t="s">
        <v>137</v>
      </c>
      <c r="E95" s="290">
        <v>3</v>
      </c>
      <c r="F95" s="655">
        <v>0</v>
      </c>
      <c r="G95" s="655">
        <v>0</v>
      </c>
      <c r="H95" s="655">
        <v>0</v>
      </c>
      <c r="I95" s="655">
        <v>0</v>
      </c>
      <c r="J95" s="655">
        <v>0</v>
      </c>
      <c r="K95" s="655">
        <v>0</v>
      </c>
      <c r="L95" s="655">
        <v>0</v>
      </c>
      <c r="M95" s="655">
        <v>0</v>
      </c>
      <c r="N95" s="277">
        <f t="shared" si="267"/>
        <v>0</v>
      </c>
      <c r="O95" s="2247"/>
      <c r="P95" s="2247"/>
      <c r="Q95" s="2247"/>
      <c r="R95" s="2247"/>
      <c r="S95" s="2247"/>
      <c r="T95" s="2247"/>
      <c r="U95" s="2247"/>
      <c r="V95" s="2247"/>
      <c r="W95" s="2247"/>
      <c r="X95" s="655">
        <v>0</v>
      </c>
      <c r="Y95" s="655">
        <v>0</v>
      </c>
      <c r="Z95" s="693">
        <v>0</v>
      </c>
      <c r="AA95" s="106"/>
      <c r="AB95" s="692" t="s">
        <v>9003</v>
      </c>
      <c r="AC95" s="197"/>
      <c r="AD95" s="258"/>
      <c r="AE95" s="197"/>
      <c r="AF95" s="2576"/>
      <c r="AG95" s="251">
        <f t="shared" si="291"/>
        <v>0</v>
      </c>
      <c r="AH95" s="2576"/>
      <c r="AI95" s="252">
        <f t="shared" si="413"/>
        <v>0</v>
      </c>
      <c r="AJ95" s="252">
        <f t="shared" si="414"/>
        <v>0</v>
      </c>
      <c r="AK95" s="252">
        <f t="shared" si="415"/>
        <v>0</v>
      </c>
      <c r="AL95" s="252">
        <f t="shared" si="416"/>
        <v>0</v>
      </c>
      <c r="AM95" s="252">
        <f t="shared" si="417"/>
        <v>0</v>
      </c>
      <c r="AN95" s="252">
        <f t="shared" si="418"/>
        <v>0</v>
      </c>
      <c r="AO95" s="252">
        <f t="shared" si="419"/>
        <v>0</v>
      </c>
      <c r="AP95" s="252">
        <f t="shared" si="420"/>
        <v>0</v>
      </c>
      <c r="AQ95" s="200"/>
      <c r="AR95" s="200"/>
      <c r="AS95" s="200"/>
      <c r="AT95" s="200"/>
      <c r="AU95" s="200"/>
      <c r="AV95" s="200"/>
      <c r="AW95" s="200"/>
      <c r="AX95" s="200"/>
      <c r="AY95" s="200"/>
      <c r="AZ95" s="200"/>
      <c r="BA95" s="252">
        <f t="shared" si="410"/>
        <v>0</v>
      </c>
      <c r="BB95" s="252">
        <f t="shared" si="411"/>
        <v>0</v>
      </c>
      <c r="BC95" s="252">
        <f t="shared" si="412"/>
        <v>0</v>
      </c>
      <c r="BD95" s="2578"/>
      <c r="BE95" s="2562"/>
      <c r="BF95" s="675" t="s">
        <v>7756</v>
      </c>
      <c r="BG95" s="318" t="s">
        <v>1693</v>
      </c>
      <c r="BH95" s="254" t="s">
        <v>9004</v>
      </c>
      <c r="BI95" s="254" t="s">
        <v>9005</v>
      </c>
      <c r="BJ95" s="254" t="s">
        <v>9006</v>
      </c>
      <c r="BK95" s="254" t="s">
        <v>9007</v>
      </c>
      <c r="BL95" s="254" t="s">
        <v>9008</v>
      </c>
      <c r="BM95" s="254" t="s">
        <v>9009</v>
      </c>
      <c r="BN95" s="254" t="s">
        <v>9010</v>
      </c>
      <c r="BO95" s="254" t="s">
        <v>9011</v>
      </c>
      <c r="BP95" s="255" t="s">
        <v>9012</v>
      </c>
      <c r="BQ95" s="361"/>
      <c r="BR95" s="361"/>
      <c r="BS95" s="361"/>
      <c r="BT95" s="361"/>
      <c r="BU95" s="361"/>
      <c r="BV95" s="361"/>
      <c r="BW95" s="361"/>
      <c r="BX95" s="361"/>
      <c r="BY95" s="361"/>
      <c r="BZ95" s="644" t="s">
        <v>9013</v>
      </c>
      <c r="CA95" s="644" t="s">
        <v>9014</v>
      </c>
      <c r="CB95" s="1011" t="s">
        <v>9015</v>
      </c>
    </row>
    <row r="96" spans="1:80" ht="15.75" customHeight="1" thickBot="1">
      <c r="A96" s="197"/>
      <c r="B96" s="415" t="s">
        <v>7777</v>
      </c>
      <c r="C96" s="2218" t="s">
        <v>1694</v>
      </c>
      <c r="D96" s="297" t="s">
        <v>137</v>
      </c>
      <c r="E96" s="297">
        <v>3</v>
      </c>
      <c r="F96" s="279">
        <f>IFERROR(SUM(F61,F64,F67,F70,F73,F76,F79,F82,F85,F86:F95), 0)</f>
        <v>3.2309999999999999</v>
      </c>
      <c r="G96" s="279">
        <f t="shared" ref="G96:L96" si="421">IFERROR(SUM(G61,G64,G67,G70,G73,G76,G79,G82,G85,G86:G95), 0)</f>
        <v>4.3149999999999995</v>
      </c>
      <c r="H96" s="279">
        <f t="shared" si="421"/>
        <v>0.32799999999999996</v>
      </c>
      <c r="I96" s="279">
        <f t="shared" si="421"/>
        <v>0.50800000000000001</v>
      </c>
      <c r="J96" s="279">
        <f t="shared" si="421"/>
        <v>5.0000000000000001E-3</v>
      </c>
      <c r="K96" s="279">
        <f t="shared" si="421"/>
        <v>4.0000000000000001E-3</v>
      </c>
      <c r="L96" s="279">
        <f t="shared" si="421"/>
        <v>1.66</v>
      </c>
      <c r="M96" s="279">
        <f>IFERROR(SUM(M61,M64,M67,M70,M73,M76,M79,M82,M85,M86:M95), 0)</f>
        <v>1E-3</v>
      </c>
      <c r="N96" s="279">
        <f t="shared" si="267"/>
        <v>10.052</v>
      </c>
      <c r="O96" s="2254"/>
      <c r="P96" s="2254"/>
      <c r="Q96" s="2254"/>
      <c r="R96" s="2254"/>
      <c r="S96" s="2254"/>
      <c r="T96" s="2254"/>
      <c r="U96" s="2254"/>
      <c r="V96" s="2254"/>
      <c r="W96" s="2254"/>
      <c r="X96" s="279">
        <f>IFERROR(SUM(X67,X70,X73,X76,X79,X82,X85:X95), 0)</f>
        <v>11.059000000000001</v>
      </c>
      <c r="Y96" s="279">
        <f t="shared" ref="Y96:Z96" si="422">IFERROR(SUM(Y67,Y70,Y73,Y76,Y79,Y82,Y85:Y95), 0)</f>
        <v>12.683</v>
      </c>
      <c r="Z96" s="280">
        <f t="shared" si="422"/>
        <v>50.160999999999994</v>
      </c>
      <c r="AA96" s="106"/>
      <c r="AB96" s="710" t="s">
        <v>9016</v>
      </c>
      <c r="AC96" s="197"/>
      <c r="AD96" s="269"/>
      <c r="AE96" s="197"/>
      <c r="AF96" s="2576"/>
      <c r="AG96" s="2562"/>
      <c r="AH96" s="2576"/>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578"/>
      <c r="BE96" s="2562"/>
      <c r="BF96" s="425" t="s">
        <v>7777</v>
      </c>
      <c r="BG96" s="976" t="s">
        <v>1694</v>
      </c>
      <c r="BH96" s="265" t="s">
        <v>9017</v>
      </c>
      <c r="BI96" s="265" t="s">
        <v>9018</v>
      </c>
      <c r="BJ96" s="265" t="s">
        <v>9019</v>
      </c>
      <c r="BK96" s="265" t="s">
        <v>9020</v>
      </c>
      <c r="BL96" s="265" t="s">
        <v>9021</v>
      </c>
      <c r="BM96" s="265" t="s">
        <v>9022</v>
      </c>
      <c r="BN96" s="265" t="s">
        <v>9023</v>
      </c>
      <c r="BO96" s="265" t="s">
        <v>9024</v>
      </c>
      <c r="BP96" s="265" t="s">
        <v>9025</v>
      </c>
      <c r="BQ96" s="370"/>
      <c r="BR96" s="370"/>
      <c r="BS96" s="370"/>
      <c r="BT96" s="370"/>
      <c r="BU96" s="370"/>
      <c r="BV96" s="370"/>
      <c r="BW96" s="370"/>
      <c r="BX96" s="370"/>
      <c r="BY96" s="370"/>
      <c r="BZ96" s="265" t="s">
        <v>9026</v>
      </c>
      <c r="CA96" s="265" t="s">
        <v>9027</v>
      </c>
      <c r="CB96" s="266" t="s">
        <v>9028</v>
      </c>
    </row>
    <row r="97" spans="1:80" ht="15.75" customHeight="1" thickTop="1" thickBot="1">
      <c r="A97" s="197"/>
      <c r="B97" s="195"/>
      <c r="C97" s="197"/>
      <c r="D97" s="197"/>
      <c r="E97" s="197"/>
      <c r="F97" s="271"/>
      <c r="G97" s="271"/>
      <c r="H97" s="271"/>
      <c r="I97" s="271"/>
      <c r="J97" s="271"/>
      <c r="K97" s="271"/>
      <c r="L97" s="271"/>
      <c r="M97" s="271"/>
      <c r="N97" s="271"/>
      <c r="O97" s="271"/>
      <c r="P97" s="271"/>
      <c r="Q97" s="271"/>
      <c r="R97" s="271"/>
      <c r="S97" s="271"/>
      <c r="T97" s="271"/>
      <c r="U97" s="271"/>
      <c r="V97" s="271"/>
      <c r="W97" s="271"/>
      <c r="X97" s="271"/>
      <c r="Y97" s="271"/>
      <c r="Z97" s="271"/>
      <c r="AA97" s="197"/>
      <c r="AB97" s="200"/>
      <c r="AC97" s="197"/>
      <c r="AD97" s="106"/>
      <c r="AE97" s="197"/>
      <c r="AF97" s="2576"/>
      <c r="AG97" s="2562"/>
      <c r="AH97" s="2576"/>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578"/>
      <c r="BE97" s="2562"/>
      <c r="BF97" s="195"/>
      <c r="BG97" s="197"/>
      <c r="BH97" s="271"/>
      <c r="BI97" s="271"/>
      <c r="BJ97" s="271"/>
      <c r="BK97" s="271"/>
      <c r="BL97" s="271"/>
      <c r="BM97" s="271"/>
      <c r="BN97" s="271"/>
      <c r="BO97" s="271"/>
      <c r="BP97" s="271"/>
      <c r="BQ97" s="271"/>
      <c r="BR97" s="271"/>
      <c r="BS97" s="271"/>
      <c r="BT97" s="271"/>
      <c r="BU97" s="271"/>
      <c r="BV97" s="271"/>
      <c r="BW97" s="271"/>
      <c r="BX97" s="271"/>
      <c r="BY97" s="271"/>
      <c r="BZ97" s="271"/>
      <c r="CA97" s="271"/>
      <c r="CB97" s="271"/>
    </row>
    <row r="98" spans="1:80" ht="15.75" customHeight="1" thickTop="1" thickBot="1">
      <c r="A98" s="197"/>
      <c r="B98" s="355" t="s">
        <v>7788</v>
      </c>
      <c r="C98" s="197"/>
      <c r="D98" s="197"/>
      <c r="E98" s="197"/>
      <c r="F98" s="271"/>
      <c r="G98" s="271"/>
      <c r="H98" s="271"/>
      <c r="I98" s="271"/>
      <c r="J98" s="271"/>
      <c r="K98" s="271"/>
      <c r="L98" s="271"/>
      <c r="M98" s="271"/>
      <c r="N98" s="271"/>
      <c r="O98" s="271"/>
      <c r="P98" s="271"/>
      <c r="Q98" s="271"/>
      <c r="R98" s="271"/>
      <c r="S98" s="271"/>
      <c r="T98" s="271"/>
      <c r="U98" s="271"/>
      <c r="V98" s="271"/>
      <c r="W98" s="271"/>
      <c r="X98" s="271"/>
      <c r="Y98" s="271"/>
      <c r="Z98" s="271"/>
      <c r="AA98" s="197"/>
      <c r="AB98" s="200"/>
      <c r="AC98" s="197"/>
      <c r="AD98" s="106"/>
      <c r="AE98" s="197"/>
      <c r="AF98" s="2576"/>
      <c r="AG98" s="2562"/>
      <c r="AH98" s="2576"/>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578"/>
      <c r="BE98" s="2562"/>
      <c r="BF98" s="355" t="s">
        <v>7788</v>
      </c>
      <c r="BG98" s="197"/>
      <c r="BH98" s="271"/>
      <c r="BI98" s="271"/>
      <c r="BJ98" s="271"/>
      <c r="BK98" s="271"/>
      <c r="BL98" s="271"/>
      <c r="BM98" s="271"/>
      <c r="BN98" s="271"/>
      <c r="BO98" s="271"/>
      <c r="BP98" s="271"/>
      <c r="BQ98" s="271"/>
      <c r="BR98" s="271"/>
      <c r="BS98" s="271"/>
      <c r="BT98" s="271"/>
      <c r="BU98" s="271"/>
      <c r="BV98" s="271"/>
      <c r="BW98" s="271"/>
      <c r="BX98" s="271"/>
      <c r="BY98" s="271"/>
      <c r="BZ98" s="271"/>
      <c r="CA98" s="271"/>
      <c r="CB98" s="271"/>
    </row>
    <row r="99" spans="1:80" ht="15.75" customHeight="1" thickTop="1">
      <c r="A99" s="197"/>
      <c r="B99" s="413" t="s">
        <v>7789</v>
      </c>
      <c r="C99" s="958" t="s">
        <v>1692</v>
      </c>
      <c r="D99" s="244" t="s">
        <v>137</v>
      </c>
      <c r="E99" s="244">
        <v>3</v>
      </c>
      <c r="F99" s="246">
        <f t="shared" ref="F99:M100" si="423">IFERROR(SUM(F10,F13,F16,F19,F22,F25,F28,F31,F35,F38,F41,F44,F47,F50,F53,F59,F62,F65,F68,F71,F74,F77,F80,F83,F86,F88,F90,F92,F94), 0)</f>
        <v>5.1109999999999998</v>
      </c>
      <c r="G99" s="246">
        <f t="shared" si="423"/>
        <v>4.9039999999999999</v>
      </c>
      <c r="H99" s="246">
        <f t="shared" si="423"/>
        <v>0.49299999999999999</v>
      </c>
      <c r="I99" s="246">
        <f t="shared" si="423"/>
        <v>95.548000000000002</v>
      </c>
      <c r="J99" s="246">
        <f t="shared" si="423"/>
        <v>5.0000000000000001E-3</v>
      </c>
      <c r="K99" s="246">
        <f t="shared" si="423"/>
        <v>4.0000000000000001E-3</v>
      </c>
      <c r="L99" s="246">
        <f t="shared" si="423"/>
        <v>1.66</v>
      </c>
      <c r="M99" s="246">
        <f t="shared" si="423"/>
        <v>1E-3</v>
      </c>
      <c r="N99" s="246">
        <f t="shared" ref="N99:N101" si="424">IFERROR(SUM(F99:M99), 0)</f>
        <v>107.726</v>
      </c>
      <c r="O99" s="566"/>
      <c r="P99" s="566"/>
      <c r="Q99" s="566"/>
      <c r="R99" s="566"/>
      <c r="S99" s="566"/>
      <c r="T99" s="566"/>
      <c r="U99" s="566"/>
      <c r="V99" s="566"/>
      <c r="W99" s="566"/>
      <c r="X99" s="566"/>
      <c r="Y99" s="566"/>
      <c r="Z99" s="567"/>
      <c r="AA99" s="197"/>
      <c r="AB99" s="688" t="s">
        <v>9029</v>
      </c>
      <c r="AC99" s="197"/>
      <c r="AD99" s="250"/>
      <c r="AE99" s="197"/>
      <c r="AF99" s="2576"/>
      <c r="AG99" s="2562"/>
      <c r="AH99" s="2576"/>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578"/>
      <c r="BE99" s="2562"/>
      <c r="BF99" s="413" t="s">
        <v>7789</v>
      </c>
      <c r="BG99" s="958" t="s">
        <v>1692</v>
      </c>
      <c r="BH99" s="246" t="s">
        <v>5972</v>
      </c>
      <c r="BI99" s="246" t="s">
        <v>5973</v>
      </c>
      <c r="BJ99" s="246" t="s">
        <v>5974</v>
      </c>
      <c r="BK99" s="246" t="s">
        <v>5975</v>
      </c>
      <c r="BL99" s="246" t="s">
        <v>5976</v>
      </c>
      <c r="BM99" s="246" t="s">
        <v>5977</v>
      </c>
      <c r="BN99" s="246" t="s">
        <v>5978</v>
      </c>
      <c r="BO99" s="246" t="s">
        <v>5979</v>
      </c>
      <c r="BP99" s="246" t="s">
        <v>9030</v>
      </c>
      <c r="BQ99" s="566"/>
      <c r="BR99" s="566"/>
      <c r="BS99" s="566"/>
      <c r="BT99" s="566"/>
      <c r="BU99" s="566"/>
      <c r="BV99" s="566"/>
      <c r="BW99" s="566"/>
      <c r="BX99" s="566"/>
      <c r="BY99" s="566"/>
      <c r="BZ99" s="566"/>
      <c r="CA99" s="566"/>
      <c r="CB99" s="567"/>
    </row>
    <row r="100" spans="1:80" ht="15.75" customHeight="1">
      <c r="A100" s="197"/>
      <c r="B100" s="422" t="s">
        <v>7789</v>
      </c>
      <c r="C100" s="318" t="s">
        <v>1693</v>
      </c>
      <c r="D100" s="253" t="s">
        <v>137</v>
      </c>
      <c r="E100" s="253">
        <v>3</v>
      </c>
      <c r="F100" s="255">
        <f t="shared" si="423"/>
        <v>0</v>
      </c>
      <c r="G100" s="255">
        <f t="shared" si="423"/>
        <v>0</v>
      </c>
      <c r="H100" s="255">
        <f t="shared" si="423"/>
        <v>0</v>
      </c>
      <c r="I100" s="255">
        <f t="shared" si="423"/>
        <v>0.35399999999999998</v>
      </c>
      <c r="J100" s="255">
        <f t="shared" si="423"/>
        <v>0</v>
      </c>
      <c r="K100" s="255">
        <f t="shared" si="423"/>
        <v>0</v>
      </c>
      <c r="L100" s="255">
        <f t="shared" si="423"/>
        <v>0</v>
      </c>
      <c r="M100" s="255">
        <f t="shared" si="423"/>
        <v>0</v>
      </c>
      <c r="N100" s="255">
        <f t="shared" si="424"/>
        <v>0.35399999999999998</v>
      </c>
      <c r="O100" s="361"/>
      <c r="P100" s="361"/>
      <c r="Q100" s="361"/>
      <c r="R100" s="361"/>
      <c r="S100" s="361"/>
      <c r="T100" s="361"/>
      <c r="U100" s="361"/>
      <c r="V100" s="361"/>
      <c r="W100" s="361"/>
      <c r="X100" s="361"/>
      <c r="Y100" s="361"/>
      <c r="Z100" s="569"/>
      <c r="AA100" s="197"/>
      <c r="AB100" s="692" t="s">
        <v>9031</v>
      </c>
      <c r="AC100" s="197"/>
      <c r="AD100" s="258"/>
      <c r="AE100" s="197"/>
      <c r="AF100" s="2576"/>
      <c r="AG100" s="2562"/>
      <c r="AH100" s="2576"/>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578"/>
      <c r="BE100" s="2562"/>
      <c r="BF100" s="422" t="s">
        <v>7789</v>
      </c>
      <c r="BG100" s="318" t="s">
        <v>1693</v>
      </c>
      <c r="BH100" s="255" t="s">
        <v>5901</v>
      </c>
      <c r="BI100" s="255" t="s">
        <v>5902</v>
      </c>
      <c r="BJ100" s="255" t="s">
        <v>5903</v>
      </c>
      <c r="BK100" s="255" t="s">
        <v>5904</v>
      </c>
      <c r="BL100" s="255" t="s">
        <v>5905</v>
      </c>
      <c r="BM100" s="255" t="s">
        <v>5906</v>
      </c>
      <c r="BN100" s="255" t="s">
        <v>5907</v>
      </c>
      <c r="BO100" s="255" t="s">
        <v>5908</v>
      </c>
      <c r="BP100" s="255" t="s">
        <v>9032</v>
      </c>
      <c r="BQ100" s="361"/>
      <c r="BR100" s="361"/>
      <c r="BS100" s="361"/>
      <c r="BT100" s="361"/>
      <c r="BU100" s="361"/>
      <c r="BV100" s="361"/>
      <c r="BW100" s="361"/>
      <c r="BX100" s="361"/>
      <c r="BY100" s="361"/>
      <c r="BZ100" s="361"/>
      <c r="CA100" s="361"/>
      <c r="CB100" s="569"/>
    </row>
    <row r="101" spans="1:80" ht="15.75" customHeight="1" thickBot="1">
      <c r="A101" s="197"/>
      <c r="B101" s="425" t="s">
        <v>7789</v>
      </c>
      <c r="C101" s="976" t="s">
        <v>1694</v>
      </c>
      <c r="D101" s="319" t="s">
        <v>137</v>
      </c>
      <c r="E101" s="319">
        <v>3</v>
      </c>
      <c r="F101" s="265">
        <f>IFERROR(F99 + F100, 0)</f>
        <v>5.1109999999999998</v>
      </c>
      <c r="G101" s="265">
        <f t="shared" ref="G101:L101" si="425">IFERROR(G99 + G100, 0)</f>
        <v>4.9039999999999999</v>
      </c>
      <c r="H101" s="265">
        <f t="shared" si="425"/>
        <v>0.49299999999999999</v>
      </c>
      <c r="I101" s="265">
        <f t="shared" si="425"/>
        <v>95.902000000000001</v>
      </c>
      <c r="J101" s="265">
        <f>IFERROR(J99 + J100, 0)</f>
        <v>5.0000000000000001E-3</v>
      </c>
      <c r="K101" s="265">
        <f t="shared" si="425"/>
        <v>4.0000000000000001E-3</v>
      </c>
      <c r="L101" s="265">
        <f t="shared" si="425"/>
        <v>1.66</v>
      </c>
      <c r="M101" s="265">
        <f>IFERROR(M99 + M100, 0)</f>
        <v>1E-3</v>
      </c>
      <c r="N101" s="265">
        <f t="shared" si="424"/>
        <v>108.08</v>
      </c>
      <c r="O101" s="370"/>
      <c r="P101" s="370"/>
      <c r="Q101" s="370"/>
      <c r="R101" s="370"/>
      <c r="S101" s="370"/>
      <c r="T101" s="370"/>
      <c r="U101" s="370"/>
      <c r="V101" s="370"/>
      <c r="W101" s="370"/>
      <c r="X101" s="265">
        <f>IFERROR(SUM(X56, X96), 0)</f>
        <v>140.124</v>
      </c>
      <c r="Y101" s="265">
        <f t="shared" ref="Y101:Z101" si="426">IFERROR(SUM(Y56, Y96), 0)</f>
        <v>703.79799999999989</v>
      </c>
      <c r="Z101" s="266">
        <f t="shared" si="426"/>
        <v>921.1099999999999</v>
      </c>
      <c r="AA101" s="197"/>
      <c r="AB101" s="710" t="s">
        <v>9033</v>
      </c>
      <c r="AC101" s="197"/>
      <c r="AD101" s="269"/>
      <c r="AE101" s="197"/>
      <c r="AF101" s="2576"/>
      <c r="AG101" s="2562"/>
      <c r="AH101" s="2576"/>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578"/>
      <c r="BE101" s="2562"/>
      <c r="BF101" s="425" t="s">
        <v>7789</v>
      </c>
      <c r="BG101" s="976" t="s">
        <v>1694</v>
      </c>
      <c r="BH101" s="265" t="s">
        <v>9034</v>
      </c>
      <c r="BI101" s="265" t="s">
        <v>9035</v>
      </c>
      <c r="BJ101" s="265" t="s">
        <v>9036</v>
      </c>
      <c r="BK101" s="265" t="s">
        <v>9037</v>
      </c>
      <c r="BL101" s="265" t="s">
        <v>9038</v>
      </c>
      <c r="BM101" s="265" t="s">
        <v>9039</v>
      </c>
      <c r="BN101" s="265" t="s">
        <v>9040</v>
      </c>
      <c r="BO101" s="265" t="s">
        <v>9041</v>
      </c>
      <c r="BP101" s="265" t="s">
        <v>9042</v>
      </c>
      <c r="BQ101" s="370"/>
      <c r="BR101" s="370"/>
      <c r="BS101" s="370"/>
      <c r="BT101" s="370"/>
      <c r="BU101" s="370"/>
      <c r="BV101" s="370"/>
      <c r="BW101" s="370"/>
      <c r="BX101" s="370"/>
      <c r="BY101" s="370"/>
      <c r="BZ101" s="265" t="s">
        <v>9043</v>
      </c>
      <c r="CA101" s="265" t="s">
        <v>9044</v>
      </c>
      <c r="CB101" s="266" t="s">
        <v>9045</v>
      </c>
    </row>
    <row r="102" spans="1:80" ht="16" thickTop="1">
      <c r="A102" s="197"/>
      <c r="B102" s="195"/>
      <c r="C102" s="197"/>
      <c r="D102" s="197"/>
      <c r="E102" s="197"/>
      <c r="F102" s="1013"/>
      <c r="G102" s="1013"/>
      <c r="H102" s="1013"/>
      <c r="I102" s="1013"/>
      <c r="J102" s="1013"/>
      <c r="K102" s="1013"/>
      <c r="L102" s="1013"/>
      <c r="M102" s="1013"/>
      <c r="N102" s="1013"/>
      <c r="O102" s="1013"/>
      <c r="P102" s="1013"/>
      <c r="Q102" s="1013"/>
      <c r="R102" s="1013"/>
      <c r="S102" s="1013"/>
      <c r="T102" s="1013"/>
      <c r="U102" s="1013"/>
      <c r="V102" s="1013"/>
      <c r="W102" s="1013"/>
      <c r="X102" s="1013"/>
      <c r="Y102" s="1013"/>
      <c r="Z102" s="1013"/>
      <c r="AA102" s="197"/>
      <c r="AB102" s="106"/>
      <c r="AC102" s="197"/>
      <c r="AD102" s="197"/>
      <c r="AE102" s="197"/>
      <c r="AF102" s="2562"/>
      <c r="AG102" s="2562"/>
      <c r="AH102" s="2562"/>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562"/>
      <c r="BE102" s="2562"/>
      <c r="BF102" s="2562"/>
      <c r="BG102" s="2562"/>
      <c r="BH102" s="197"/>
      <c r="BI102" s="197"/>
      <c r="BJ102" s="197"/>
      <c r="BK102" s="197"/>
      <c r="BL102" s="197"/>
      <c r="BM102" s="197"/>
      <c r="BN102" s="197"/>
      <c r="BO102" s="197"/>
      <c r="BP102" s="197"/>
      <c r="BQ102" s="197"/>
      <c r="BR102" s="197"/>
      <c r="BS102" s="197"/>
      <c r="BT102" s="197"/>
      <c r="BU102" s="197"/>
      <c r="BV102" s="197"/>
      <c r="BW102" s="197"/>
      <c r="BX102" s="197"/>
      <c r="BY102" s="197"/>
      <c r="BZ102" s="1014"/>
      <c r="CA102" s="1014"/>
      <c r="CB102" s="1014"/>
    </row>
    <row r="103" spans="1:80" ht="24" customHeight="1">
      <c r="A103" s="197"/>
      <c r="B103" s="195"/>
      <c r="C103" s="197"/>
      <c r="D103" s="197"/>
      <c r="E103" s="197"/>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197"/>
      <c r="AB103" s="197"/>
      <c r="AC103" s="197"/>
      <c r="AD103" s="197"/>
      <c r="AE103" s="197"/>
      <c r="AF103" s="2562"/>
      <c r="AG103" s="2562"/>
      <c r="AH103" s="2562"/>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562"/>
      <c r="BE103" s="2562"/>
      <c r="BF103" s="2562"/>
      <c r="BG103" s="2562"/>
      <c r="BH103" s="2562"/>
      <c r="BI103" s="2562"/>
      <c r="BJ103" s="2562"/>
      <c r="BK103" s="2562"/>
      <c r="BL103" s="2562"/>
      <c r="BM103" s="2562"/>
      <c r="BN103" s="2562"/>
      <c r="BO103" s="2562"/>
      <c r="BP103" s="2562"/>
      <c r="BQ103" s="2562"/>
      <c r="BR103" s="2562"/>
      <c r="BS103" s="2562"/>
      <c r="BT103" s="2562"/>
      <c r="BU103" s="2562"/>
      <c r="BV103" s="2562"/>
      <c r="BW103" s="2562"/>
      <c r="BX103" s="2562"/>
      <c r="BY103" s="2562"/>
      <c r="BZ103" s="2594"/>
      <c r="CA103" s="2594"/>
      <c r="CB103" s="2594"/>
    </row>
    <row r="104" spans="1:80" ht="24" customHeight="1">
      <c r="A104" s="197"/>
      <c r="B104" s="195"/>
      <c r="C104" s="197"/>
      <c r="D104" s="197"/>
      <c r="E104" s="197"/>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197"/>
      <c r="AB104" s="197"/>
      <c r="AC104" s="197"/>
      <c r="AD104" s="197"/>
      <c r="AE104" s="197"/>
      <c r="AF104" s="2562"/>
      <c r="AG104" s="2562"/>
      <c r="AH104" s="2562"/>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562"/>
      <c r="BE104" s="2562"/>
      <c r="BF104" s="2562"/>
      <c r="BG104" s="2562"/>
      <c r="BH104" s="2562"/>
      <c r="BI104" s="2562"/>
      <c r="BJ104" s="2562"/>
      <c r="BK104" s="2562"/>
      <c r="BL104" s="2562"/>
      <c r="BM104" s="2562"/>
      <c r="BN104" s="2562"/>
      <c r="BO104" s="2562"/>
      <c r="BP104" s="2562"/>
      <c r="BQ104" s="2562"/>
      <c r="BR104" s="2562"/>
      <c r="BS104" s="2562"/>
      <c r="BT104" s="2562"/>
      <c r="BU104" s="2562"/>
      <c r="BV104" s="2562"/>
      <c r="BW104" s="2562"/>
      <c r="BX104" s="2562"/>
      <c r="BY104" s="2562"/>
      <c r="BZ104" s="2594"/>
      <c r="CA104" s="2594"/>
      <c r="CB104" s="2594"/>
    </row>
    <row r="105" spans="1:80" ht="24" customHeight="1">
      <c r="A105" s="197"/>
      <c r="B105" s="195"/>
      <c r="C105" s="197"/>
      <c r="D105" s="197"/>
      <c r="E105" s="197"/>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197"/>
      <c r="AB105" s="197"/>
      <c r="AC105" s="197"/>
      <c r="AD105" s="197"/>
      <c r="AE105" s="197"/>
      <c r="AF105" s="2562"/>
      <c r="AG105" s="2562"/>
      <c r="AH105" s="2562"/>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562"/>
      <c r="BE105" s="2562"/>
      <c r="BF105" s="2562"/>
      <c r="BG105" s="2562"/>
      <c r="BH105" s="2562"/>
      <c r="BI105" s="2562"/>
      <c r="BJ105" s="2562"/>
      <c r="BK105" s="2562"/>
      <c r="BL105" s="2562"/>
      <c r="BM105" s="2562"/>
      <c r="BN105" s="2562"/>
      <c r="BO105" s="2562"/>
      <c r="BP105" s="2562"/>
      <c r="BQ105" s="2562"/>
      <c r="BR105" s="2562"/>
      <c r="BS105" s="2562"/>
      <c r="BT105" s="2562"/>
      <c r="BU105" s="2562"/>
      <c r="BV105" s="2562"/>
      <c r="BW105" s="2562"/>
      <c r="BX105" s="2562"/>
      <c r="BY105" s="2562"/>
      <c r="BZ105" s="2594"/>
      <c r="CA105" s="2594"/>
      <c r="CB105" s="2594"/>
    </row>
    <row r="106" spans="1:80" ht="24" customHeight="1">
      <c r="A106" s="197"/>
      <c r="B106" s="195"/>
      <c r="C106" s="197"/>
      <c r="D106" s="197"/>
      <c r="E106" s="197"/>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197"/>
      <c r="AB106" s="197"/>
      <c r="AC106" s="197"/>
      <c r="AD106" s="197"/>
      <c r="AE106" s="197"/>
      <c r="AF106" s="2562"/>
      <c r="AG106" s="2562"/>
      <c r="AH106" s="2562"/>
      <c r="AI106" s="2562"/>
      <c r="AJ106" s="2562"/>
      <c r="AK106" s="2562"/>
      <c r="AL106" s="2562"/>
      <c r="AM106" s="2562"/>
      <c r="AN106" s="2562"/>
      <c r="AO106" s="2562"/>
      <c r="AP106" s="2562"/>
      <c r="AQ106" s="2562"/>
      <c r="AR106" s="2562"/>
      <c r="AS106" s="2562"/>
      <c r="AT106" s="2562"/>
      <c r="AU106" s="2562"/>
      <c r="AV106" s="2562"/>
      <c r="AW106" s="2562"/>
      <c r="AX106" s="2562"/>
      <c r="AY106" s="2562"/>
      <c r="AZ106" s="2562"/>
      <c r="BA106" s="2562"/>
      <c r="BB106" s="2562"/>
      <c r="BC106" s="2562"/>
      <c r="BD106" s="2562"/>
      <c r="BE106" s="2562"/>
      <c r="BF106" s="2562"/>
      <c r="BG106" s="2562"/>
      <c r="BH106" s="2562"/>
      <c r="BI106" s="2562"/>
      <c r="BJ106" s="2562"/>
      <c r="BK106" s="2562"/>
      <c r="BL106" s="2562"/>
      <c r="BM106" s="2562"/>
      <c r="BN106" s="2562"/>
      <c r="BO106" s="2562"/>
      <c r="BP106" s="2562"/>
      <c r="BQ106" s="2562"/>
      <c r="BR106" s="2562"/>
      <c r="BS106" s="2562"/>
      <c r="BT106" s="2562"/>
      <c r="BU106" s="2562"/>
      <c r="BV106" s="2562"/>
      <c r="BW106" s="2562"/>
      <c r="BX106" s="2562"/>
      <c r="BY106" s="2562"/>
      <c r="BZ106" s="2594"/>
      <c r="CA106" s="2594"/>
      <c r="CB106" s="2594"/>
    </row>
    <row r="107" spans="1:80" ht="24" customHeight="1">
      <c r="A107" s="197"/>
      <c r="B107" s="195"/>
      <c r="C107" s="197"/>
      <c r="D107" s="197"/>
      <c r="E107" s="197"/>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197"/>
      <c r="AB107" s="197"/>
      <c r="AC107" s="197"/>
      <c r="AD107" s="197"/>
      <c r="AE107" s="197"/>
      <c r="AF107" s="2562"/>
      <c r="AG107" s="2562"/>
      <c r="AH107" s="2562"/>
      <c r="AI107" s="2562"/>
      <c r="AJ107" s="2562"/>
      <c r="AK107" s="2562"/>
      <c r="AL107" s="2562"/>
      <c r="AM107" s="2562"/>
      <c r="AN107" s="2562"/>
      <c r="AO107" s="2562"/>
      <c r="AP107" s="2562"/>
      <c r="AQ107" s="2562"/>
      <c r="AR107" s="2562"/>
      <c r="AS107" s="2562"/>
      <c r="AT107" s="2562"/>
      <c r="AU107" s="2562"/>
      <c r="AV107" s="2562"/>
      <c r="AW107" s="2562"/>
      <c r="AX107" s="2562"/>
      <c r="AY107" s="2562"/>
      <c r="AZ107" s="2562"/>
      <c r="BA107" s="2562"/>
      <c r="BB107" s="2562"/>
      <c r="BC107" s="2562"/>
      <c r="BD107" s="2562"/>
      <c r="BE107" s="2562"/>
      <c r="BF107" s="2562"/>
      <c r="BG107" s="2562"/>
      <c r="BH107" s="2562"/>
      <c r="BI107" s="2562"/>
      <c r="BJ107" s="2562"/>
      <c r="BK107" s="2562"/>
      <c r="BL107" s="2562"/>
      <c r="BM107" s="2562"/>
      <c r="BN107" s="2562"/>
      <c r="BO107" s="2562"/>
      <c r="BP107" s="2562"/>
      <c r="BQ107" s="2562"/>
      <c r="BR107" s="2562"/>
      <c r="BS107" s="2562"/>
      <c r="BT107" s="2562"/>
      <c r="BU107" s="2562"/>
      <c r="BV107" s="2562"/>
      <c r="BW107" s="2562"/>
      <c r="BX107" s="2562"/>
      <c r="BY107" s="2562"/>
      <c r="BZ107" s="2594"/>
      <c r="CA107" s="2594"/>
      <c r="CB107" s="2594"/>
    </row>
    <row r="108" spans="1:80" ht="24" customHeight="1">
      <c r="A108" s="197"/>
      <c r="B108" s="195"/>
      <c r="C108" s="197"/>
      <c r="D108" s="197"/>
      <c r="E108" s="197"/>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197"/>
      <c r="AB108" s="197"/>
      <c r="AC108" s="197"/>
      <c r="AD108" s="197"/>
      <c r="AE108" s="197"/>
      <c r="AF108" s="2562"/>
      <c r="AG108" s="2562"/>
      <c r="AH108" s="2562"/>
      <c r="AI108" s="2562"/>
      <c r="AJ108" s="2562"/>
      <c r="AK108" s="2562"/>
      <c r="AL108" s="2562"/>
      <c r="AM108" s="2562"/>
      <c r="AN108" s="2562"/>
      <c r="AO108" s="2562"/>
      <c r="AP108" s="2562"/>
      <c r="AQ108" s="2562"/>
      <c r="AR108" s="2562"/>
      <c r="AS108" s="2562"/>
      <c r="AT108" s="2562"/>
      <c r="AU108" s="2562"/>
      <c r="AV108" s="2562"/>
      <c r="AW108" s="2562"/>
      <c r="AX108" s="2562"/>
      <c r="AY108" s="2562"/>
      <c r="AZ108" s="2562"/>
      <c r="BA108" s="2562"/>
      <c r="BB108" s="2562"/>
      <c r="BC108" s="2562"/>
      <c r="BD108" s="2562"/>
      <c r="BE108" s="2562"/>
      <c r="BF108" s="2562"/>
      <c r="BG108" s="2562"/>
      <c r="BH108" s="2562"/>
      <c r="BI108" s="2562"/>
      <c r="BJ108" s="2562"/>
      <c r="BK108" s="2562"/>
      <c r="BL108" s="2562"/>
      <c r="BM108" s="2562"/>
      <c r="BN108" s="2562"/>
      <c r="BO108" s="2562"/>
      <c r="BP108" s="2562"/>
      <c r="BQ108" s="2562"/>
      <c r="BR108" s="2562"/>
      <c r="BS108" s="2562"/>
      <c r="BT108" s="2562"/>
      <c r="BU108" s="2562"/>
      <c r="BV108" s="2562"/>
      <c r="BW108" s="2562"/>
      <c r="BX108" s="2562"/>
      <c r="BY108" s="2562"/>
      <c r="BZ108" s="2594"/>
      <c r="CA108" s="2594"/>
      <c r="CB108" s="2594"/>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phoneticPr fontId="38" type="noConversion"/>
  <conditionalFormatting sqref="AG10:AG101">
    <cfRule type="cellIs" dxfId="118" priority="1" operator="equal">
      <formula>0</formula>
    </cfRule>
  </conditionalFormatting>
  <dataValidations count="1">
    <dataValidation type="custom" allowBlank="1" showErrorMessage="1" errorTitle="Input Error" error="Please enter a numeric value." sqref="F83:M84 F28:M29 F10:M11 F80:M81 F13:M14 O25:V26 O22:V23 F16:M17 O59:V60 F22:M23 F25:M26 O19:V20 F31:M32 F38:M39 F35:M36 O47:V48 O44:V45 F44:M45 O83:V84 F47:M48 F41:M42 F50:M51 O35:V36 O50:V51 F59:M60 F53:M54 O62:V63 F62:M63 F68:M69 F71:M72 F65:M66 O65:V66 F77:M78 O80:V81 O77:V78 F74:M75 O28:V29 F19:M20 O31:V32 F86:M95"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F27" sqref="F27"/>
    </sheetView>
  </sheetViews>
  <sheetFormatPr defaultColWidth="9" defaultRowHeight="14"/>
  <cols>
    <col min="1" max="1" width="1.58203125" style="220" customWidth="1"/>
    <col min="2" max="2" width="34" style="220" bestFit="1" customWidth="1"/>
    <col min="3" max="3" width="5.5" style="220" bestFit="1" customWidth="1"/>
    <col min="4" max="4" width="4.58203125" style="220" bestFit="1" customWidth="1"/>
    <col min="5" max="7" width="12.5" style="220" customWidth="1"/>
    <col min="8" max="8" width="1.58203125" style="220" customWidth="1"/>
    <col min="9" max="9" width="12.5" style="220" customWidth="1"/>
    <col min="10" max="10" width="1.58203125" style="220" customWidth="1"/>
    <col min="11" max="11" width="33.58203125" style="220" customWidth="1"/>
    <col min="12" max="13" width="1.58203125" style="220" customWidth="1"/>
    <col min="14" max="14" width="25" style="220" customWidth="1"/>
    <col min="15" max="15" width="1.58203125" style="220" customWidth="1"/>
    <col min="16" max="20" width="6.58203125" style="220" hidden="1" customWidth="1"/>
    <col min="21" max="21" width="1.58203125" style="220" hidden="1" customWidth="1"/>
    <col min="22" max="22" width="1.58203125" style="220" customWidth="1"/>
    <col min="23" max="23" width="34.58203125" style="220" bestFit="1" customWidth="1"/>
    <col min="24" max="24" width="16.58203125" style="220" customWidth="1"/>
    <col min="25" max="25" width="17.08203125" style="220" customWidth="1"/>
    <col min="26" max="26" width="18.58203125" style="220" bestFit="1" customWidth="1"/>
    <col min="27" max="27" width="1.58203125" style="220" customWidth="1"/>
    <col min="28" max="16384" width="9" style="220"/>
  </cols>
  <sheetData>
    <row r="1" spans="1:27" s="351" customFormat="1" ht="29.25" customHeight="1">
      <c r="B1" s="2849" t="s">
        <v>9046</v>
      </c>
      <c r="C1" s="2850"/>
      <c r="D1" s="2850"/>
      <c r="E1" s="2560"/>
      <c r="F1" s="2560"/>
      <c r="G1" s="2560"/>
      <c r="H1" s="2837"/>
      <c r="I1" s="2837"/>
      <c r="M1" s="722"/>
      <c r="O1" s="722"/>
      <c r="U1" s="722"/>
      <c r="W1" s="1015" t="s">
        <v>1887</v>
      </c>
      <c r="X1" s="2560"/>
      <c r="Y1" s="2560"/>
      <c r="Z1" s="2560"/>
      <c r="AA1" s="2560"/>
    </row>
    <row r="2" spans="1:27" s="351" customFormat="1" ht="29.25" customHeight="1">
      <c r="B2" s="2849" t="str">
        <f>SelectCompany!B4</f>
        <v>Yorkshire Water</v>
      </c>
      <c r="C2" s="2850"/>
      <c r="D2" s="2850"/>
      <c r="E2" s="2560"/>
      <c r="F2" s="2560"/>
      <c r="G2" s="2560"/>
      <c r="H2" s="2560"/>
      <c r="I2" s="2560"/>
      <c r="M2" s="722"/>
      <c r="O2" s="722"/>
      <c r="U2" s="722"/>
      <c r="W2" s="1015"/>
      <c r="X2" s="2560"/>
      <c r="Y2" s="2560"/>
      <c r="Z2" s="2560"/>
      <c r="AA2" s="2560"/>
    </row>
    <row r="3" spans="1:27" ht="45" customHeight="1">
      <c r="A3" s="2562"/>
      <c r="B3" s="2838" t="s">
        <v>9047</v>
      </c>
      <c r="C3" s="2838"/>
      <c r="D3" s="2838"/>
      <c r="E3" s="2838"/>
      <c r="F3" s="2838"/>
      <c r="G3" s="2838"/>
      <c r="H3" s="2838"/>
      <c r="I3" s="2838"/>
      <c r="J3" s="2838"/>
      <c r="K3" s="2838"/>
      <c r="L3" s="2562"/>
      <c r="M3" s="2578"/>
      <c r="N3" s="2073" t="s">
        <v>1889</v>
      </c>
      <c r="O3" s="2578"/>
      <c r="P3" s="2562"/>
      <c r="Q3" s="2562"/>
      <c r="R3" s="2562"/>
      <c r="S3" s="2562"/>
      <c r="T3" s="2562"/>
      <c r="U3" s="2578"/>
      <c r="V3" s="2562"/>
      <c r="W3" s="2838" t="s">
        <v>9047</v>
      </c>
      <c r="X3" s="2838"/>
      <c r="Y3" s="2838"/>
      <c r="Z3" s="2838"/>
      <c r="AA3" s="2560"/>
    </row>
    <row r="4" spans="1:27" ht="12.75" customHeight="1" thickBot="1">
      <c r="A4" s="2562"/>
      <c r="B4" s="2595"/>
      <c r="C4" s="2560"/>
      <c r="D4" s="2560"/>
      <c r="E4" s="2560"/>
      <c r="F4" s="2560"/>
      <c r="G4" s="2560"/>
      <c r="H4" s="2560"/>
      <c r="I4" s="2560"/>
      <c r="J4" s="2562"/>
      <c r="K4" s="2562"/>
      <c r="L4" s="2562"/>
      <c r="M4" s="2578"/>
      <c r="N4" s="2562"/>
      <c r="O4" s="2578"/>
      <c r="P4" s="2562"/>
      <c r="Q4" s="2562"/>
      <c r="R4" s="2562"/>
      <c r="S4" s="2562"/>
      <c r="T4" s="2562"/>
      <c r="U4" s="2578"/>
      <c r="V4" s="2562"/>
      <c r="W4" s="2596"/>
      <c r="X4" s="2597"/>
      <c r="Y4" s="2597"/>
      <c r="Z4" s="2597"/>
      <c r="AA4" s="2560"/>
    </row>
    <row r="5" spans="1:27" s="197" customFormat="1" ht="15.75" customHeight="1" thickTop="1">
      <c r="B5" s="2785" t="s">
        <v>1891</v>
      </c>
      <c r="C5" s="2832" t="s">
        <v>1892</v>
      </c>
      <c r="D5" s="2832" t="s">
        <v>136</v>
      </c>
      <c r="E5" s="2832" t="s">
        <v>3654</v>
      </c>
      <c r="F5" s="2832"/>
      <c r="G5" s="2847"/>
      <c r="H5" s="222"/>
      <c r="I5" s="2839" t="s">
        <v>1896</v>
      </c>
      <c r="K5" s="2763" t="s">
        <v>1897</v>
      </c>
      <c r="M5" s="725"/>
      <c r="O5" s="725"/>
      <c r="U5" s="725"/>
      <c r="W5" s="2785" t="s">
        <v>1891</v>
      </c>
      <c r="X5" s="2832" t="s">
        <v>3654</v>
      </c>
      <c r="Y5" s="2832"/>
      <c r="Z5" s="2847"/>
      <c r="AA5" s="2560"/>
    </row>
    <row r="6" spans="1:27" s="197" customFormat="1" ht="15.75" customHeight="1">
      <c r="B6" s="2846"/>
      <c r="C6" s="2834"/>
      <c r="D6" s="2834"/>
      <c r="E6" s="2834" t="s">
        <v>5706</v>
      </c>
      <c r="F6" s="2834"/>
      <c r="G6" s="2848"/>
      <c r="H6" s="222"/>
      <c r="I6" s="2840"/>
      <c r="K6" s="2764"/>
      <c r="M6" s="725"/>
      <c r="O6" s="725"/>
      <c r="U6" s="725"/>
      <c r="W6" s="2846"/>
      <c r="X6" s="2834" t="s">
        <v>5706</v>
      </c>
      <c r="Y6" s="2834"/>
      <c r="Z6" s="2848"/>
      <c r="AA6" s="2560"/>
    </row>
    <row r="7" spans="1:27" s="197" customFormat="1" ht="15.75" customHeight="1" thickBot="1">
      <c r="B7" s="2786"/>
      <c r="C7" s="2835"/>
      <c r="D7" s="2835"/>
      <c r="E7" s="759" t="s">
        <v>1692</v>
      </c>
      <c r="F7" s="759" t="s">
        <v>1693</v>
      </c>
      <c r="G7" s="1016" t="s">
        <v>1694</v>
      </c>
      <c r="H7" s="954"/>
      <c r="I7" s="2841"/>
      <c r="K7" s="2765"/>
      <c r="M7" s="725"/>
      <c r="N7" s="785"/>
      <c r="O7" s="725"/>
      <c r="P7" s="2662" t="s">
        <v>1890</v>
      </c>
      <c r="Q7" s="2662"/>
      <c r="R7" s="2662"/>
      <c r="S7" s="2662"/>
      <c r="T7" s="2662"/>
      <c r="U7" s="725"/>
      <c r="W7" s="2786"/>
      <c r="X7" s="759" t="s">
        <v>1692</v>
      </c>
      <c r="Y7" s="759" t="s">
        <v>1693</v>
      </c>
      <c r="Z7" s="1016" t="s">
        <v>1694</v>
      </c>
      <c r="AA7" s="2595"/>
    </row>
    <row r="8" spans="1:27" s="197" customFormat="1" ht="15.75" customHeight="1" thickTop="1" thickBot="1">
      <c r="B8" s="954"/>
      <c r="C8" s="954"/>
      <c r="D8" s="954"/>
      <c r="E8" s="954"/>
      <c r="F8" s="954"/>
      <c r="G8" s="954"/>
      <c r="H8" s="954"/>
      <c r="I8" s="954"/>
      <c r="M8" s="725"/>
      <c r="O8" s="725"/>
      <c r="P8" s="236" t="s">
        <v>1898</v>
      </c>
      <c r="U8" s="725"/>
      <c r="W8" s="954"/>
      <c r="X8" s="954"/>
      <c r="Y8" s="954"/>
      <c r="Z8" s="954"/>
      <c r="AA8" s="2595"/>
    </row>
    <row r="9" spans="1:27" s="197" customFormat="1" ht="15.75" customHeight="1" thickTop="1">
      <c r="B9" s="413" t="s">
        <v>9048</v>
      </c>
      <c r="C9" s="244" t="s">
        <v>137</v>
      </c>
      <c r="D9" s="244">
        <v>3</v>
      </c>
      <c r="E9" s="598">
        <v>7.9340000000000002</v>
      </c>
      <c r="F9" s="598">
        <v>0</v>
      </c>
      <c r="G9" s="1480">
        <f>IFERROR(SUM(E9:F9), 0)</f>
        <v>7.9340000000000002</v>
      </c>
      <c r="H9" s="222"/>
      <c r="I9" s="961" t="s">
        <v>9049</v>
      </c>
      <c r="K9" s="250"/>
      <c r="M9" s="725"/>
      <c r="N9" s="251">
        <f t="shared" ref="N9:N13" si="0">IF(SUM(P9:T9 ) = 0, 0, $P$8 )</f>
        <v>0</v>
      </c>
      <c r="O9" s="725"/>
      <c r="P9" s="252">
        <f xml:space="preserve"> IF( ISNUMBER(E9), 0, 1 )</f>
        <v>0</v>
      </c>
      <c r="Q9" s="252">
        <f t="shared" ref="Q9:Q13" si="1" xml:space="preserve"> IF( ISNUMBER(F9), 0, 1 )</f>
        <v>0</v>
      </c>
      <c r="U9" s="725"/>
      <c r="W9" s="413" t="s">
        <v>9048</v>
      </c>
      <c r="X9" s="801" t="s">
        <v>9050</v>
      </c>
      <c r="Y9" s="801" t="s">
        <v>9051</v>
      </c>
      <c r="Z9" s="378" t="s">
        <v>9052</v>
      </c>
      <c r="AA9" s="2560"/>
    </row>
    <row r="10" spans="1:27" s="197" customFormat="1" ht="15.75" customHeight="1">
      <c r="B10" s="422" t="s">
        <v>9053</v>
      </c>
      <c r="C10" s="253" t="s">
        <v>137</v>
      </c>
      <c r="D10" s="253">
        <v>3</v>
      </c>
      <c r="E10" s="601">
        <v>9.125</v>
      </c>
      <c r="F10" s="601">
        <v>0</v>
      </c>
      <c r="G10" s="1482">
        <f t="shared" ref="G10:G14" si="2">IFERROR(SUM(E10:F10), 0)</f>
        <v>9.125</v>
      </c>
      <c r="H10" s="222"/>
      <c r="I10" s="966" t="s">
        <v>9054</v>
      </c>
      <c r="K10" s="258"/>
      <c r="M10" s="725"/>
      <c r="N10" s="251">
        <f t="shared" si="0"/>
        <v>0</v>
      </c>
      <c r="O10" s="725"/>
      <c r="P10" s="252">
        <f t="shared" ref="P10:P13" si="3" xml:space="preserve"> IF( ISNUMBER(E10), 0, 1 )</f>
        <v>0</v>
      </c>
      <c r="Q10" s="252">
        <f t="shared" si="1"/>
        <v>0</v>
      </c>
      <c r="U10" s="725"/>
      <c r="W10" s="422" t="s">
        <v>9053</v>
      </c>
      <c r="X10" s="802" t="s">
        <v>9055</v>
      </c>
      <c r="Y10" s="802" t="s">
        <v>9056</v>
      </c>
      <c r="Z10" s="790" t="s">
        <v>9057</v>
      </c>
      <c r="AA10" s="2560"/>
    </row>
    <row r="11" spans="1:27" s="197" customFormat="1" ht="15.75" customHeight="1">
      <c r="B11" s="422" t="s">
        <v>9058</v>
      </c>
      <c r="C11" s="253" t="s">
        <v>137</v>
      </c>
      <c r="D11" s="253">
        <v>3</v>
      </c>
      <c r="E11" s="601">
        <v>7.8380000000000001</v>
      </c>
      <c r="F11" s="601">
        <v>0</v>
      </c>
      <c r="G11" s="1482">
        <f t="shared" si="2"/>
        <v>7.8380000000000001</v>
      </c>
      <c r="H11" s="222"/>
      <c r="I11" s="966" t="s">
        <v>9059</v>
      </c>
      <c r="K11" s="258"/>
      <c r="M11" s="725"/>
      <c r="N11" s="251">
        <f t="shared" si="0"/>
        <v>0</v>
      </c>
      <c r="O11" s="725"/>
      <c r="P11" s="252">
        <f t="shared" si="3"/>
        <v>0</v>
      </c>
      <c r="Q11" s="252">
        <f t="shared" si="1"/>
        <v>0</v>
      </c>
      <c r="U11" s="725"/>
      <c r="W11" s="422" t="s">
        <v>9058</v>
      </c>
      <c r="X11" s="802" t="s">
        <v>9060</v>
      </c>
      <c r="Y11" s="802" t="s">
        <v>9061</v>
      </c>
      <c r="Z11" s="790" t="s">
        <v>9062</v>
      </c>
      <c r="AA11" s="2560"/>
    </row>
    <row r="12" spans="1:27" s="197" customFormat="1" ht="15.75" customHeight="1">
      <c r="B12" s="422" t="s">
        <v>9063</v>
      </c>
      <c r="C12" s="253" t="s">
        <v>137</v>
      </c>
      <c r="D12" s="253">
        <v>3</v>
      </c>
      <c r="E12" s="601">
        <v>2.121</v>
      </c>
      <c r="F12" s="601">
        <v>0</v>
      </c>
      <c r="G12" s="1482">
        <f t="shared" si="2"/>
        <v>2.121</v>
      </c>
      <c r="H12" s="222"/>
      <c r="I12" s="966" t="s">
        <v>9064</v>
      </c>
      <c r="K12" s="258"/>
      <c r="M12" s="725"/>
      <c r="N12" s="251">
        <f t="shared" si="0"/>
        <v>0</v>
      </c>
      <c r="O12" s="725"/>
      <c r="P12" s="252">
        <f t="shared" si="3"/>
        <v>0</v>
      </c>
      <c r="Q12" s="252">
        <f t="shared" si="1"/>
        <v>0</v>
      </c>
      <c r="U12" s="725"/>
      <c r="W12" s="422" t="s">
        <v>9063</v>
      </c>
      <c r="X12" s="802" t="s">
        <v>9065</v>
      </c>
      <c r="Y12" s="802" t="s">
        <v>9066</v>
      </c>
      <c r="Z12" s="790" t="s">
        <v>9067</v>
      </c>
    </row>
    <row r="13" spans="1:27" s="197" customFormat="1" ht="15.75" customHeight="1">
      <c r="B13" s="422" t="s">
        <v>9068</v>
      </c>
      <c r="C13" s="253" t="s">
        <v>137</v>
      </c>
      <c r="D13" s="253">
        <v>3</v>
      </c>
      <c r="E13" s="601">
        <v>0</v>
      </c>
      <c r="F13" s="601">
        <v>0</v>
      </c>
      <c r="G13" s="1482">
        <f t="shared" si="2"/>
        <v>0</v>
      </c>
      <c r="H13" s="222"/>
      <c r="I13" s="966" t="s">
        <v>9069</v>
      </c>
      <c r="K13" s="258"/>
      <c r="M13" s="725"/>
      <c r="N13" s="251">
        <f t="shared" si="0"/>
        <v>0</v>
      </c>
      <c r="O13" s="725"/>
      <c r="P13" s="252">
        <f t="shared" si="3"/>
        <v>0</v>
      </c>
      <c r="Q13" s="252">
        <f t="shared" si="1"/>
        <v>0</v>
      </c>
      <c r="U13" s="725"/>
      <c r="W13" s="422" t="s">
        <v>9068</v>
      </c>
      <c r="X13" s="802" t="s">
        <v>9070</v>
      </c>
      <c r="Y13" s="802" t="s">
        <v>9071</v>
      </c>
      <c r="Z13" s="790" t="s">
        <v>9072</v>
      </c>
    </row>
    <row r="14" spans="1:27" ht="15.75" customHeight="1" thickBot="1">
      <c r="A14" s="197"/>
      <c r="B14" s="425" t="s">
        <v>9073</v>
      </c>
      <c r="C14" s="319" t="s">
        <v>137</v>
      </c>
      <c r="D14" s="319">
        <v>3</v>
      </c>
      <c r="E14" s="1473">
        <f>IFERROR(E9 + E10 + E11 + E12 + E13, 0)</f>
        <v>27.018000000000001</v>
      </c>
      <c r="F14" s="1473">
        <f>IFERROR(F9 + F10 + F11 + F12 + F13, 0)</f>
        <v>0</v>
      </c>
      <c r="G14" s="1483">
        <f t="shared" si="2"/>
        <v>27.018000000000001</v>
      </c>
      <c r="H14" s="222"/>
      <c r="I14" s="980" t="s">
        <v>9074</v>
      </c>
      <c r="J14" s="197"/>
      <c r="K14" s="269"/>
      <c r="L14" s="197"/>
      <c r="M14" s="725"/>
      <c r="N14" s="197"/>
      <c r="O14" s="725"/>
      <c r="P14" s="197"/>
      <c r="Q14" s="197"/>
      <c r="R14" s="197"/>
      <c r="S14" s="197"/>
      <c r="T14" s="197"/>
      <c r="U14" s="725"/>
      <c r="V14" s="197"/>
      <c r="W14" s="425" t="s">
        <v>9073</v>
      </c>
      <c r="X14" s="583" t="s">
        <v>9075</v>
      </c>
      <c r="Y14" s="583" t="s">
        <v>9076</v>
      </c>
      <c r="Z14" s="379" t="s">
        <v>9077</v>
      </c>
      <c r="AA14" s="2560"/>
    </row>
    <row r="15" spans="1:27" ht="16" thickTop="1">
      <c r="A15" s="197"/>
      <c r="B15" s="197"/>
      <c r="C15" s="197"/>
      <c r="D15" s="197"/>
      <c r="E15" s="197"/>
      <c r="F15" s="197"/>
      <c r="G15" s="197"/>
      <c r="H15" s="197"/>
      <c r="I15" s="197"/>
      <c r="J15" s="197"/>
      <c r="K15" s="197"/>
      <c r="L15" s="197"/>
      <c r="M15" s="2562"/>
      <c r="N15" s="197"/>
      <c r="O15" s="2562"/>
      <c r="P15" s="197"/>
      <c r="Q15" s="197"/>
      <c r="R15" s="197"/>
      <c r="S15" s="197"/>
      <c r="T15" s="197"/>
      <c r="U15" s="2562"/>
      <c r="V15" s="2562"/>
      <c r="W15" s="2562"/>
      <c r="X15" s="2562"/>
      <c r="Y15" s="2562"/>
      <c r="Z15" s="2562"/>
      <c r="AA15" s="2562"/>
    </row>
    <row r="16" spans="1:27" ht="15.5">
      <c r="A16" s="197"/>
      <c r="B16" s="197"/>
      <c r="C16" s="197"/>
      <c r="D16" s="197"/>
      <c r="E16" s="197"/>
      <c r="F16" s="197"/>
      <c r="G16" s="197"/>
      <c r="H16" s="197"/>
      <c r="I16" s="197"/>
      <c r="J16" s="197"/>
      <c r="K16" s="197"/>
      <c r="L16" s="197"/>
      <c r="M16" s="2562"/>
      <c r="N16" s="197"/>
      <c r="O16" s="2562"/>
      <c r="P16" s="197"/>
      <c r="Q16" s="197"/>
      <c r="R16" s="197"/>
      <c r="S16" s="197"/>
      <c r="T16" s="197"/>
      <c r="U16" s="2562"/>
      <c r="V16" s="2562"/>
      <c r="W16" s="2562"/>
      <c r="X16" s="2562"/>
      <c r="Y16" s="2562"/>
      <c r="Z16" s="2562"/>
      <c r="AA16" s="2562"/>
    </row>
    <row r="17" spans="1:20" ht="15.5">
      <c r="A17" s="197"/>
      <c r="B17" s="197"/>
      <c r="C17" s="197"/>
      <c r="D17" s="197"/>
      <c r="E17" s="197"/>
      <c r="F17" s="197"/>
      <c r="G17" s="197"/>
      <c r="H17" s="197"/>
      <c r="I17" s="197"/>
      <c r="J17" s="197"/>
      <c r="K17" s="197"/>
      <c r="L17" s="197"/>
      <c r="M17" s="2562"/>
      <c r="N17" s="197"/>
      <c r="O17" s="2562"/>
      <c r="P17" s="197"/>
      <c r="Q17" s="197"/>
      <c r="R17" s="197"/>
      <c r="S17" s="197"/>
      <c r="T17" s="197"/>
    </row>
    <row r="18" spans="1:20" ht="15.5">
      <c r="A18" s="197"/>
      <c r="B18" s="197"/>
      <c r="C18" s="197"/>
      <c r="D18" s="197"/>
      <c r="E18" s="197"/>
      <c r="F18" s="197"/>
      <c r="G18" s="197"/>
      <c r="H18" s="197"/>
      <c r="I18" s="197"/>
      <c r="J18" s="197"/>
      <c r="K18" s="197"/>
      <c r="L18" s="197"/>
      <c r="M18" s="2562"/>
      <c r="N18" s="2562"/>
      <c r="O18" s="2562"/>
      <c r="P18" s="197"/>
      <c r="Q18" s="197"/>
      <c r="R18" s="197"/>
      <c r="S18" s="197"/>
      <c r="T18" s="197"/>
    </row>
    <row r="19" spans="1:20" ht="15.5">
      <c r="A19" s="197"/>
      <c r="B19" s="197"/>
      <c r="C19" s="197"/>
      <c r="D19" s="197"/>
      <c r="E19" s="197"/>
      <c r="F19" s="197"/>
      <c r="G19" s="197"/>
      <c r="H19" s="197"/>
      <c r="I19" s="197"/>
      <c r="J19" s="197"/>
      <c r="K19" s="197"/>
      <c r="L19" s="197"/>
      <c r="M19" s="2562"/>
      <c r="N19" s="2562"/>
      <c r="O19" s="2562"/>
      <c r="P19" s="197"/>
      <c r="Q19" s="197"/>
      <c r="R19" s="197"/>
      <c r="S19" s="197"/>
      <c r="T19" s="197"/>
    </row>
    <row r="20" spans="1:20" ht="15.5">
      <c r="A20" s="197"/>
      <c r="B20" s="197"/>
      <c r="C20" s="197"/>
      <c r="D20" s="197"/>
      <c r="E20" s="197"/>
      <c r="F20" s="197"/>
      <c r="G20" s="197"/>
      <c r="H20" s="197"/>
      <c r="I20" s="197"/>
      <c r="J20" s="197"/>
      <c r="K20" s="197"/>
      <c r="L20" s="197"/>
      <c r="M20" s="2562"/>
      <c r="N20" s="2562"/>
      <c r="O20" s="2562"/>
      <c r="P20" s="197"/>
      <c r="Q20" s="197"/>
      <c r="R20" s="197"/>
      <c r="S20" s="197"/>
      <c r="T20" s="197"/>
    </row>
    <row r="21" spans="1:20" ht="15.5">
      <c r="A21" s="197"/>
      <c r="B21" s="197"/>
      <c r="C21" s="197"/>
      <c r="D21" s="197"/>
      <c r="E21" s="197"/>
      <c r="F21" s="197"/>
      <c r="G21" s="197"/>
      <c r="H21" s="197"/>
      <c r="I21" s="197"/>
      <c r="J21" s="197"/>
      <c r="K21" s="197"/>
      <c r="L21" s="197"/>
      <c r="M21" s="2562"/>
      <c r="N21" s="2562"/>
      <c r="O21" s="2562"/>
      <c r="P21" s="197"/>
      <c r="Q21" s="197"/>
      <c r="R21" s="197"/>
      <c r="S21" s="197"/>
      <c r="T21" s="197"/>
    </row>
    <row r="22" spans="1:20" ht="15.5">
      <c r="A22" s="197"/>
      <c r="B22" s="197"/>
      <c r="C22" s="197"/>
      <c r="D22" s="197"/>
      <c r="E22" s="197"/>
      <c r="F22" s="197"/>
      <c r="G22" s="197"/>
      <c r="H22" s="197"/>
      <c r="I22" s="197"/>
      <c r="J22" s="197"/>
      <c r="K22" s="197"/>
      <c r="L22" s="197"/>
      <c r="M22" s="2562"/>
      <c r="N22" s="2562"/>
      <c r="O22" s="2562"/>
      <c r="P22" s="197"/>
      <c r="Q22" s="197"/>
      <c r="R22" s="197"/>
      <c r="S22" s="197"/>
      <c r="T22" s="197"/>
    </row>
    <row r="23" spans="1:20" ht="15.5">
      <c r="A23" s="197"/>
      <c r="B23" s="197"/>
      <c r="C23" s="197"/>
      <c r="D23" s="197"/>
      <c r="E23" s="197"/>
      <c r="F23" s="197"/>
      <c r="G23" s="197"/>
      <c r="H23" s="197"/>
      <c r="I23" s="197"/>
      <c r="J23" s="197"/>
      <c r="K23" s="197"/>
      <c r="L23" s="197"/>
      <c r="M23" s="2562"/>
      <c r="N23" s="2562"/>
      <c r="O23" s="2562"/>
      <c r="P23" s="2562"/>
      <c r="Q23" s="2562"/>
      <c r="R23" s="2562"/>
      <c r="S23" s="2562"/>
      <c r="T23" s="2562"/>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17" priority="1" operator="equal">
      <formula>0</formula>
    </cfRule>
  </conditionalFormatting>
  <dataValidations count="1">
    <dataValidation type="custom" allowBlank="1" showErrorMessage="1" errorTitle="Input Error" error="Please input a numeric value." sqref="E9:F13" xr:uid="{99422845-574E-4CED-911B-8522B3729E02}">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85" zoomScaleNormal="85" zoomScaleSheetLayoutView="100" workbookViewId="0">
      <selection activeCell="F25" sqref="F25"/>
    </sheetView>
  </sheetViews>
  <sheetFormatPr defaultColWidth="9" defaultRowHeight="24" customHeight="1"/>
  <cols>
    <col min="1" max="1" width="1.58203125" style="220" customWidth="1"/>
    <col min="2" max="2" width="36.08203125" style="220" customWidth="1"/>
    <col min="3" max="4" width="6" style="220" customWidth="1"/>
    <col min="5" max="10" width="12.08203125" style="220" customWidth="1"/>
    <col min="11" max="11" width="1.58203125" style="220" customWidth="1"/>
    <col min="12" max="12" width="12.08203125" style="220" customWidth="1"/>
    <col min="13" max="13" width="1.58203125" style="220" customWidth="1"/>
    <col min="14" max="14" width="33.58203125" style="220" customWidth="1"/>
    <col min="15" max="16" width="1.58203125" style="220" customWidth="1"/>
    <col min="17" max="17" width="25.08203125" style="220" customWidth="1"/>
    <col min="18" max="18" width="1.58203125" style="220" customWidth="1"/>
    <col min="19" max="26" width="4.58203125" style="220" hidden="1" customWidth="1"/>
    <col min="27" max="27" width="1.58203125" style="220" hidden="1" customWidth="1"/>
    <col min="28" max="28" width="1.58203125" style="220" customWidth="1"/>
    <col min="29" max="29" width="36.08203125" style="220" customWidth="1"/>
    <col min="30" max="30" width="18.08203125" style="220" bestFit="1" customWidth="1"/>
    <col min="31" max="31" width="20.08203125" style="220" bestFit="1" customWidth="1"/>
    <col min="32" max="32" width="19.58203125" style="220" bestFit="1" customWidth="1"/>
    <col min="33" max="34" width="19.08203125" style="220" bestFit="1" customWidth="1"/>
    <col min="35" max="35" width="15" style="220" customWidth="1"/>
    <col min="36" max="36" width="1.08203125" style="220" customWidth="1"/>
    <col min="37" max="16384" width="9" style="220"/>
  </cols>
  <sheetData>
    <row r="1" spans="1:36" s="351" customFormat="1" ht="29.25" customHeight="1">
      <c r="B1" s="2673" t="s">
        <v>9078</v>
      </c>
      <c r="C1" s="2673"/>
      <c r="D1" s="2673"/>
      <c r="E1" s="2673"/>
      <c r="F1" s="2673"/>
      <c r="G1" s="2673"/>
      <c r="H1" s="2673"/>
      <c r="I1" s="2673"/>
      <c r="J1" s="2673"/>
      <c r="K1" s="523"/>
      <c r="L1" s="523"/>
      <c r="M1" s="2562"/>
      <c r="N1" s="2562"/>
      <c r="O1" s="2562"/>
      <c r="P1" s="1017"/>
      <c r="R1" s="722"/>
      <c r="AA1" s="722"/>
      <c r="AC1" s="2673" t="s">
        <v>1887</v>
      </c>
      <c r="AD1" s="2673"/>
      <c r="AE1" s="2673"/>
      <c r="AF1" s="2673"/>
      <c r="AG1" s="2673"/>
      <c r="AH1" s="2673"/>
      <c r="AI1" s="2673"/>
      <c r="AJ1" s="386"/>
    </row>
    <row r="2" spans="1:36" s="351" customFormat="1" ht="29.25" customHeight="1">
      <c r="B2" s="2673" t="str">
        <f>SelectCompany!B4</f>
        <v>Yorkshire Water</v>
      </c>
      <c r="C2" s="2673"/>
      <c r="D2" s="2673"/>
      <c r="E2" s="2673"/>
      <c r="F2" s="2673"/>
      <c r="G2" s="2673"/>
      <c r="H2" s="2673"/>
      <c r="I2" s="2673"/>
      <c r="J2" s="2673"/>
      <c r="K2" s="352"/>
      <c r="L2" s="352"/>
      <c r="M2" s="2562"/>
      <c r="N2" s="2562"/>
      <c r="O2" s="2562"/>
      <c r="P2" s="1017"/>
      <c r="R2" s="722"/>
      <c r="AA2" s="722"/>
      <c r="AC2" s="2673"/>
      <c r="AD2" s="2673"/>
      <c r="AE2" s="2673"/>
      <c r="AF2" s="2673"/>
      <c r="AG2" s="2673"/>
      <c r="AH2" s="2673"/>
      <c r="AI2" s="2673"/>
      <c r="AJ2" s="352"/>
    </row>
    <row r="3" spans="1:36" ht="45" customHeight="1">
      <c r="A3" s="2562"/>
      <c r="B3" s="2781" t="s">
        <v>9079</v>
      </c>
      <c r="C3" s="2781"/>
      <c r="D3" s="2781"/>
      <c r="E3" s="2781"/>
      <c r="F3" s="2781"/>
      <c r="G3" s="2781"/>
      <c r="H3" s="2781"/>
      <c r="I3" s="2781"/>
      <c r="J3" s="2781"/>
      <c r="K3" s="2781"/>
      <c r="L3" s="2781"/>
      <c r="M3" s="2781"/>
      <c r="N3" s="2781"/>
      <c r="O3" s="228"/>
      <c r="P3" s="2598"/>
      <c r="Q3" s="2073" t="s">
        <v>1889</v>
      </c>
      <c r="R3" s="2578"/>
      <c r="S3" s="2562"/>
      <c r="T3" s="2562"/>
      <c r="U3" s="2562"/>
      <c r="V3" s="2562"/>
      <c r="W3" s="2562"/>
      <c r="X3" s="2562"/>
      <c r="Y3" s="2562"/>
      <c r="Z3" s="2562"/>
      <c r="AA3" s="2578"/>
      <c r="AB3" s="2562"/>
      <c r="AC3" s="2781" t="s">
        <v>9079</v>
      </c>
      <c r="AD3" s="2781"/>
      <c r="AE3" s="2781"/>
      <c r="AF3" s="2781"/>
      <c r="AG3" s="2781"/>
      <c r="AH3" s="2781"/>
      <c r="AI3" s="2781"/>
      <c r="AJ3" s="352"/>
    </row>
    <row r="4" spans="1:36" ht="15" customHeight="1" thickBot="1">
      <c r="A4" s="2562"/>
      <c r="B4" s="2562"/>
      <c r="C4" s="951"/>
      <c r="D4" s="951"/>
      <c r="E4" s="951"/>
      <c r="F4" s="951"/>
      <c r="G4" s="951"/>
      <c r="H4" s="951"/>
      <c r="I4" s="951"/>
      <c r="J4" s="951"/>
      <c r="K4" s="724"/>
      <c r="L4" s="228"/>
      <c r="M4" s="228"/>
      <c r="N4" s="228"/>
      <c r="O4" s="228"/>
      <c r="P4" s="2598"/>
      <c r="Q4" s="2562"/>
      <c r="R4" s="2578"/>
      <c r="S4" s="2562"/>
      <c r="T4" s="2562"/>
      <c r="U4" s="2562"/>
      <c r="V4" s="2562"/>
      <c r="W4" s="2562"/>
      <c r="X4" s="2562"/>
      <c r="Y4" s="2562"/>
      <c r="Z4" s="2562"/>
      <c r="AA4" s="2578"/>
      <c r="AB4" s="2562"/>
      <c r="AC4" s="2562"/>
      <c r="AD4" s="951"/>
      <c r="AE4" s="951"/>
      <c r="AF4" s="951"/>
      <c r="AG4" s="951"/>
      <c r="AH4" s="951"/>
      <c r="AI4" s="951"/>
      <c r="AJ4" s="724"/>
    </row>
    <row r="5" spans="1:36" s="197" customFormat="1" ht="15.75" customHeight="1" thickTop="1">
      <c r="B5" s="2785" t="s">
        <v>1891</v>
      </c>
      <c r="C5" s="2667" t="s">
        <v>1892</v>
      </c>
      <c r="D5" s="2667" t="s">
        <v>136</v>
      </c>
      <c r="E5" s="2799" t="s">
        <v>6860</v>
      </c>
      <c r="F5" s="2799"/>
      <c r="G5" s="2799"/>
      <c r="H5" s="2799"/>
      <c r="I5" s="2799"/>
      <c r="J5" s="2851" t="s">
        <v>2112</v>
      </c>
      <c r="K5" s="635"/>
      <c r="L5" s="2763" t="s">
        <v>1896</v>
      </c>
      <c r="M5" s="228"/>
      <c r="N5" s="2763" t="s">
        <v>1897</v>
      </c>
      <c r="O5" s="228"/>
      <c r="P5" s="1018"/>
      <c r="R5" s="725"/>
      <c r="AA5" s="725"/>
      <c r="AC5" s="2785" t="s">
        <v>1891</v>
      </c>
      <c r="AD5" s="2799" t="s">
        <v>6860</v>
      </c>
      <c r="AE5" s="2799"/>
      <c r="AF5" s="2799"/>
      <c r="AG5" s="2799"/>
      <c r="AH5" s="2799"/>
      <c r="AI5" s="2851"/>
      <c r="AJ5" s="635"/>
    </row>
    <row r="6" spans="1:36" s="197" customFormat="1" ht="15.75" customHeight="1">
      <c r="B6" s="2846"/>
      <c r="C6" s="2770"/>
      <c r="D6" s="2770"/>
      <c r="E6" s="2809"/>
      <c r="F6" s="2809"/>
      <c r="G6" s="2809"/>
      <c r="H6" s="2809"/>
      <c r="I6" s="2809"/>
      <c r="J6" s="2804"/>
      <c r="K6" s="106"/>
      <c r="L6" s="2764"/>
      <c r="M6" s="544"/>
      <c r="N6" s="2764"/>
      <c r="O6" s="544"/>
      <c r="P6" s="1018"/>
      <c r="Q6" s="785"/>
      <c r="R6" s="725"/>
      <c r="AA6" s="725"/>
      <c r="AC6" s="2846"/>
      <c r="AD6" s="2809"/>
      <c r="AE6" s="2809"/>
      <c r="AF6" s="2809"/>
      <c r="AG6" s="2809"/>
      <c r="AH6" s="2809"/>
      <c r="AI6" s="2804" t="s">
        <v>2112</v>
      </c>
      <c r="AJ6" s="106"/>
    </row>
    <row r="7" spans="1:36" s="197" customFormat="1" ht="60" customHeight="1" thickBot="1">
      <c r="B7" s="2786"/>
      <c r="C7" s="2668"/>
      <c r="D7" s="2668"/>
      <c r="E7" s="784" t="s">
        <v>5882</v>
      </c>
      <c r="F7" s="784" t="s">
        <v>5883</v>
      </c>
      <c r="G7" s="784" t="s">
        <v>5884</v>
      </c>
      <c r="H7" s="784" t="s">
        <v>5885</v>
      </c>
      <c r="I7" s="784" t="s">
        <v>6190</v>
      </c>
      <c r="J7" s="2805"/>
      <c r="K7" s="106"/>
      <c r="L7" s="2765"/>
      <c r="M7" s="1005"/>
      <c r="N7" s="2765"/>
      <c r="O7" s="1005"/>
      <c r="P7" s="1019"/>
      <c r="Q7" s="785"/>
      <c r="R7" s="725"/>
      <c r="S7" s="2662" t="s">
        <v>1890</v>
      </c>
      <c r="T7" s="2662"/>
      <c r="U7" s="2662"/>
      <c r="V7" s="2662"/>
      <c r="W7" s="2662"/>
      <c r="X7" s="2662"/>
      <c r="Y7" s="2662"/>
      <c r="Z7" s="2662"/>
      <c r="AA7" s="725"/>
      <c r="AC7" s="2786"/>
      <c r="AD7" s="784" t="s">
        <v>5882</v>
      </c>
      <c r="AE7" s="784" t="s">
        <v>5883</v>
      </c>
      <c r="AF7" s="784" t="s">
        <v>5884</v>
      </c>
      <c r="AG7" s="784" t="s">
        <v>5885</v>
      </c>
      <c r="AH7" s="784" t="s">
        <v>6190</v>
      </c>
      <c r="AI7" s="2805"/>
      <c r="AJ7" s="106"/>
    </row>
    <row r="8" spans="1:36" s="197" customFormat="1" ht="15.75" customHeight="1" thickTop="1" thickBot="1">
      <c r="B8" s="1005"/>
      <c r="C8" s="1005"/>
      <c r="D8" s="1005"/>
      <c r="E8" s="1005"/>
      <c r="F8" s="1005"/>
      <c r="G8" s="1005"/>
      <c r="H8" s="1005"/>
      <c r="I8" s="1005"/>
      <c r="J8" s="1005"/>
      <c r="K8" s="1005"/>
      <c r="L8" s="1005"/>
      <c r="M8" s="1005"/>
      <c r="N8" s="1005"/>
      <c r="O8" s="1005"/>
      <c r="P8" s="1019"/>
      <c r="R8" s="725"/>
      <c r="S8" s="236" t="s">
        <v>1898</v>
      </c>
      <c r="AA8" s="725"/>
      <c r="AC8" s="1005"/>
      <c r="AD8" s="1005"/>
      <c r="AE8" s="1005"/>
      <c r="AF8" s="1005"/>
      <c r="AG8" s="1005"/>
      <c r="AH8" s="1005"/>
      <c r="AI8" s="1005"/>
      <c r="AJ8" s="1020"/>
    </row>
    <row r="9" spans="1:36" s="197" customFormat="1" ht="15.75" customHeight="1" thickTop="1" thickBot="1">
      <c r="B9" s="1021" t="s">
        <v>1692</v>
      </c>
      <c r="C9" s="1005"/>
      <c r="D9" s="1005"/>
      <c r="E9" s="1005"/>
      <c r="F9" s="1005"/>
      <c r="G9" s="1005"/>
      <c r="H9" s="1005"/>
      <c r="I9" s="1005"/>
      <c r="J9" s="1005"/>
      <c r="K9" s="1005"/>
      <c r="L9" s="1005"/>
      <c r="M9" s="1005"/>
      <c r="N9" s="1005"/>
      <c r="O9" s="1005"/>
      <c r="P9" s="1019"/>
      <c r="R9" s="725"/>
      <c r="S9" s="236"/>
      <c r="AA9" s="725"/>
      <c r="AC9" s="1021" t="s">
        <v>1692</v>
      </c>
      <c r="AD9" s="1005"/>
      <c r="AE9" s="1005"/>
      <c r="AF9" s="1005"/>
      <c r="AG9" s="1005"/>
      <c r="AH9" s="1005"/>
      <c r="AI9" s="1005"/>
      <c r="AJ9" s="1020"/>
    </row>
    <row r="10" spans="1:36" s="197" customFormat="1" ht="15.75" customHeight="1">
      <c r="B10" s="413" t="s">
        <v>9048</v>
      </c>
      <c r="C10" s="244" t="s">
        <v>137</v>
      </c>
      <c r="D10" s="244">
        <v>3</v>
      </c>
      <c r="E10" s="598">
        <v>0</v>
      </c>
      <c r="F10" s="598">
        <v>0</v>
      </c>
      <c r="G10" s="598">
        <v>0</v>
      </c>
      <c r="H10" s="598">
        <v>0</v>
      </c>
      <c r="I10" s="598">
        <v>0</v>
      </c>
      <c r="J10" s="1480">
        <f t="shared" ref="J10:J15" si="0">IFERROR(SUM(E10:I10), 0)</f>
        <v>0</v>
      </c>
      <c r="K10" s="83"/>
      <c r="L10" s="248" t="s">
        <v>9080</v>
      </c>
      <c r="M10" s="641"/>
      <c r="N10" s="250"/>
      <c r="O10" s="641"/>
      <c r="P10" s="1018"/>
      <c r="Q10" s="251">
        <f>IF(SUM(S10:W10 ) = 0, 0, $S$8 )</f>
        <v>0</v>
      </c>
      <c r="R10" s="725"/>
      <c r="S10" s="252">
        <f t="shared" ref="S10" si="1" xml:space="preserve"> IF( ISNUMBER(E10), 0, 1 )</f>
        <v>0</v>
      </c>
      <c r="T10" s="252">
        <f t="shared" ref="T10:T14" si="2" xml:space="preserve"> IF( ISNUMBER(F10), 0, 1 )</f>
        <v>0</v>
      </c>
      <c r="U10" s="252">
        <f t="shared" ref="U10:U14" si="3" xml:space="preserve"> IF( ISNUMBER(G10), 0, 1 )</f>
        <v>0</v>
      </c>
      <c r="V10" s="252">
        <f t="shared" ref="V10:V14" si="4" xml:space="preserve"> IF( ISNUMBER(H10), 0, 1 )</f>
        <v>0</v>
      </c>
      <c r="W10" s="252">
        <f t="shared" ref="W10:W14" si="5" xml:space="preserve"> IF( ISNUMBER(I10), 0, 1 )</f>
        <v>0</v>
      </c>
      <c r="AA10" s="725"/>
      <c r="AC10" s="413" t="s">
        <v>9048</v>
      </c>
      <c r="AD10" s="801" t="s">
        <v>9081</v>
      </c>
      <c r="AE10" s="801" t="s">
        <v>9082</v>
      </c>
      <c r="AF10" s="801" t="s">
        <v>9083</v>
      </c>
      <c r="AG10" s="801" t="s">
        <v>9084</v>
      </c>
      <c r="AH10" s="801" t="s">
        <v>9085</v>
      </c>
      <c r="AI10" s="378" t="s">
        <v>9086</v>
      </c>
      <c r="AJ10" s="345"/>
    </row>
    <row r="11" spans="1:36" s="197" customFormat="1" ht="15.75" customHeight="1">
      <c r="B11" s="422" t="s">
        <v>9087</v>
      </c>
      <c r="C11" s="253" t="s">
        <v>137</v>
      </c>
      <c r="D11" s="253">
        <v>3</v>
      </c>
      <c r="E11" s="601">
        <v>1.4711305515999999</v>
      </c>
      <c r="F11" s="601">
        <v>0.40749790499999994</v>
      </c>
      <c r="G11" s="601">
        <v>6.5731303399999996E-2</v>
      </c>
      <c r="H11" s="601">
        <v>0</v>
      </c>
      <c r="I11" s="601">
        <v>0</v>
      </c>
      <c r="J11" s="1482">
        <f t="shared" si="0"/>
        <v>1.94435976</v>
      </c>
      <c r="K11" s="83"/>
      <c r="L11" s="257" t="s">
        <v>9088</v>
      </c>
      <c r="M11" s="641"/>
      <c r="N11" s="258"/>
      <c r="O11" s="641"/>
      <c r="P11" s="1018"/>
      <c r="Q11" s="251">
        <f t="shared" ref="Q11:Q14" si="6">IF(SUM(S11:W11 ) = 0, 0, $S$8 )</f>
        <v>0</v>
      </c>
      <c r="R11" s="725"/>
      <c r="S11" s="252">
        <f t="shared" ref="S11:S14" si="7" xml:space="preserve"> IF( ISNUMBER(E11), 0, 1 )</f>
        <v>0</v>
      </c>
      <c r="T11" s="252">
        <f t="shared" si="2"/>
        <v>0</v>
      </c>
      <c r="U11" s="252">
        <f t="shared" si="3"/>
        <v>0</v>
      </c>
      <c r="V11" s="252">
        <f t="shared" si="4"/>
        <v>0</v>
      </c>
      <c r="W11" s="252">
        <f t="shared" si="5"/>
        <v>0</v>
      </c>
      <c r="AA11" s="725"/>
      <c r="AC11" s="422" t="s">
        <v>9087</v>
      </c>
      <c r="AD11" s="802" t="s">
        <v>9089</v>
      </c>
      <c r="AE11" s="802" t="s">
        <v>9090</v>
      </c>
      <c r="AF11" s="802" t="s">
        <v>9091</v>
      </c>
      <c r="AG11" s="802" t="s">
        <v>9092</v>
      </c>
      <c r="AH11" s="802" t="s">
        <v>9093</v>
      </c>
      <c r="AI11" s="790" t="s">
        <v>9094</v>
      </c>
      <c r="AJ11" s="345"/>
    </row>
    <row r="12" spans="1:36" s="197" customFormat="1" ht="15.75" customHeight="1">
      <c r="B12" s="422" t="s">
        <v>9058</v>
      </c>
      <c r="C12" s="253" t="s">
        <v>137</v>
      </c>
      <c r="D12" s="253">
        <v>3</v>
      </c>
      <c r="E12" s="601">
        <v>0.62352598799999992</v>
      </c>
      <c r="F12" s="601">
        <v>3.1114899999999997E-2</v>
      </c>
      <c r="G12" s="601">
        <v>8.7121720000000007E-3</v>
      </c>
      <c r="H12" s="601">
        <v>0</v>
      </c>
      <c r="I12" s="601">
        <v>0</v>
      </c>
      <c r="J12" s="1482">
        <f t="shared" si="0"/>
        <v>0.66335305999999983</v>
      </c>
      <c r="K12" s="83"/>
      <c r="L12" s="257" t="s">
        <v>9095</v>
      </c>
      <c r="M12" s="641"/>
      <c r="N12" s="258"/>
      <c r="O12" s="641"/>
      <c r="P12" s="1018"/>
      <c r="Q12" s="251">
        <f t="shared" si="6"/>
        <v>0</v>
      </c>
      <c r="R12" s="725"/>
      <c r="S12" s="252">
        <f t="shared" si="7"/>
        <v>0</v>
      </c>
      <c r="T12" s="252">
        <f t="shared" si="2"/>
        <v>0</v>
      </c>
      <c r="U12" s="252">
        <f t="shared" si="3"/>
        <v>0</v>
      </c>
      <c r="V12" s="252">
        <f t="shared" si="4"/>
        <v>0</v>
      </c>
      <c r="W12" s="252">
        <f t="shared" si="5"/>
        <v>0</v>
      </c>
      <c r="AA12" s="725"/>
      <c r="AC12" s="422" t="s">
        <v>9058</v>
      </c>
      <c r="AD12" s="802" t="s">
        <v>9096</v>
      </c>
      <c r="AE12" s="802" t="s">
        <v>9097</v>
      </c>
      <c r="AF12" s="802" t="s">
        <v>9098</v>
      </c>
      <c r="AG12" s="802" t="s">
        <v>9099</v>
      </c>
      <c r="AH12" s="802" t="s">
        <v>9100</v>
      </c>
      <c r="AI12" s="790" t="s">
        <v>9101</v>
      </c>
      <c r="AJ12" s="345"/>
    </row>
    <row r="13" spans="1:36" s="197" customFormat="1" ht="15.75" customHeight="1">
      <c r="B13" s="422" t="s">
        <v>9063</v>
      </c>
      <c r="C13" s="253" t="s">
        <v>137</v>
      </c>
      <c r="D13" s="253">
        <v>3</v>
      </c>
      <c r="E13" s="601">
        <v>2.3190854104</v>
      </c>
      <c r="F13" s="601">
        <v>0.70175399000000005</v>
      </c>
      <c r="G13" s="601">
        <v>0.19112668960000001</v>
      </c>
      <c r="H13" s="601">
        <v>0</v>
      </c>
      <c r="I13" s="601">
        <v>0</v>
      </c>
      <c r="J13" s="1482">
        <f t="shared" si="0"/>
        <v>3.2119660899999998</v>
      </c>
      <c r="K13" s="222"/>
      <c r="L13" s="966" t="s">
        <v>9102</v>
      </c>
      <c r="N13" s="258"/>
      <c r="P13" s="1018"/>
      <c r="Q13" s="251">
        <f t="shared" si="6"/>
        <v>0</v>
      </c>
      <c r="R13" s="725"/>
      <c r="S13" s="252">
        <f t="shared" si="7"/>
        <v>0</v>
      </c>
      <c r="T13" s="252">
        <f t="shared" si="2"/>
        <v>0</v>
      </c>
      <c r="U13" s="252">
        <f t="shared" si="3"/>
        <v>0</v>
      </c>
      <c r="V13" s="252">
        <f t="shared" si="4"/>
        <v>0</v>
      </c>
      <c r="W13" s="252">
        <f t="shared" si="5"/>
        <v>0</v>
      </c>
      <c r="AA13" s="725"/>
      <c r="AC13" s="422" t="s">
        <v>9063</v>
      </c>
      <c r="AD13" s="802" t="s">
        <v>9103</v>
      </c>
      <c r="AE13" s="802" t="s">
        <v>9104</v>
      </c>
      <c r="AF13" s="802" t="s">
        <v>9105</v>
      </c>
      <c r="AG13" s="802" t="s">
        <v>9106</v>
      </c>
      <c r="AH13" s="802" t="s">
        <v>9107</v>
      </c>
      <c r="AI13" s="790" t="s">
        <v>9108</v>
      </c>
    </row>
    <row r="14" spans="1:36" s="200" customFormat="1" ht="15.75" customHeight="1">
      <c r="B14" s="422" t="s">
        <v>9068</v>
      </c>
      <c r="C14" s="253" t="s">
        <v>137</v>
      </c>
      <c r="D14" s="253">
        <v>3</v>
      </c>
      <c r="E14" s="601">
        <v>0</v>
      </c>
      <c r="F14" s="601">
        <v>0</v>
      </c>
      <c r="G14" s="601">
        <v>0</v>
      </c>
      <c r="H14" s="601">
        <v>7.7877840000000018E-2</v>
      </c>
      <c r="I14" s="601">
        <v>0</v>
      </c>
      <c r="J14" s="1482">
        <f t="shared" si="0"/>
        <v>7.7877840000000018E-2</v>
      </c>
      <c r="K14" s="222"/>
      <c r="L14" s="966" t="s">
        <v>9109</v>
      </c>
      <c r="N14" s="258"/>
      <c r="P14" s="1018"/>
      <c r="Q14" s="251">
        <f t="shared" si="6"/>
        <v>0</v>
      </c>
      <c r="R14" s="725"/>
      <c r="S14" s="252">
        <f t="shared" si="7"/>
        <v>0</v>
      </c>
      <c r="T14" s="252">
        <f t="shared" si="2"/>
        <v>0</v>
      </c>
      <c r="U14" s="252">
        <f t="shared" si="3"/>
        <v>0</v>
      </c>
      <c r="V14" s="252">
        <f t="shared" si="4"/>
        <v>0</v>
      </c>
      <c r="W14" s="252">
        <f t="shared" si="5"/>
        <v>0</v>
      </c>
      <c r="X14" s="197"/>
      <c r="Y14" s="197"/>
      <c r="Z14" s="197"/>
      <c r="AA14" s="725"/>
      <c r="AC14" s="422" t="s">
        <v>9068</v>
      </c>
      <c r="AD14" s="802" t="s">
        <v>9110</v>
      </c>
      <c r="AE14" s="802" t="s">
        <v>9111</v>
      </c>
      <c r="AF14" s="802" t="s">
        <v>9112</v>
      </c>
      <c r="AG14" s="802" t="s">
        <v>9113</v>
      </c>
      <c r="AH14" s="802" t="s">
        <v>9114</v>
      </c>
      <c r="AI14" s="790" t="s">
        <v>9115</v>
      </c>
    </row>
    <row r="15" spans="1:36" ht="31.5" thickBot="1">
      <c r="A15" s="197"/>
      <c r="B15" s="425" t="s">
        <v>9116</v>
      </c>
      <c r="C15" s="319" t="s">
        <v>137</v>
      </c>
      <c r="D15" s="319">
        <v>3</v>
      </c>
      <c r="E15" s="1473">
        <f>IFERROR(E10 + E11 + E12 + E13 + E14, 0)</f>
        <v>4.4137419500000004</v>
      </c>
      <c r="F15" s="1473">
        <f t="shared" ref="F15:I15" si="8">IFERROR(F10 + F11 + F12 + F13 + F14, 0)</f>
        <v>1.140366795</v>
      </c>
      <c r="G15" s="1473">
        <f t="shared" si="8"/>
        <v>0.26557016500000002</v>
      </c>
      <c r="H15" s="1473">
        <f t="shared" si="8"/>
        <v>7.7877840000000018E-2</v>
      </c>
      <c r="I15" s="1473">
        <f t="shared" si="8"/>
        <v>0</v>
      </c>
      <c r="J15" s="1483">
        <f t="shared" si="0"/>
        <v>5.8975567500000006</v>
      </c>
      <c r="K15" s="83"/>
      <c r="L15" s="320" t="s">
        <v>9117</v>
      </c>
      <c r="M15" s="641"/>
      <c r="N15" s="269"/>
      <c r="O15" s="641"/>
      <c r="P15" s="1018"/>
      <c r="Q15" s="197"/>
      <c r="R15" s="725"/>
      <c r="S15" s="197"/>
      <c r="T15" s="197"/>
      <c r="U15" s="197"/>
      <c r="V15" s="197"/>
      <c r="W15" s="197"/>
      <c r="X15" s="197"/>
      <c r="Y15" s="197"/>
      <c r="Z15" s="197"/>
      <c r="AA15" s="725"/>
      <c r="AB15" s="197"/>
      <c r="AC15" s="425" t="s">
        <v>9118</v>
      </c>
      <c r="AD15" s="583" t="s">
        <v>9119</v>
      </c>
      <c r="AE15" s="583" t="s">
        <v>9120</v>
      </c>
      <c r="AF15" s="583" t="s">
        <v>9121</v>
      </c>
      <c r="AG15" s="583" t="s">
        <v>9122</v>
      </c>
      <c r="AH15" s="583" t="s">
        <v>9123</v>
      </c>
      <c r="AI15" s="379" t="s">
        <v>9124</v>
      </c>
      <c r="AJ15" s="345"/>
    </row>
    <row r="16" spans="1:36" ht="15.75" customHeight="1" thickTop="1" thickBot="1">
      <c r="A16" s="197"/>
      <c r="B16" s="197"/>
      <c r="C16" s="197"/>
      <c r="D16" s="197"/>
      <c r="E16" s="440"/>
      <c r="F16" s="440"/>
      <c r="G16" s="440"/>
      <c r="H16" s="440"/>
      <c r="I16" s="440"/>
      <c r="J16" s="440"/>
      <c r="K16" s="197"/>
      <c r="L16" s="197"/>
      <c r="M16" s="197"/>
      <c r="N16" s="197"/>
      <c r="O16" s="197"/>
      <c r="P16" s="1018"/>
      <c r="Q16" s="197"/>
      <c r="R16" s="725"/>
      <c r="S16" s="197"/>
      <c r="T16" s="197"/>
      <c r="U16" s="197"/>
      <c r="V16" s="197"/>
      <c r="W16" s="197"/>
      <c r="X16" s="197"/>
      <c r="Y16" s="197"/>
      <c r="Z16" s="197"/>
      <c r="AA16" s="725"/>
      <c r="AB16" s="2562"/>
      <c r="AC16" s="197"/>
      <c r="AD16" s="197"/>
      <c r="AE16" s="197"/>
      <c r="AF16" s="197"/>
      <c r="AG16" s="197"/>
      <c r="AH16" s="197"/>
      <c r="AI16" s="197"/>
      <c r="AJ16" s="2562"/>
    </row>
    <row r="17" spans="1:36" s="197" customFormat="1" ht="15.75" customHeight="1" thickTop="1" thickBot="1">
      <c r="B17" s="1022" t="s">
        <v>1693</v>
      </c>
      <c r="C17" s="1005"/>
      <c r="D17" s="1005"/>
      <c r="E17" s="1565"/>
      <c r="F17" s="1565"/>
      <c r="G17" s="1565"/>
      <c r="H17" s="1565"/>
      <c r="I17" s="1565"/>
      <c r="J17" s="1565"/>
      <c r="K17" s="1005"/>
      <c r="L17" s="1005"/>
      <c r="M17" s="1005"/>
      <c r="N17" s="1005"/>
      <c r="O17" s="1005"/>
      <c r="P17" s="1019"/>
      <c r="R17" s="725"/>
      <c r="AA17" s="725"/>
      <c r="AC17" s="1022" t="s">
        <v>1693</v>
      </c>
      <c r="AD17" s="1005"/>
      <c r="AE17" s="1005"/>
      <c r="AF17" s="1005"/>
      <c r="AG17" s="1005"/>
      <c r="AH17" s="1005"/>
      <c r="AI17" s="1005"/>
      <c r="AJ17" s="1020"/>
    </row>
    <row r="18" spans="1:36" s="197" customFormat="1" ht="15.75" customHeight="1" thickTop="1">
      <c r="B18" s="413" t="s">
        <v>9048</v>
      </c>
      <c r="C18" s="244" t="s">
        <v>137</v>
      </c>
      <c r="D18" s="244">
        <v>3</v>
      </c>
      <c r="E18" s="598">
        <v>0</v>
      </c>
      <c r="F18" s="598">
        <v>0</v>
      </c>
      <c r="G18" s="598">
        <v>0</v>
      </c>
      <c r="H18" s="598">
        <v>0</v>
      </c>
      <c r="I18" s="598">
        <v>0</v>
      </c>
      <c r="J18" s="1480">
        <f t="shared" ref="J18:J23" si="9">IFERROR(SUM(E18:I18), 0)</f>
        <v>0</v>
      </c>
      <c r="K18" s="83"/>
      <c r="L18" s="248" t="s">
        <v>9125</v>
      </c>
      <c r="M18" s="641"/>
      <c r="N18" s="250"/>
      <c r="O18" s="641"/>
      <c r="P18" s="1018"/>
      <c r="Q18" s="251">
        <f t="shared" ref="Q18:Q22" si="10">IF(SUM(S18:W18 ) = 0, 0, $S$8 )</f>
        <v>0</v>
      </c>
      <c r="R18" s="725"/>
      <c r="S18" s="252">
        <f t="shared" ref="S18:S22" si="11" xml:space="preserve"> IF( ISNUMBER(E18), 0, 1 )</f>
        <v>0</v>
      </c>
      <c r="T18" s="252">
        <f t="shared" ref="T18:T22" si="12" xml:space="preserve"> IF( ISNUMBER(F18), 0, 1 )</f>
        <v>0</v>
      </c>
      <c r="U18" s="252">
        <f t="shared" ref="U18:U22" si="13" xml:space="preserve"> IF( ISNUMBER(G18), 0, 1 )</f>
        <v>0</v>
      </c>
      <c r="V18" s="252">
        <f t="shared" ref="V18:V22" si="14" xml:space="preserve"> IF( ISNUMBER(H18), 0, 1 )</f>
        <v>0</v>
      </c>
      <c r="W18" s="252">
        <f t="shared" ref="W18:W22" si="15" xml:space="preserve"> IF( ISNUMBER(I18), 0, 1 )</f>
        <v>0</v>
      </c>
      <c r="AA18" s="725"/>
      <c r="AC18" s="413" t="s">
        <v>9048</v>
      </c>
      <c r="AD18" s="801" t="s">
        <v>9126</v>
      </c>
      <c r="AE18" s="801" t="s">
        <v>9127</v>
      </c>
      <c r="AF18" s="801" t="s">
        <v>9128</v>
      </c>
      <c r="AG18" s="801" t="s">
        <v>9129</v>
      </c>
      <c r="AH18" s="801" t="s">
        <v>9130</v>
      </c>
      <c r="AI18" s="378" t="s">
        <v>9131</v>
      </c>
      <c r="AJ18" s="345"/>
    </row>
    <row r="19" spans="1:36" s="197" customFormat="1" ht="15.75" customHeight="1">
      <c r="B19" s="422" t="s">
        <v>9087</v>
      </c>
      <c r="C19" s="253" t="s">
        <v>137</v>
      </c>
      <c r="D19" s="253">
        <v>3</v>
      </c>
      <c r="E19" s="601">
        <v>0</v>
      </c>
      <c r="F19" s="601">
        <v>0</v>
      </c>
      <c r="G19" s="601">
        <v>0</v>
      </c>
      <c r="H19" s="601">
        <v>0</v>
      </c>
      <c r="I19" s="601">
        <v>0</v>
      </c>
      <c r="J19" s="1482">
        <f t="shared" si="9"/>
        <v>0</v>
      </c>
      <c r="K19" s="83"/>
      <c r="L19" s="257" t="s">
        <v>9132</v>
      </c>
      <c r="M19" s="641"/>
      <c r="N19" s="258"/>
      <c r="O19" s="641"/>
      <c r="P19" s="1018"/>
      <c r="Q19" s="251">
        <f t="shared" si="10"/>
        <v>0</v>
      </c>
      <c r="R19" s="725"/>
      <c r="S19" s="252">
        <f t="shared" si="11"/>
        <v>0</v>
      </c>
      <c r="T19" s="252">
        <f t="shared" si="12"/>
        <v>0</v>
      </c>
      <c r="U19" s="252">
        <f t="shared" si="13"/>
        <v>0</v>
      </c>
      <c r="V19" s="252">
        <f t="shared" si="14"/>
        <v>0</v>
      </c>
      <c r="W19" s="252">
        <f t="shared" si="15"/>
        <v>0</v>
      </c>
      <c r="AA19" s="725"/>
      <c r="AC19" s="422" t="s">
        <v>9087</v>
      </c>
      <c r="AD19" s="802" t="s">
        <v>9133</v>
      </c>
      <c r="AE19" s="802" t="s">
        <v>9134</v>
      </c>
      <c r="AF19" s="802" t="s">
        <v>9135</v>
      </c>
      <c r="AG19" s="802" t="s">
        <v>9136</v>
      </c>
      <c r="AH19" s="802" t="s">
        <v>9137</v>
      </c>
      <c r="AI19" s="790" t="s">
        <v>9138</v>
      </c>
      <c r="AJ19" s="345"/>
    </row>
    <row r="20" spans="1:36" s="197" customFormat="1" ht="15.75" customHeight="1">
      <c r="B20" s="422" t="s">
        <v>9058</v>
      </c>
      <c r="C20" s="253" t="s">
        <v>137</v>
      </c>
      <c r="D20" s="253">
        <v>3</v>
      </c>
      <c r="E20" s="601">
        <v>0</v>
      </c>
      <c r="F20" s="601">
        <v>0</v>
      </c>
      <c r="G20" s="601">
        <v>0</v>
      </c>
      <c r="H20" s="601">
        <v>0</v>
      </c>
      <c r="I20" s="601">
        <v>0</v>
      </c>
      <c r="J20" s="1482">
        <f t="shared" si="9"/>
        <v>0</v>
      </c>
      <c r="K20" s="83"/>
      <c r="L20" s="257" t="s">
        <v>9139</v>
      </c>
      <c r="M20" s="641"/>
      <c r="N20" s="258"/>
      <c r="O20" s="641"/>
      <c r="P20" s="1018"/>
      <c r="Q20" s="251">
        <f t="shared" si="10"/>
        <v>0</v>
      </c>
      <c r="R20" s="725"/>
      <c r="S20" s="252">
        <f t="shared" si="11"/>
        <v>0</v>
      </c>
      <c r="T20" s="252">
        <f t="shared" si="12"/>
        <v>0</v>
      </c>
      <c r="U20" s="252">
        <f t="shared" si="13"/>
        <v>0</v>
      </c>
      <c r="V20" s="252">
        <f t="shared" si="14"/>
        <v>0</v>
      </c>
      <c r="W20" s="252">
        <f t="shared" si="15"/>
        <v>0</v>
      </c>
      <c r="AA20" s="725"/>
      <c r="AC20" s="422" t="s">
        <v>9058</v>
      </c>
      <c r="AD20" s="802" t="s">
        <v>9140</v>
      </c>
      <c r="AE20" s="802" t="s">
        <v>9141</v>
      </c>
      <c r="AF20" s="802" t="s">
        <v>9142</v>
      </c>
      <c r="AG20" s="802" t="s">
        <v>9143</v>
      </c>
      <c r="AH20" s="802" t="s">
        <v>9144</v>
      </c>
      <c r="AI20" s="790" t="s">
        <v>9145</v>
      </c>
      <c r="AJ20" s="345"/>
    </row>
    <row r="21" spans="1:36" s="197" customFormat="1" ht="15.75" customHeight="1">
      <c r="B21" s="422" t="s">
        <v>9063</v>
      </c>
      <c r="C21" s="253" t="s">
        <v>137</v>
      </c>
      <c r="D21" s="253">
        <v>3</v>
      </c>
      <c r="E21" s="601">
        <v>0</v>
      </c>
      <c r="F21" s="601">
        <v>0</v>
      </c>
      <c r="G21" s="601">
        <v>0</v>
      </c>
      <c r="H21" s="601">
        <v>0</v>
      </c>
      <c r="I21" s="601">
        <v>0</v>
      </c>
      <c r="J21" s="1482">
        <f t="shared" si="9"/>
        <v>0</v>
      </c>
      <c r="K21" s="222"/>
      <c r="L21" s="966" t="s">
        <v>9146</v>
      </c>
      <c r="N21" s="258"/>
      <c r="P21" s="1018"/>
      <c r="Q21" s="251">
        <f t="shared" si="10"/>
        <v>0</v>
      </c>
      <c r="R21" s="725"/>
      <c r="S21" s="252">
        <f t="shared" si="11"/>
        <v>0</v>
      </c>
      <c r="T21" s="252">
        <f t="shared" si="12"/>
        <v>0</v>
      </c>
      <c r="U21" s="252">
        <f t="shared" si="13"/>
        <v>0</v>
      </c>
      <c r="V21" s="252">
        <f t="shared" si="14"/>
        <v>0</v>
      </c>
      <c r="W21" s="252">
        <f t="shared" si="15"/>
        <v>0</v>
      </c>
      <c r="AA21" s="725"/>
      <c r="AC21" s="422" t="s">
        <v>9063</v>
      </c>
      <c r="AD21" s="802" t="s">
        <v>9147</v>
      </c>
      <c r="AE21" s="802" t="s">
        <v>9148</v>
      </c>
      <c r="AF21" s="802" t="s">
        <v>9149</v>
      </c>
      <c r="AG21" s="802" t="s">
        <v>9150</v>
      </c>
      <c r="AH21" s="802" t="s">
        <v>9151</v>
      </c>
      <c r="AI21" s="790" t="s">
        <v>9152</v>
      </c>
    </row>
    <row r="22" spans="1:36" s="200" customFormat="1" ht="15.75" customHeight="1">
      <c r="B22" s="422" t="s">
        <v>9068</v>
      </c>
      <c r="C22" s="253" t="s">
        <v>137</v>
      </c>
      <c r="D22" s="253">
        <v>3</v>
      </c>
      <c r="E22" s="601">
        <v>0</v>
      </c>
      <c r="F22" s="601">
        <v>0</v>
      </c>
      <c r="G22" s="601">
        <v>0</v>
      </c>
      <c r="H22" s="601">
        <v>0</v>
      </c>
      <c r="I22" s="601">
        <v>0</v>
      </c>
      <c r="J22" s="1482">
        <f t="shared" si="9"/>
        <v>0</v>
      </c>
      <c r="K22" s="222"/>
      <c r="L22" s="966" t="s">
        <v>9153</v>
      </c>
      <c r="N22" s="258"/>
      <c r="P22" s="1018"/>
      <c r="Q22" s="251">
        <f t="shared" si="10"/>
        <v>0</v>
      </c>
      <c r="R22" s="725"/>
      <c r="S22" s="252">
        <f t="shared" si="11"/>
        <v>0</v>
      </c>
      <c r="T22" s="252">
        <f t="shared" si="12"/>
        <v>0</v>
      </c>
      <c r="U22" s="252">
        <f t="shared" si="13"/>
        <v>0</v>
      </c>
      <c r="V22" s="252">
        <f t="shared" si="14"/>
        <v>0</v>
      </c>
      <c r="W22" s="252">
        <f t="shared" si="15"/>
        <v>0</v>
      </c>
      <c r="X22" s="197"/>
      <c r="Y22" s="197"/>
      <c r="Z22" s="197"/>
      <c r="AA22" s="725"/>
      <c r="AC22" s="422" t="s">
        <v>9068</v>
      </c>
      <c r="AD22" s="802" t="s">
        <v>9154</v>
      </c>
      <c r="AE22" s="802" t="s">
        <v>9155</v>
      </c>
      <c r="AF22" s="802" t="s">
        <v>9156</v>
      </c>
      <c r="AG22" s="802" t="s">
        <v>9157</v>
      </c>
      <c r="AH22" s="802" t="s">
        <v>9158</v>
      </c>
      <c r="AI22" s="790" t="s">
        <v>9159</v>
      </c>
    </row>
    <row r="23" spans="1:36" ht="15.75" customHeight="1" thickBot="1">
      <c r="A23" s="197"/>
      <c r="B23" s="425" t="s">
        <v>9160</v>
      </c>
      <c r="C23" s="319" t="s">
        <v>137</v>
      </c>
      <c r="D23" s="319">
        <v>3</v>
      </c>
      <c r="E23" s="1473">
        <f>IFERROR(E18 + E19 + E20 + E21 + E22, 0)</f>
        <v>0</v>
      </c>
      <c r="F23" s="1473">
        <f t="shared" ref="F23:I23" si="16">IFERROR(F18 + F19 + F20 + F21 + F22, 0)</f>
        <v>0</v>
      </c>
      <c r="G23" s="1473">
        <f t="shared" si="16"/>
        <v>0</v>
      </c>
      <c r="H23" s="1473">
        <f t="shared" si="16"/>
        <v>0</v>
      </c>
      <c r="I23" s="1473">
        <f t="shared" si="16"/>
        <v>0</v>
      </c>
      <c r="J23" s="1483">
        <f t="shared" si="9"/>
        <v>0</v>
      </c>
      <c r="K23" s="83"/>
      <c r="L23" s="320" t="s">
        <v>9161</v>
      </c>
      <c r="M23" s="641"/>
      <c r="N23" s="269"/>
      <c r="O23" s="641"/>
      <c r="P23" s="1018"/>
      <c r="Q23" s="197"/>
      <c r="R23" s="725"/>
      <c r="S23" s="197"/>
      <c r="T23" s="197"/>
      <c r="U23" s="197"/>
      <c r="V23" s="197"/>
      <c r="W23" s="197"/>
      <c r="X23" s="197"/>
      <c r="Y23" s="197"/>
      <c r="Z23" s="197"/>
      <c r="AA23" s="725"/>
      <c r="AB23" s="197"/>
      <c r="AC23" s="425" t="s">
        <v>9118</v>
      </c>
      <c r="AD23" s="583" t="s">
        <v>9162</v>
      </c>
      <c r="AE23" s="583" t="s">
        <v>9163</v>
      </c>
      <c r="AF23" s="583" t="s">
        <v>9164</v>
      </c>
      <c r="AG23" s="583" t="s">
        <v>9165</v>
      </c>
      <c r="AH23" s="583" t="s">
        <v>9166</v>
      </c>
      <c r="AI23" s="379" t="s">
        <v>9167</v>
      </c>
      <c r="AJ23" s="345"/>
    </row>
    <row r="24" spans="1:36" ht="15.75" customHeight="1" thickTop="1" thickBot="1">
      <c r="A24" s="197"/>
      <c r="B24" s="197"/>
      <c r="C24" s="197"/>
      <c r="D24" s="197"/>
      <c r="E24" s="440"/>
      <c r="F24" s="440"/>
      <c r="G24" s="440"/>
      <c r="H24" s="440"/>
      <c r="I24" s="440"/>
      <c r="J24" s="440"/>
      <c r="K24" s="197"/>
      <c r="L24" s="197"/>
      <c r="M24" s="197"/>
      <c r="N24" s="197"/>
      <c r="O24" s="197"/>
      <c r="P24" s="1018"/>
      <c r="Q24" s="197"/>
      <c r="R24" s="725"/>
      <c r="S24" s="197"/>
      <c r="T24" s="197"/>
      <c r="U24" s="197"/>
      <c r="V24" s="197"/>
      <c r="W24" s="197"/>
      <c r="X24" s="197"/>
      <c r="Y24" s="197"/>
      <c r="Z24" s="197"/>
      <c r="AA24" s="725"/>
      <c r="AB24" s="2562"/>
      <c r="AC24" s="197"/>
      <c r="AD24" s="197"/>
      <c r="AE24" s="197"/>
      <c r="AF24" s="197"/>
      <c r="AG24" s="197"/>
      <c r="AH24" s="197"/>
      <c r="AI24" s="197"/>
      <c r="AJ24" s="2562"/>
    </row>
    <row r="25" spans="1:36" s="197" customFormat="1" ht="15.75" customHeight="1" thickTop="1" thickBot="1">
      <c r="B25" s="1022" t="s">
        <v>1694</v>
      </c>
      <c r="C25" s="1005"/>
      <c r="D25" s="1005"/>
      <c r="E25" s="1565"/>
      <c r="F25" s="1565"/>
      <c r="G25" s="1565"/>
      <c r="H25" s="1565"/>
      <c r="I25" s="1565"/>
      <c r="J25" s="1565"/>
      <c r="K25" s="1005"/>
      <c r="L25" s="1005"/>
      <c r="M25" s="1005"/>
      <c r="N25" s="1005"/>
      <c r="O25" s="1005"/>
      <c r="P25" s="1019"/>
      <c r="R25" s="725"/>
      <c r="AA25" s="725"/>
      <c r="AC25" s="1022" t="s">
        <v>1694</v>
      </c>
      <c r="AD25" s="1005"/>
      <c r="AE25" s="1005"/>
      <c r="AF25" s="1005"/>
      <c r="AG25" s="1005"/>
      <c r="AH25" s="1005"/>
      <c r="AI25" s="1005"/>
      <c r="AJ25" s="1020"/>
    </row>
    <row r="26" spans="1:36" s="197" customFormat="1" ht="15.75" customHeight="1" thickTop="1" thickBot="1">
      <c r="B26" s="431" t="s">
        <v>9168</v>
      </c>
      <c r="C26" s="333" t="s">
        <v>137</v>
      </c>
      <c r="D26" s="333">
        <v>3</v>
      </c>
      <c r="E26" s="1470">
        <f>IFERROR(E15+E23,0)</f>
        <v>4.4137419500000004</v>
      </c>
      <c r="F26" s="1470">
        <f t="shared" ref="F26:J26" si="17">IFERROR(F15+F23,0)</f>
        <v>1.140366795</v>
      </c>
      <c r="G26" s="1470">
        <f t="shared" si="17"/>
        <v>0.26557016500000002</v>
      </c>
      <c r="H26" s="1470">
        <f t="shared" si="17"/>
        <v>7.7877840000000018E-2</v>
      </c>
      <c r="I26" s="1470">
        <f t="shared" si="17"/>
        <v>0</v>
      </c>
      <c r="J26" s="1465">
        <f t="shared" si="17"/>
        <v>5.8975567500000006</v>
      </c>
      <c r="K26" s="83"/>
      <c r="L26" s="336" t="s">
        <v>9169</v>
      </c>
      <c r="M26" s="641"/>
      <c r="N26" s="337"/>
      <c r="O26" s="641"/>
      <c r="P26" s="1018"/>
      <c r="R26" s="725"/>
      <c r="AA26" s="725"/>
      <c r="AC26" s="431" t="s">
        <v>9073</v>
      </c>
      <c r="AD26" s="1023" t="s">
        <v>9170</v>
      </c>
      <c r="AE26" s="875" t="s">
        <v>9171</v>
      </c>
      <c r="AF26" s="875" t="s">
        <v>9172</v>
      </c>
      <c r="AG26" s="875" t="s">
        <v>9173</v>
      </c>
      <c r="AH26" s="875" t="s">
        <v>9174</v>
      </c>
      <c r="AI26" s="591" t="s">
        <v>9175</v>
      </c>
      <c r="AJ26" s="345"/>
    </row>
    <row r="27" spans="1:36" ht="24" customHeight="1" thickTop="1">
      <c r="A27" s="197"/>
      <c r="B27" s="197"/>
      <c r="C27" s="197"/>
      <c r="D27" s="197"/>
      <c r="E27" s="197"/>
      <c r="F27" s="197"/>
      <c r="G27" s="197"/>
      <c r="H27" s="197"/>
      <c r="I27" s="197"/>
      <c r="J27" s="197"/>
      <c r="K27" s="197"/>
      <c r="L27" s="197"/>
      <c r="M27" s="197"/>
      <c r="N27" s="197"/>
      <c r="O27" s="197"/>
      <c r="P27" s="2562"/>
      <c r="Q27" s="197"/>
      <c r="R27" s="2562"/>
      <c r="S27" s="197"/>
      <c r="T27" s="197"/>
      <c r="U27" s="197"/>
      <c r="V27" s="197"/>
      <c r="W27" s="197"/>
      <c r="X27" s="197"/>
      <c r="Y27" s="197"/>
      <c r="Z27" s="197"/>
      <c r="AA27" s="2562"/>
      <c r="AB27" s="2562"/>
      <c r="AC27" s="2562"/>
      <c r="AD27" s="2562"/>
      <c r="AE27" s="2562"/>
      <c r="AF27" s="2562"/>
      <c r="AG27" s="2562"/>
      <c r="AH27" s="2562"/>
      <c r="AI27" s="2562"/>
      <c r="AJ27" s="2562"/>
    </row>
    <row r="28" spans="1:36" ht="24" customHeight="1">
      <c r="A28" s="197"/>
      <c r="B28" s="197"/>
      <c r="C28" s="197"/>
      <c r="D28" s="197"/>
      <c r="E28" s="197"/>
      <c r="F28" s="197"/>
      <c r="G28" s="197"/>
      <c r="H28" s="197"/>
      <c r="I28" s="197"/>
      <c r="J28" s="197"/>
      <c r="K28" s="197"/>
      <c r="L28" s="197"/>
      <c r="M28" s="197"/>
      <c r="N28" s="197"/>
      <c r="O28" s="197"/>
      <c r="P28" s="2562"/>
      <c r="Q28" s="197"/>
      <c r="R28" s="2562"/>
      <c r="S28" s="197"/>
      <c r="T28" s="197"/>
      <c r="U28" s="197"/>
      <c r="V28" s="197"/>
      <c r="W28" s="197"/>
      <c r="X28" s="197"/>
      <c r="Y28" s="197"/>
      <c r="Z28" s="197"/>
      <c r="AA28" s="2562"/>
      <c r="AB28" s="2562"/>
      <c r="AC28" s="2562"/>
      <c r="AD28" s="2562"/>
      <c r="AE28" s="2562"/>
      <c r="AF28" s="2562"/>
      <c r="AG28" s="2562"/>
      <c r="AH28" s="2562"/>
      <c r="AI28" s="2562"/>
      <c r="AJ28" s="2562"/>
    </row>
    <row r="29" spans="1:36" ht="24" customHeight="1">
      <c r="A29" s="197"/>
      <c r="B29" s="197"/>
      <c r="C29" s="197"/>
      <c r="D29" s="197"/>
      <c r="E29" s="197"/>
      <c r="F29" s="197"/>
      <c r="G29" s="197"/>
      <c r="H29" s="197"/>
      <c r="I29" s="197"/>
      <c r="J29" s="197"/>
      <c r="K29" s="197"/>
      <c r="L29" s="197"/>
      <c r="M29" s="197"/>
      <c r="N29" s="197"/>
      <c r="O29" s="197"/>
      <c r="P29" s="2562"/>
      <c r="Q29" s="197"/>
      <c r="R29" s="2562"/>
      <c r="S29" s="197"/>
      <c r="T29" s="197"/>
      <c r="U29" s="197"/>
      <c r="V29" s="197"/>
      <c r="W29" s="197"/>
      <c r="X29" s="197"/>
      <c r="Y29" s="197"/>
      <c r="Z29" s="197"/>
      <c r="AA29" s="2562"/>
      <c r="AB29" s="2562"/>
      <c r="AC29" s="2562"/>
      <c r="AD29" s="2562"/>
      <c r="AE29" s="2562"/>
      <c r="AF29" s="2562"/>
      <c r="AG29" s="2562"/>
      <c r="AH29" s="2562"/>
      <c r="AI29" s="2562"/>
      <c r="AJ29" s="2562"/>
    </row>
    <row r="30" spans="1:36" ht="24" customHeight="1">
      <c r="A30" s="197"/>
      <c r="B30" s="197"/>
      <c r="C30" s="197"/>
      <c r="D30" s="197"/>
      <c r="E30" s="197"/>
      <c r="F30" s="197"/>
      <c r="G30" s="197"/>
      <c r="H30" s="197"/>
      <c r="I30" s="197"/>
      <c r="J30" s="197"/>
      <c r="K30" s="197"/>
      <c r="L30" s="197"/>
      <c r="M30" s="197"/>
      <c r="N30" s="197"/>
      <c r="O30" s="197"/>
      <c r="P30" s="2562"/>
      <c r="Q30" s="197"/>
      <c r="R30" s="2562"/>
      <c r="S30" s="197"/>
      <c r="T30" s="197"/>
      <c r="U30" s="197"/>
      <c r="V30" s="197"/>
      <c r="W30" s="197"/>
      <c r="X30" s="197"/>
      <c r="Y30" s="197"/>
      <c r="Z30" s="197"/>
      <c r="AA30" s="2562"/>
      <c r="AB30" s="2562"/>
      <c r="AC30" s="2562"/>
      <c r="AD30" s="2562"/>
      <c r="AE30" s="2562"/>
      <c r="AF30" s="2562"/>
      <c r="AG30" s="2562"/>
      <c r="AH30" s="2562"/>
      <c r="AI30" s="2562"/>
      <c r="AJ30" s="2562"/>
    </row>
    <row r="31" spans="1:36" ht="24" customHeight="1">
      <c r="A31" s="197"/>
      <c r="B31" s="197"/>
      <c r="C31" s="197"/>
      <c r="D31" s="197"/>
      <c r="E31" s="197"/>
      <c r="F31" s="197"/>
      <c r="G31" s="197"/>
      <c r="H31" s="197"/>
      <c r="I31" s="197"/>
      <c r="J31" s="197"/>
      <c r="K31" s="197"/>
      <c r="L31" s="197"/>
      <c r="M31" s="197"/>
      <c r="N31" s="197"/>
      <c r="O31" s="197"/>
      <c r="P31" s="2562"/>
      <c r="Q31" s="197"/>
      <c r="R31" s="2562"/>
      <c r="S31" s="197"/>
      <c r="T31" s="197"/>
      <c r="U31" s="197"/>
      <c r="V31" s="197"/>
      <c r="W31" s="197"/>
      <c r="X31" s="197"/>
      <c r="Y31" s="197"/>
      <c r="Z31" s="197"/>
      <c r="AA31" s="2562"/>
      <c r="AB31" s="2562"/>
      <c r="AC31" s="2562"/>
      <c r="AD31" s="2562"/>
      <c r="AE31" s="2562"/>
      <c r="AF31" s="2562"/>
      <c r="AG31" s="2562"/>
      <c r="AH31" s="2562"/>
      <c r="AI31" s="2562"/>
      <c r="AJ31" s="2562"/>
    </row>
    <row r="32" spans="1:36" ht="24" customHeight="1">
      <c r="A32" s="197"/>
      <c r="B32" s="197"/>
      <c r="C32" s="197"/>
      <c r="D32" s="197"/>
      <c r="E32" s="197"/>
      <c r="F32" s="197"/>
      <c r="G32" s="197"/>
      <c r="H32" s="197"/>
      <c r="I32" s="197"/>
      <c r="J32" s="197"/>
      <c r="K32" s="197"/>
      <c r="L32" s="197"/>
      <c r="M32" s="197"/>
      <c r="N32" s="197"/>
      <c r="O32" s="197"/>
      <c r="P32" s="2562"/>
      <c r="Q32" s="197"/>
      <c r="R32" s="2562"/>
      <c r="S32" s="197"/>
      <c r="T32" s="197"/>
      <c r="U32" s="197"/>
      <c r="V32" s="197"/>
      <c r="W32" s="197"/>
      <c r="X32" s="197"/>
      <c r="Y32" s="197"/>
      <c r="Z32" s="197"/>
      <c r="AA32" s="2562"/>
      <c r="AB32" s="2562"/>
      <c r="AC32" s="2562"/>
      <c r="AD32" s="2562"/>
      <c r="AE32" s="2562"/>
      <c r="AF32" s="2562"/>
      <c r="AG32" s="2562"/>
      <c r="AH32" s="2562"/>
      <c r="AI32" s="2562"/>
      <c r="AJ32" s="2562"/>
    </row>
  </sheetData>
  <sheetProtection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16" priority="4" operator="equal">
      <formula>0</formula>
    </cfRule>
  </conditionalFormatting>
  <conditionalFormatting sqref="Q18:Q22">
    <cfRule type="cellIs" dxfId="115" priority="1" operator="equal">
      <formula>0</formula>
    </cfRule>
  </conditionalFormatting>
  <dataValidations count="1">
    <dataValidation type="custom" allowBlank="1" showErrorMessage="1" errorTitle="Input Error" error="Please enter a numeric value." sqref="E26:I26 E10:I14 E18:I22"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Normal="100" zoomScaleSheetLayoutView="100" workbookViewId="0">
      <selection activeCell="G18" sqref="G18"/>
    </sheetView>
  </sheetViews>
  <sheetFormatPr defaultColWidth="9" defaultRowHeight="24" customHeight="1"/>
  <cols>
    <col min="1" max="1" width="1.58203125" style="220" customWidth="1"/>
    <col min="2" max="2" width="45.58203125" style="220" bestFit="1" customWidth="1"/>
    <col min="3" max="3" width="5.5" style="220" bestFit="1" customWidth="1"/>
    <col min="4" max="4" width="5" style="220" bestFit="1" customWidth="1"/>
    <col min="5" max="5" width="10.08203125" style="220" bestFit="1" customWidth="1"/>
    <col min="6" max="6" width="9.08203125" style="220" bestFit="1" customWidth="1"/>
    <col min="7" max="7" width="11.58203125" style="220" bestFit="1" customWidth="1"/>
    <col min="8" max="8" width="6.08203125" style="220" bestFit="1" customWidth="1"/>
    <col min="9" max="9" width="1.58203125" style="220" customWidth="1"/>
    <col min="10" max="10" width="9.58203125" style="220" bestFit="1" customWidth="1"/>
    <col min="11" max="11" width="1.58203125" style="220" customWidth="1"/>
    <col min="12" max="12" width="47.58203125" style="220" bestFit="1" customWidth="1"/>
    <col min="13" max="14" width="1.58203125" style="220" customWidth="1"/>
    <col min="15" max="15" width="19.58203125" style="220" bestFit="1" customWidth="1"/>
    <col min="16" max="16" width="1.58203125" style="220" customWidth="1"/>
    <col min="17" max="17" width="19.58203125" style="220" hidden="1" customWidth="1"/>
    <col min="18" max="19" width="2.08203125" style="220" hidden="1" customWidth="1"/>
    <col min="20" max="20" width="5.58203125" style="220" hidden="1" customWidth="1"/>
    <col min="21" max="22" width="1.58203125" style="220" hidden="1" customWidth="1"/>
    <col min="23" max="23" width="45.58203125" style="220" bestFit="1" customWidth="1"/>
    <col min="24" max="27" width="21.08203125" style="220" bestFit="1" customWidth="1"/>
    <col min="28" max="28" width="1.58203125" style="220" customWidth="1"/>
    <col min="29" max="16384" width="9" style="220"/>
  </cols>
  <sheetData>
    <row r="1" spans="1:28" s="351" customFormat="1" ht="29.25" customHeight="1">
      <c r="B1" s="2853" t="s">
        <v>9176</v>
      </c>
      <c r="C1" s="2853"/>
      <c r="D1" s="2853"/>
      <c r="E1" s="2853"/>
      <c r="F1" s="2853"/>
      <c r="G1" s="2853"/>
      <c r="H1" s="2853"/>
      <c r="I1" s="490"/>
      <c r="J1" s="229"/>
      <c r="K1" s="229"/>
      <c r="L1" s="229"/>
      <c r="M1" s="229"/>
      <c r="N1" s="722"/>
      <c r="P1" s="722"/>
      <c r="U1" s="722"/>
      <c r="W1" s="2853" t="s">
        <v>1887</v>
      </c>
      <c r="X1" s="2853"/>
      <c r="Y1" s="2853"/>
      <c r="Z1" s="2853"/>
      <c r="AA1" s="2853"/>
      <c r="AB1" s="490"/>
    </row>
    <row r="2" spans="1:28" s="351" customFormat="1" ht="29.25" customHeight="1">
      <c r="B2" s="2853" t="str">
        <f>SelectCompany!B4</f>
        <v>Yorkshire Water</v>
      </c>
      <c r="C2" s="2853"/>
      <c r="D2" s="2853"/>
      <c r="E2" s="2853"/>
      <c r="F2" s="2853"/>
      <c r="G2" s="2853"/>
      <c r="H2" s="2853"/>
      <c r="I2" s="490"/>
      <c r="J2" s="229"/>
      <c r="K2" s="229"/>
      <c r="L2" s="229"/>
      <c r="M2" s="229"/>
      <c r="N2" s="722"/>
      <c r="P2" s="722"/>
      <c r="U2" s="722"/>
      <c r="W2" s="2853"/>
      <c r="X2" s="2853"/>
      <c r="Y2" s="2853"/>
      <c r="Z2" s="2853"/>
      <c r="AA2" s="2853"/>
      <c r="AB2" s="490"/>
    </row>
    <row r="3" spans="1:28" ht="44.25" customHeight="1">
      <c r="A3" s="2562"/>
      <c r="B3" s="2781" t="s">
        <v>9177</v>
      </c>
      <c r="C3" s="2781"/>
      <c r="D3" s="2781"/>
      <c r="E3" s="2781"/>
      <c r="F3" s="2781"/>
      <c r="G3" s="2781"/>
      <c r="H3" s="2781"/>
      <c r="I3" s="2781"/>
      <c r="J3" s="2781"/>
      <c r="K3" s="2781"/>
      <c r="L3" s="2781"/>
      <c r="M3" s="229"/>
      <c r="N3" s="2578"/>
      <c r="O3" s="554" t="s">
        <v>1889</v>
      </c>
      <c r="P3" s="2578"/>
      <c r="Q3" s="2562"/>
      <c r="R3" s="2562"/>
      <c r="S3" s="2562"/>
      <c r="T3" s="2562"/>
      <c r="U3" s="2578"/>
      <c r="V3" s="2562"/>
      <c r="W3" s="2781" t="s">
        <v>9178</v>
      </c>
      <c r="X3" s="2781"/>
      <c r="Y3" s="2781"/>
      <c r="Z3" s="2781"/>
      <c r="AA3" s="2781"/>
      <c r="AB3" s="608"/>
    </row>
    <row r="4" spans="1:28" ht="14.25" customHeight="1" thickBot="1">
      <c r="A4" s="2562"/>
      <c r="B4" s="594"/>
      <c r="C4" s="594"/>
      <c r="D4" s="594"/>
      <c r="E4" s="594"/>
      <c r="F4" s="594"/>
      <c r="G4" s="594"/>
      <c r="H4" s="594"/>
      <c r="I4" s="608"/>
      <c r="J4" s="229"/>
      <c r="K4" s="229"/>
      <c r="L4" s="229"/>
      <c r="M4" s="229"/>
      <c r="N4" s="2578"/>
      <c r="O4" s="2562"/>
      <c r="P4" s="2578"/>
      <c r="Q4" s="2562"/>
      <c r="R4" s="2562"/>
      <c r="S4" s="2562"/>
      <c r="T4" s="2562"/>
      <c r="U4" s="2578"/>
      <c r="V4" s="2562"/>
      <c r="W4" s="594"/>
      <c r="X4" s="594"/>
      <c r="Y4" s="594"/>
      <c r="Z4" s="594"/>
      <c r="AA4" s="594"/>
      <c r="AB4" s="608"/>
    </row>
    <row r="5" spans="1:28" ht="47.5" thickTop="1" thickBot="1">
      <c r="A5" s="197"/>
      <c r="B5" s="407" t="s">
        <v>1891</v>
      </c>
      <c r="C5" s="408" t="s">
        <v>1892</v>
      </c>
      <c r="D5" s="408" t="s">
        <v>136</v>
      </c>
      <c r="E5" s="408" t="s">
        <v>2828</v>
      </c>
      <c r="F5" s="408" t="s">
        <v>3654</v>
      </c>
      <c r="G5" s="408" t="s">
        <v>3508</v>
      </c>
      <c r="H5" s="409" t="s">
        <v>2112</v>
      </c>
      <c r="I5" s="197"/>
      <c r="J5" s="411" t="s">
        <v>1896</v>
      </c>
      <c r="K5" s="444"/>
      <c r="L5" s="411" t="s">
        <v>1897</v>
      </c>
      <c r="M5" s="444"/>
      <c r="N5" s="2578"/>
      <c r="O5" s="785"/>
      <c r="P5" s="2578"/>
      <c r="Q5" s="2662" t="s">
        <v>1890</v>
      </c>
      <c r="R5" s="2852"/>
      <c r="S5" s="2852"/>
      <c r="T5" s="2852"/>
      <c r="U5" s="662"/>
      <c r="V5" s="1024"/>
      <c r="W5" s="407" t="s">
        <v>1891</v>
      </c>
      <c r="X5" s="408" t="s">
        <v>2828</v>
      </c>
      <c r="Y5" s="408" t="s">
        <v>3654</v>
      </c>
      <c r="Z5" s="408" t="s">
        <v>3508</v>
      </c>
      <c r="AA5" s="409" t="s">
        <v>2112</v>
      </c>
      <c r="AB5" s="2562"/>
    </row>
    <row r="6" spans="1:28" s="197" customFormat="1" ht="15.75" customHeight="1" thickTop="1" thickBot="1">
      <c r="B6" s="1025"/>
      <c r="C6" s="1025"/>
      <c r="D6" s="1025"/>
      <c r="E6" s="596"/>
      <c r="F6" s="596"/>
      <c r="G6" s="596"/>
      <c r="H6" s="596"/>
      <c r="I6" s="200"/>
      <c r="J6" s="596"/>
      <c r="K6" s="596"/>
      <c r="L6" s="596"/>
      <c r="M6" s="596"/>
      <c r="N6" s="725"/>
      <c r="P6" s="725"/>
      <c r="Q6" s="236" t="s">
        <v>1898</v>
      </c>
      <c r="U6" s="725"/>
      <c r="W6" s="1025"/>
      <c r="X6" s="596"/>
      <c r="Y6" s="596"/>
      <c r="Z6" s="596"/>
      <c r="AA6" s="596"/>
      <c r="AB6" s="609"/>
    </row>
    <row r="7" spans="1:28" s="197" customFormat="1" ht="15.75" customHeight="1" thickTop="1" thickBot="1">
      <c r="B7" s="355" t="s">
        <v>1692</v>
      </c>
      <c r="C7" s="356"/>
      <c r="D7" s="356"/>
      <c r="E7" s="444"/>
      <c r="F7" s="444"/>
      <c r="G7" s="897"/>
      <c r="H7" s="893"/>
      <c r="I7" s="893"/>
      <c r="J7" s="899"/>
      <c r="K7" s="900"/>
      <c r="L7" s="900"/>
      <c r="M7" s="900"/>
      <c r="N7" s="725"/>
      <c r="P7" s="725"/>
      <c r="U7" s="725"/>
      <c r="W7" s="355" t="s">
        <v>1692</v>
      </c>
    </row>
    <row r="8" spans="1:28" s="197" customFormat="1" ht="15.75" customHeight="1" thickTop="1">
      <c r="B8" s="413" t="s">
        <v>9179</v>
      </c>
      <c r="C8" s="244" t="s">
        <v>137</v>
      </c>
      <c r="D8" s="244">
        <v>3</v>
      </c>
      <c r="E8" s="245">
        <v>0</v>
      </c>
      <c r="F8" s="245">
        <v>1.1459999999999999</v>
      </c>
      <c r="G8" s="245">
        <v>2E-3</v>
      </c>
      <c r="H8" s="247">
        <f>IFERROR(SUM(E8:G8), 0)</f>
        <v>1.1479999999999999</v>
      </c>
      <c r="I8" s="893"/>
      <c r="J8" s="935" t="s">
        <v>9180</v>
      </c>
      <c r="K8" s="174"/>
      <c r="L8" s="250"/>
      <c r="M8" s="174"/>
      <c r="N8" s="725"/>
      <c r="O8" s="251">
        <f>IF(SUM(Q8:T8 ) = 0, 0, $Q$6 )</f>
        <v>0</v>
      </c>
      <c r="P8" s="725"/>
      <c r="Q8" s="252">
        <f t="shared" ref="Q8:Q10" si="0" xml:space="preserve"> IF( ISNUMBER(E8), 0, 1 )</f>
        <v>0</v>
      </c>
      <c r="R8" s="252">
        <f t="shared" ref="R8:R10" si="1" xml:space="preserve"> IF( ISNUMBER(F8), 0, 1 )</f>
        <v>0</v>
      </c>
      <c r="S8" s="252">
        <f t="shared" ref="S8:S10" si="2" xml:space="preserve"> IF( ISNUMBER(G8), 0, 1 )</f>
        <v>0</v>
      </c>
      <c r="U8" s="725"/>
      <c r="W8" s="413" t="s">
        <v>9179</v>
      </c>
      <c r="X8" s="245" t="s">
        <v>1251</v>
      </c>
      <c r="Y8" s="245" t="s">
        <v>1252</v>
      </c>
      <c r="Z8" s="245" t="s">
        <v>1253</v>
      </c>
      <c r="AA8" s="247" t="s">
        <v>1254</v>
      </c>
    </row>
    <row r="9" spans="1:28" s="197" customFormat="1" ht="31">
      <c r="B9" s="422" t="s">
        <v>9181</v>
      </c>
      <c r="C9" s="253" t="s">
        <v>137</v>
      </c>
      <c r="D9" s="253">
        <v>3</v>
      </c>
      <c r="E9" s="254">
        <v>0</v>
      </c>
      <c r="F9" s="254">
        <v>0.53700000000000003</v>
      </c>
      <c r="G9" s="254">
        <v>0</v>
      </c>
      <c r="H9" s="256">
        <f>IFERROR(SUM(E9:G9), 0)</f>
        <v>0.53700000000000003</v>
      </c>
      <c r="I9" s="893"/>
      <c r="J9" s="936" t="s">
        <v>9182</v>
      </c>
      <c r="K9" s="174"/>
      <c r="L9" s="258"/>
      <c r="M9" s="174"/>
      <c r="N9" s="725"/>
      <c r="O9" s="251">
        <f t="shared" ref="O9:O10" si="3">IF(SUM(Q9:T9 ) = 0, 0, $Q$6 )</f>
        <v>0</v>
      </c>
      <c r="P9" s="725"/>
      <c r="Q9" s="252">
        <f t="shared" si="0"/>
        <v>0</v>
      </c>
      <c r="R9" s="252">
        <f t="shared" si="1"/>
        <v>0</v>
      </c>
      <c r="S9" s="252">
        <f t="shared" si="2"/>
        <v>0</v>
      </c>
      <c r="U9" s="725"/>
      <c r="W9" s="422" t="s">
        <v>9181</v>
      </c>
      <c r="X9" s="254" t="s">
        <v>1255</v>
      </c>
      <c r="Y9" s="254" t="s">
        <v>1256</v>
      </c>
      <c r="Z9" s="254" t="s">
        <v>1257</v>
      </c>
      <c r="AA9" s="256" t="s">
        <v>1258</v>
      </c>
    </row>
    <row r="10" spans="1:28" s="197" customFormat="1" ht="15.75" customHeight="1">
      <c r="B10" s="422" t="s">
        <v>9183</v>
      </c>
      <c r="C10" s="253" t="s">
        <v>137</v>
      </c>
      <c r="D10" s="253">
        <v>3</v>
      </c>
      <c r="E10" s="254">
        <v>0</v>
      </c>
      <c r="F10" s="254">
        <v>0</v>
      </c>
      <c r="G10" s="254">
        <v>0</v>
      </c>
      <c r="H10" s="256">
        <f>IFERROR(SUM(E10:G10), 0)</f>
        <v>0</v>
      </c>
      <c r="I10" s="893"/>
      <c r="J10" s="936" t="s">
        <v>9184</v>
      </c>
      <c r="K10" s="174"/>
      <c r="L10" s="258"/>
      <c r="M10" s="174"/>
      <c r="N10" s="725"/>
      <c r="O10" s="251">
        <f t="shared" si="3"/>
        <v>0</v>
      </c>
      <c r="P10" s="725"/>
      <c r="Q10" s="252">
        <f t="shared" si="0"/>
        <v>0</v>
      </c>
      <c r="R10" s="252">
        <f t="shared" si="1"/>
        <v>0</v>
      </c>
      <c r="S10" s="252">
        <f t="shared" si="2"/>
        <v>0</v>
      </c>
      <c r="U10" s="725"/>
      <c r="W10" s="422" t="s">
        <v>9183</v>
      </c>
      <c r="X10" s="254" t="s">
        <v>1259</v>
      </c>
      <c r="Y10" s="254" t="s">
        <v>1260</v>
      </c>
      <c r="Z10" s="254" t="s">
        <v>1261</v>
      </c>
      <c r="AA10" s="256" t="s">
        <v>1262</v>
      </c>
    </row>
    <row r="11" spans="1:28" s="197" customFormat="1" ht="15.75" customHeight="1" thickBot="1">
      <c r="B11" s="425" t="s">
        <v>9185</v>
      </c>
      <c r="C11" s="319" t="s">
        <v>137</v>
      </c>
      <c r="D11" s="319">
        <v>3</v>
      </c>
      <c r="E11" s="265">
        <f>IFERROR(SUM(E8:E10), 0)</f>
        <v>0</v>
      </c>
      <c r="F11" s="265">
        <f t="shared" ref="F11:G11" si="4">IFERROR(SUM(F8:F10), 0)</f>
        <v>1.6829999999999998</v>
      </c>
      <c r="G11" s="265">
        <f t="shared" si="4"/>
        <v>2E-3</v>
      </c>
      <c r="H11" s="266">
        <f>IFERROR(SUM(E11:G11), 0)</f>
        <v>1.6849999999999998</v>
      </c>
      <c r="I11" s="893"/>
      <c r="J11" s="938" t="s">
        <v>9186</v>
      </c>
      <c r="K11" s="174"/>
      <c r="L11" s="269"/>
      <c r="M11" s="174"/>
      <c r="N11" s="725"/>
      <c r="P11" s="725"/>
      <c r="U11" s="725"/>
      <c r="W11" s="425" t="s">
        <v>9185</v>
      </c>
      <c r="X11" s="265" t="s">
        <v>1263</v>
      </c>
      <c r="Y11" s="265" t="s">
        <v>1264</v>
      </c>
      <c r="Z11" s="265" t="s">
        <v>1265</v>
      </c>
      <c r="AA11" s="266" t="s">
        <v>1266</v>
      </c>
    </row>
    <row r="12" spans="1:28" ht="9" customHeight="1" thickTop="1">
      <c r="A12" s="197"/>
      <c r="B12" s="106"/>
      <c r="C12" s="106"/>
      <c r="D12" s="106"/>
      <c r="E12" s="106"/>
      <c r="F12" s="106"/>
      <c r="G12" s="106"/>
      <c r="H12" s="106"/>
      <c r="I12" s="197"/>
      <c r="J12" s="197"/>
      <c r="K12" s="197"/>
      <c r="L12" s="197"/>
      <c r="M12" s="197"/>
      <c r="N12" s="725"/>
      <c r="O12" s="197"/>
      <c r="P12" s="725"/>
      <c r="Q12" s="197"/>
      <c r="R12" s="197"/>
      <c r="S12" s="197"/>
      <c r="T12" s="197"/>
      <c r="U12" s="2562"/>
      <c r="V12" s="2562"/>
      <c r="W12" s="106"/>
      <c r="X12" s="106"/>
      <c r="Y12" s="106"/>
      <c r="Z12" s="106"/>
      <c r="AA12" s="106"/>
      <c r="AB12" s="2562"/>
    </row>
    <row r="13" spans="1:28" s="197" customFormat="1" ht="15.75" customHeight="1" thickBot="1">
      <c r="B13" s="1025"/>
      <c r="C13" s="1025"/>
      <c r="D13" s="1025"/>
      <c r="E13" s="596"/>
      <c r="F13" s="596"/>
      <c r="G13" s="596"/>
      <c r="H13" s="596"/>
      <c r="I13" s="200"/>
      <c r="J13" s="596"/>
      <c r="K13" s="596"/>
      <c r="L13" s="596"/>
      <c r="M13" s="596"/>
      <c r="N13" s="725"/>
      <c r="P13" s="725"/>
      <c r="Q13" s="236"/>
      <c r="U13" s="725"/>
      <c r="W13" s="1025"/>
      <c r="X13" s="596"/>
      <c r="Y13" s="596"/>
      <c r="Z13" s="596"/>
      <c r="AA13" s="596"/>
    </row>
    <row r="14" spans="1:28" s="197" customFormat="1" ht="15.75" customHeight="1" thickTop="1" thickBot="1">
      <c r="B14" s="355" t="s">
        <v>1693</v>
      </c>
      <c r="C14" s="356"/>
      <c r="D14" s="356"/>
      <c r="E14" s="444"/>
      <c r="F14" s="444"/>
      <c r="G14" s="897"/>
      <c r="H14" s="893"/>
      <c r="I14" s="893"/>
      <c r="J14" s="900"/>
      <c r="K14" s="900"/>
      <c r="L14" s="900"/>
      <c r="M14" s="900"/>
      <c r="N14" s="725"/>
      <c r="P14" s="725"/>
      <c r="U14" s="725"/>
      <c r="W14" s="355" t="s">
        <v>1693</v>
      </c>
      <c r="X14" s="444"/>
      <c r="Y14" s="444"/>
      <c r="Z14" s="897"/>
      <c r="AA14" s="893"/>
    </row>
    <row r="15" spans="1:28" s="197" customFormat="1" ht="15.75" customHeight="1" thickTop="1">
      <c r="B15" s="413" t="s">
        <v>9187</v>
      </c>
      <c r="C15" s="244" t="s">
        <v>137</v>
      </c>
      <c r="D15" s="244">
        <v>3</v>
      </c>
      <c r="E15" s="245">
        <v>0</v>
      </c>
      <c r="F15" s="245">
        <v>0</v>
      </c>
      <c r="G15" s="245">
        <v>0</v>
      </c>
      <c r="H15" s="247">
        <f>IFERROR(SUM(E15:G15), 0)</f>
        <v>0</v>
      </c>
      <c r="I15" s="893"/>
      <c r="J15" s="935" t="s">
        <v>9188</v>
      </c>
      <c r="K15" s="174"/>
      <c r="L15" s="250"/>
      <c r="M15" s="174"/>
      <c r="N15" s="725"/>
      <c r="O15" s="251">
        <f>IF(SUM(Q15:T15 ) = 0, 0, $Q$6 )</f>
        <v>0</v>
      </c>
      <c r="P15" s="725"/>
      <c r="Q15" s="252">
        <f t="shared" ref="Q15:Q17" si="5" xml:space="preserve"> IF( ISNUMBER(E15), 0, 1 )</f>
        <v>0</v>
      </c>
      <c r="R15" s="252">
        <f t="shared" ref="R15:R17" si="6" xml:space="preserve"> IF( ISNUMBER(F15), 0, 1 )</f>
        <v>0</v>
      </c>
      <c r="S15" s="252">
        <f t="shared" ref="S15:S17" si="7" xml:space="preserve"> IF( ISNUMBER(G15), 0, 1 )</f>
        <v>0</v>
      </c>
      <c r="U15" s="725"/>
      <c r="W15" s="413" t="s">
        <v>9187</v>
      </c>
      <c r="X15" s="245" t="s">
        <v>1267</v>
      </c>
      <c r="Y15" s="245" t="s">
        <v>1268</v>
      </c>
      <c r="Z15" s="245" t="s">
        <v>1269</v>
      </c>
      <c r="AA15" s="247" t="s">
        <v>1270</v>
      </c>
    </row>
    <row r="16" spans="1:28" s="197" customFormat="1" ht="31">
      <c r="B16" s="422" t="s">
        <v>9189</v>
      </c>
      <c r="C16" s="253" t="s">
        <v>137</v>
      </c>
      <c r="D16" s="253">
        <v>3</v>
      </c>
      <c r="E16" s="254">
        <v>0</v>
      </c>
      <c r="F16" s="254">
        <v>0</v>
      </c>
      <c r="G16" s="254">
        <v>0</v>
      </c>
      <c r="H16" s="256">
        <f>IFERROR(SUM(E16:G16), 0)</f>
        <v>0</v>
      </c>
      <c r="I16" s="893"/>
      <c r="J16" s="936" t="s">
        <v>9190</v>
      </c>
      <c r="K16" s="174"/>
      <c r="L16" s="258"/>
      <c r="M16" s="174"/>
      <c r="N16" s="725"/>
      <c r="O16" s="251">
        <f t="shared" ref="O16:O17" si="8">IF(SUM(Q16:T16 ) = 0, 0, $Q$6 )</f>
        <v>0</v>
      </c>
      <c r="P16" s="725"/>
      <c r="Q16" s="252">
        <f t="shared" si="5"/>
        <v>0</v>
      </c>
      <c r="R16" s="252">
        <f t="shared" si="6"/>
        <v>0</v>
      </c>
      <c r="S16" s="252">
        <f t="shared" si="7"/>
        <v>0</v>
      </c>
      <c r="U16" s="725"/>
      <c r="W16" s="422" t="s">
        <v>9189</v>
      </c>
      <c r="X16" s="254" t="s">
        <v>1271</v>
      </c>
      <c r="Y16" s="254" t="s">
        <v>1272</v>
      </c>
      <c r="Z16" s="254" t="s">
        <v>1273</v>
      </c>
      <c r="AA16" s="256" t="s">
        <v>1274</v>
      </c>
    </row>
    <row r="17" spans="1:28" s="197" customFormat="1" ht="15.75" customHeight="1">
      <c r="B17" s="422" t="s">
        <v>9191</v>
      </c>
      <c r="C17" s="253" t="s">
        <v>137</v>
      </c>
      <c r="D17" s="253">
        <v>3</v>
      </c>
      <c r="E17" s="254">
        <v>0</v>
      </c>
      <c r="F17" s="254">
        <v>0</v>
      </c>
      <c r="G17" s="254">
        <v>0</v>
      </c>
      <c r="H17" s="256">
        <f>IFERROR(SUM(E17:G17), 0)</f>
        <v>0</v>
      </c>
      <c r="I17" s="893"/>
      <c r="J17" s="936" t="s">
        <v>9192</v>
      </c>
      <c r="K17" s="174"/>
      <c r="L17" s="258"/>
      <c r="M17" s="174"/>
      <c r="N17" s="725"/>
      <c r="O17" s="251">
        <f t="shared" si="8"/>
        <v>0</v>
      </c>
      <c r="P17" s="725"/>
      <c r="Q17" s="252">
        <f t="shared" si="5"/>
        <v>0</v>
      </c>
      <c r="R17" s="252">
        <f t="shared" si="6"/>
        <v>0</v>
      </c>
      <c r="S17" s="252">
        <f t="shared" si="7"/>
        <v>0</v>
      </c>
      <c r="U17" s="725"/>
      <c r="W17" s="422" t="s">
        <v>9191</v>
      </c>
      <c r="X17" s="254" t="s">
        <v>1275</v>
      </c>
      <c r="Y17" s="254" t="s">
        <v>1276</v>
      </c>
      <c r="Z17" s="254" t="s">
        <v>1277</v>
      </c>
      <c r="AA17" s="256" t="s">
        <v>1278</v>
      </c>
    </row>
    <row r="18" spans="1:28" s="197" customFormat="1" ht="15.75" customHeight="1" thickBot="1">
      <c r="B18" s="425" t="s">
        <v>9193</v>
      </c>
      <c r="C18" s="319" t="s">
        <v>137</v>
      </c>
      <c r="D18" s="319">
        <v>3</v>
      </c>
      <c r="E18" s="265">
        <f>IFERROR(SUM(E15:E17), 0)</f>
        <v>0</v>
      </c>
      <c r="F18" s="265">
        <f t="shared" ref="F18:G18" si="9">IFERROR(SUM(F15:F17), 0)</f>
        <v>0</v>
      </c>
      <c r="G18" s="265">
        <f t="shared" si="9"/>
        <v>0</v>
      </c>
      <c r="H18" s="266">
        <f>IFERROR(SUM(E18:G18), 0)</f>
        <v>0</v>
      </c>
      <c r="I18" s="893"/>
      <c r="J18" s="938" t="s">
        <v>9194</v>
      </c>
      <c r="K18" s="174"/>
      <c r="L18" s="269"/>
      <c r="M18" s="174"/>
      <c r="N18" s="725"/>
      <c r="P18" s="725"/>
      <c r="U18" s="725"/>
      <c r="W18" s="425" t="s">
        <v>9193</v>
      </c>
      <c r="X18" s="265" t="s">
        <v>1279</v>
      </c>
      <c r="Y18" s="265" t="s">
        <v>1280</v>
      </c>
      <c r="Z18" s="265" t="s">
        <v>1281</v>
      </c>
      <c r="AA18" s="266" t="s">
        <v>1282</v>
      </c>
    </row>
    <row r="19" spans="1:28" ht="9" customHeight="1" thickTop="1" thickBot="1">
      <c r="A19" s="197"/>
      <c r="B19" s="106"/>
      <c r="C19" s="106"/>
      <c r="D19" s="106"/>
      <c r="E19" s="106"/>
      <c r="F19" s="106"/>
      <c r="G19" s="106"/>
      <c r="H19" s="106"/>
      <c r="I19" s="197"/>
      <c r="J19" s="197"/>
      <c r="K19" s="197"/>
      <c r="L19" s="197"/>
      <c r="M19" s="197"/>
      <c r="N19" s="725"/>
      <c r="O19" s="197"/>
      <c r="P19" s="725"/>
      <c r="Q19" s="197"/>
      <c r="R19" s="197"/>
      <c r="S19" s="197"/>
      <c r="T19" s="197"/>
      <c r="U19" s="2562"/>
      <c r="V19" s="2562"/>
      <c r="W19" s="106"/>
      <c r="X19" s="324"/>
      <c r="Y19" s="324"/>
      <c r="Z19" s="324"/>
      <c r="AA19" s="324"/>
      <c r="AB19" s="2562"/>
    </row>
    <row r="20" spans="1:28" s="197" customFormat="1" ht="15.75" customHeight="1" thickTop="1" thickBot="1">
      <c r="B20" s="355" t="s">
        <v>1694</v>
      </c>
      <c r="C20" s="356"/>
      <c r="D20" s="356"/>
      <c r="E20" s="444"/>
      <c r="F20" s="444"/>
      <c r="G20" s="897"/>
      <c r="H20" s="893"/>
      <c r="I20" s="893"/>
      <c r="J20" s="900"/>
      <c r="K20" s="900"/>
      <c r="L20" s="900"/>
      <c r="M20" s="900"/>
      <c r="N20" s="725"/>
      <c r="P20" s="725"/>
      <c r="U20" s="725"/>
      <c r="W20" s="355" t="s">
        <v>1694</v>
      </c>
      <c r="X20" s="444"/>
      <c r="Y20" s="444"/>
      <c r="Z20" s="897"/>
      <c r="AA20" s="893"/>
      <c r="AB20" s="893"/>
    </row>
    <row r="21" spans="1:28" s="197" customFormat="1" ht="15.75" customHeight="1" thickTop="1">
      <c r="B21" s="413" t="s">
        <v>9195</v>
      </c>
      <c r="C21" s="244" t="s">
        <v>137</v>
      </c>
      <c r="D21" s="244">
        <v>3</v>
      </c>
      <c r="E21" s="2256">
        <f>E8+E15</f>
        <v>0</v>
      </c>
      <c r="F21" s="2256">
        <f t="shared" ref="F21:G21" si="10">F8+F15</f>
        <v>1.1459999999999999</v>
      </c>
      <c r="G21" s="2256">
        <f t="shared" si="10"/>
        <v>2E-3</v>
      </c>
      <c r="H21" s="2257">
        <f>IFERROR(SUM(E21:G21), 0)</f>
        <v>1.1479999999999999</v>
      </c>
      <c r="I21" s="893"/>
      <c r="J21" s="935" t="s">
        <v>9196</v>
      </c>
      <c r="K21" s="174"/>
      <c r="L21" s="250"/>
      <c r="M21" s="174"/>
      <c r="N21" s="725"/>
      <c r="O21" s="251">
        <f>IF(SUM(Q21:T21 ) = 0, 0, $Q$6 )</f>
        <v>0</v>
      </c>
      <c r="P21" s="725"/>
      <c r="Q21" s="252">
        <f t="shared" ref="Q21" si="11" xml:space="preserve"> IF( ISNUMBER(E21), 0, 1 )</f>
        <v>0</v>
      </c>
      <c r="R21" s="252">
        <f t="shared" ref="R21:R23" si="12" xml:space="preserve"> IF( ISNUMBER(F21), 0, 1 )</f>
        <v>0</v>
      </c>
      <c r="S21" s="252">
        <f t="shared" ref="S21:S23" si="13" xml:space="preserve"> IF( ISNUMBER(G21), 0, 1 )</f>
        <v>0</v>
      </c>
      <c r="U21" s="725"/>
      <c r="W21" s="413" t="s">
        <v>9195</v>
      </c>
      <c r="X21" s="245" t="s">
        <v>9197</v>
      </c>
      <c r="Y21" s="245" t="s">
        <v>9198</v>
      </c>
      <c r="Z21" s="245" t="s">
        <v>9199</v>
      </c>
      <c r="AA21" s="247" t="s">
        <v>9200</v>
      </c>
      <c r="AB21" s="893"/>
    </row>
    <row r="22" spans="1:28" s="197" customFormat="1" ht="31">
      <c r="B22" s="422" t="s">
        <v>9201</v>
      </c>
      <c r="C22" s="253" t="s">
        <v>137</v>
      </c>
      <c r="D22" s="253">
        <v>3</v>
      </c>
      <c r="E22" s="2201">
        <f>E9+E16</f>
        <v>0</v>
      </c>
      <c r="F22" s="2201">
        <f t="shared" ref="F22:G22" si="14">F9+F16</f>
        <v>0.53700000000000003</v>
      </c>
      <c r="G22" s="2201">
        <f t="shared" si="14"/>
        <v>0</v>
      </c>
      <c r="H22" s="551">
        <f>IFERROR(SUM(E22:G22), 0)</f>
        <v>0.53700000000000003</v>
      </c>
      <c r="I22" s="893"/>
      <c r="J22" s="936" t="s">
        <v>9202</v>
      </c>
      <c r="K22" s="174"/>
      <c r="L22" s="258"/>
      <c r="M22" s="174"/>
      <c r="N22" s="725"/>
      <c r="O22" s="251">
        <f t="shared" ref="O22:O23" si="15">IF(SUM(Q22:T22 ) = 0, 0, $Q$6 )</f>
        <v>0</v>
      </c>
      <c r="P22" s="725"/>
      <c r="Q22" s="252">
        <f t="shared" ref="Q22:Q23" si="16" xml:space="preserve"> IF( ISNUMBER(E22), 0, 1 )</f>
        <v>0</v>
      </c>
      <c r="R22" s="252">
        <f t="shared" si="12"/>
        <v>0</v>
      </c>
      <c r="S22" s="252">
        <f t="shared" si="13"/>
        <v>0</v>
      </c>
      <c r="U22" s="725"/>
      <c r="W22" s="422" t="s">
        <v>9201</v>
      </c>
      <c r="X22" s="254" t="s">
        <v>9203</v>
      </c>
      <c r="Y22" s="254" t="s">
        <v>9204</v>
      </c>
      <c r="Z22" s="254" t="s">
        <v>9205</v>
      </c>
      <c r="AA22" s="256" t="s">
        <v>9206</v>
      </c>
      <c r="AB22" s="893"/>
    </row>
    <row r="23" spans="1:28" s="197" customFormat="1" ht="15.75" customHeight="1">
      <c r="B23" s="422" t="s">
        <v>9207</v>
      </c>
      <c r="C23" s="253" t="s">
        <v>137</v>
      </c>
      <c r="D23" s="253">
        <v>3</v>
      </c>
      <c r="E23" s="2201">
        <f>E10+E17</f>
        <v>0</v>
      </c>
      <c r="F23" s="2201">
        <f t="shared" ref="F23:G23" si="17">F10+F17</f>
        <v>0</v>
      </c>
      <c r="G23" s="2201">
        <f t="shared" si="17"/>
        <v>0</v>
      </c>
      <c r="H23" s="551">
        <f>IFERROR(SUM(E23:G23), 0)</f>
        <v>0</v>
      </c>
      <c r="I23" s="893"/>
      <c r="J23" s="936" t="s">
        <v>9208</v>
      </c>
      <c r="K23" s="174"/>
      <c r="L23" s="258"/>
      <c r="M23" s="174"/>
      <c r="N23" s="725"/>
      <c r="O23" s="251">
        <f t="shared" si="15"/>
        <v>0</v>
      </c>
      <c r="P23" s="725"/>
      <c r="Q23" s="252">
        <f t="shared" si="16"/>
        <v>0</v>
      </c>
      <c r="R23" s="252">
        <f t="shared" si="12"/>
        <v>0</v>
      </c>
      <c r="S23" s="252">
        <f t="shared" si="13"/>
        <v>0</v>
      </c>
      <c r="U23" s="725"/>
      <c r="W23" s="422" t="s">
        <v>9207</v>
      </c>
      <c r="X23" s="254" t="s">
        <v>9209</v>
      </c>
      <c r="Y23" s="254" t="s">
        <v>9210</v>
      </c>
      <c r="Z23" s="254" t="s">
        <v>9211</v>
      </c>
      <c r="AA23" s="256" t="s">
        <v>9212</v>
      </c>
      <c r="AB23" s="893"/>
    </row>
    <row r="24" spans="1:28" s="197" customFormat="1" ht="15.75" customHeight="1" thickBot="1">
      <c r="B24" s="425" t="s">
        <v>9213</v>
      </c>
      <c r="C24" s="319" t="s">
        <v>137</v>
      </c>
      <c r="D24" s="319">
        <v>3</v>
      </c>
      <c r="E24" s="612">
        <f>IFERROR(SUM(E21:E23), 0)</f>
        <v>0</v>
      </c>
      <c r="F24" s="612">
        <f t="shared" ref="F24:G24" si="18">IFERROR(SUM(F21:F23), 0)</f>
        <v>1.6829999999999998</v>
      </c>
      <c r="G24" s="612">
        <f t="shared" si="18"/>
        <v>2E-3</v>
      </c>
      <c r="H24" s="618">
        <f>IFERROR(SUM(E24:G24), 0)</f>
        <v>1.6849999999999998</v>
      </c>
      <c r="I24" s="893"/>
      <c r="J24" s="938" t="s">
        <v>9214</v>
      </c>
      <c r="K24" s="174"/>
      <c r="L24" s="269"/>
      <c r="M24" s="174"/>
      <c r="N24" s="725"/>
      <c r="P24" s="725"/>
      <c r="U24" s="725"/>
      <c r="W24" s="425" t="s">
        <v>9213</v>
      </c>
      <c r="X24" s="265" t="s">
        <v>9215</v>
      </c>
      <c r="Y24" s="265" t="s">
        <v>9216</v>
      </c>
      <c r="Z24" s="265" t="s">
        <v>9217</v>
      </c>
      <c r="AA24" s="266" t="s">
        <v>9218</v>
      </c>
      <c r="AB24" s="893"/>
    </row>
    <row r="25" spans="1:28" ht="9" customHeight="1" thickTop="1">
      <c r="A25" s="197"/>
      <c r="B25" s="106"/>
      <c r="C25" s="106"/>
      <c r="D25" s="106"/>
      <c r="E25" s="106"/>
      <c r="F25" s="106"/>
      <c r="G25" s="106"/>
      <c r="H25" s="106"/>
      <c r="I25" s="197"/>
      <c r="J25" s="197"/>
      <c r="K25" s="197"/>
      <c r="L25" s="197"/>
      <c r="M25" s="197"/>
      <c r="N25" s="2562"/>
      <c r="O25" s="197"/>
      <c r="P25" s="2562"/>
      <c r="Q25" s="197"/>
      <c r="R25" s="197"/>
      <c r="S25" s="197"/>
      <c r="T25" s="197"/>
      <c r="U25" s="2562"/>
      <c r="V25" s="2562"/>
      <c r="W25" s="324"/>
      <c r="X25" s="324"/>
      <c r="Y25" s="324"/>
      <c r="Z25" s="324"/>
      <c r="AA25" s="324"/>
      <c r="AB25" s="2562"/>
    </row>
    <row r="26" spans="1:28" ht="24" customHeight="1">
      <c r="A26" s="197"/>
      <c r="B26" s="197"/>
      <c r="C26" s="197"/>
      <c r="D26" s="197"/>
      <c r="E26" s="197"/>
      <c r="F26" s="197"/>
      <c r="G26" s="197"/>
      <c r="H26" s="197"/>
      <c r="I26" s="197"/>
      <c r="J26" s="197"/>
      <c r="K26" s="197"/>
      <c r="L26" s="197"/>
      <c r="M26" s="197"/>
      <c r="N26" s="2562"/>
      <c r="O26" s="197"/>
      <c r="P26" s="2562"/>
      <c r="Q26" s="197"/>
      <c r="R26" s="197"/>
      <c r="S26" s="197"/>
      <c r="T26" s="197"/>
      <c r="U26" s="2562"/>
      <c r="V26" s="2562"/>
      <c r="W26" s="2562"/>
      <c r="X26" s="2562"/>
      <c r="Y26" s="2562"/>
      <c r="Z26" s="2562"/>
      <c r="AA26" s="2562"/>
      <c r="AB26" s="2562"/>
    </row>
    <row r="27" spans="1:28" ht="24" customHeight="1">
      <c r="A27" s="197"/>
      <c r="B27" s="197"/>
      <c r="C27" s="197"/>
      <c r="D27" s="197"/>
      <c r="E27" s="197"/>
      <c r="F27" s="197"/>
      <c r="G27" s="197"/>
      <c r="H27" s="197"/>
      <c r="I27" s="197"/>
      <c r="J27" s="197"/>
      <c r="K27" s="197"/>
      <c r="L27" s="197"/>
      <c r="M27" s="197"/>
      <c r="N27" s="2562"/>
      <c r="O27" s="2562"/>
      <c r="P27" s="2562"/>
      <c r="Q27" s="197"/>
      <c r="R27" s="197"/>
      <c r="S27" s="197"/>
      <c r="T27" s="197"/>
      <c r="U27" s="2562"/>
      <c r="V27" s="2562"/>
      <c r="W27" s="2562"/>
      <c r="X27" s="2562"/>
      <c r="Y27" s="2562"/>
      <c r="Z27" s="2562"/>
      <c r="AA27" s="2562"/>
      <c r="AB27" s="2562"/>
    </row>
    <row r="28" spans="1:28" ht="24" customHeight="1">
      <c r="A28" s="197"/>
      <c r="B28" s="197"/>
      <c r="C28" s="197"/>
      <c r="D28" s="197"/>
      <c r="E28" s="197"/>
      <c r="F28" s="197"/>
      <c r="G28" s="197"/>
      <c r="H28" s="197"/>
      <c r="I28" s="197"/>
      <c r="J28" s="197"/>
      <c r="K28" s="197"/>
      <c r="L28" s="197"/>
      <c r="M28" s="197"/>
      <c r="N28" s="2562"/>
      <c r="O28" s="2562"/>
      <c r="P28" s="2562"/>
      <c r="Q28" s="2562"/>
      <c r="R28" s="2562"/>
      <c r="S28" s="2562"/>
      <c r="T28" s="2562"/>
      <c r="U28" s="2562"/>
      <c r="V28" s="2562"/>
      <c r="W28" s="2562"/>
      <c r="X28" s="2562"/>
      <c r="Y28" s="2562"/>
      <c r="Z28" s="2562"/>
      <c r="AA28" s="2562"/>
      <c r="AB28" s="2562"/>
    </row>
    <row r="29" spans="1:28" ht="24" customHeight="1">
      <c r="A29" s="197"/>
      <c r="B29" s="197"/>
      <c r="C29" s="197"/>
      <c r="D29" s="197"/>
      <c r="E29" s="197"/>
      <c r="F29" s="197"/>
      <c r="G29" s="197"/>
      <c r="H29" s="197"/>
      <c r="I29" s="197"/>
      <c r="J29" s="197"/>
      <c r="K29" s="197"/>
      <c r="L29" s="197"/>
      <c r="M29" s="197"/>
      <c r="N29" s="2562"/>
      <c r="O29" s="2562"/>
      <c r="P29" s="2562"/>
      <c r="Q29" s="2562"/>
      <c r="R29" s="2562"/>
      <c r="S29" s="2562"/>
      <c r="T29" s="2562"/>
      <c r="U29" s="2562"/>
      <c r="V29" s="2562"/>
      <c r="W29" s="2562"/>
      <c r="X29" s="2562"/>
      <c r="Y29" s="2562"/>
      <c r="Z29" s="2562"/>
      <c r="AA29" s="2562"/>
      <c r="AB29" s="2562"/>
    </row>
  </sheetData>
  <sheetProtection formatColumns="0" formatRows="0"/>
  <mergeCells count="7">
    <mergeCell ref="Q5:T5"/>
    <mergeCell ref="B1:H1"/>
    <mergeCell ref="W1:AA1"/>
    <mergeCell ref="B2:H2"/>
    <mergeCell ref="W2:AA2"/>
    <mergeCell ref="B3:L3"/>
    <mergeCell ref="W3:AA3"/>
  </mergeCells>
  <conditionalFormatting sqref="O8:O10">
    <cfRule type="cellIs" dxfId="114" priority="1" operator="equal">
      <formula>0</formula>
    </cfRule>
  </conditionalFormatting>
  <conditionalFormatting sqref="O15:O17">
    <cfRule type="cellIs" dxfId="113" priority="2" operator="equal">
      <formula>0</formula>
    </cfRule>
  </conditionalFormatting>
  <conditionalFormatting sqref="O21:O23">
    <cfRule type="cellIs" dxfId="112" priority="3" operator="equal">
      <formula>0</formula>
    </cfRule>
  </conditionalFormatting>
  <dataValidations count="1">
    <dataValidation type="custom" allowBlank="1" showErrorMessage="1" errorTitle="Input Error" error="Please input a numeric value." sqref="X15:Z17 E15:G17 E21:G23 X8:Z10 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topLeftCell="A2" zoomScaleNormal="100" zoomScaleSheetLayoutView="100" workbookViewId="0">
      <selection activeCell="J23" sqref="J23"/>
    </sheetView>
  </sheetViews>
  <sheetFormatPr defaultColWidth="8.58203125" defaultRowHeight="15.5"/>
  <cols>
    <col min="1" max="1" width="1.58203125" style="106" customWidth="1"/>
    <col min="2" max="2" width="44.08203125" style="377" bestFit="1" customWidth="1"/>
    <col min="3" max="3" width="7" style="106" customWidth="1"/>
    <col min="4" max="4" width="5.08203125" style="106" customWidth="1"/>
    <col min="5" max="7" width="12.5" style="106" customWidth="1"/>
    <col min="8" max="8" width="1.58203125" style="106" customWidth="1"/>
    <col min="9" max="9" width="12.5" style="417" customWidth="1"/>
    <col min="10" max="10" width="1.58203125" style="106" customWidth="1"/>
    <col min="11" max="11" width="45.08203125" style="106" customWidth="1"/>
    <col min="12" max="13" width="1.58203125" style="106" customWidth="1"/>
    <col min="14" max="14" width="25" style="106" customWidth="1"/>
    <col min="15" max="15" width="1.58203125" style="106" customWidth="1"/>
    <col min="16" max="16" width="8.58203125" style="106" hidden="1" customWidth="1"/>
    <col min="17" max="17" width="10.58203125" style="106" hidden="1" customWidth="1"/>
    <col min="18" max="18" width="1.58203125" style="106" hidden="1" customWidth="1"/>
    <col min="19" max="19" width="1.58203125" style="106" customWidth="1"/>
    <col min="20" max="20" width="44.08203125" style="106" bestFit="1" customWidth="1"/>
    <col min="21" max="23" width="16.08203125" style="106" customWidth="1"/>
    <col min="24" max="24" width="1.58203125" style="106" customWidth="1"/>
    <col min="25" max="16384" width="8.58203125" style="106"/>
  </cols>
  <sheetData>
    <row r="1" spans="2:23" ht="29.25" customHeight="1">
      <c r="B1" s="2771" t="s">
        <v>9219</v>
      </c>
      <c r="C1" s="2771"/>
      <c r="D1" s="2771"/>
      <c r="E1" s="2771"/>
      <c r="F1" s="2771"/>
      <c r="G1" s="627"/>
      <c r="H1" s="627"/>
      <c r="I1" s="627"/>
      <c r="M1" s="890"/>
      <c r="O1" s="890"/>
      <c r="R1" s="890"/>
      <c r="T1" s="2771" t="s">
        <v>1887</v>
      </c>
      <c r="U1" s="2771"/>
      <c r="V1" s="2771"/>
      <c r="W1" s="627"/>
    </row>
    <row r="2" spans="2:23" ht="29.25" customHeight="1">
      <c r="B2" s="2771" t="str">
        <f>SelectCompany!B4</f>
        <v>Yorkshire Water</v>
      </c>
      <c r="C2" s="2771"/>
      <c r="D2" s="2771"/>
      <c r="E2" s="2771"/>
      <c r="F2" s="2771"/>
      <c r="G2" s="491"/>
      <c r="H2" s="491"/>
      <c r="I2" s="491"/>
      <c r="M2" s="890"/>
      <c r="O2" s="890"/>
      <c r="R2" s="890"/>
      <c r="T2" s="2771"/>
      <c r="U2" s="2771"/>
      <c r="V2" s="2771"/>
      <c r="W2" s="491"/>
    </row>
    <row r="3" spans="2:23" ht="45" customHeight="1">
      <c r="B3" s="2781" t="s">
        <v>9220</v>
      </c>
      <c r="C3" s="2781"/>
      <c r="D3" s="2781"/>
      <c r="E3" s="2781"/>
      <c r="F3" s="2781"/>
      <c r="G3" s="2781"/>
      <c r="H3" s="2781"/>
      <c r="I3" s="2781"/>
      <c r="J3" s="2781"/>
      <c r="K3" s="2781"/>
      <c r="M3" s="890"/>
      <c r="N3" s="554" t="s">
        <v>1889</v>
      </c>
      <c r="O3" s="890"/>
      <c r="R3" s="890"/>
      <c r="T3" s="2781" t="s">
        <v>9220</v>
      </c>
      <c r="U3" s="2781"/>
      <c r="V3" s="2781"/>
      <c r="W3" s="2781"/>
    </row>
    <row r="4" spans="2:23" ht="14.25" customHeight="1" thickBot="1">
      <c r="B4" s="2579"/>
      <c r="C4" s="2562"/>
      <c r="D4" s="2562"/>
      <c r="E4" s="2562"/>
      <c r="F4" s="2562"/>
      <c r="G4" s="2562"/>
      <c r="H4" s="2562"/>
      <c r="I4" s="634"/>
      <c r="M4" s="890"/>
      <c r="O4" s="890"/>
      <c r="R4" s="890"/>
      <c r="T4" s="2562"/>
      <c r="U4" s="2562"/>
      <c r="V4" s="2562"/>
      <c r="W4" s="2562"/>
    </row>
    <row r="5" spans="2:23" ht="47.5" thickTop="1" thickBot="1">
      <c r="B5" s="407" t="s">
        <v>1891</v>
      </c>
      <c r="C5" s="408" t="s">
        <v>1892</v>
      </c>
      <c r="D5" s="408" t="s">
        <v>136</v>
      </c>
      <c r="E5" s="408" t="s">
        <v>3849</v>
      </c>
      <c r="F5" s="408" t="s">
        <v>3850</v>
      </c>
      <c r="G5" s="409" t="s">
        <v>2112</v>
      </c>
      <c r="H5" s="197"/>
      <c r="I5" s="411" t="s">
        <v>1896</v>
      </c>
      <c r="K5" s="411" t="s">
        <v>1897</v>
      </c>
      <c r="M5" s="890"/>
      <c r="N5" s="785"/>
      <c r="O5" s="890"/>
      <c r="R5" s="890"/>
      <c r="T5" s="407" t="s">
        <v>1891</v>
      </c>
      <c r="U5" s="408" t="s">
        <v>3849</v>
      </c>
      <c r="V5" s="408" t="s">
        <v>3850</v>
      </c>
      <c r="W5" s="409" t="s">
        <v>2112</v>
      </c>
    </row>
    <row r="6" spans="2:23" ht="15.75" customHeight="1" thickTop="1" thickBot="1">
      <c r="B6" s="444"/>
      <c r="C6" s="444"/>
      <c r="D6" s="444"/>
      <c r="E6" s="444"/>
      <c r="F6" s="444"/>
      <c r="G6" s="444"/>
      <c r="H6" s="197"/>
      <c r="I6" s="807"/>
      <c r="M6" s="890"/>
      <c r="O6" s="890"/>
      <c r="P6" s="2662" t="s">
        <v>1890</v>
      </c>
      <c r="Q6" s="2662"/>
      <c r="R6" s="890"/>
      <c r="T6" s="444"/>
      <c r="U6" s="444"/>
      <c r="V6" s="444"/>
      <c r="W6" s="444"/>
    </row>
    <row r="7" spans="2:23" ht="15.75" customHeight="1" thickTop="1" thickBot="1">
      <c r="B7" s="355" t="s">
        <v>9221</v>
      </c>
      <c r="C7" s="356"/>
      <c r="D7" s="356"/>
      <c r="E7" s="444"/>
      <c r="F7" s="444"/>
      <c r="G7" s="313"/>
      <c r="H7" s="197"/>
      <c r="I7" s="634"/>
      <c r="M7" s="890"/>
      <c r="O7" s="890"/>
      <c r="P7" s="236" t="s">
        <v>1898</v>
      </c>
      <c r="Q7" s="2572"/>
      <c r="R7" s="890"/>
      <c r="T7" s="355" t="s">
        <v>9221</v>
      </c>
      <c r="U7" s="444"/>
      <c r="V7" s="444"/>
      <c r="W7" s="313"/>
    </row>
    <row r="8" spans="2:23" ht="15.75" customHeight="1" thickTop="1">
      <c r="B8" s="413" t="s">
        <v>9222</v>
      </c>
      <c r="C8" s="244" t="s">
        <v>138</v>
      </c>
      <c r="D8" s="244">
        <v>0</v>
      </c>
      <c r="E8" s="1050">
        <v>10142</v>
      </c>
      <c r="F8" s="1050">
        <v>7913</v>
      </c>
      <c r="G8" s="1228">
        <f>IFERROR(E8 + F8, 0)</f>
        <v>18055</v>
      </c>
      <c r="H8" s="197"/>
      <c r="I8" s="248" t="s">
        <v>9223</v>
      </c>
      <c r="K8" s="1027"/>
      <c r="M8" s="890"/>
      <c r="N8" s="251">
        <f>IF( SUM( P8:Q8 ) = 0, 0, $P$7 )</f>
        <v>0</v>
      </c>
      <c r="O8" s="890"/>
      <c r="P8" s="252">
        <f xml:space="preserve"> IF( ISNUMBER(E8), 0, 1 )</f>
        <v>0</v>
      </c>
      <c r="Q8" s="252">
        <f t="shared" ref="Q8:Q9" si="0" xml:space="preserve"> IF( ISNUMBER(F8), 0, 1 )</f>
        <v>0</v>
      </c>
      <c r="R8" s="890"/>
      <c r="T8" s="413" t="s">
        <v>9222</v>
      </c>
      <c r="U8" s="801" t="s">
        <v>9224</v>
      </c>
      <c r="V8" s="801" t="s">
        <v>9225</v>
      </c>
      <c r="W8" s="1026" t="s">
        <v>9226</v>
      </c>
    </row>
    <row r="9" spans="2:23" ht="15.75" customHeight="1">
      <c r="B9" s="422" t="s">
        <v>9227</v>
      </c>
      <c r="C9" s="253" t="s">
        <v>138</v>
      </c>
      <c r="D9" s="253">
        <v>0</v>
      </c>
      <c r="E9" s="1210">
        <v>546</v>
      </c>
      <c r="F9" s="1210">
        <v>805</v>
      </c>
      <c r="G9" s="1219">
        <f>IFERROR(E9 + F9, 0)</f>
        <v>1351</v>
      </c>
      <c r="H9" s="197"/>
      <c r="I9" s="257" t="s">
        <v>9228</v>
      </c>
      <c r="K9" s="1029"/>
      <c r="M9" s="890"/>
      <c r="N9" s="251">
        <f>IF( SUM( P9:Q9 ) = 0, 0, $P$7 )</f>
        <v>0</v>
      </c>
      <c r="O9" s="890"/>
      <c r="P9" s="252">
        <f t="shared" ref="P9" si="1" xml:space="preserve"> IF( ISNUMBER(E9), 0, 1 )</f>
        <v>0</v>
      </c>
      <c r="Q9" s="252">
        <f t="shared" si="0"/>
        <v>0</v>
      </c>
      <c r="R9" s="890"/>
      <c r="T9" s="422" t="s">
        <v>9227</v>
      </c>
      <c r="U9" s="802" t="s">
        <v>9229</v>
      </c>
      <c r="V9" s="802" t="s">
        <v>9230</v>
      </c>
      <c r="W9" s="1028" t="s">
        <v>9231</v>
      </c>
    </row>
    <row r="10" spans="2:23" ht="15.75" customHeight="1" thickBot="1">
      <c r="B10" s="425" t="s">
        <v>9232</v>
      </c>
      <c r="C10" s="319" t="s">
        <v>138</v>
      </c>
      <c r="D10" s="319">
        <v>0</v>
      </c>
      <c r="E10" s="1211">
        <f>IFERROR(E8 + E9, 0)</f>
        <v>10688</v>
      </c>
      <c r="F10" s="1211">
        <f>IFERROR(F8 + F9, 0)</f>
        <v>8718</v>
      </c>
      <c r="G10" s="1240">
        <f>IFERROR(E10 + F10, 0)</f>
        <v>19406</v>
      </c>
      <c r="H10" s="197"/>
      <c r="I10" s="320" t="s">
        <v>9233</v>
      </c>
      <c r="K10" s="1032"/>
      <c r="M10" s="890"/>
      <c r="N10" s="237"/>
      <c r="O10" s="890"/>
      <c r="P10" s="237"/>
      <c r="Q10" s="237"/>
      <c r="R10" s="890"/>
      <c r="T10" s="425" t="s">
        <v>9232</v>
      </c>
      <c r="U10" s="1030" t="s">
        <v>9234</v>
      </c>
      <c r="V10" s="1030" t="s">
        <v>9235</v>
      </c>
      <c r="W10" s="1031" t="s">
        <v>9236</v>
      </c>
    </row>
    <row r="11" spans="2:23" ht="15.75" customHeight="1" thickTop="1" thickBot="1">
      <c r="B11" s="1033"/>
      <c r="C11" s="1034"/>
      <c r="D11" s="1034"/>
      <c r="E11" s="1566"/>
      <c r="F11" s="1566"/>
      <c r="G11" s="1566"/>
      <c r="H11" s="222"/>
      <c r="I11" s="634"/>
      <c r="M11" s="890"/>
      <c r="N11" s="237"/>
      <c r="O11" s="890"/>
      <c r="P11" s="237"/>
      <c r="Q11" s="237"/>
      <c r="R11" s="890"/>
      <c r="T11" s="1033"/>
      <c r="U11" s="1035"/>
      <c r="V11" s="1035"/>
      <c r="W11" s="1035"/>
    </row>
    <row r="12" spans="2:23" s="398" customFormat="1" ht="15.75" customHeight="1" thickTop="1" thickBot="1">
      <c r="B12" s="431" t="s">
        <v>9237</v>
      </c>
      <c r="C12" s="333" t="s">
        <v>138</v>
      </c>
      <c r="D12" s="333">
        <v>0</v>
      </c>
      <c r="E12" s="1532">
        <v>4416</v>
      </c>
      <c r="F12" s="1567"/>
      <c r="G12" s="1568"/>
      <c r="H12" s="1038"/>
      <c r="I12" s="620" t="s">
        <v>9238</v>
      </c>
      <c r="K12" s="402"/>
      <c r="M12" s="1039"/>
      <c r="N12" s="251">
        <f>IF( SUM( P12:Q12 ) = 0, 0, $P$7 )</f>
        <v>0</v>
      </c>
      <c r="O12" s="1039"/>
      <c r="P12" s="252">
        <f xml:space="preserve"> IF( ISNUMBER(E12), 0, 1 )</f>
        <v>0</v>
      </c>
      <c r="Q12" s="237"/>
      <c r="R12" s="1039"/>
      <c r="T12" s="431" t="s">
        <v>9237</v>
      </c>
      <c r="U12" s="874" t="s">
        <v>9239</v>
      </c>
      <c r="V12" s="1036"/>
      <c r="W12" s="1037"/>
    </row>
    <row r="13" spans="2:23" s="398" customFormat="1" ht="15.75" customHeight="1" thickTop="1" thickBot="1">
      <c r="B13" s="1040"/>
      <c r="C13" s="1041"/>
      <c r="D13" s="1041"/>
      <c r="E13" s="1569"/>
      <c r="F13" s="1566"/>
      <c r="G13" s="1566"/>
      <c r="H13" s="106"/>
      <c r="I13" s="634"/>
      <c r="M13" s="1039"/>
      <c r="N13" s="237"/>
      <c r="O13" s="1039"/>
      <c r="P13" s="237"/>
      <c r="Q13" s="237"/>
      <c r="R13" s="1039"/>
      <c r="T13" s="1040"/>
      <c r="U13" s="106"/>
      <c r="V13" s="1035"/>
      <c r="W13" s="1035"/>
    </row>
    <row r="14" spans="2:23" s="1042" customFormat="1" ht="15.75" customHeight="1" thickTop="1" thickBot="1">
      <c r="B14" s="355" t="s">
        <v>9240</v>
      </c>
      <c r="C14" s="356"/>
      <c r="D14" s="356"/>
      <c r="E14" s="1570"/>
      <c r="F14" s="1570"/>
      <c r="G14" s="1571"/>
      <c r="H14" s="106"/>
      <c r="I14" s="634"/>
      <c r="M14" s="1043"/>
      <c r="N14" s="237"/>
      <c r="O14" s="1043"/>
      <c r="P14" s="237"/>
      <c r="Q14" s="237"/>
      <c r="R14" s="1043"/>
      <c r="T14" s="355" t="s">
        <v>9240</v>
      </c>
      <c r="U14" s="444"/>
      <c r="V14" s="444"/>
      <c r="W14" s="313"/>
    </row>
    <row r="15" spans="2:23" s="1042" customFormat="1" ht="15.75" customHeight="1" thickTop="1">
      <c r="B15" s="413" t="s">
        <v>9241</v>
      </c>
      <c r="C15" s="244" t="s">
        <v>138</v>
      </c>
      <c r="D15" s="244">
        <v>0</v>
      </c>
      <c r="E15" s="1050">
        <v>12693</v>
      </c>
      <c r="F15" s="1050">
        <v>8533</v>
      </c>
      <c r="G15" s="1228">
        <f t="shared" ref="G15:G21" si="2">IFERROR(E15 + F15, 0)</f>
        <v>21226</v>
      </c>
      <c r="H15" s="106"/>
      <c r="I15" s="248" t="s">
        <v>9242</v>
      </c>
      <c r="K15" s="1044"/>
      <c r="M15" s="1043"/>
      <c r="N15" s="251">
        <f t="shared" ref="N15:N16" si="3">IF( SUM( P15:Q15 ) = 0, 0, $P$7 )</f>
        <v>0</v>
      </c>
      <c r="O15" s="1043"/>
      <c r="P15" s="252">
        <f t="shared" ref="P15:P16" si="4" xml:space="preserve"> IF( ISNUMBER(E15), 0, 1 )</f>
        <v>0</v>
      </c>
      <c r="Q15" s="252">
        <f t="shared" ref="Q15:Q16" si="5" xml:space="preserve"> IF( ISNUMBER(F15), 0, 1 )</f>
        <v>0</v>
      </c>
      <c r="R15" s="1043"/>
      <c r="T15" s="413" t="s">
        <v>9241</v>
      </c>
      <c r="U15" s="801" t="s">
        <v>9243</v>
      </c>
      <c r="V15" s="801" t="s">
        <v>9244</v>
      </c>
      <c r="W15" s="1026" t="s">
        <v>9245</v>
      </c>
    </row>
    <row r="16" spans="2:23" ht="15.75" customHeight="1">
      <c r="B16" s="422" t="s">
        <v>9246</v>
      </c>
      <c r="C16" s="253" t="s">
        <v>138</v>
      </c>
      <c r="D16" s="253">
        <v>0</v>
      </c>
      <c r="E16" s="1210">
        <v>1020</v>
      </c>
      <c r="F16" s="1210">
        <v>800</v>
      </c>
      <c r="G16" s="1219">
        <f t="shared" si="2"/>
        <v>1820</v>
      </c>
      <c r="I16" s="257" t="s">
        <v>9247</v>
      </c>
      <c r="K16" s="1045"/>
      <c r="M16" s="890"/>
      <c r="N16" s="251">
        <f t="shared" si="3"/>
        <v>0</v>
      </c>
      <c r="O16" s="890"/>
      <c r="P16" s="252">
        <f t="shared" si="4"/>
        <v>0</v>
      </c>
      <c r="Q16" s="252">
        <f t="shared" si="5"/>
        <v>0</v>
      </c>
      <c r="R16" s="890"/>
      <c r="T16" s="422" t="s">
        <v>9246</v>
      </c>
      <c r="U16" s="802" t="s">
        <v>9248</v>
      </c>
      <c r="V16" s="802" t="s">
        <v>9249</v>
      </c>
      <c r="W16" s="1028" t="s">
        <v>9250</v>
      </c>
    </row>
    <row r="17" spans="2:23" ht="15.75" customHeight="1">
      <c r="B17" s="422" t="s">
        <v>9251</v>
      </c>
      <c r="C17" s="253" t="s">
        <v>138</v>
      </c>
      <c r="D17" s="253">
        <v>0</v>
      </c>
      <c r="E17" s="1205">
        <f>IFERROR(E15 + E16, 0)</f>
        <v>13713</v>
      </c>
      <c r="F17" s="1205">
        <f>IFERROR(F15 + F16, 0)</f>
        <v>9333</v>
      </c>
      <c r="G17" s="1219">
        <f t="shared" si="2"/>
        <v>23046</v>
      </c>
      <c r="I17" s="257" t="s">
        <v>9252</v>
      </c>
      <c r="K17" s="1045"/>
      <c r="M17" s="890"/>
      <c r="N17" s="237"/>
      <c r="O17" s="890"/>
      <c r="P17" s="237"/>
      <c r="Q17" s="237"/>
      <c r="R17" s="890"/>
      <c r="T17" s="422" t="s">
        <v>9251</v>
      </c>
      <c r="U17" s="1046" t="s">
        <v>9253</v>
      </c>
      <c r="V17" s="1046" t="s">
        <v>9254</v>
      </c>
      <c r="W17" s="1028" t="s">
        <v>9255</v>
      </c>
    </row>
    <row r="18" spans="2:23" ht="15.75" customHeight="1">
      <c r="B18" s="422" t="s">
        <v>9256</v>
      </c>
      <c r="C18" s="253" t="s">
        <v>138</v>
      </c>
      <c r="D18" s="253">
        <v>0</v>
      </c>
      <c r="E18" s="1210">
        <v>2330</v>
      </c>
      <c r="F18" s="1210">
        <v>597</v>
      </c>
      <c r="G18" s="1219">
        <f t="shared" si="2"/>
        <v>2927</v>
      </c>
      <c r="I18" s="257" t="s">
        <v>9257</v>
      </c>
      <c r="K18" s="1045"/>
      <c r="M18" s="890"/>
      <c r="N18" s="251">
        <f t="shared" ref="N18:N19" si="6">IF( SUM( P18:Q18 ) = 0, 0, $P$7 )</f>
        <v>0</v>
      </c>
      <c r="O18" s="890"/>
      <c r="P18" s="252">
        <f t="shared" ref="P18:P19" si="7" xml:space="preserve"> IF( ISNUMBER(E18), 0, 1 )</f>
        <v>0</v>
      </c>
      <c r="Q18" s="252">
        <f t="shared" ref="Q18:Q19" si="8" xml:space="preserve"> IF( ISNUMBER(F18), 0, 1 )</f>
        <v>0</v>
      </c>
      <c r="R18" s="890"/>
      <c r="T18" s="422" t="s">
        <v>9256</v>
      </c>
      <c r="U18" s="802" t="s">
        <v>9258</v>
      </c>
      <c r="V18" s="802" t="s">
        <v>9259</v>
      </c>
      <c r="W18" s="1028" t="s">
        <v>9260</v>
      </c>
    </row>
    <row r="19" spans="2:23" ht="15.75" customHeight="1">
      <c r="B19" s="422" t="s">
        <v>9261</v>
      </c>
      <c r="C19" s="253" t="s">
        <v>138</v>
      </c>
      <c r="D19" s="253">
        <v>0</v>
      </c>
      <c r="E19" s="1210">
        <v>4</v>
      </c>
      <c r="F19" s="1210">
        <v>0</v>
      </c>
      <c r="G19" s="1219">
        <f t="shared" si="2"/>
        <v>4</v>
      </c>
      <c r="I19" s="257" t="s">
        <v>9262</v>
      </c>
      <c r="K19" s="1045"/>
      <c r="M19" s="890"/>
      <c r="N19" s="251">
        <f t="shared" si="6"/>
        <v>0</v>
      </c>
      <c r="O19" s="890"/>
      <c r="P19" s="252">
        <f t="shared" si="7"/>
        <v>0</v>
      </c>
      <c r="Q19" s="252">
        <f t="shared" si="8"/>
        <v>0</v>
      </c>
      <c r="R19" s="890"/>
      <c r="T19" s="422" t="s">
        <v>9261</v>
      </c>
      <c r="U19" s="802" t="s">
        <v>9263</v>
      </c>
      <c r="V19" s="802" t="s">
        <v>9264</v>
      </c>
      <c r="W19" s="1028" t="s">
        <v>9265</v>
      </c>
    </row>
    <row r="20" spans="2:23" ht="15.75" customHeight="1">
      <c r="B20" s="422" t="s">
        <v>9266</v>
      </c>
      <c r="C20" s="253" t="s">
        <v>138</v>
      </c>
      <c r="D20" s="253">
        <v>0</v>
      </c>
      <c r="E20" s="1205">
        <f>IFERROR(E18 + E19, 0)</f>
        <v>2334</v>
      </c>
      <c r="F20" s="1205">
        <f>IFERROR(F18 + F19, 0)</f>
        <v>597</v>
      </c>
      <c r="G20" s="1219">
        <f t="shared" si="2"/>
        <v>2931</v>
      </c>
      <c r="I20" s="257" t="s">
        <v>9267</v>
      </c>
      <c r="K20" s="1045"/>
      <c r="M20" s="890"/>
      <c r="N20" s="237"/>
      <c r="O20" s="890"/>
      <c r="P20" s="237"/>
      <c r="Q20" s="237"/>
      <c r="R20" s="890"/>
      <c r="T20" s="422" t="s">
        <v>9266</v>
      </c>
      <c r="U20" s="1046" t="s">
        <v>9268</v>
      </c>
      <c r="V20" s="1046" t="s">
        <v>9269</v>
      </c>
      <c r="W20" s="1028" t="s">
        <v>9270</v>
      </c>
    </row>
    <row r="21" spans="2:23" ht="15.75" customHeight="1" thickBot="1">
      <c r="B21" s="425" t="s">
        <v>9271</v>
      </c>
      <c r="C21" s="319" t="s">
        <v>138</v>
      </c>
      <c r="D21" s="319">
        <v>0</v>
      </c>
      <c r="E21" s="1211">
        <f>IFERROR(E17 + E20, 0)</f>
        <v>16047</v>
      </c>
      <c r="F21" s="1211">
        <f>IFERROR(F17 + F20, 0)</f>
        <v>9930</v>
      </c>
      <c r="G21" s="1240">
        <f t="shared" si="2"/>
        <v>25977</v>
      </c>
      <c r="I21" s="320" t="s">
        <v>9272</v>
      </c>
      <c r="K21" s="1032"/>
      <c r="M21" s="890"/>
      <c r="N21" s="237"/>
      <c r="O21" s="890"/>
      <c r="P21" s="237"/>
      <c r="Q21" s="237"/>
      <c r="R21" s="890"/>
      <c r="T21" s="425" t="s">
        <v>9271</v>
      </c>
      <c r="U21" s="1030" t="s">
        <v>9273</v>
      </c>
      <c r="V21" s="1030" t="s">
        <v>9274</v>
      </c>
      <c r="W21" s="1031" t="s">
        <v>9275</v>
      </c>
    </row>
    <row r="22" spans="2:23" ht="15.75" customHeight="1" thickTop="1" thickBot="1">
      <c r="B22" s="1033"/>
      <c r="C22" s="1034"/>
      <c r="D22" s="1034"/>
      <c r="E22" s="1569"/>
      <c r="F22" s="1569"/>
      <c r="G22" s="1569"/>
      <c r="I22" s="634"/>
      <c r="M22" s="890"/>
      <c r="N22" s="237"/>
      <c r="O22" s="890"/>
      <c r="P22" s="237"/>
      <c r="Q22" s="237"/>
      <c r="R22" s="890"/>
      <c r="T22" s="1033"/>
    </row>
    <row r="23" spans="2:23" ht="15.75" customHeight="1" thickTop="1" thickBot="1">
      <c r="B23" s="431" t="s">
        <v>9276</v>
      </c>
      <c r="C23" s="333" t="s">
        <v>138</v>
      </c>
      <c r="D23" s="333">
        <v>0</v>
      </c>
      <c r="E23" s="1532">
        <v>4514</v>
      </c>
      <c r="F23" s="1572"/>
      <c r="G23" s="1573"/>
      <c r="H23" s="1038"/>
      <c r="I23" s="620" t="s">
        <v>9277</v>
      </c>
      <c r="K23" s="1049"/>
      <c r="M23" s="890"/>
      <c r="N23" s="251">
        <f>IF( SUM( P23:Q23 ) = 0, 0, $P$7 )</f>
        <v>0</v>
      </c>
      <c r="O23" s="890"/>
      <c r="P23" s="252">
        <f xml:space="preserve"> IF( ISNUMBER(E23), 0, 1 )</f>
        <v>0</v>
      </c>
      <c r="Q23" s="237"/>
      <c r="R23" s="890"/>
      <c r="T23" s="431" t="s">
        <v>9276</v>
      </c>
      <c r="U23" s="874" t="s">
        <v>9278</v>
      </c>
      <c r="V23" s="1047"/>
      <c r="W23" s="1048"/>
    </row>
    <row r="24" spans="2:23" ht="15.75" customHeight="1" thickTop="1" thickBot="1">
      <c r="B24" s="1040"/>
      <c r="C24" s="1041"/>
      <c r="D24" s="1041"/>
      <c r="E24" s="1566"/>
      <c r="F24" s="1566"/>
      <c r="G24" s="1566"/>
      <c r="H24" s="1038"/>
      <c r="I24" s="634"/>
      <c r="M24" s="890"/>
      <c r="N24" s="237"/>
      <c r="O24" s="890"/>
      <c r="P24" s="237"/>
      <c r="Q24" s="237"/>
      <c r="R24" s="890"/>
      <c r="T24" s="1040"/>
      <c r="U24" s="1035"/>
      <c r="V24" s="1035"/>
      <c r="W24" s="1035"/>
    </row>
    <row r="25" spans="2:23" ht="15.75" customHeight="1" thickTop="1" thickBot="1">
      <c r="B25" s="355" t="s">
        <v>9279</v>
      </c>
      <c r="C25" s="356"/>
      <c r="D25" s="356"/>
      <c r="E25" s="1570"/>
      <c r="F25" s="1569"/>
      <c r="G25" s="1569"/>
      <c r="I25" s="634"/>
      <c r="M25" s="890"/>
      <c r="N25" s="237"/>
      <c r="O25" s="890"/>
      <c r="P25" s="237"/>
      <c r="Q25" s="237"/>
      <c r="R25" s="890"/>
      <c r="T25" s="355" t="s">
        <v>9279</v>
      </c>
      <c r="U25" s="444"/>
    </row>
    <row r="26" spans="2:23" ht="15.75" customHeight="1" thickTop="1">
      <c r="B26" s="413" t="s">
        <v>9280</v>
      </c>
      <c r="C26" s="244" t="s">
        <v>138</v>
      </c>
      <c r="D26" s="244">
        <v>0</v>
      </c>
      <c r="E26" s="1050">
        <v>37.11</v>
      </c>
      <c r="F26" s="1574"/>
      <c r="G26" s="1575"/>
      <c r="I26" s="248" t="s">
        <v>9281</v>
      </c>
      <c r="K26" s="1027"/>
      <c r="M26" s="890"/>
      <c r="N26" s="251">
        <f t="shared" ref="N26:N27" si="9">IF( SUM( P26:Q26 ) = 0, 0, $P$7 )</f>
        <v>0</v>
      </c>
      <c r="O26" s="890"/>
      <c r="P26" s="252">
        <f t="shared" ref="P26:P27" si="10" xml:space="preserve"> IF( ISNUMBER(E26), 0, 1 )</f>
        <v>0</v>
      </c>
      <c r="Q26" s="237"/>
      <c r="R26" s="890"/>
      <c r="T26" s="413" t="s">
        <v>9280</v>
      </c>
      <c r="U26" s="1050" t="s">
        <v>9282</v>
      </c>
      <c r="V26" s="1051"/>
      <c r="W26" s="1052"/>
    </row>
    <row r="27" spans="2:23" ht="15.75" customHeight="1" thickBot="1">
      <c r="B27" s="425" t="s">
        <v>9283</v>
      </c>
      <c r="C27" s="319" t="s">
        <v>138</v>
      </c>
      <c r="D27" s="319">
        <v>0</v>
      </c>
      <c r="E27" s="1053">
        <v>49.04</v>
      </c>
      <c r="F27" s="1576"/>
      <c r="G27" s="1577"/>
      <c r="I27" s="320" t="s">
        <v>9284</v>
      </c>
      <c r="K27" s="1032"/>
      <c r="M27" s="890"/>
      <c r="N27" s="251">
        <f t="shared" si="9"/>
        <v>0</v>
      </c>
      <c r="O27" s="890"/>
      <c r="P27" s="252">
        <f t="shared" si="10"/>
        <v>0</v>
      </c>
      <c r="Q27" s="237"/>
      <c r="R27" s="890"/>
      <c r="T27" s="425" t="s">
        <v>9283</v>
      </c>
      <c r="U27" s="1053" t="s">
        <v>9285</v>
      </c>
      <c r="V27" s="1054"/>
      <c r="W27" s="1055"/>
    </row>
    <row r="28" spans="2:23" ht="16" thickTop="1">
      <c r="N28" s="237"/>
      <c r="P28" s="237"/>
      <c r="Q28" s="237"/>
    </row>
    <row r="29" spans="2:23">
      <c r="N29" s="237"/>
      <c r="P29" s="237"/>
      <c r="Q29" s="237"/>
    </row>
    <row r="30" spans="2:23">
      <c r="N30" s="237"/>
      <c r="P30" s="237"/>
      <c r="Q30" s="237"/>
    </row>
    <row r="31" spans="2:23">
      <c r="N31" s="237"/>
      <c r="P31" s="237"/>
      <c r="Q31" s="237"/>
    </row>
    <row r="32" spans="2:23">
      <c r="N32" s="237"/>
    </row>
    <row r="33" spans="14:14">
      <c r="N33" s="237"/>
    </row>
  </sheetData>
  <sheetProtection formatColumns="0" formatRows="0"/>
  <mergeCells count="7">
    <mergeCell ref="P6:Q6"/>
    <mergeCell ref="B1:F1"/>
    <mergeCell ref="T1:V1"/>
    <mergeCell ref="B2:F2"/>
    <mergeCell ref="T2:V2"/>
    <mergeCell ref="B3:K3"/>
    <mergeCell ref="T3:W3"/>
  </mergeCells>
  <conditionalFormatting sqref="N8:N9">
    <cfRule type="cellIs" dxfId="111" priority="6" operator="equal">
      <formula>0</formula>
    </cfRule>
  </conditionalFormatting>
  <conditionalFormatting sqref="N12">
    <cfRule type="cellIs" dxfId="110" priority="5" operator="equal">
      <formula>0</formula>
    </cfRule>
  </conditionalFormatting>
  <conditionalFormatting sqref="N15:N16">
    <cfRule type="cellIs" dxfId="109" priority="4" operator="equal">
      <formula>0</formula>
    </cfRule>
  </conditionalFormatting>
  <conditionalFormatting sqref="N18:N19">
    <cfRule type="cellIs" dxfId="108" priority="3" operator="equal">
      <formula>0</formula>
    </cfRule>
  </conditionalFormatting>
  <conditionalFormatting sqref="N23">
    <cfRule type="cellIs" dxfId="107" priority="2" operator="equal">
      <formula>0</formula>
    </cfRule>
  </conditionalFormatting>
  <conditionalFormatting sqref="N26:N27">
    <cfRule type="cellIs" dxfId="106" priority="1" operator="equal">
      <formula>0</formula>
    </cfRule>
  </conditionalFormatting>
  <dataValidations count="1">
    <dataValidation type="custom" allowBlank="1" showErrorMessage="1" errorTitle="Input Error" error="Please enter a numeric value." sqref="E23 E15:F16 E18:F19 E8:F8 E12 E26:E27"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A7" zoomScale="70" zoomScaleNormal="70" zoomScaleSheetLayoutView="100" workbookViewId="0">
      <selection activeCell="N18" sqref="N18"/>
    </sheetView>
  </sheetViews>
  <sheetFormatPr defaultColWidth="8.58203125" defaultRowHeight="15.5"/>
  <cols>
    <col min="1" max="1" width="1.58203125" style="106" customWidth="1"/>
    <col min="2" max="2" width="53.08203125" style="106" bestFit="1" customWidth="1"/>
    <col min="3" max="3" width="7" style="106" customWidth="1"/>
    <col min="4" max="4" width="5.08203125" style="106" customWidth="1"/>
    <col min="5" max="15" width="12.58203125" style="106" customWidth="1"/>
    <col min="16" max="16" width="12.58203125" style="417" customWidth="1"/>
    <col min="17" max="17" width="13.58203125" style="417" customWidth="1"/>
    <col min="18" max="20" width="12.58203125" style="417" customWidth="1"/>
    <col min="21" max="21" width="1.58203125" style="417" customWidth="1"/>
    <col min="22" max="22" width="12.58203125" style="417" customWidth="1"/>
    <col min="23" max="23" width="1.58203125" style="106" customWidth="1"/>
    <col min="24" max="24" width="33.58203125" style="106" customWidth="1"/>
    <col min="25" max="26" width="1.58203125" style="106" customWidth="1"/>
    <col min="27" max="27" width="25.08203125" style="106" customWidth="1"/>
    <col min="28" max="28" width="1.58203125" style="106" customWidth="1"/>
    <col min="29" max="44" width="6.08203125" style="106" hidden="1" customWidth="1"/>
    <col min="45" max="45" width="1.58203125" style="106" hidden="1" customWidth="1"/>
    <col min="46" max="46" width="1.58203125" style="106" customWidth="1"/>
    <col min="47" max="47" width="36.08203125" style="106" customWidth="1"/>
    <col min="48" max="48" width="7" style="106" customWidth="1"/>
    <col min="49" max="49" width="5.5" style="106" customWidth="1"/>
    <col min="50" max="65" width="15" style="106" customWidth="1"/>
    <col min="66" max="16384" width="8.58203125" style="106"/>
  </cols>
  <sheetData>
    <row r="1" spans="1:65" ht="29.25" customHeight="1">
      <c r="B1" s="2771" t="s">
        <v>9286</v>
      </c>
      <c r="C1" s="2771"/>
      <c r="D1" s="2771"/>
      <c r="E1" s="2771"/>
      <c r="F1" s="627"/>
      <c r="G1" s="627"/>
      <c r="H1" s="627"/>
      <c r="I1" s="627"/>
      <c r="J1" s="627"/>
      <c r="K1" s="627"/>
      <c r="L1" s="627"/>
      <c r="M1" s="627"/>
      <c r="N1" s="627"/>
      <c r="O1" s="627"/>
      <c r="P1" s="627"/>
      <c r="Q1" s="627"/>
      <c r="R1" s="627"/>
      <c r="S1" s="627"/>
      <c r="T1" s="627"/>
      <c r="U1" s="627"/>
      <c r="V1" s="627"/>
      <c r="Z1" s="1056"/>
      <c r="AA1" s="251"/>
      <c r="AB1" s="1056"/>
      <c r="AS1" s="1056"/>
      <c r="AU1" s="2771" t="s">
        <v>1887</v>
      </c>
      <c r="AV1" s="2771"/>
      <c r="AW1" s="2771"/>
      <c r="AX1" s="2771"/>
    </row>
    <row r="2" spans="1:65" ht="29.25" customHeight="1">
      <c r="B2" s="2771" t="str">
        <f>SelectCompany!B4</f>
        <v>Yorkshire Water</v>
      </c>
      <c r="C2" s="2771"/>
      <c r="D2" s="2771"/>
      <c r="E2" s="2771"/>
      <c r="F2" s="491"/>
      <c r="G2" s="491"/>
      <c r="H2" s="491"/>
      <c r="I2" s="491"/>
      <c r="J2" s="491"/>
      <c r="K2" s="491"/>
      <c r="L2" s="491"/>
      <c r="M2" s="491"/>
      <c r="N2" s="491"/>
      <c r="O2" s="491"/>
      <c r="P2" s="491"/>
      <c r="Q2" s="491"/>
      <c r="R2" s="491"/>
      <c r="S2" s="491"/>
      <c r="T2" s="491"/>
      <c r="U2" s="491"/>
      <c r="V2" s="491"/>
      <c r="Z2" s="1056"/>
      <c r="AA2" s="251"/>
      <c r="AB2" s="1056"/>
      <c r="AS2" s="1056"/>
      <c r="AU2" s="2771"/>
      <c r="AV2" s="2771"/>
      <c r="AW2" s="2771"/>
      <c r="AX2" s="2771"/>
    </row>
    <row r="3" spans="1:65" ht="45" customHeight="1">
      <c r="B3" s="2781" t="s">
        <v>9287</v>
      </c>
      <c r="C3" s="2781"/>
      <c r="D3" s="2781"/>
      <c r="E3" s="2781"/>
      <c r="F3" s="2781"/>
      <c r="G3" s="2781"/>
      <c r="H3" s="2781"/>
      <c r="I3" s="2781"/>
      <c r="J3" s="2781"/>
      <c r="K3" s="2781"/>
      <c r="L3" s="2781"/>
      <c r="M3" s="2781"/>
      <c r="N3" s="2781"/>
      <c r="O3" s="2781"/>
      <c r="P3" s="2781"/>
      <c r="Q3" s="2781"/>
      <c r="R3" s="2781"/>
      <c r="S3" s="2781"/>
      <c r="T3" s="2781"/>
      <c r="U3" s="2781"/>
      <c r="V3" s="2781"/>
      <c r="W3" s="2781"/>
      <c r="X3" s="2781"/>
      <c r="Z3" s="1056"/>
      <c r="AA3" s="554" t="s">
        <v>1889</v>
      </c>
      <c r="AB3" s="1056"/>
      <c r="AS3" s="1056"/>
      <c r="AU3" s="2857" t="s">
        <v>9287</v>
      </c>
      <c r="AV3" s="2857"/>
      <c r="AW3" s="2857"/>
      <c r="AX3" s="2857"/>
      <c r="AY3" s="2857"/>
      <c r="AZ3" s="2857"/>
      <c r="BA3" s="2857"/>
      <c r="BB3" s="2857"/>
      <c r="BC3" s="2857"/>
      <c r="BD3" s="2857"/>
      <c r="BE3" s="2857"/>
      <c r="BF3" s="2857"/>
      <c r="BG3" s="2857"/>
      <c r="BH3" s="2857"/>
      <c r="BI3" s="2857"/>
      <c r="BJ3" s="2857"/>
      <c r="BK3" s="2857"/>
      <c r="BL3" s="2857"/>
      <c r="BM3" s="2857"/>
    </row>
    <row r="4" spans="1:65" ht="9" customHeight="1" thickBot="1">
      <c r="B4" s="2562"/>
      <c r="C4" s="2562"/>
      <c r="D4" s="2562"/>
      <c r="E4" s="2562"/>
      <c r="F4" s="2562"/>
      <c r="G4" s="2562"/>
      <c r="H4" s="2562"/>
      <c r="I4" s="2562"/>
      <c r="J4" s="2562"/>
      <c r="K4" s="2562"/>
      <c r="L4" s="2562"/>
      <c r="M4" s="2562"/>
      <c r="N4" s="2562"/>
      <c r="O4" s="2562"/>
      <c r="P4" s="634"/>
      <c r="Q4" s="634"/>
      <c r="R4" s="634"/>
      <c r="S4" s="634"/>
      <c r="T4" s="634"/>
      <c r="U4" s="634"/>
      <c r="V4" s="634"/>
      <c r="Z4" s="1056"/>
      <c r="AA4" s="251"/>
      <c r="AB4" s="1056"/>
      <c r="AS4" s="1056"/>
    </row>
    <row r="5" spans="1:65" ht="47.5" thickTop="1" thickBot="1">
      <c r="B5" s="407" t="s">
        <v>1891</v>
      </c>
      <c r="C5" s="408" t="s">
        <v>1892</v>
      </c>
      <c r="D5" s="408" t="s">
        <v>136</v>
      </c>
      <c r="E5" s="408" t="s">
        <v>3656</v>
      </c>
      <c r="F5" s="408" t="s">
        <v>3664</v>
      </c>
      <c r="G5" s="408" t="s">
        <v>2112</v>
      </c>
      <c r="H5" s="409" t="s">
        <v>9288</v>
      </c>
      <c r="I5" s="444"/>
      <c r="K5" s="197"/>
      <c r="L5" s="197"/>
      <c r="P5" s="106"/>
      <c r="Q5" s="106"/>
      <c r="R5" s="106"/>
      <c r="S5" s="106"/>
      <c r="T5" s="106"/>
      <c r="U5" s="106"/>
      <c r="V5" s="411" t="s">
        <v>1896</v>
      </c>
      <c r="X5" s="411" t="s">
        <v>1897</v>
      </c>
      <c r="Z5" s="1056"/>
      <c r="AA5" s="251"/>
      <c r="AB5" s="1056"/>
      <c r="AS5" s="1056"/>
      <c r="AU5" s="407" t="s">
        <v>1891</v>
      </c>
      <c r="AV5" s="408" t="s">
        <v>1892</v>
      </c>
      <c r="AW5" s="408" t="s">
        <v>136</v>
      </c>
      <c r="AX5" s="408" t="s">
        <v>3656</v>
      </c>
      <c r="AY5" s="408" t="s">
        <v>3664</v>
      </c>
      <c r="AZ5" s="408" t="s">
        <v>2112</v>
      </c>
      <c r="BA5" s="409" t="s">
        <v>9288</v>
      </c>
      <c r="BB5" s="444"/>
      <c r="BD5" s="197"/>
      <c r="BE5" s="197"/>
    </row>
    <row r="6" spans="1:65" ht="15.75" customHeight="1" thickTop="1" thickBot="1">
      <c r="B6" s="444"/>
      <c r="C6" s="444"/>
      <c r="D6" s="444"/>
      <c r="E6" s="444"/>
      <c r="F6" s="444"/>
      <c r="G6" s="444"/>
      <c r="H6" s="444"/>
      <c r="I6" s="444"/>
      <c r="K6" s="197"/>
      <c r="L6" s="197"/>
      <c r="M6" s="197"/>
      <c r="N6" s="197"/>
      <c r="O6" s="197"/>
      <c r="V6" s="634"/>
      <c r="W6" s="634"/>
      <c r="X6" s="634"/>
      <c r="Y6" s="634"/>
      <c r="Z6" s="1056"/>
      <c r="AA6" s="251"/>
      <c r="AB6" s="1056"/>
      <c r="AC6" s="2662" t="s">
        <v>1890</v>
      </c>
      <c r="AD6" s="2662"/>
      <c r="AE6" s="2662"/>
      <c r="AF6" s="2662"/>
      <c r="AG6" s="2662"/>
      <c r="AH6" s="2662"/>
      <c r="AI6" s="2662"/>
      <c r="AJ6" s="2662"/>
      <c r="AK6" s="2662"/>
      <c r="AL6" s="2662"/>
      <c r="AM6" s="2662"/>
      <c r="AN6" s="2662"/>
      <c r="AO6" s="2662"/>
      <c r="AP6" s="2662"/>
      <c r="AQ6" s="2662"/>
      <c r="AR6" s="2662"/>
      <c r="AS6" s="1056"/>
      <c r="AU6" s="444"/>
      <c r="AV6" s="444"/>
      <c r="AW6" s="444"/>
      <c r="AX6" s="444"/>
      <c r="AY6" s="444"/>
      <c r="AZ6" s="444"/>
      <c r="BA6" s="444"/>
      <c r="BB6" s="444"/>
      <c r="BD6" s="197"/>
      <c r="BE6" s="197"/>
      <c r="BF6" s="197"/>
      <c r="BG6" s="197"/>
      <c r="BH6" s="197"/>
      <c r="BI6" s="417"/>
      <c r="BJ6" s="417"/>
      <c r="BK6" s="417"/>
      <c r="BL6" s="417"/>
      <c r="BM6" s="417"/>
    </row>
    <row r="7" spans="1:65" ht="15.75" customHeight="1" thickTop="1" thickBot="1">
      <c r="B7" s="355" t="s">
        <v>9289</v>
      </c>
      <c r="C7" s="444"/>
      <c r="D7" s="444"/>
      <c r="E7" s="444"/>
      <c r="F7" s="444"/>
      <c r="G7" s="313"/>
      <c r="H7" s="313"/>
      <c r="I7" s="313"/>
      <c r="P7" s="106"/>
      <c r="Q7" s="106"/>
      <c r="R7" s="106"/>
      <c r="S7" s="106"/>
      <c r="V7" s="106"/>
      <c r="W7" s="249"/>
      <c r="X7" s="249"/>
      <c r="Y7" s="249"/>
      <c r="Z7" s="1056"/>
      <c r="AA7" s="251"/>
      <c r="AB7" s="1056"/>
      <c r="AC7" s="236" t="s">
        <v>1898</v>
      </c>
      <c r="AS7" s="1056"/>
      <c r="AU7" s="355" t="s">
        <v>9289</v>
      </c>
      <c r="AV7" s="444"/>
      <c r="AW7" s="444"/>
      <c r="AX7" s="444"/>
      <c r="AY7" s="444"/>
      <c r="AZ7" s="313"/>
      <c r="BA7" s="313"/>
      <c r="BB7" s="313"/>
      <c r="BM7" s="417"/>
    </row>
    <row r="8" spans="1:65" s="220" customFormat="1" ht="15.75" customHeight="1" thickTop="1">
      <c r="A8" s="197"/>
      <c r="B8" s="413" t="s">
        <v>9290</v>
      </c>
      <c r="C8" s="244" t="s">
        <v>1387</v>
      </c>
      <c r="D8" s="244">
        <v>3</v>
      </c>
      <c r="E8" s="706">
        <v>52.469000000000001</v>
      </c>
      <c r="F8" s="706">
        <v>61.436</v>
      </c>
      <c r="G8" s="1057">
        <f t="shared" ref="G8:G15" si="0">IFERROR(E8 + F8, 0)</f>
        <v>113.905</v>
      </c>
      <c r="H8" s="707">
        <v>4.0960000000000001</v>
      </c>
      <c r="I8" s="398"/>
      <c r="J8" s="398"/>
      <c r="K8" s="398"/>
      <c r="L8" s="398"/>
      <c r="M8" s="398"/>
      <c r="N8" s="398"/>
      <c r="O8" s="398"/>
      <c r="P8" s="398"/>
      <c r="Q8" s="398"/>
      <c r="R8" s="398"/>
      <c r="S8" s="398"/>
      <c r="T8" s="398"/>
      <c r="U8" s="197"/>
      <c r="V8" s="248" t="s">
        <v>9291</v>
      </c>
      <c r="W8" s="249"/>
      <c r="X8" s="250"/>
      <c r="Y8" s="249"/>
      <c r="Z8" s="2576"/>
      <c r="AA8" s="251">
        <f>IF( SUM( AC8:AR8 ) = 0, 0, $AC$7 )</f>
        <v>0</v>
      </c>
      <c r="AB8" s="2576"/>
      <c r="AC8" s="252">
        <f t="shared" ref="AC8:AF10" si="1" xml:space="preserve"> IF( ISNUMBER(E8), 0, 1 )</f>
        <v>0</v>
      </c>
      <c r="AD8" s="252">
        <f t="shared" ref="AD8:AD10" si="2" xml:space="preserve"> IF( ISNUMBER(F8), 0, 1 )</f>
        <v>0</v>
      </c>
      <c r="AE8" s="2562"/>
      <c r="AF8" s="252">
        <f t="shared" si="1"/>
        <v>0</v>
      </c>
      <c r="AG8" s="2562"/>
      <c r="AH8" s="2562"/>
      <c r="AI8" s="2562"/>
      <c r="AJ8" s="2562"/>
      <c r="AK8" s="2562"/>
      <c r="AL8" s="2562"/>
      <c r="AM8" s="2562"/>
      <c r="AN8" s="2562"/>
      <c r="AO8" s="2562"/>
      <c r="AP8" s="2562"/>
      <c r="AQ8" s="2562"/>
      <c r="AR8" s="2562"/>
      <c r="AS8" s="1056"/>
      <c r="AT8" s="2562"/>
      <c r="AU8" s="413" t="s">
        <v>9290</v>
      </c>
      <c r="AV8" s="244" t="s">
        <v>1387</v>
      </c>
      <c r="AW8" s="244">
        <v>3</v>
      </c>
      <c r="AX8" s="706" t="s">
        <v>9292</v>
      </c>
      <c r="AY8" s="706" t="s">
        <v>9293</v>
      </c>
      <c r="AZ8" s="1057" t="s">
        <v>9294</v>
      </c>
      <c r="BA8" s="707" t="s">
        <v>9295</v>
      </c>
      <c r="BB8" s="398"/>
      <c r="BC8" s="398"/>
      <c r="BD8" s="398"/>
      <c r="BE8" s="398"/>
      <c r="BF8" s="398"/>
      <c r="BG8" s="398"/>
      <c r="BH8" s="398"/>
      <c r="BI8" s="398"/>
      <c r="BJ8" s="398"/>
      <c r="BK8" s="398"/>
      <c r="BL8" s="398"/>
      <c r="BM8" s="398"/>
    </row>
    <row r="9" spans="1:65" s="220" customFormat="1" ht="15.75" customHeight="1">
      <c r="A9" s="197"/>
      <c r="B9" s="422" t="s">
        <v>9296</v>
      </c>
      <c r="C9" s="253" t="s">
        <v>1387</v>
      </c>
      <c r="D9" s="253">
        <v>3</v>
      </c>
      <c r="E9" s="696">
        <v>56.302</v>
      </c>
      <c r="F9" s="696">
        <v>66.352000000000004</v>
      </c>
      <c r="G9" s="694">
        <f t="shared" si="0"/>
        <v>122.654</v>
      </c>
      <c r="H9" s="697">
        <v>4.1689999999999996</v>
      </c>
      <c r="I9" s="398"/>
      <c r="J9" s="398"/>
      <c r="K9" s="398"/>
      <c r="L9" s="398"/>
      <c r="M9" s="398"/>
      <c r="N9" s="398"/>
      <c r="O9" s="398"/>
      <c r="P9" s="398"/>
      <c r="Q9" s="398"/>
      <c r="R9" s="398"/>
      <c r="S9" s="398"/>
      <c r="T9" s="398"/>
      <c r="U9" s="197"/>
      <c r="V9" s="257" t="s">
        <v>9297</v>
      </c>
      <c r="W9" s="249"/>
      <c r="X9" s="258"/>
      <c r="Y9" s="249"/>
      <c r="Z9" s="2576"/>
      <c r="AA9" s="251">
        <f t="shared" ref="AA9:AA10" si="3">IF( SUM( AC9:AR9 ) = 0, 0, $AC$7 )</f>
        <v>0</v>
      </c>
      <c r="AB9" s="2576"/>
      <c r="AC9" s="252">
        <f t="shared" ref="AC9:AC10" si="4" xml:space="preserve"> IF( ISNUMBER(E9), 0, 1 )</f>
        <v>0</v>
      </c>
      <c r="AD9" s="252">
        <f t="shared" si="2"/>
        <v>0</v>
      </c>
      <c r="AE9" s="2562"/>
      <c r="AF9" s="252">
        <f t="shared" si="1"/>
        <v>0</v>
      </c>
      <c r="AG9" s="2562"/>
      <c r="AH9" s="2562"/>
      <c r="AI9" s="2562"/>
      <c r="AJ9" s="2562"/>
      <c r="AK9" s="2562"/>
      <c r="AL9" s="2562"/>
      <c r="AM9" s="2562"/>
      <c r="AN9" s="2562"/>
      <c r="AO9" s="2562"/>
      <c r="AP9" s="2562"/>
      <c r="AQ9" s="2562"/>
      <c r="AR9" s="2562"/>
      <c r="AS9" s="1056"/>
      <c r="AT9" s="2562"/>
      <c r="AU9" s="422" t="s">
        <v>9296</v>
      </c>
      <c r="AV9" s="253" t="s">
        <v>1387</v>
      </c>
      <c r="AW9" s="253">
        <v>3</v>
      </c>
      <c r="AX9" s="696" t="s">
        <v>9298</v>
      </c>
      <c r="AY9" s="696" t="s">
        <v>9299</v>
      </c>
      <c r="AZ9" s="694" t="s">
        <v>9300</v>
      </c>
      <c r="BA9" s="697" t="s">
        <v>9301</v>
      </c>
      <c r="BB9" s="398"/>
      <c r="BC9" s="398"/>
      <c r="BD9" s="398"/>
      <c r="BE9" s="398"/>
      <c r="BF9" s="398"/>
      <c r="BG9" s="398"/>
      <c r="BH9" s="398"/>
      <c r="BI9" s="398"/>
      <c r="BJ9" s="398"/>
      <c r="BK9" s="398"/>
      <c r="BL9" s="398"/>
      <c r="BM9" s="398"/>
    </row>
    <row r="10" spans="1:65" s="220" customFormat="1" ht="15.75" customHeight="1">
      <c r="A10" s="197"/>
      <c r="B10" s="422" t="s">
        <v>9302</v>
      </c>
      <c r="C10" s="253" t="s">
        <v>1387</v>
      </c>
      <c r="D10" s="253">
        <v>3</v>
      </c>
      <c r="E10" s="696">
        <v>820.10799999999995</v>
      </c>
      <c r="F10" s="696">
        <v>1218.0640000000001</v>
      </c>
      <c r="G10" s="694">
        <f t="shared" si="0"/>
        <v>2038.172</v>
      </c>
      <c r="H10" s="697">
        <v>76.796000000000006</v>
      </c>
      <c r="I10" s="398"/>
      <c r="J10" s="398"/>
      <c r="K10" s="398"/>
      <c r="L10" s="398"/>
      <c r="M10" s="398"/>
      <c r="N10" s="398"/>
      <c r="O10" s="398"/>
      <c r="P10" s="398"/>
      <c r="Q10" s="398"/>
      <c r="R10" s="398"/>
      <c r="S10" s="398"/>
      <c r="T10" s="398"/>
      <c r="U10" s="197"/>
      <c r="V10" s="257" t="s">
        <v>9303</v>
      </c>
      <c r="W10" s="249"/>
      <c r="X10" s="258"/>
      <c r="Y10" s="249"/>
      <c r="Z10" s="2576"/>
      <c r="AA10" s="251">
        <f t="shared" si="3"/>
        <v>0</v>
      </c>
      <c r="AB10" s="2576"/>
      <c r="AC10" s="252">
        <f t="shared" si="4"/>
        <v>0</v>
      </c>
      <c r="AD10" s="252">
        <f t="shared" si="2"/>
        <v>0</v>
      </c>
      <c r="AE10" s="2562"/>
      <c r="AF10" s="252">
        <f t="shared" si="1"/>
        <v>0</v>
      </c>
      <c r="AG10" s="2562"/>
      <c r="AH10" s="2562"/>
      <c r="AI10" s="2562"/>
      <c r="AJ10" s="2562"/>
      <c r="AK10" s="2562"/>
      <c r="AL10" s="2562"/>
      <c r="AM10" s="2562"/>
      <c r="AN10" s="2562"/>
      <c r="AO10" s="2562"/>
      <c r="AP10" s="2562"/>
      <c r="AQ10" s="2562"/>
      <c r="AR10" s="2562"/>
      <c r="AS10" s="1056"/>
      <c r="AT10" s="2562"/>
      <c r="AU10" s="422" t="s">
        <v>9302</v>
      </c>
      <c r="AV10" s="253" t="s">
        <v>1387</v>
      </c>
      <c r="AW10" s="253">
        <v>3</v>
      </c>
      <c r="AX10" s="696" t="s">
        <v>9304</v>
      </c>
      <c r="AY10" s="696" t="s">
        <v>9305</v>
      </c>
      <c r="AZ10" s="694" t="s">
        <v>9306</v>
      </c>
      <c r="BA10" s="697" t="s">
        <v>9307</v>
      </c>
      <c r="BB10" s="398"/>
      <c r="BC10" s="398"/>
      <c r="BD10" s="398"/>
      <c r="BE10" s="398"/>
      <c r="BF10" s="398"/>
      <c r="BG10" s="398"/>
      <c r="BH10" s="398"/>
      <c r="BI10" s="398"/>
      <c r="BJ10" s="398"/>
      <c r="BK10" s="398"/>
      <c r="BL10" s="398"/>
      <c r="BM10" s="398"/>
    </row>
    <row r="11" spans="1:65" s="220" customFormat="1" ht="15.75" customHeight="1">
      <c r="A11" s="197"/>
      <c r="B11" s="422" t="s">
        <v>9308</v>
      </c>
      <c r="C11" s="253" t="s">
        <v>1387</v>
      </c>
      <c r="D11" s="253">
        <v>3</v>
      </c>
      <c r="E11" s="694">
        <f>IFERROR(SUM(E8:E10), 0)</f>
        <v>928.87899999999991</v>
      </c>
      <c r="F11" s="694">
        <f>IFERROR(SUM(F8:F10), 0)</f>
        <v>1345.8520000000001</v>
      </c>
      <c r="G11" s="694">
        <f t="shared" si="0"/>
        <v>2274.7309999999998</v>
      </c>
      <c r="H11" s="695">
        <f>IFERROR(SUM(H8:H10), 0)</f>
        <v>85.061000000000007</v>
      </c>
      <c r="I11" s="398"/>
      <c r="J11" s="398"/>
      <c r="K11" s="398"/>
      <c r="L11" s="398"/>
      <c r="M11" s="398"/>
      <c r="N11" s="398"/>
      <c r="O11" s="398"/>
      <c r="P11" s="398"/>
      <c r="Q11" s="398"/>
      <c r="R11" s="398"/>
      <c r="S11" s="398"/>
      <c r="T11" s="398"/>
      <c r="U11" s="197"/>
      <c r="V11" s="257" t="s">
        <v>9309</v>
      </c>
      <c r="W11" s="249"/>
      <c r="X11" s="258"/>
      <c r="Y11" s="249"/>
      <c r="Z11" s="2576"/>
      <c r="AA11" s="251"/>
      <c r="AB11" s="2576"/>
      <c r="AC11" s="2562"/>
      <c r="AD11" s="2562"/>
      <c r="AE11" s="2562"/>
      <c r="AF11" s="2562"/>
      <c r="AG11" s="2562"/>
      <c r="AH11" s="2562"/>
      <c r="AI11" s="2562"/>
      <c r="AJ11" s="2562"/>
      <c r="AK11" s="2562"/>
      <c r="AL11" s="2562"/>
      <c r="AM11" s="2562"/>
      <c r="AN11" s="2562"/>
      <c r="AO11" s="2562"/>
      <c r="AP11" s="2562"/>
      <c r="AQ11" s="2562"/>
      <c r="AR11" s="2562"/>
      <c r="AS11" s="1056"/>
      <c r="AT11" s="2562"/>
      <c r="AU11" s="422" t="s">
        <v>9308</v>
      </c>
      <c r="AV11" s="253" t="s">
        <v>1387</v>
      </c>
      <c r="AW11" s="253">
        <v>3</v>
      </c>
      <c r="AX11" s="694" t="s">
        <v>9310</v>
      </c>
      <c r="AY11" s="694" t="s">
        <v>9311</v>
      </c>
      <c r="AZ11" s="694" t="s">
        <v>9312</v>
      </c>
      <c r="BA11" s="695" t="s">
        <v>9313</v>
      </c>
      <c r="BB11" s="398"/>
      <c r="BC11" s="398"/>
      <c r="BD11" s="398"/>
      <c r="BE11" s="398"/>
      <c r="BF11" s="398"/>
      <c r="BG11" s="398"/>
      <c r="BH11" s="398"/>
      <c r="BI11" s="398"/>
      <c r="BJ11" s="398"/>
      <c r="BK11" s="398"/>
      <c r="BL11" s="398"/>
      <c r="BM11" s="398"/>
    </row>
    <row r="12" spans="1:65" s="220" customFormat="1" ht="15.75" customHeight="1">
      <c r="A12" s="197"/>
      <c r="B12" s="422" t="s">
        <v>9314</v>
      </c>
      <c r="C12" s="253" t="s">
        <v>1387</v>
      </c>
      <c r="D12" s="253">
        <v>3</v>
      </c>
      <c r="E12" s="696">
        <v>0.878</v>
      </c>
      <c r="F12" s="696">
        <v>23.209</v>
      </c>
      <c r="G12" s="694">
        <f t="shared" si="0"/>
        <v>24.087</v>
      </c>
      <c r="H12" s="697">
        <v>2.6070000000000002</v>
      </c>
      <c r="I12" s="398"/>
      <c r="J12" s="398"/>
      <c r="K12" s="398"/>
      <c r="L12" s="398"/>
      <c r="M12" s="398"/>
      <c r="N12" s="398"/>
      <c r="O12" s="398"/>
      <c r="P12" s="398"/>
      <c r="Q12" s="398"/>
      <c r="R12" s="398"/>
      <c r="S12" s="398"/>
      <c r="T12" s="398"/>
      <c r="U12" s="197"/>
      <c r="V12" s="257" t="s">
        <v>9315</v>
      </c>
      <c r="W12" s="249"/>
      <c r="X12" s="258"/>
      <c r="Y12" s="249"/>
      <c r="Z12" s="2576"/>
      <c r="AA12" s="251">
        <f t="shared" ref="AA12:AA14" si="5">IF( SUM( AC12:AR12 ) = 0, 0, $AC$7 )</f>
        <v>0</v>
      </c>
      <c r="AB12" s="2576"/>
      <c r="AC12" s="252">
        <f t="shared" ref="AC12:AC14" si="6" xml:space="preserve"> IF( ISNUMBER(E12), 0, 1 )</f>
        <v>0</v>
      </c>
      <c r="AD12" s="252">
        <f t="shared" ref="AD12:AD14" si="7" xml:space="preserve"> IF( ISNUMBER(F12), 0, 1 )</f>
        <v>0</v>
      </c>
      <c r="AE12" s="2562"/>
      <c r="AF12" s="252">
        <f t="shared" ref="AF12:AF14" si="8" xml:space="preserve"> IF( ISNUMBER(H12), 0, 1 )</f>
        <v>0</v>
      </c>
      <c r="AG12" s="2562"/>
      <c r="AH12" s="2562"/>
      <c r="AI12" s="2562"/>
      <c r="AJ12" s="2562"/>
      <c r="AK12" s="2562"/>
      <c r="AL12" s="2562"/>
      <c r="AM12" s="2562"/>
      <c r="AN12" s="2562"/>
      <c r="AO12" s="2562"/>
      <c r="AP12" s="2562"/>
      <c r="AQ12" s="2562"/>
      <c r="AR12" s="2562"/>
      <c r="AS12" s="1056"/>
      <c r="AT12" s="2562"/>
      <c r="AU12" s="422" t="s">
        <v>9314</v>
      </c>
      <c r="AV12" s="253" t="s">
        <v>1387</v>
      </c>
      <c r="AW12" s="253">
        <v>3</v>
      </c>
      <c r="AX12" s="696" t="s">
        <v>9316</v>
      </c>
      <c r="AY12" s="696" t="s">
        <v>9317</v>
      </c>
      <c r="AZ12" s="694" t="s">
        <v>9318</v>
      </c>
      <c r="BA12" s="697" t="s">
        <v>9319</v>
      </c>
      <c r="BB12" s="398"/>
      <c r="BC12" s="398"/>
      <c r="BD12" s="398"/>
      <c r="BE12" s="398"/>
      <c r="BF12" s="398"/>
      <c r="BG12" s="398"/>
      <c r="BH12" s="398"/>
      <c r="BI12" s="398"/>
      <c r="BJ12" s="398"/>
      <c r="BK12" s="398"/>
      <c r="BL12" s="398"/>
      <c r="BM12" s="398"/>
    </row>
    <row r="13" spans="1:65" s="220" customFormat="1" ht="15.75" customHeight="1">
      <c r="A13" s="197"/>
      <c r="B13" s="422" t="s">
        <v>9320</v>
      </c>
      <c r="C13" s="253" t="s">
        <v>1387</v>
      </c>
      <c r="D13" s="253">
        <v>3</v>
      </c>
      <c r="E13" s="696">
        <v>1.994</v>
      </c>
      <c r="F13" s="696">
        <v>3.9159999999999999</v>
      </c>
      <c r="G13" s="694">
        <f t="shared" si="0"/>
        <v>5.91</v>
      </c>
      <c r="H13" s="697">
        <v>1.613</v>
      </c>
      <c r="I13" s="398"/>
      <c r="J13" s="398"/>
      <c r="K13" s="398"/>
      <c r="L13" s="398"/>
      <c r="M13" s="398"/>
      <c r="N13" s="398"/>
      <c r="O13" s="398"/>
      <c r="P13" s="398"/>
      <c r="Q13" s="398"/>
      <c r="R13" s="398"/>
      <c r="S13" s="398"/>
      <c r="T13" s="398"/>
      <c r="U13" s="197"/>
      <c r="V13" s="257" t="s">
        <v>9321</v>
      </c>
      <c r="W13" s="249"/>
      <c r="X13" s="258"/>
      <c r="Y13" s="249"/>
      <c r="Z13" s="2576"/>
      <c r="AA13" s="251">
        <f t="shared" si="5"/>
        <v>0</v>
      </c>
      <c r="AB13" s="2576"/>
      <c r="AC13" s="252">
        <f t="shared" si="6"/>
        <v>0</v>
      </c>
      <c r="AD13" s="252">
        <f t="shared" si="7"/>
        <v>0</v>
      </c>
      <c r="AE13" s="2562"/>
      <c r="AF13" s="252">
        <f t="shared" si="8"/>
        <v>0</v>
      </c>
      <c r="AG13" s="2562"/>
      <c r="AH13" s="2562"/>
      <c r="AI13" s="2562"/>
      <c r="AJ13" s="2562"/>
      <c r="AK13" s="2562"/>
      <c r="AL13" s="2562"/>
      <c r="AM13" s="2562"/>
      <c r="AN13" s="2562"/>
      <c r="AO13" s="2562"/>
      <c r="AP13" s="2562"/>
      <c r="AQ13" s="2562"/>
      <c r="AR13" s="2562"/>
      <c r="AS13" s="1056"/>
      <c r="AT13" s="2562"/>
      <c r="AU13" s="422" t="s">
        <v>9320</v>
      </c>
      <c r="AV13" s="253" t="s">
        <v>1387</v>
      </c>
      <c r="AW13" s="253">
        <v>3</v>
      </c>
      <c r="AX13" s="696" t="s">
        <v>9322</v>
      </c>
      <c r="AY13" s="696" t="s">
        <v>9323</v>
      </c>
      <c r="AZ13" s="694" t="s">
        <v>9324</v>
      </c>
      <c r="BA13" s="697" t="s">
        <v>9325</v>
      </c>
      <c r="BB13" s="398"/>
      <c r="BC13" s="398"/>
      <c r="BD13" s="398"/>
      <c r="BE13" s="398"/>
      <c r="BF13" s="398"/>
      <c r="BG13" s="398"/>
      <c r="BH13" s="398"/>
      <c r="BI13" s="398"/>
      <c r="BJ13" s="398"/>
      <c r="BK13" s="398"/>
      <c r="BL13" s="398"/>
      <c r="BM13" s="398"/>
    </row>
    <row r="14" spans="1:65" ht="15.75" customHeight="1">
      <c r="B14" s="422" t="s">
        <v>9326</v>
      </c>
      <c r="C14" s="253" t="s">
        <v>1387</v>
      </c>
      <c r="D14" s="253">
        <v>3</v>
      </c>
      <c r="E14" s="696">
        <v>12.29</v>
      </c>
      <c r="F14" s="696">
        <v>81.159000000000006</v>
      </c>
      <c r="G14" s="694">
        <f t="shared" si="0"/>
        <v>93.449000000000012</v>
      </c>
      <c r="H14" s="697">
        <v>19.533999999999999</v>
      </c>
      <c r="I14" s="398"/>
      <c r="J14" s="398"/>
      <c r="K14" s="398"/>
      <c r="L14" s="398"/>
      <c r="M14" s="398"/>
      <c r="N14" s="398"/>
      <c r="O14" s="398"/>
      <c r="P14" s="398"/>
      <c r="Q14" s="398"/>
      <c r="R14" s="398"/>
      <c r="S14" s="398"/>
      <c r="T14" s="398"/>
      <c r="V14" s="257" t="s">
        <v>9327</v>
      </c>
      <c r="W14" s="249"/>
      <c r="X14" s="258"/>
      <c r="Y14" s="249"/>
      <c r="Z14" s="1056"/>
      <c r="AA14" s="251">
        <f t="shared" si="5"/>
        <v>0</v>
      </c>
      <c r="AB14" s="1056"/>
      <c r="AC14" s="252">
        <f t="shared" si="6"/>
        <v>0</v>
      </c>
      <c r="AD14" s="252">
        <f t="shared" si="7"/>
        <v>0</v>
      </c>
      <c r="AE14" s="2562"/>
      <c r="AF14" s="252">
        <f t="shared" si="8"/>
        <v>0</v>
      </c>
      <c r="AG14" s="2562"/>
      <c r="AH14" s="2562"/>
      <c r="AI14" s="2562"/>
      <c r="AJ14" s="2562"/>
      <c r="AK14" s="2562"/>
      <c r="AL14" s="2562"/>
      <c r="AM14" s="2562"/>
      <c r="AN14" s="2562"/>
      <c r="AO14" s="2562"/>
      <c r="AP14" s="2562"/>
      <c r="AQ14" s="2562"/>
      <c r="AR14" s="2562"/>
      <c r="AS14" s="1056"/>
      <c r="AU14" s="422" t="s">
        <v>9326</v>
      </c>
      <c r="AV14" s="253" t="s">
        <v>1387</v>
      </c>
      <c r="AW14" s="253">
        <v>3</v>
      </c>
      <c r="AX14" s="696" t="s">
        <v>9328</v>
      </c>
      <c r="AY14" s="696" t="s">
        <v>9329</v>
      </c>
      <c r="AZ14" s="694" t="s">
        <v>9330</v>
      </c>
      <c r="BA14" s="697" t="s">
        <v>9331</v>
      </c>
      <c r="BB14" s="398"/>
      <c r="BC14" s="398"/>
      <c r="BD14" s="398"/>
      <c r="BE14" s="398"/>
      <c r="BF14" s="398"/>
      <c r="BG14" s="398"/>
      <c r="BH14" s="398"/>
      <c r="BI14" s="398"/>
      <c r="BJ14" s="398"/>
      <c r="BK14" s="398"/>
      <c r="BL14" s="398"/>
      <c r="BM14" s="398"/>
    </row>
    <row r="15" spans="1:65" ht="15.75" customHeight="1">
      <c r="B15" s="422" t="s">
        <v>9332</v>
      </c>
      <c r="C15" s="253" t="s">
        <v>1387</v>
      </c>
      <c r="D15" s="253">
        <v>3</v>
      </c>
      <c r="E15" s="694">
        <f>IFERROR(SUM(E12:E14), 0)</f>
        <v>15.161999999999999</v>
      </c>
      <c r="F15" s="694">
        <f>IFERROR(SUM(F12:F14), 0)</f>
        <v>108.28400000000001</v>
      </c>
      <c r="G15" s="694">
        <f t="shared" si="0"/>
        <v>123.446</v>
      </c>
      <c r="H15" s="695">
        <f>IFERROR(SUM(H12:H14), 0)</f>
        <v>23.753999999999998</v>
      </c>
      <c r="I15" s="398"/>
      <c r="J15" s="398"/>
      <c r="K15" s="398"/>
      <c r="L15" s="398"/>
      <c r="M15" s="398"/>
      <c r="N15" s="398"/>
      <c r="O15" s="398"/>
      <c r="P15" s="398"/>
      <c r="Q15" s="398"/>
      <c r="R15" s="398"/>
      <c r="S15" s="398"/>
      <c r="T15" s="398"/>
      <c r="V15" s="257" t="s">
        <v>9333</v>
      </c>
      <c r="W15" s="249"/>
      <c r="X15" s="258"/>
      <c r="Y15" s="249"/>
      <c r="Z15" s="1056"/>
      <c r="AA15" s="251"/>
      <c r="AB15" s="1056"/>
      <c r="AC15" s="2562"/>
      <c r="AD15" s="2562"/>
      <c r="AE15" s="2562"/>
      <c r="AF15" s="2562"/>
      <c r="AG15" s="2562"/>
      <c r="AH15" s="2562"/>
      <c r="AI15" s="2562"/>
      <c r="AJ15" s="2562"/>
      <c r="AK15" s="2562"/>
      <c r="AL15" s="2562"/>
      <c r="AM15" s="2562"/>
      <c r="AN15" s="2562"/>
      <c r="AO15" s="2562"/>
      <c r="AP15" s="2562"/>
      <c r="AQ15" s="2562"/>
      <c r="AR15" s="2562"/>
      <c r="AS15" s="1056"/>
      <c r="AU15" s="422" t="s">
        <v>9332</v>
      </c>
      <c r="AV15" s="253" t="s">
        <v>1387</v>
      </c>
      <c r="AW15" s="253">
        <v>3</v>
      </c>
      <c r="AX15" s="694" t="s">
        <v>9334</v>
      </c>
      <c r="AY15" s="694" t="s">
        <v>9335</v>
      </c>
      <c r="AZ15" s="694" t="s">
        <v>9336</v>
      </c>
      <c r="BA15" s="695" t="s">
        <v>9337</v>
      </c>
      <c r="BB15" s="398"/>
      <c r="BC15" s="398"/>
      <c r="BD15" s="398"/>
      <c r="BE15" s="398"/>
      <c r="BF15" s="398"/>
      <c r="BG15" s="398"/>
      <c r="BH15" s="398"/>
      <c r="BI15" s="398"/>
      <c r="BJ15" s="398"/>
      <c r="BK15" s="398"/>
      <c r="BL15" s="398"/>
      <c r="BM15" s="398"/>
    </row>
    <row r="16" spans="1:65" ht="15.75" customHeight="1" thickBot="1">
      <c r="B16" s="425" t="s">
        <v>9338</v>
      </c>
      <c r="C16" s="319" t="s">
        <v>1387</v>
      </c>
      <c r="D16" s="319">
        <v>3</v>
      </c>
      <c r="E16" s="703">
        <f>IFERROR(E11 + E15, 0)</f>
        <v>944.04099999999994</v>
      </c>
      <c r="F16" s="703">
        <f>IFERROR(F11 + F15, 0)</f>
        <v>1454.1360000000002</v>
      </c>
      <c r="G16" s="703">
        <f>IFERROR(E16 + F16, 0)</f>
        <v>2398.1770000000001</v>
      </c>
      <c r="H16" s="704">
        <f>IFERROR(H11 + H15, 0)</f>
        <v>108.815</v>
      </c>
      <c r="I16" s="398"/>
      <c r="J16" s="398"/>
      <c r="K16" s="398"/>
      <c r="L16" s="398"/>
      <c r="M16" s="398"/>
      <c r="N16" s="398"/>
      <c r="O16" s="398"/>
      <c r="P16" s="398"/>
      <c r="Q16" s="398"/>
      <c r="R16" s="398"/>
      <c r="S16" s="398"/>
      <c r="T16" s="398"/>
      <c r="V16" s="320" t="s">
        <v>9339</v>
      </c>
      <c r="W16" s="249"/>
      <c r="X16" s="269"/>
      <c r="Y16" s="249"/>
      <c r="Z16" s="1056"/>
      <c r="AA16" s="251"/>
      <c r="AB16" s="1056"/>
      <c r="AC16" s="2562"/>
      <c r="AD16" s="2562"/>
      <c r="AE16" s="2562"/>
      <c r="AF16" s="2562"/>
      <c r="AG16" s="2562"/>
      <c r="AH16" s="2562"/>
      <c r="AI16" s="2562"/>
      <c r="AJ16" s="2562"/>
      <c r="AK16" s="2562"/>
      <c r="AL16" s="2562"/>
      <c r="AM16" s="2562"/>
      <c r="AN16" s="2562"/>
      <c r="AO16" s="2562"/>
      <c r="AP16" s="2562"/>
      <c r="AQ16" s="2562"/>
      <c r="AR16" s="2562"/>
      <c r="AS16" s="1056"/>
      <c r="AU16" s="425" t="s">
        <v>9338</v>
      </c>
      <c r="AV16" s="319" t="s">
        <v>1387</v>
      </c>
      <c r="AW16" s="319">
        <v>3</v>
      </c>
      <c r="AX16" s="703" t="s">
        <v>9340</v>
      </c>
      <c r="AY16" s="703" t="s">
        <v>9341</v>
      </c>
      <c r="AZ16" s="703" t="s">
        <v>9342</v>
      </c>
      <c r="BA16" s="704" t="s">
        <v>9343</v>
      </c>
      <c r="BB16" s="398"/>
      <c r="BC16" s="398"/>
      <c r="BD16" s="398"/>
      <c r="BE16" s="398"/>
      <c r="BF16" s="398"/>
      <c r="BG16" s="398"/>
      <c r="BH16" s="398"/>
      <c r="BI16" s="398"/>
      <c r="BJ16" s="398"/>
      <c r="BK16" s="398"/>
      <c r="BL16" s="398"/>
      <c r="BM16" s="398"/>
    </row>
    <row r="17" spans="2:65" s="398" customFormat="1" ht="15.75" customHeight="1" thickTop="1" thickBot="1">
      <c r="B17" s="1034"/>
      <c r="C17" s="1034"/>
      <c r="D17" s="1034"/>
      <c r="E17" s="1035"/>
      <c r="F17" s="1035"/>
      <c r="G17" s="1035"/>
      <c r="H17" s="1035"/>
      <c r="I17" s="1035"/>
      <c r="J17" s="1035"/>
      <c r="K17" s="1035"/>
      <c r="L17" s="1035"/>
      <c r="M17" s="222"/>
      <c r="N17" s="222"/>
      <c r="O17" s="222"/>
      <c r="P17" s="106"/>
      <c r="Q17" s="106"/>
      <c r="R17" s="106"/>
      <c r="S17" s="106"/>
      <c r="T17" s="106"/>
      <c r="U17" s="106"/>
      <c r="V17" s="619"/>
      <c r="W17" s="249"/>
      <c r="X17" s="249"/>
      <c r="Y17" s="249"/>
      <c r="Z17" s="1058"/>
      <c r="AA17" s="251"/>
      <c r="AB17" s="1058"/>
      <c r="AC17" s="2562"/>
      <c r="AD17" s="2562"/>
      <c r="AE17" s="2562"/>
      <c r="AF17" s="2562"/>
      <c r="AG17" s="2562"/>
      <c r="AH17" s="2562"/>
      <c r="AI17" s="2562"/>
      <c r="AJ17" s="2562"/>
      <c r="AK17" s="2562"/>
      <c r="AL17" s="2562"/>
      <c r="AM17" s="2562"/>
      <c r="AN17" s="2562"/>
      <c r="AO17" s="2562"/>
      <c r="AP17" s="2562"/>
      <c r="AQ17" s="2562"/>
      <c r="AR17" s="2562"/>
      <c r="AS17" s="1056"/>
      <c r="AU17" s="1034"/>
      <c r="AV17" s="1034"/>
      <c r="AW17" s="1034"/>
      <c r="AX17" s="1035"/>
      <c r="AY17" s="1035"/>
      <c r="AZ17" s="1035"/>
      <c r="BA17" s="1035"/>
      <c r="BB17" s="1035"/>
      <c r="BC17" s="1035"/>
      <c r="BD17" s="1035"/>
      <c r="BE17" s="1035"/>
      <c r="BF17" s="222"/>
      <c r="BG17" s="222"/>
      <c r="BH17" s="222"/>
      <c r="BI17" s="106"/>
      <c r="BJ17" s="106"/>
      <c r="BK17" s="106"/>
      <c r="BL17" s="106"/>
      <c r="BM17" s="106"/>
    </row>
    <row r="18" spans="2:65" s="398" customFormat="1" ht="15.75" customHeight="1" thickTop="1">
      <c r="B18" s="2686" t="s">
        <v>1891</v>
      </c>
      <c r="C18" s="2667" t="s">
        <v>1892</v>
      </c>
      <c r="D18" s="2667" t="s">
        <v>6136</v>
      </c>
      <c r="E18" s="2667" t="s">
        <v>3849</v>
      </c>
      <c r="F18" s="2667"/>
      <c r="G18" s="2667"/>
      <c r="H18" s="2667" t="s">
        <v>3850</v>
      </c>
      <c r="I18" s="2667"/>
      <c r="J18" s="2669"/>
      <c r="M18" s="222"/>
      <c r="N18" s="222"/>
      <c r="O18" s="222"/>
      <c r="P18" s="619"/>
      <c r="Q18" s="619"/>
      <c r="R18" s="619"/>
      <c r="S18" s="619"/>
      <c r="T18" s="619"/>
      <c r="U18" s="619"/>
      <c r="V18" s="619"/>
      <c r="Z18" s="1058"/>
      <c r="AA18" s="251"/>
      <c r="AB18" s="1058"/>
      <c r="AC18" s="2562"/>
      <c r="AD18" s="2562"/>
      <c r="AE18" s="2562"/>
      <c r="AF18" s="2562"/>
      <c r="AG18" s="2562"/>
      <c r="AH18" s="2562"/>
      <c r="AI18" s="2562"/>
      <c r="AJ18" s="2562"/>
      <c r="AK18" s="2562"/>
      <c r="AL18" s="2562"/>
      <c r="AM18" s="2562"/>
      <c r="AN18" s="2562"/>
      <c r="AO18" s="2562"/>
      <c r="AP18" s="2562"/>
      <c r="AQ18" s="2562"/>
      <c r="AR18" s="2562"/>
      <c r="AS18" s="1056"/>
      <c r="AU18" s="2686" t="s">
        <v>1891</v>
      </c>
      <c r="AV18" s="2667" t="s">
        <v>1892</v>
      </c>
      <c r="AW18" s="2667" t="s">
        <v>6136</v>
      </c>
      <c r="AX18" s="2667" t="s">
        <v>3849</v>
      </c>
      <c r="AY18" s="2667"/>
      <c r="AZ18" s="2667"/>
      <c r="BA18" s="2667" t="s">
        <v>3850</v>
      </c>
      <c r="BB18" s="2667"/>
      <c r="BC18" s="2669"/>
      <c r="BF18" s="222"/>
      <c r="BG18" s="222"/>
      <c r="BH18" s="222"/>
      <c r="BI18" s="619"/>
      <c r="BJ18" s="619"/>
      <c r="BK18" s="619"/>
      <c r="BL18" s="619"/>
      <c r="BM18" s="619"/>
    </row>
    <row r="19" spans="2:65" s="398" customFormat="1" ht="15.75" customHeight="1" thickBot="1">
      <c r="B19" s="2687"/>
      <c r="C19" s="2668"/>
      <c r="D19" s="2668"/>
      <c r="E19" s="238" t="s">
        <v>3656</v>
      </c>
      <c r="F19" s="238" t="s">
        <v>3664</v>
      </c>
      <c r="G19" s="238" t="s">
        <v>2112</v>
      </c>
      <c r="H19" s="238" t="s">
        <v>3656</v>
      </c>
      <c r="I19" s="238" t="s">
        <v>3664</v>
      </c>
      <c r="J19" s="576" t="s">
        <v>2112</v>
      </c>
      <c r="M19" s="222"/>
      <c r="N19" s="222"/>
      <c r="O19" s="222"/>
      <c r="P19" s="619"/>
      <c r="Q19" s="619"/>
      <c r="R19" s="619"/>
      <c r="S19" s="619"/>
      <c r="T19" s="619"/>
      <c r="U19" s="619"/>
      <c r="V19" s="619"/>
      <c r="Z19" s="1058"/>
      <c r="AA19" s="251"/>
      <c r="AB19" s="1058"/>
      <c r="AC19" s="2562"/>
      <c r="AD19" s="2562"/>
      <c r="AE19" s="2562"/>
      <c r="AF19" s="2562"/>
      <c r="AG19" s="2562"/>
      <c r="AH19" s="2562"/>
      <c r="AI19" s="2562"/>
      <c r="AJ19" s="2562"/>
      <c r="AK19" s="2562"/>
      <c r="AL19" s="2562"/>
      <c r="AM19" s="2562"/>
      <c r="AN19" s="2562"/>
      <c r="AO19" s="2562"/>
      <c r="AP19" s="2562"/>
      <c r="AQ19" s="2562"/>
      <c r="AR19" s="2562"/>
      <c r="AS19" s="1056"/>
      <c r="AU19" s="2687"/>
      <c r="AV19" s="2668"/>
      <c r="AW19" s="2668"/>
      <c r="AX19" s="238" t="s">
        <v>3656</v>
      </c>
      <c r="AY19" s="238" t="s">
        <v>3664</v>
      </c>
      <c r="AZ19" s="238" t="s">
        <v>2112</v>
      </c>
      <c r="BA19" s="238" t="s">
        <v>3656</v>
      </c>
      <c r="BB19" s="238" t="s">
        <v>3664</v>
      </c>
      <c r="BC19" s="576" t="s">
        <v>2112</v>
      </c>
      <c r="BF19" s="222"/>
      <c r="BG19" s="222"/>
      <c r="BH19" s="222"/>
      <c r="BI19" s="619"/>
      <c r="BJ19" s="619"/>
      <c r="BK19" s="619"/>
      <c r="BL19" s="619"/>
      <c r="BM19" s="619"/>
    </row>
    <row r="20" spans="2:65" s="398" customFormat="1" ht="15.75" customHeight="1" thickTop="1" thickBot="1">
      <c r="B20" s="356"/>
      <c r="C20" s="444"/>
      <c r="D20" s="444"/>
      <c r="E20" s="444"/>
      <c r="F20" s="444"/>
      <c r="G20" s="444"/>
      <c r="H20" s="444"/>
      <c r="I20" s="444"/>
      <c r="J20" s="444"/>
      <c r="M20" s="222"/>
      <c r="N20" s="222"/>
      <c r="O20" s="222"/>
      <c r="P20" s="619"/>
      <c r="Q20" s="619"/>
      <c r="R20" s="619"/>
      <c r="S20" s="619"/>
      <c r="T20" s="619"/>
      <c r="U20" s="619"/>
      <c r="V20" s="619"/>
      <c r="Z20" s="1058"/>
      <c r="AA20" s="251"/>
      <c r="AB20" s="1058"/>
      <c r="AC20" s="2562"/>
      <c r="AD20" s="2562"/>
      <c r="AE20" s="2562"/>
      <c r="AF20" s="2562"/>
      <c r="AG20" s="2562"/>
      <c r="AH20" s="2562"/>
      <c r="AI20" s="2562"/>
      <c r="AJ20" s="2562"/>
      <c r="AK20" s="2562"/>
      <c r="AL20" s="2562"/>
      <c r="AM20" s="2562"/>
      <c r="AN20" s="2562"/>
      <c r="AO20" s="2562"/>
      <c r="AP20" s="2562"/>
      <c r="AQ20" s="2562"/>
      <c r="AR20" s="2562"/>
      <c r="AS20" s="1056"/>
      <c r="AU20" s="356"/>
      <c r="AV20" s="444"/>
      <c r="AW20" s="444"/>
      <c r="AX20" s="444"/>
      <c r="AY20" s="444"/>
      <c r="AZ20" s="444"/>
      <c r="BA20" s="444"/>
      <c r="BB20" s="444"/>
      <c r="BC20" s="444"/>
      <c r="BF20" s="222"/>
      <c r="BG20" s="222"/>
      <c r="BH20" s="222"/>
      <c r="BI20" s="619"/>
      <c r="BJ20" s="619"/>
      <c r="BK20" s="619"/>
      <c r="BL20" s="619"/>
      <c r="BM20" s="619"/>
    </row>
    <row r="21" spans="2:65" s="398" customFormat="1" ht="15.75" customHeight="1" thickTop="1" thickBot="1">
      <c r="B21" s="355" t="s">
        <v>9344</v>
      </c>
      <c r="C21" s="444"/>
      <c r="D21" s="444"/>
      <c r="E21" s="444"/>
      <c r="F21" s="444"/>
      <c r="G21" s="444"/>
      <c r="H21" s="444"/>
      <c r="I21" s="444"/>
      <c r="J21" s="444"/>
      <c r="U21" s="619"/>
      <c r="V21" s="619"/>
      <c r="Z21" s="1058"/>
      <c r="AA21" s="251"/>
      <c r="AB21" s="1058"/>
      <c r="AC21" s="2562"/>
      <c r="AD21" s="2562"/>
      <c r="AE21" s="2562"/>
      <c r="AF21" s="2562"/>
      <c r="AG21" s="2562"/>
      <c r="AH21" s="2562"/>
      <c r="AI21" s="2562"/>
      <c r="AJ21" s="2562"/>
      <c r="AK21" s="2562"/>
      <c r="AL21" s="2562"/>
      <c r="AM21" s="2562"/>
      <c r="AN21" s="2562"/>
      <c r="AO21" s="2562"/>
      <c r="AP21" s="2562"/>
      <c r="AQ21" s="2562"/>
      <c r="AR21" s="2562"/>
      <c r="AS21" s="1056"/>
      <c r="AU21" s="355" t="s">
        <v>9344</v>
      </c>
      <c r="AV21" s="444"/>
      <c r="AW21" s="444"/>
      <c r="AX21" s="444"/>
      <c r="AY21" s="444"/>
      <c r="AZ21" s="444"/>
      <c r="BA21" s="444"/>
      <c r="BB21" s="444"/>
      <c r="BC21" s="444"/>
    </row>
    <row r="22" spans="2:65" s="398" customFormat="1" ht="15.75" customHeight="1" thickTop="1">
      <c r="B22" s="413" t="s">
        <v>9345</v>
      </c>
      <c r="C22" s="244" t="s">
        <v>1387</v>
      </c>
      <c r="D22" s="244">
        <v>3</v>
      </c>
      <c r="E22" s="706">
        <v>872.577</v>
      </c>
      <c r="F22" s="706">
        <v>1279.5</v>
      </c>
      <c r="G22" s="1057">
        <f>IFERROR(E22 + F22, 0)</f>
        <v>2152.0770000000002</v>
      </c>
      <c r="H22" s="706">
        <v>876.41</v>
      </c>
      <c r="I22" s="706">
        <v>1284.4160000000002</v>
      </c>
      <c r="J22" s="1059">
        <f>IFERROR(H22 + I22, 0)</f>
        <v>2160.826</v>
      </c>
      <c r="U22" s="634"/>
      <c r="V22" s="248" t="s">
        <v>9346</v>
      </c>
      <c r="X22" s="395"/>
      <c r="Z22" s="1058"/>
      <c r="AA22" s="251">
        <f>IF( SUM( AC22:AR22 ) = 0, 0, $AC$7 )</f>
        <v>0</v>
      </c>
      <c r="AB22" s="1058"/>
      <c r="AC22" s="252">
        <f t="shared" ref="AC22" si="9" xml:space="preserve"> IF( ISNUMBER(E22), 0, 1 )</f>
        <v>0</v>
      </c>
      <c r="AD22" s="252">
        <f t="shared" ref="AD22" si="10" xml:space="preserve"> IF( ISNUMBER(F22), 0, 1 )</f>
        <v>0</v>
      </c>
      <c r="AE22" s="2562"/>
      <c r="AF22" s="252">
        <f t="shared" ref="AF22" si="11" xml:space="preserve"> IF( ISNUMBER(H22), 0, 1 )</f>
        <v>0</v>
      </c>
      <c r="AG22" s="252">
        <f t="shared" ref="AG22" si="12" xml:space="preserve"> IF( ISNUMBER(I22), 0, 1 )</f>
        <v>0</v>
      </c>
      <c r="AH22" s="2562"/>
      <c r="AI22" s="2562"/>
      <c r="AJ22" s="2562"/>
      <c r="AK22" s="2562"/>
      <c r="AL22" s="2562"/>
      <c r="AM22" s="2562"/>
      <c r="AN22" s="2562"/>
      <c r="AO22" s="2562"/>
      <c r="AP22" s="2562"/>
      <c r="AQ22" s="2562"/>
      <c r="AR22" s="2562"/>
      <c r="AS22" s="1056"/>
      <c r="AU22" s="413" t="s">
        <v>9345</v>
      </c>
      <c r="AV22" s="244" t="s">
        <v>1387</v>
      </c>
      <c r="AW22" s="244">
        <v>3</v>
      </c>
      <c r="AX22" s="706" t="s">
        <v>9347</v>
      </c>
      <c r="AY22" s="706" t="s">
        <v>9348</v>
      </c>
      <c r="AZ22" s="1057" t="s">
        <v>9349</v>
      </c>
      <c r="BA22" s="706" t="s">
        <v>9350</v>
      </c>
      <c r="BB22" s="706" t="s">
        <v>9351</v>
      </c>
      <c r="BC22" s="1059" t="s">
        <v>9352</v>
      </c>
    </row>
    <row r="23" spans="2:65" s="398" customFormat="1" ht="15.75" customHeight="1">
      <c r="B23" s="422" t="s">
        <v>9353</v>
      </c>
      <c r="C23" s="253" t="s">
        <v>1387</v>
      </c>
      <c r="D23" s="253">
        <v>3</v>
      </c>
      <c r="E23" s="1060"/>
      <c r="F23" s="1060"/>
      <c r="G23" s="696">
        <v>80.89200000000001</v>
      </c>
      <c r="H23" s="1060"/>
      <c r="I23" s="1061"/>
      <c r="J23" s="697">
        <v>80.965000000000003</v>
      </c>
      <c r="U23" s="634"/>
      <c r="V23" s="257" t="s">
        <v>9354</v>
      </c>
      <c r="X23" s="399"/>
      <c r="Z23" s="1058"/>
      <c r="AA23" s="251">
        <f>IF( SUM( AC23:AR23 ) = 0, 0, $AC$7 )</f>
        <v>0</v>
      </c>
      <c r="AB23" s="1058"/>
      <c r="AC23" s="2562"/>
      <c r="AD23" s="2562"/>
      <c r="AE23" s="252">
        <f t="shared" ref="AE23" si="13" xml:space="preserve"> IF( ISNUMBER(G23), 0, 1 )</f>
        <v>0</v>
      </c>
      <c r="AF23" s="2562"/>
      <c r="AG23" s="2562"/>
      <c r="AH23" s="252">
        <f t="shared" ref="AH23" si="14" xml:space="preserve"> IF( ISNUMBER(J23), 0, 1 )</f>
        <v>0</v>
      </c>
      <c r="AI23" s="2562"/>
      <c r="AJ23" s="2562"/>
      <c r="AK23" s="2562"/>
      <c r="AL23" s="2562"/>
      <c r="AM23" s="2562"/>
      <c r="AN23" s="2562"/>
      <c r="AO23" s="2562"/>
      <c r="AP23" s="2562"/>
      <c r="AQ23" s="2562"/>
      <c r="AR23" s="2562"/>
      <c r="AS23" s="1056"/>
      <c r="AU23" s="422" t="s">
        <v>9353</v>
      </c>
      <c r="AV23" s="253" t="s">
        <v>1387</v>
      </c>
      <c r="AW23" s="253">
        <v>3</v>
      </c>
      <c r="AX23" s="1060"/>
      <c r="AY23" s="1060"/>
      <c r="AZ23" s="696" t="s">
        <v>9355</v>
      </c>
      <c r="BA23" s="1060"/>
      <c r="BB23" s="1061"/>
      <c r="BC23" s="697" t="s">
        <v>9356</v>
      </c>
    </row>
    <row r="24" spans="2:65" s="398" customFormat="1" ht="15.75" customHeight="1">
      <c r="B24" s="422" t="s">
        <v>9357</v>
      </c>
      <c r="C24" s="253" t="s">
        <v>1387</v>
      </c>
      <c r="D24" s="253">
        <v>3</v>
      </c>
      <c r="E24" s="1060"/>
      <c r="F24" s="1060"/>
      <c r="G24" s="694">
        <f>IFERROR(G22 + G23, 0)</f>
        <v>2232.9690000000001</v>
      </c>
      <c r="H24" s="1060"/>
      <c r="I24" s="1061"/>
      <c r="J24" s="695">
        <f>IFERROR(J22 + J23, 0)</f>
        <v>2241.7910000000002</v>
      </c>
      <c r="U24" s="634"/>
      <c r="V24" s="257" t="s">
        <v>9358</v>
      </c>
      <c r="X24" s="399"/>
      <c r="Z24" s="1058"/>
      <c r="AA24" s="251"/>
      <c r="AB24" s="1058"/>
      <c r="AC24" s="2562"/>
      <c r="AD24" s="2562"/>
      <c r="AE24" s="2562"/>
      <c r="AF24" s="2562"/>
      <c r="AG24" s="2562"/>
      <c r="AH24" s="2562"/>
      <c r="AI24" s="2562"/>
      <c r="AJ24" s="2562"/>
      <c r="AK24" s="2562"/>
      <c r="AL24" s="2562"/>
      <c r="AM24" s="2562"/>
      <c r="AN24" s="2562"/>
      <c r="AO24" s="2562"/>
      <c r="AP24" s="2562"/>
      <c r="AQ24" s="2562"/>
      <c r="AR24" s="2562"/>
      <c r="AS24" s="1056"/>
      <c r="AU24" s="422" t="s">
        <v>9357</v>
      </c>
      <c r="AV24" s="253" t="s">
        <v>1387</v>
      </c>
      <c r="AW24" s="253">
        <v>3</v>
      </c>
      <c r="AX24" s="1060"/>
      <c r="AY24" s="1060"/>
      <c r="AZ24" s="694" t="s">
        <v>9359</v>
      </c>
      <c r="BA24" s="1060"/>
      <c r="BB24" s="1061"/>
      <c r="BC24" s="1062" t="s">
        <v>9360</v>
      </c>
    </row>
    <row r="25" spans="2:65" s="398" customFormat="1" ht="15.75" customHeight="1" thickBot="1">
      <c r="B25" s="422" t="s">
        <v>9361</v>
      </c>
      <c r="C25" s="253" t="s">
        <v>1387</v>
      </c>
      <c r="D25" s="253">
        <v>3</v>
      </c>
      <c r="E25" s="775">
        <v>13.167999999999999</v>
      </c>
      <c r="F25" s="775">
        <v>104.36799999999999</v>
      </c>
      <c r="G25" s="694">
        <f>IFERROR(E25 + F25, 0)</f>
        <v>117.536</v>
      </c>
      <c r="H25" s="775">
        <v>14.284000000000001</v>
      </c>
      <c r="I25" s="775">
        <v>85.075999999999993</v>
      </c>
      <c r="J25" s="695">
        <f>IFERROR(H25+I25,0)</f>
        <v>99.36</v>
      </c>
      <c r="U25" s="634"/>
      <c r="V25" s="257" t="s">
        <v>9362</v>
      </c>
      <c r="X25" s="399"/>
      <c r="Z25" s="1058"/>
      <c r="AA25" s="251">
        <f>IF( SUM( AC25:AR25 ) = 0, 0, $AC$7 )</f>
        <v>0</v>
      </c>
      <c r="AB25" s="1058"/>
      <c r="AC25" s="252">
        <f t="shared" ref="AC25" si="15" xml:space="preserve"> IF( ISNUMBER(E25), 0, 1 )</f>
        <v>0</v>
      </c>
      <c r="AD25" s="252">
        <f t="shared" ref="AD25" si="16" xml:space="preserve"> IF( ISNUMBER(F25), 0, 1 )</f>
        <v>0</v>
      </c>
      <c r="AE25" s="2562"/>
      <c r="AF25" s="252">
        <f t="shared" ref="AF25" si="17" xml:space="preserve"> IF( ISNUMBER(H25), 0, 1 )</f>
        <v>0</v>
      </c>
      <c r="AG25" s="252">
        <f t="shared" ref="AG25" si="18" xml:space="preserve"> IF( ISNUMBER(I25), 0, 1 )</f>
        <v>0</v>
      </c>
      <c r="AH25" s="2562"/>
      <c r="AI25" s="2562"/>
      <c r="AJ25" s="2562"/>
      <c r="AK25" s="2562"/>
      <c r="AL25" s="2562"/>
      <c r="AM25" s="2562"/>
      <c r="AN25" s="2562"/>
      <c r="AO25" s="2562"/>
      <c r="AP25" s="2562"/>
      <c r="AQ25" s="2562"/>
      <c r="AR25" s="2562"/>
      <c r="AS25" s="1056"/>
      <c r="AU25" s="422" t="s">
        <v>9361</v>
      </c>
      <c r="AV25" s="253" t="s">
        <v>1387</v>
      </c>
      <c r="AW25" s="253">
        <v>3</v>
      </c>
      <c r="AX25" s="696" t="s">
        <v>9363</v>
      </c>
      <c r="AY25" s="696" t="s">
        <v>9364</v>
      </c>
      <c r="AZ25" s="694" t="s">
        <v>9365</v>
      </c>
      <c r="BA25" s="696" t="s">
        <v>9366</v>
      </c>
      <c r="BB25" s="696" t="s">
        <v>9367</v>
      </c>
      <c r="BC25" s="695" t="s">
        <v>9368</v>
      </c>
    </row>
    <row r="26" spans="2:65" s="398" customFormat="1" ht="15.75" customHeight="1" thickTop="1">
      <c r="B26" s="422" t="s">
        <v>9369</v>
      </c>
      <c r="C26" s="253" t="s">
        <v>1387</v>
      </c>
      <c r="D26" s="253">
        <v>3</v>
      </c>
      <c r="E26" s="1060"/>
      <c r="F26" s="1060"/>
      <c r="G26" s="775">
        <v>22.140999999999998</v>
      </c>
      <c r="H26" s="1060"/>
      <c r="I26" s="1061"/>
      <c r="J26" s="706">
        <v>21.148</v>
      </c>
      <c r="U26" s="634"/>
      <c r="V26" s="257" t="s">
        <v>9370</v>
      </c>
      <c r="X26" s="399"/>
      <c r="Z26" s="1058"/>
      <c r="AA26" s="251">
        <f>IF( SUM( AC26:AR26 ) = 0, 0, $AC$7 )</f>
        <v>0</v>
      </c>
      <c r="AB26" s="1058"/>
      <c r="AC26" s="2562"/>
      <c r="AD26" s="2562"/>
      <c r="AE26" s="252">
        <f t="shared" ref="AE26" si="19" xml:space="preserve"> IF( ISNUMBER(G26), 0, 1 )</f>
        <v>0</v>
      </c>
      <c r="AF26" s="2562"/>
      <c r="AG26" s="2562"/>
      <c r="AH26" s="252">
        <f t="shared" ref="AH26" si="20" xml:space="preserve"> IF( ISNUMBER(J26), 0, 1 )</f>
        <v>0</v>
      </c>
      <c r="AI26" s="2562"/>
      <c r="AJ26" s="2562"/>
      <c r="AK26" s="2562"/>
      <c r="AL26" s="2562"/>
      <c r="AM26" s="2562"/>
      <c r="AN26" s="2562"/>
      <c r="AO26" s="2562"/>
      <c r="AP26" s="2562"/>
      <c r="AQ26" s="2562"/>
      <c r="AR26" s="2562"/>
      <c r="AS26" s="1056"/>
      <c r="AU26" s="422" t="s">
        <v>9369</v>
      </c>
      <c r="AV26" s="253" t="s">
        <v>1387</v>
      </c>
      <c r="AW26" s="253">
        <v>3</v>
      </c>
      <c r="AX26" s="1060"/>
      <c r="AY26" s="1060"/>
      <c r="AZ26" s="696" t="s">
        <v>9371</v>
      </c>
      <c r="BA26" s="1060"/>
      <c r="BB26" s="1061"/>
      <c r="BC26" s="697" t="s">
        <v>9372</v>
      </c>
    </row>
    <row r="27" spans="2:65" s="398" customFormat="1" ht="15.75" customHeight="1">
      <c r="B27" s="422" t="s">
        <v>9373</v>
      </c>
      <c r="C27" s="253" t="s">
        <v>1387</v>
      </c>
      <c r="D27" s="253">
        <v>3</v>
      </c>
      <c r="E27" s="1060"/>
      <c r="F27" s="1060"/>
      <c r="G27" s="694">
        <f>IFERROR(G25 + G26, 0)</f>
        <v>139.67699999999999</v>
      </c>
      <c r="H27" s="1060"/>
      <c r="I27" s="1061"/>
      <c r="J27" s="695">
        <f>IFERROR(J25 + J26, 0)</f>
        <v>120.508</v>
      </c>
      <c r="U27" s="634"/>
      <c r="V27" s="257" t="s">
        <v>9374</v>
      </c>
      <c r="X27" s="399"/>
      <c r="Z27" s="1058"/>
      <c r="AA27" s="251"/>
      <c r="AB27" s="1058"/>
      <c r="AC27" s="2562"/>
      <c r="AD27" s="2562"/>
      <c r="AE27" s="2562"/>
      <c r="AF27" s="2562"/>
      <c r="AG27" s="2562"/>
      <c r="AH27" s="2562"/>
      <c r="AI27" s="2562"/>
      <c r="AJ27" s="2562"/>
      <c r="AK27" s="2562"/>
      <c r="AL27" s="2562"/>
      <c r="AM27" s="2562"/>
      <c r="AN27" s="2562"/>
      <c r="AO27" s="2562"/>
      <c r="AP27" s="2562"/>
      <c r="AQ27" s="2562"/>
      <c r="AR27" s="2562"/>
      <c r="AS27" s="1056"/>
      <c r="AU27" s="422" t="s">
        <v>9373</v>
      </c>
      <c r="AV27" s="253" t="s">
        <v>1387</v>
      </c>
      <c r="AW27" s="253">
        <v>3</v>
      </c>
      <c r="AX27" s="1060"/>
      <c r="AY27" s="1060"/>
      <c r="AZ27" s="694" t="s">
        <v>9375</v>
      </c>
      <c r="BA27" s="1060"/>
      <c r="BB27" s="1061"/>
      <c r="BC27" s="1062" t="s">
        <v>9376</v>
      </c>
    </row>
    <row r="28" spans="2:65" s="398" customFormat="1" ht="15.75" customHeight="1" thickBot="1">
      <c r="B28" s="425" t="s">
        <v>9377</v>
      </c>
      <c r="C28" s="319" t="s">
        <v>1387</v>
      </c>
      <c r="D28" s="319">
        <v>3</v>
      </c>
      <c r="E28" s="1063"/>
      <c r="F28" s="1063"/>
      <c r="G28" s="703">
        <f>IFERROR(G27 + G24, 0)</f>
        <v>2372.6460000000002</v>
      </c>
      <c r="H28" s="1063"/>
      <c r="I28" s="1064"/>
      <c r="J28" s="704">
        <f>IFERROR(J27 + J24, 0)</f>
        <v>2362.299</v>
      </c>
      <c r="U28" s="634"/>
      <c r="V28" s="320" t="s">
        <v>9378</v>
      </c>
      <c r="X28" s="396"/>
      <c r="Z28" s="1058"/>
      <c r="AA28" s="251"/>
      <c r="AB28" s="1058"/>
      <c r="AC28" s="2562"/>
      <c r="AD28" s="2562"/>
      <c r="AE28" s="2562"/>
      <c r="AF28" s="2562"/>
      <c r="AG28" s="2562"/>
      <c r="AH28" s="2562"/>
      <c r="AI28" s="2562"/>
      <c r="AJ28" s="2562"/>
      <c r="AK28" s="2562"/>
      <c r="AL28" s="2562"/>
      <c r="AM28" s="2562"/>
      <c r="AN28" s="2562"/>
      <c r="AO28" s="2562"/>
      <c r="AP28" s="2562"/>
      <c r="AQ28" s="2562"/>
      <c r="AR28" s="2562"/>
      <c r="AS28" s="1056"/>
      <c r="AU28" s="425" t="s">
        <v>9377</v>
      </c>
      <c r="AV28" s="319" t="s">
        <v>1387</v>
      </c>
      <c r="AW28" s="319">
        <v>3</v>
      </c>
      <c r="AX28" s="1063"/>
      <c r="AY28" s="1063"/>
      <c r="AZ28" s="703" t="s">
        <v>9379</v>
      </c>
      <c r="BA28" s="1063"/>
      <c r="BB28" s="1064"/>
      <c r="BC28" s="704" t="s">
        <v>9380</v>
      </c>
    </row>
    <row r="29" spans="2:65" s="1042" customFormat="1" ht="15.75" customHeight="1" thickTop="1" thickBot="1">
      <c r="B29" s="1041"/>
      <c r="C29" s="106"/>
      <c r="D29" s="106"/>
      <c r="E29" s="1035"/>
      <c r="F29" s="1035"/>
      <c r="G29" s="1035"/>
      <c r="H29" s="1035"/>
      <c r="I29" s="1035"/>
      <c r="J29" s="1035"/>
      <c r="K29" s="1035"/>
      <c r="L29" s="1035"/>
      <c r="M29" s="106"/>
      <c r="N29" s="106"/>
      <c r="O29" s="106"/>
      <c r="P29" s="634"/>
      <c r="Q29" s="634"/>
      <c r="R29" s="634"/>
      <c r="S29" s="634"/>
      <c r="T29" s="634"/>
      <c r="U29" s="634"/>
      <c r="V29" s="634"/>
      <c r="Z29" s="1065"/>
      <c r="AA29" s="251"/>
      <c r="AB29" s="1065"/>
      <c r="AC29" s="2562"/>
      <c r="AD29" s="2562"/>
      <c r="AE29" s="2562"/>
      <c r="AF29" s="2562"/>
      <c r="AG29" s="2562"/>
      <c r="AH29" s="2562"/>
      <c r="AI29" s="2562"/>
      <c r="AJ29" s="2562"/>
      <c r="AK29" s="2562"/>
      <c r="AL29" s="2562"/>
      <c r="AM29" s="2562"/>
      <c r="AN29" s="2562"/>
      <c r="AO29" s="2562"/>
      <c r="AP29" s="2562"/>
      <c r="AQ29" s="2562"/>
      <c r="AR29" s="2562"/>
      <c r="AS29" s="1056"/>
      <c r="AU29" s="1041"/>
      <c r="AV29" s="106"/>
      <c r="AW29" s="106"/>
      <c r="AX29" s="1035"/>
      <c r="AY29" s="1035"/>
      <c r="AZ29" s="1035"/>
      <c r="BA29" s="1035"/>
      <c r="BB29" s="1035"/>
      <c r="BC29" s="1035"/>
      <c r="BD29" s="1035"/>
      <c r="BE29" s="1035"/>
      <c r="BF29" s="106"/>
      <c r="BG29" s="106"/>
      <c r="BH29" s="106"/>
      <c r="BI29" s="634"/>
      <c r="BJ29" s="634"/>
      <c r="BK29" s="634"/>
      <c r="BL29" s="634"/>
      <c r="BM29" s="634"/>
    </row>
    <row r="30" spans="2:65" s="1042" customFormat="1" ht="16" thickTop="1">
      <c r="B30" s="2686" t="s">
        <v>1891</v>
      </c>
      <c r="C30" s="2667" t="s">
        <v>1892</v>
      </c>
      <c r="D30" s="2667" t="s">
        <v>6136</v>
      </c>
      <c r="E30" s="2667" t="s">
        <v>3849</v>
      </c>
      <c r="F30" s="2667"/>
      <c r="G30" s="2667"/>
      <c r="H30" s="2667"/>
      <c r="I30" s="2667"/>
      <c r="J30" s="2667"/>
      <c r="K30" s="2667"/>
      <c r="L30" s="2667"/>
      <c r="M30" s="2667"/>
      <c r="N30" s="2667"/>
      <c r="O30" s="2667"/>
      <c r="P30" s="2667"/>
      <c r="Q30" s="2667"/>
      <c r="R30" s="2667"/>
      <c r="S30" s="2667"/>
      <c r="T30" s="2669"/>
      <c r="U30" s="634"/>
      <c r="V30" s="634"/>
      <c r="Z30" s="1065"/>
      <c r="AA30" s="251"/>
      <c r="AB30" s="1065"/>
      <c r="AC30" s="2562"/>
      <c r="AD30" s="2562"/>
      <c r="AE30" s="2562"/>
      <c r="AF30" s="2562"/>
      <c r="AG30" s="2562"/>
      <c r="AH30" s="2562"/>
      <c r="AI30" s="2562"/>
      <c r="AJ30" s="2562"/>
      <c r="AK30" s="2562"/>
      <c r="AL30" s="2562"/>
      <c r="AM30" s="2562"/>
      <c r="AN30" s="2562"/>
      <c r="AO30" s="2562"/>
      <c r="AP30" s="2562"/>
      <c r="AQ30" s="2562"/>
      <c r="AR30" s="2562"/>
      <c r="AS30" s="1056"/>
      <c r="AU30" s="2686" t="s">
        <v>1891</v>
      </c>
      <c r="AV30" s="2667" t="s">
        <v>1892</v>
      </c>
      <c r="AW30" s="2667" t="s">
        <v>6136</v>
      </c>
      <c r="AX30" s="2667" t="s">
        <v>3849</v>
      </c>
      <c r="AY30" s="2667"/>
      <c r="AZ30" s="2667"/>
      <c r="BA30" s="2667"/>
      <c r="BB30" s="2667"/>
      <c r="BC30" s="2667"/>
      <c r="BD30" s="2667"/>
      <c r="BE30" s="2667"/>
      <c r="BF30" s="2667"/>
      <c r="BG30" s="2667"/>
      <c r="BH30" s="2667"/>
      <c r="BI30" s="2667"/>
      <c r="BJ30" s="2667"/>
      <c r="BK30" s="2667"/>
      <c r="BL30" s="2667"/>
      <c r="BM30" s="2669"/>
    </row>
    <row r="31" spans="2:65" s="1042" customFormat="1">
      <c r="B31" s="2769"/>
      <c r="C31" s="2770"/>
      <c r="D31" s="2770"/>
      <c r="E31" s="2770" t="s">
        <v>3656</v>
      </c>
      <c r="F31" s="2770"/>
      <c r="G31" s="2770"/>
      <c r="H31" s="2770"/>
      <c r="I31" s="2770"/>
      <c r="J31" s="2770"/>
      <c r="K31" s="2770" t="s">
        <v>3664</v>
      </c>
      <c r="L31" s="2770"/>
      <c r="M31" s="2770"/>
      <c r="N31" s="2770"/>
      <c r="O31" s="2770"/>
      <c r="P31" s="2770"/>
      <c r="Q31" s="2770" t="s">
        <v>9381</v>
      </c>
      <c r="R31" s="2770"/>
      <c r="S31" s="2770"/>
      <c r="T31" s="2811" t="s">
        <v>2112</v>
      </c>
      <c r="U31" s="634"/>
      <c r="V31" s="634"/>
      <c r="Z31" s="1065"/>
      <c r="AA31" s="251"/>
      <c r="AB31" s="1065"/>
      <c r="AC31" s="2562"/>
      <c r="AD31" s="2562"/>
      <c r="AE31" s="2562"/>
      <c r="AF31" s="2562"/>
      <c r="AG31" s="2562"/>
      <c r="AH31" s="2562"/>
      <c r="AI31" s="2562"/>
      <c r="AJ31" s="2562"/>
      <c r="AK31" s="2562"/>
      <c r="AL31" s="2562"/>
      <c r="AM31" s="2562"/>
      <c r="AN31" s="2562"/>
      <c r="AO31" s="2562"/>
      <c r="AP31" s="2562"/>
      <c r="AQ31" s="2562"/>
      <c r="AR31" s="2562"/>
      <c r="AS31" s="1056"/>
      <c r="AU31" s="2769"/>
      <c r="AV31" s="2770"/>
      <c r="AW31" s="2770"/>
      <c r="AX31" s="2770" t="s">
        <v>3656</v>
      </c>
      <c r="AY31" s="2770"/>
      <c r="AZ31" s="2770"/>
      <c r="BA31" s="2770"/>
      <c r="BB31" s="2770"/>
      <c r="BC31" s="2770"/>
      <c r="BD31" s="2770" t="s">
        <v>3664</v>
      </c>
      <c r="BE31" s="2770"/>
      <c r="BF31" s="2770"/>
      <c r="BG31" s="2770"/>
      <c r="BH31" s="2770"/>
      <c r="BI31" s="2770"/>
      <c r="BJ31" s="2770" t="s">
        <v>9381</v>
      </c>
      <c r="BK31" s="2770"/>
      <c r="BL31" s="2770"/>
      <c r="BM31" s="2811" t="s">
        <v>2112</v>
      </c>
    </row>
    <row r="32" spans="2:65" s="1042" customFormat="1" ht="31.5" thickBot="1">
      <c r="B32" s="2687"/>
      <c r="C32" s="2668"/>
      <c r="D32" s="2668"/>
      <c r="E32" s="238" t="s">
        <v>9382</v>
      </c>
      <c r="F32" s="238" t="s">
        <v>9383</v>
      </c>
      <c r="G32" s="238" t="s">
        <v>9384</v>
      </c>
      <c r="H32" s="238" t="s">
        <v>9385</v>
      </c>
      <c r="I32" s="238" t="s">
        <v>9386</v>
      </c>
      <c r="J32" s="238" t="s">
        <v>2112</v>
      </c>
      <c r="K32" s="238" t="s">
        <v>9382</v>
      </c>
      <c r="L32" s="238" t="s">
        <v>9383</v>
      </c>
      <c r="M32" s="238" t="s">
        <v>9384</v>
      </c>
      <c r="N32" s="238" t="s">
        <v>9385</v>
      </c>
      <c r="O32" s="238" t="s">
        <v>9386</v>
      </c>
      <c r="P32" s="238" t="s">
        <v>2112</v>
      </c>
      <c r="Q32" s="238" t="s">
        <v>9387</v>
      </c>
      <c r="R32" s="238" t="s">
        <v>2410</v>
      </c>
      <c r="S32" s="238" t="s">
        <v>2112</v>
      </c>
      <c r="T32" s="2670"/>
      <c r="U32" s="634"/>
      <c r="V32" s="249"/>
      <c r="Z32" s="1065"/>
      <c r="AA32" s="251"/>
      <c r="AB32" s="1065"/>
      <c r="AC32" s="2562"/>
      <c r="AD32" s="2562"/>
      <c r="AE32" s="2562"/>
      <c r="AF32" s="2562"/>
      <c r="AG32" s="2562"/>
      <c r="AH32" s="2562"/>
      <c r="AI32" s="2562"/>
      <c r="AJ32" s="2562"/>
      <c r="AK32" s="2562"/>
      <c r="AL32" s="2562"/>
      <c r="AM32" s="2562"/>
      <c r="AN32" s="2562"/>
      <c r="AO32" s="2562"/>
      <c r="AP32" s="2562"/>
      <c r="AQ32" s="2562"/>
      <c r="AR32" s="2562"/>
      <c r="AS32" s="1056"/>
      <c r="AU32" s="2687"/>
      <c r="AV32" s="2668"/>
      <c r="AW32" s="2668"/>
      <c r="AX32" s="238" t="s">
        <v>9382</v>
      </c>
      <c r="AY32" s="238" t="s">
        <v>9383</v>
      </c>
      <c r="AZ32" s="238" t="s">
        <v>9384</v>
      </c>
      <c r="BA32" s="238" t="s">
        <v>9385</v>
      </c>
      <c r="BB32" s="238" t="s">
        <v>9386</v>
      </c>
      <c r="BC32" s="238" t="s">
        <v>2112</v>
      </c>
      <c r="BD32" s="238" t="s">
        <v>9382</v>
      </c>
      <c r="BE32" s="238" t="s">
        <v>9383</v>
      </c>
      <c r="BF32" s="238" t="s">
        <v>9384</v>
      </c>
      <c r="BG32" s="238" t="s">
        <v>9385</v>
      </c>
      <c r="BH32" s="238" t="s">
        <v>9386</v>
      </c>
      <c r="BI32" s="238" t="s">
        <v>2112</v>
      </c>
      <c r="BJ32" s="1066" t="s">
        <v>9387</v>
      </c>
      <c r="BK32" s="238" t="s">
        <v>2410</v>
      </c>
      <c r="BL32" s="238" t="s">
        <v>2112</v>
      </c>
      <c r="BM32" s="2670"/>
    </row>
    <row r="33" spans="2:65" s="1042" customFormat="1" ht="15.75" customHeight="1" thickTop="1" thickBot="1">
      <c r="B33" s="356"/>
      <c r="C33" s="444"/>
      <c r="D33" s="444"/>
      <c r="E33" s="444"/>
      <c r="F33" s="444"/>
      <c r="G33" s="444"/>
      <c r="H33" s="444"/>
      <c r="I33" s="444"/>
      <c r="J33" s="444"/>
      <c r="K33" s="444"/>
      <c r="L33" s="444"/>
      <c r="M33" s="444"/>
      <c r="N33" s="444"/>
      <c r="O33" s="444"/>
      <c r="P33" s="444"/>
      <c r="Q33" s="444"/>
      <c r="R33" s="444"/>
      <c r="S33" s="444"/>
      <c r="T33" s="444"/>
      <c r="U33" s="634"/>
      <c r="V33" s="249"/>
      <c r="Z33" s="1065"/>
      <c r="AA33" s="251"/>
      <c r="AB33" s="1065"/>
      <c r="AC33" s="2562"/>
      <c r="AD33" s="2562"/>
      <c r="AE33" s="2562"/>
      <c r="AF33" s="2562"/>
      <c r="AG33" s="2562"/>
      <c r="AH33" s="2562"/>
      <c r="AI33" s="2562"/>
      <c r="AJ33" s="2562"/>
      <c r="AK33" s="2562"/>
      <c r="AL33" s="2562"/>
      <c r="AM33" s="2562"/>
      <c r="AN33" s="2562"/>
      <c r="AO33" s="2562"/>
      <c r="AP33" s="2562"/>
      <c r="AQ33" s="2562"/>
      <c r="AR33" s="2562"/>
      <c r="AS33" s="1056"/>
      <c r="AU33" s="356"/>
      <c r="AV33" s="444"/>
      <c r="AW33" s="444"/>
      <c r="AX33" s="444"/>
      <c r="AY33" s="444"/>
      <c r="AZ33" s="444"/>
      <c r="BA33" s="444"/>
      <c r="BB33" s="444"/>
      <c r="BC33" s="444"/>
      <c r="BD33" s="444"/>
      <c r="BE33" s="444"/>
      <c r="BF33" s="444"/>
      <c r="BG33" s="444"/>
      <c r="BH33" s="444"/>
      <c r="BI33" s="444"/>
      <c r="BJ33" s="444"/>
      <c r="BK33" s="444"/>
      <c r="BL33" s="444"/>
      <c r="BM33" s="444"/>
    </row>
    <row r="34" spans="2:65" s="1042" customFormat="1" ht="15.75" customHeight="1" thickTop="1" thickBot="1">
      <c r="B34" s="355" t="s">
        <v>9388</v>
      </c>
      <c r="C34" s="444"/>
      <c r="D34" s="444"/>
      <c r="E34" s="444"/>
      <c r="F34" s="444"/>
      <c r="G34" s="444"/>
      <c r="H34" s="444"/>
      <c r="I34" s="444"/>
      <c r="J34" s="444"/>
      <c r="K34" s="444"/>
      <c r="L34" s="444"/>
      <c r="M34" s="444"/>
      <c r="N34" s="444"/>
      <c r="O34" s="444"/>
      <c r="P34" s="444"/>
      <c r="Q34" s="444"/>
      <c r="R34" s="444"/>
      <c r="S34" s="444"/>
      <c r="T34" s="444"/>
      <c r="U34" s="634"/>
      <c r="V34" s="249"/>
      <c r="Z34" s="1065"/>
      <c r="AA34" s="251"/>
      <c r="AB34" s="1065"/>
      <c r="AC34" s="2562"/>
      <c r="AD34" s="2562"/>
      <c r="AE34" s="2562"/>
      <c r="AF34" s="2562"/>
      <c r="AG34" s="2562"/>
      <c r="AH34" s="2562"/>
      <c r="AI34" s="2562"/>
      <c r="AJ34" s="2562"/>
      <c r="AK34" s="2562"/>
      <c r="AL34" s="2562"/>
      <c r="AM34" s="2562"/>
      <c r="AN34" s="2562"/>
      <c r="AO34" s="2562"/>
      <c r="AP34" s="2562"/>
      <c r="AQ34" s="2562"/>
      <c r="AR34" s="2562"/>
      <c r="AS34" s="1056"/>
      <c r="AU34" s="355" t="s">
        <v>9389</v>
      </c>
      <c r="AV34" s="444"/>
      <c r="AW34" s="444"/>
      <c r="AX34" s="444"/>
      <c r="AY34" s="444"/>
      <c r="AZ34" s="444"/>
      <c r="BA34" s="444"/>
      <c r="BB34" s="444"/>
      <c r="BC34" s="444"/>
      <c r="BD34" s="444"/>
      <c r="BE34" s="444"/>
      <c r="BF34" s="444"/>
      <c r="BG34" s="444"/>
      <c r="BH34" s="444"/>
      <c r="BI34" s="444"/>
      <c r="BJ34" s="444"/>
      <c r="BK34" s="444"/>
      <c r="BL34" s="444"/>
      <c r="BM34" s="444"/>
    </row>
    <row r="35" spans="2:65" ht="15.75" customHeight="1" thickTop="1">
      <c r="B35" s="413" t="s">
        <v>9390</v>
      </c>
      <c r="C35" s="244" t="s">
        <v>1387</v>
      </c>
      <c r="D35" s="244">
        <v>3</v>
      </c>
      <c r="E35" s="706">
        <v>0</v>
      </c>
      <c r="F35" s="706">
        <v>0</v>
      </c>
      <c r="G35" s="706">
        <v>0</v>
      </c>
      <c r="H35" s="706">
        <v>0</v>
      </c>
      <c r="I35" s="706">
        <v>0</v>
      </c>
      <c r="J35" s="1057">
        <f>IFERROR(E35 + F35 + G35+H35+I35, 0)</f>
        <v>0</v>
      </c>
      <c r="K35" s="706">
        <v>0</v>
      </c>
      <c r="L35" s="706">
        <v>0</v>
      </c>
      <c r="M35" s="777">
        <v>16.429999999999996</v>
      </c>
      <c r="N35" s="777">
        <v>0.30299999999999999</v>
      </c>
      <c r="O35" s="777">
        <v>0.19</v>
      </c>
      <c r="P35" s="1057">
        <f>IFERROR(K35 + L35 + M35+N35+O35, 0)</f>
        <v>16.922999999999998</v>
      </c>
      <c r="Q35" s="1067"/>
      <c r="R35" s="1067"/>
      <c r="S35" s="1067"/>
      <c r="T35" s="1059">
        <f>IFERROR(J35 + P35, 0)</f>
        <v>16.922999999999998</v>
      </c>
      <c r="U35" s="249"/>
      <c r="V35" s="248" t="s">
        <v>9391</v>
      </c>
      <c r="X35" s="1068"/>
      <c r="Z35" s="1056"/>
      <c r="AA35" s="251">
        <f t="shared" ref="AA35:AA37" si="21">IF( SUM( AC35:AR35 ) = 0, 0, $AC$7 )</f>
        <v>0</v>
      </c>
      <c r="AB35" s="1056"/>
      <c r="AC35" s="252">
        <f t="shared" ref="AC35:AC37" si="22" xml:space="preserve"> IF( ISNUMBER(E35), 0, 1 )</f>
        <v>0</v>
      </c>
      <c r="AD35" s="252">
        <f t="shared" ref="AD35:AD37" si="23" xml:space="preserve"> IF( ISNUMBER(F35), 0, 1 )</f>
        <v>0</v>
      </c>
      <c r="AE35" s="252">
        <f t="shared" ref="AE35:AE37" si="24" xml:space="preserve"> IF( ISNUMBER(G35), 0, 1 )</f>
        <v>0</v>
      </c>
      <c r="AF35" s="252">
        <f t="shared" ref="AF35:AF37" si="25" xml:space="preserve"> IF( ISNUMBER(H35), 0, 1 )</f>
        <v>0</v>
      </c>
      <c r="AG35" s="252">
        <f t="shared" ref="AG35:AG37" si="26" xml:space="preserve"> IF( ISNUMBER(I35), 0, 1 )</f>
        <v>0</v>
      </c>
      <c r="AH35" s="2562"/>
      <c r="AI35" s="252">
        <f t="shared" ref="AI35:AI37" si="27" xml:space="preserve"> IF( ISNUMBER(K35), 0, 1 )</f>
        <v>0</v>
      </c>
      <c r="AJ35" s="252">
        <f t="shared" ref="AJ35:AJ37" si="28" xml:space="preserve"> IF( ISNUMBER(L35), 0, 1 )</f>
        <v>0</v>
      </c>
      <c r="AK35" s="252">
        <f t="shared" ref="AK35:AK37" si="29" xml:space="preserve"> IF( ISNUMBER(M35), 0, 1 )</f>
        <v>0</v>
      </c>
      <c r="AL35" s="252">
        <f t="shared" ref="AL35:AL37" si="30" xml:space="preserve"> IF( ISNUMBER(N35), 0, 1 )</f>
        <v>0</v>
      </c>
      <c r="AM35" s="252">
        <f t="shared" ref="AM35:AP39" si="31" xml:space="preserve"> IF( ISNUMBER(O35), 0, 1 )</f>
        <v>0</v>
      </c>
      <c r="AN35" s="2562"/>
      <c r="AO35" s="2562"/>
      <c r="AP35" s="2562"/>
      <c r="AQ35" s="2562"/>
      <c r="AR35" s="2562"/>
      <c r="AS35" s="1056"/>
      <c r="AU35" s="413" t="s">
        <v>9390</v>
      </c>
      <c r="AV35" s="244" t="s">
        <v>1387</v>
      </c>
      <c r="AW35" s="244">
        <v>3</v>
      </c>
      <c r="AX35" s="706" t="s">
        <v>9392</v>
      </c>
      <c r="AY35" s="706" t="s">
        <v>9393</v>
      </c>
      <c r="AZ35" s="706" t="s">
        <v>9394</v>
      </c>
      <c r="BA35" s="706" t="s">
        <v>9395</v>
      </c>
      <c r="BB35" s="706" t="s">
        <v>9396</v>
      </c>
      <c r="BC35" s="1057" t="s">
        <v>9397</v>
      </c>
      <c r="BD35" s="706" t="s">
        <v>9398</v>
      </c>
      <c r="BE35" s="706" t="s">
        <v>9399</v>
      </c>
      <c r="BF35" s="706" t="s">
        <v>9400</v>
      </c>
      <c r="BG35" s="706" t="s">
        <v>9401</v>
      </c>
      <c r="BH35" s="706" t="s">
        <v>9402</v>
      </c>
      <c r="BI35" s="1057" t="s">
        <v>9403</v>
      </c>
      <c r="BJ35" s="1067"/>
      <c r="BK35" s="1067"/>
      <c r="BL35" s="1067"/>
      <c r="BM35" s="1059" t="s">
        <v>9404</v>
      </c>
    </row>
    <row r="36" spans="2:65" ht="15.75" customHeight="1">
      <c r="B36" s="422" t="s">
        <v>9405</v>
      </c>
      <c r="C36" s="253" t="s">
        <v>1387</v>
      </c>
      <c r="D36" s="253">
        <v>3</v>
      </c>
      <c r="E36" s="696">
        <v>0.106</v>
      </c>
      <c r="F36" s="696">
        <v>0</v>
      </c>
      <c r="G36" s="696">
        <v>0</v>
      </c>
      <c r="H36" s="696">
        <v>0</v>
      </c>
      <c r="I36" s="696">
        <v>0</v>
      </c>
      <c r="J36" s="694">
        <f t="shared" ref="J36:J37" si="32">IFERROR(E36 + F36 + G36+H36+I36, 0)</f>
        <v>0.106</v>
      </c>
      <c r="K36" s="696">
        <v>0</v>
      </c>
      <c r="L36" s="696">
        <v>9.1999999999999998E-2</v>
      </c>
      <c r="M36" s="696">
        <v>0.95099999999999996</v>
      </c>
      <c r="N36" s="696">
        <v>0</v>
      </c>
      <c r="O36" s="696">
        <v>0.02</v>
      </c>
      <c r="P36" s="694">
        <f t="shared" ref="P36:P37" si="33">IFERROR(K36 + L36 + M36+N36+O36, 0)</f>
        <v>1.0629999999999999</v>
      </c>
      <c r="Q36" s="1069"/>
      <c r="R36" s="1069"/>
      <c r="S36" s="1069"/>
      <c r="T36" s="695">
        <f>IFERROR(J36 + P36, 0)</f>
        <v>1.169</v>
      </c>
      <c r="U36" s="249"/>
      <c r="V36" s="257" t="s">
        <v>9406</v>
      </c>
      <c r="X36" s="1070"/>
      <c r="Z36" s="1056"/>
      <c r="AA36" s="251">
        <f t="shared" si="21"/>
        <v>0</v>
      </c>
      <c r="AB36" s="1056"/>
      <c r="AC36" s="252">
        <f t="shared" si="22"/>
        <v>0</v>
      </c>
      <c r="AD36" s="252">
        <f t="shared" si="23"/>
        <v>0</v>
      </c>
      <c r="AE36" s="252">
        <f t="shared" si="24"/>
        <v>0</v>
      </c>
      <c r="AF36" s="252">
        <f t="shared" si="25"/>
        <v>0</v>
      </c>
      <c r="AG36" s="252">
        <f t="shared" si="26"/>
        <v>0</v>
      </c>
      <c r="AH36" s="2562"/>
      <c r="AI36" s="252">
        <f t="shared" si="27"/>
        <v>0</v>
      </c>
      <c r="AJ36" s="252">
        <f t="shared" si="28"/>
        <v>0</v>
      </c>
      <c r="AK36" s="252">
        <f t="shared" si="29"/>
        <v>0</v>
      </c>
      <c r="AL36" s="252">
        <f t="shared" si="30"/>
        <v>0</v>
      </c>
      <c r="AM36" s="252">
        <f t="shared" si="31"/>
        <v>0</v>
      </c>
      <c r="AN36" s="2562"/>
      <c r="AO36" s="2562"/>
      <c r="AP36" s="2562"/>
      <c r="AQ36" s="2562"/>
      <c r="AR36" s="2562"/>
      <c r="AS36" s="1056"/>
      <c r="AU36" s="422" t="s">
        <v>9407</v>
      </c>
      <c r="AV36" s="253" t="s">
        <v>1387</v>
      </c>
      <c r="AW36" s="253">
        <v>3</v>
      </c>
      <c r="AX36" s="696" t="s">
        <v>9408</v>
      </c>
      <c r="AY36" s="696" t="s">
        <v>9409</v>
      </c>
      <c r="AZ36" s="696" t="s">
        <v>9410</v>
      </c>
      <c r="BA36" s="696" t="s">
        <v>9411</v>
      </c>
      <c r="BB36" s="696" t="s">
        <v>9412</v>
      </c>
      <c r="BC36" s="694" t="s">
        <v>9413</v>
      </c>
      <c r="BD36" s="696" t="s">
        <v>9414</v>
      </c>
      <c r="BE36" s="696" t="s">
        <v>9415</v>
      </c>
      <c r="BF36" s="696" t="s">
        <v>9416</v>
      </c>
      <c r="BG36" s="696" t="s">
        <v>9417</v>
      </c>
      <c r="BH36" s="696" t="s">
        <v>9418</v>
      </c>
      <c r="BI36" s="694" t="s">
        <v>9419</v>
      </c>
      <c r="BJ36" s="1069"/>
      <c r="BK36" s="1069"/>
      <c r="BL36" s="1069"/>
      <c r="BM36" s="695" t="s">
        <v>9420</v>
      </c>
    </row>
    <row r="37" spans="2:65" ht="15.75" customHeight="1">
      <c r="B37" s="422" t="s">
        <v>9421</v>
      </c>
      <c r="C37" s="253" t="s">
        <v>1387</v>
      </c>
      <c r="D37" s="253">
        <v>3</v>
      </c>
      <c r="E37" s="775">
        <v>859.58500000000004</v>
      </c>
      <c r="F37" s="775">
        <v>0.185</v>
      </c>
      <c r="G37" s="775">
        <v>2.948</v>
      </c>
      <c r="H37" s="775">
        <v>0</v>
      </c>
      <c r="I37" s="775">
        <v>0</v>
      </c>
      <c r="J37" s="694">
        <f t="shared" si="32"/>
        <v>862.71799999999996</v>
      </c>
      <c r="K37" s="775">
        <v>0</v>
      </c>
      <c r="L37" s="775">
        <v>188.79199999999983</v>
      </c>
      <c r="M37" s="775">
        <v>1106.6890000000001</v>
      </c>
      <c r="N37" s="775">
        <v>0.83</v>
      </c>
      <c r="O37" s="775">
        <v>1.01</v>
      </c>
      <c r="P37" s="694">
        <f t="shared" si="33"/>
        <v>1297.3209999999999</v>
      </c>
      <c r="Q37" s="1069"/>
      <c r="R37" s="1069"/>
      <c r="S37" s="1069"/>
      <c r="T37" s="695">
        <f>IFERROR(J37 + P37, 0)</f>
        <v>2160.0389999999998</v>
      </c>
      <c r="U37" s="249"/>
      <c r="V37" s="257" t="s">
        <v>9422</v>
      </c>
      <c r="X37" s="1045"/>
      <c r="Z37" s="1056"/>
      <c r="AA37" s="251">
        <f t="shared" si="21"/>
        <v>0</v>
      </c>
      <c r="AB37" s="1056"/>
      <c r="AC37" s="252">
        <f t="shared" si="22"/>
        <v>0</v>
      </c>
      <c r="AD37" s="252">
        <f t="shared" si="23"/>
        <v>0</v>
      </c>
      <c r="AE37" s="252">
        <f t="shared" si="24"/>
        <v>0</v>
      </c>
      <c r="AF37" s="252">
        <f t="shared" si="25"/>
        <v>0</v>
      </c>
      <c r="AG37" s="252">
        <f t="shared" si="26"/>
        <v>0</v>
      </c>
      <c r="AH37" s="2562"/>
      <c r="AI37" s="252">
        <f t="shared" si="27"/>
        <v>0</v>
      </c>
      <c r="AJ37" s="252">
        <f t="shared" si="28"/>
        <v>0</v>
      </c>
      <c r="AK37" s="252">
        <f t="shared" si="29"/>
        <v>0</v>
      </c>
      <c r="AL37" s="252">
        <f t="shared" si="30"/>
        <v>0</v>
      </c>
      <c r="AM37" s="252">
        <f t="shared" si="31"/>
        <v>0</v>
      </c>
      <c r="AN37" s="2562"/>
      <c r="AO37" s="2562"/>
      <c r="AP37" s="2562"/>
      <c r="AQ37" s="2562"/>
      <c r="AR37" s="2562"/>
      <c r="AS37" s="1056"/>
      <c r="AU37" s="422" t="s">
        <v>9421</v>
      </c>
      <c r="AV37" s="253" t="s">
        <v>1387</v>
      </c>
      <c r="AW37" s="253">
        <v>3</v>
      </c>
      <c r="AX37" s="696" t="s">
        <v>9423</v>
      </c>
      <c r="AY37" s="696" t="s">
        <v>9424</v>
      </c>
      <c r="AZ37" s="696" t="s">
        <v>9425</v>
      </c>
      <c r="BA37" s="696" t="s">
        <v>9426</v>
      </c>
      <c r="BB37" s="696" t="s">
        <v>9427</v>
      </c>
      <c r="BC37" s="694" t="s">
        <v>9428</v>
      </c>
      <c r="BD37" s="696" t="s">
        <v>9429</v>
      </c>
      <c r="BE37" s="696" t="s">
        <v>9430</v>
      </c>
      <c r="BF37" s="696" t="s">
        <v>9431</v>
      </c>
      <c r="BG37" s="696" t="s">
        <v>9432</v>
      </c>
      <c r="BH37" s="696" t="s">
        <v>9433</v>
      </c>
      <c r="BI37" s="694" t="s">
        <v>9434</v>
      </c>
      <c r="BJ37" s="1069"/>
      <c r="BK37" s="1069"/>
      <c r="BL37" s="1069"/>
      <c r="BM37" s="695" t="s">
        <v>9435</v>
      </c>
    </row>
    <row r="38" spans="2:65" ht="15.75" customHeight="1">
      <c r="B38" s="422" t="s">
        <v>9436</v>
      </c>
      <c r="C38" s="253" t="s">
        <v>1387</v>
      </c>
      <c r="D38" s="253">
        <v>3</v>
      </c>
      <c r="E38" s="1069"/>
      <c r="F38" s="1069"/>
      <c r="G38" s="1069"/>
      <c r="H38" s="1069"/>
      <c r="I38" s="1069"/>
      <c r="J38" s="1069"/>
      <c r="K38" s="1069"/>
      <c r="L38" s="1069"/>
      <c r="M38" s="1069"/>
      <c r="N38" s="1069"/>
      <c r="O38" s="1069"/>
      <c r="P38" s="1069"/>
      <c r="Q38" s="696">
        <v>0</v>
      </c>
      <c r="R38" s="696">
        <v>0</v>
      </c>
      <c r="S38" s="694">
        <f>IFERROR(Q38+R38, 0)</f>
        <v>0</v>
      </c>
      <c r="T38" s="1900">
        <f>IFERROR(S38, 0)</f>
        <v>0</v>
      </c>
      <c r="U38" s="249"/>
      <c r="V38" s="257" t="s">
        <v>9437</v>
      </c>
      <c r="X38" s="1045"/>
      <c r="Z38" s="1056"/>
      <c r="AA38" s="251">
        <f>IF( SUM( AC38:AR38 ) = 0, 0, $AC$7 )</f>
        <v>0</v>
      </c>
      <c r="AB38" s="1056"/>
      <c r="AC38" s="2562"/>
      <c r="AD38" s="2562"/>
      <c r="AE38" s="2562"/>
      <c r="AF38" s="2562"/>
      <c r="AG38" s="2562"/>
      <c r="AH38" s="2562"/>
      <c r="AI38" s="2562"/>
      <c r="AJ38" s="2562"/>
      <c r="AK38" s="2562"/>
      <c r="AL38" s="2562"/>
      <c r="AM38" s="2562"/>
      <c r="AN38" s="2562"/>
      <c r="AO38" s="252">
        <f t="shared" si="31"/>
        <v>0</v>
      </c>
      <c r="AP38" s="252">
        <f t="shared" si="31"/>
        <v>0</v>
      </c>
      <c r="AQ38" s="2562"/>
      <c r="AR38" s="2562"/>
      <c r="AS38" s="1056"/>
      <c r="AU38" s="422" t="s">
        <v>9436</v>
      </c>
      <c r="AV38" s="253" t="s">
        <v>1387</v>
      </c>
      <c r="AW38" s="253">
        <v>3</v>
      </c>
      <c r="AX38" s="1069"/>
      <c r="AY38" s="1069"/>
      <c r="AZ38" s="1069"/>
      <c r="BA38" s="1069"/>
      <c r="BB38" s="1069"/>
      <c r="BC38" s="1069"/>
      <c r="BD38" s="1069"/>
      <c r="BE38" s="1069"/>
      <c r="BF38" s="1069"/>
      <c r="BG38" s="1069"/>
      <c r="BH38" s="1069"/>
      <c r="BI38" s="1069"/>
      <c r="BJ38" s="696" t="s">
        <v>9438</v>
      </c>
      <c r="BK38" s="696" t="s">
        <v>9439</v>
      </c>
      <c r="BL38" s="694" t="s">
        <v>9440</v>
      </c>
      <c r="BM38" s="1900" t="s">
        <v>9441</v>
      </c>
    </row>
    <row r="39" spans="2:65" ht="15.75" customHeight="1">
      <c r="B39" s="422" t="s">
        <v>9442</v>
      </c>
      <c r="C39" s="253" t="s">
        <v>1387</v>
      </c>
      <c r="D39" s="253">
        <v>3</v>
      </c>
      <c r="E39" s="1069"/>
      <c r="F39" s="1069"/>
      <c r="G39" s="1069"/>
      <c r="H39" s="1069"/>
      <c r="I39" s="1069"/>
      <c r="J39" s="696">
        <v>37.927999999999997</v>
      </c>
      <c r="K39" s="1069"/>
      <c r="L39" s="1069"/>
      <c r="M39" s="1069"/>
      <c r="N39" s="1069"/>
      <c r="O39" s="1069"/>
      <c r="P39" s="696">
        <v>41.805999999999997</v>
      </c>
      <c r="Q39" s="1069"/>
      <c r="R39" s="1069"/>
      <c r="S39" s="1069"/>
      <c r="T39" s="695">
        <f t="shared" ref="T39:T43" si="34">IFERROR(J39 + P39, 0)</f>
        <v>79.733999999999995</v>
      </c>
      <c r="U39" s="249"/>
      <c r="V39" s="257" t="s">
        <v>9443</v>
      </c>
      <c r="X39" s="1045"/>
      <c r="Z39" s="1056"/>
      <c r="AA39" s="251">
        <f>IF( SUM( AC39:AR39 ) = 0, 0, $AC$7 )</f>
        <v>0</v>
      </c>
      <c r="AB39" s="1056"/>
      <c r="AC39" s="2562"/>
      <c r="AD39" s="2562"/>
      <c r="AE39" s="2562"/>
      <c r="AF39" s="2562"/>
      <c r="AG39" s="2562"/>
      <c r="AH39" s="252">
        <f t="shared" ref="AH39" si="35" xml:space="preserve"> IF( ISNUMBER(J39), 0, 1 )</f>
        <v>0</v>
      </c>
      <c r="AI39" s="2562"/>
      <c r="AJ39" s="2562"/>
      <c r="AK39" s="2562"/>
      <c r="AL39" s="2562"/>
      <c r="AM39" s="2562"/>
      <c r="AN39" s="252">
        <f t="shared" si="31"/>
        <v>0</v>
      </c>
      <c r="AO39" s="2562"/>
      <c r="AP39" s="2562"/>
      <c r="AQ39" s="2562"/>
      <c r="AR39" s="2562"/>
      <c r="AS39" s="1056"/>
      <c r="AU39" s="422" t="s">
        <v>9442</v>
      </c>
      <c r="AV39" s="253" t="s">
        <v>1387</v>
      </c>
      <c r="AW39" s="253">
        <v>3</v>
      </c>
      <c r="AX39" s="1069"/>
      <c r="AY39" s="1069"/>
      <c r="AZ39" s="1069"/>
      <c r="BA39" s="1069"/>
      <c r="BB39" s="1069"/>
      <c r="BC39" s="696" t="s">
        <v>9444</v>
      </c>
      <c r="BD39" s="1069"/>
      <c r="BE39" s="1069"/>
      <c r="BF39" s="1069"/>
      <c r="BG39" s="1069"/>
      <c r="BH39" s="1069"/>
      <c r="BI39" s="696" t="s">
        <v>9445</v>
      </c>
      <c r="BJ39" s="1069"/>
      <c r="BK39" s="1069"/>
      <c r="BL39" s="1069"/>
      <c r="BM39" s="695" t="s">
        <v>9446</v>
      </c>
    </row>
    <row r="40" spans="2:65" ht="15.75" customHeight="1">
      <c r="B40" s="422" t="s">
        <v>9447</v>
      </c>
      <c r="C40" s="253" t="s">
        <v>1387</v>
      </c>
      <c r="D40" s="253">
        <v>3</v>
      </c>
      <c r="E40" s="1069"/>
      <c r="F40" s="1069"/>
      <c r="G40" s="1069"/>
      <c r="H40" s="1069"/>
      <c r="I40" s="1069"/>
      <c r="J40" s="694">
        <f>IFERROR(J37+J39, 0)</f>
        <v>900.64599999999996</v>
      </c>
      <c r="K40" s="1069"/>
      <c r="L40" s="1069"/>
      <c r="M40" s="1069"/>
      <c r="N40" s="1069"/>
      <c r="O40" s="1069"/>
      <c r="P40" s="694">
        <f>IFERROR(P37+P39, 0)</f>
        <v>1339.127</v>
      </c>
      <c r="Q40" s="1069"/>
      <c r="R40" s="1069"/>
      <c r="S40" s="1069"/>
      <c r="T40" s="695">
        <f>IFERROR(T37+T38+T39, 0)</f>
        <v>2239.7729999999997</v>
      </c>
      <c r="U40" s="249"/>
      <c r="V40" s="257" t="s">
        <v>9448</v>
      </c>
      <c r="X40" s="1045"/>
      <c r="Z40" s="1056"/>
      <c r="AA40" s="251"/>
      <c r="AB40" s="1056"/>
      <c r="AC40" s="2562"/>
      <c r="AD40" s="2562"/>
      <c r="AE40" s="2562"/>
      <c r="AF40" s="2562"/>
      <c r="AG40" s="2562"/>
      <c r="AH40" s="2562"/>
      <c r="AI40" s="2562"/>
      <c r="AJ40" s="2562"/>
      <c r="AK40" s="2562"/>
      <c r="AL40" s="2562"/>
      <c r="AM40" s="2562"/>
      <c r="AN40" s="2562"/>
      <c r="AO40" s="2562"/>
      <c r="AP40" s="2562"/>
      <c r="AQ40" s="2562"/>
      <c r="AR40" s="2562"/>
      <c r="AS40" s="1056"/>
      <c r="AU40" s="422" t="s">
        <v>9447</v>
      </c>
      <c r="AV40" s="253" t="s">
        <v>1387</v>
      </c>
      <c r="AW40" s="253">
        <v>3</v>
      </c>
      <c r="AX40" s="1069"/>
      <c r="AY40" s="1069"/>
      <c r="AZ40" s="1069"/>
      <c r="BA40" s="1069"/>
      <c r="BB40" s="1069"/>
      <c r="BC40" s="694" t="s">
        <v>9449</v>
      </c>
      <c r="BD40" s="1069"/>
      <c r="BE40" s="1069"/>
      <c r="BF40" s="1069"/>
      <c r="BG40" s="1069"/>
      <c r="BH40" s="1069"/>
      <c r="BI40" s="694" t="s">
        <v>9450</v>
      </c>
      <c r="BJ40" s="1069"/>
      <c r="BK40" s="1069"/>
      <c r="BL40" s="1069"/>
      <c r="BM40" s="695" t="s">
        <v>9451</v>
      </c>
    </row>
    <row r="41" spans="2:65" ht="15.75" customHeight="1">
      <c r="B41" s="422" t="s">
        <v>9452</v>
      </c>
      <c r="C41" s="253" t="s">
        <v>1387</v>
      </c>
      <c r="D41" s="253">
        <v>3</v>
      </c>
      <c r="E41" s="696">
        <v>12.943</v>
      </c>
      <c r="F41" s="696">
        <v>4.8000000000000001E-2</v>
      </c>
      <c r="G41" s="696">
        <v>3.6999999999999998E-2</v>
      </c>
      <c r="H41" s="696">
        <v>0</v>
      </c>
      <c r="I41" s="696">
        <v>0</v>
      </c>
      <c r="J41" s="694">
        <f>IFERROR(E41 + F41 + G41+H41+I41, 0)</f>
        <v>13.028</v>
      </c>
      <c r="K41" s="696">
        <v>0.01</v>
      </c>
      <c r="L41" s="696">
        <v>31.599</v>
      </c>
      <c r="M41" s="696">
        <v>72.403999999999996</v>
      </c>
      <c r="N41" s="696">
        <v>0</v>
      </c>
      <c r="O41" s="696">
        <v>0.17299999999999999</v>
      </c>
      <c r="P41" s="694">
        <f t="shared" ref="P41" si="36">IFERROR(K41 + L41 + M41+N41+O41, 0)</f>
        <v>104.18600000000001</v>
      </c>
      <c r="Q41" s="1069"/>
      <c r="R41" s="1069"/>
      <c r="S41" s="1069"/>
      <c r="T41" s="695">
        <f>IFERROR(J41 + P41, 0)</f>
        <v>117.21400000000001</v>
      </c>
      <c r="U41" s="249"/>
      <c r="V41" s="257" t="s">
        <v>9453</v>
      </c>
      <c r="X41" s="1045"/>
      <c r="Z41" s="1056"/>
      <c r="AA41" s="251">
        <f>IF( SUM( AC41:AR41 ) = 0, 0, $AC$7 )</f>
        <v>0</v>
      </c>
      <c r="AB41" s="1056"/>
      <c r="AC41" s="252">
        <f t="shared" ref="AC41" si="37" xml:space="preserve"> IF( ISNUMBER(E41), 0, 1 )</f>
        <v>0</v>
      </c>
      <c r="AD41" s="252">
        <f t="shared" ref="AD41" si="38" xml:space="preserve"> IF( ISNUMBER(F41), 0, 1 )</f>
        <v>0</v>
      </c>
      <c r="AE41" s="252">
        <f t="shared" ref="AE41" si="39" xml:space="preserve"> IF( ISNUMBER(G41), 0, 1 )</f>
        <v>0</v>
      </c>
      <c r="AF41" s="252">
        <f t="shared" ref="AF41" si="40" xml:space="preserve"> IF( ISNUMBER(H41), 0, 1 )</f>
        <v>0</v>
      </c>
      <c r="AG41" s="252">
        <f t="shared" ref="AG41:AH43" si="41" xml:space="preserve"> IF( ISNUMBER(I41), 0, 1 )</f>
        <v>0</v>
      </c>
      <c r="AH41" s="2562"/>
      <c r="AI41" s="252">
        <f t="shared" ref="AI41" si="42" xml:space="preserve"> IF( ISNUMBER(K41), 0, 1 )</f>
        <v>0</v>
      </c>
      <c r="AJ41" s="252">
        <f t="shared" ref="AJ41" si="43" xml:space="preserve"> IF( ISNUMBER(L41), 0, 1 )</f>
        <v>0</v>
      </c>
      <c r="AK41" s="252">
        <f t="shared" ref="AK41" si="44" xml:space="preserve"> IF( ISNUMBER(M41), 0, 1 )</f>
        <v>0</v>
      </c>
      <c r="AL41" s="252">
        <f t="shared" ref="AL41" si="45" xml:space="preserve"> IF( ISNUMBER(N41), 0, 1 )</f>
        <v>0</v>
      </c>
      <c r="AM41" s="252">
        <f t="shared" ref="AM41" si="46" xml:space="preserve"> IF( ISNUMBER(O41), 0, 1 )</f>
        <v>0</v>
      </c>
      <c r="AN41" s="2562"/>
      <c r="AO41" s="2562"/>
      <c r="AP41" s="2562"/>
      <c r="AQ41" s="2562"/>
      <c r="AR41" s="2562"/>
      <c r="AS41" s="1056"/>
      <c r="AU41" s="422" t="s">
        <v>9452</v>
      </c>
      <c r="AV41" s="253" t="s">
        <v>1387</v>
      </c>
      <c r="AW41" s="253">
        <v>3</v>
      </c>
      <c r="AX41" s="696" t="s">
        <v>9454</v>
      </c>
      <c r="AY41" s="696" t="s">
        <v>9455</v>
      </c>
      <c r="AZ41" s="696" t="s">
        <v>9456</v>
      </c>
      <c r="BA41" s="696" t="s">
        <v>9457</v>
      </c>
      <c r="BB41" s="696" t="s">
        <v>9458</v>
      </c>
      <c r="BC41" s="694" t="s">
        <v>9459</v>
      </c>
      <c r="BD41" s="696" t="s">
        <v>9460</v>
      </c>
      <c r="BE41" s="696" t="s">
        <v>9461</v>
      </c>
      <c r="BF41" s="696" t="s">
        <v>9462</v>
      </c>
      <c r="BG41" s="696" t="s">
        <v>9463</v>
      </c>
      <c r="BH41" s="696" t="s">
        <v>9464</v>
      </c>
      <c r="BI41" s="694" t="s">
        <v>9465</v>
      </c>
      <c r="BJ41" s="1069"/>
      <c r="BK41" s="1069"/>
      <c r="BL41" s="1069"/>
      <c r="BM41" s="695" t="s">
        <v>9466</v>
      </c>
    </row>
    <row r="42" spans="2:65" ht="15.75" customHeight="1">
      <c r="B42" s="422" t="s">
        <v>9467</v>
      </c>
      <c r="C42" s="253" t="s">
        <v>1387</v>
      </c>
      <c r="D42" s="253">
        <v>3</v>
      </c>
      <c r="E42" s="1069"/>
      <c r="F42" s="1069"/>
      <c r="G42" s="1069"/>
      <c r="H42" s="1069"/>
      <c r="I42" s="1069"/>
      <c r="J42" s="1069"/>
      <c r="K42" s="1069"/>
      <c r="L42" s="1069"/>
      <c r="M42" s="1069"/>
      <c r="N42" s="1069"/>
      <c r="O42" s="1069"/>
      <c r="P42" s="1069"/>
      <c r="Q42" s="696">
        <v>0</v>
      </c>
      <c r="R42" s="696">
        <v>0.106</v>
      </c>
      <c r="S42" s="694">
        <f>IFERROR(Q42+R42, 0)</f>
        <v>0.106</v>
      </c>
      <c r="T42" s="1900">
        <f>IFERROR(S42, 0)</f>
        <v>0.106</v>
      </c>
      <c r="U42" s="249"/>
      <c r="V42" s="257" t="s">
        <v>9468</v>
      </c>
      <c r="X42" s="1045"/>
      <c r="Z42" s="1056"/>
      <c r="AA42" s="251">
        <f>IF( SUM( AC42:AR42 ) = 0, 0, $AC$7 )</f>
        <v>0</v>
      </c>
      <c r="AB42" s="1056"/>
      <c r="AC42" s="2562"/>
      <c r="AD42" s="2562"/>
      <c r="AE42" s="2562"/>
      <c r="AF42" s="2562"/>
      <c r="AG42" s="2562"/>
      <c r="AH42" s="2562"/>
      <c r="AI42" s="2562"/>
      <c r="AJ42" s="2562"/>
      <c r="AK42" s="2562"/>
      <c r="AL42" s="2562"/>
      <c r="AM42" s="2562"/>
      <c r="AN42" s="2562"/>
      <c r="AO42" s="252">
        <f t="shared" ref="AO42" si="47" xml:space="preserve"> IF( ISNUMBER(Q42), 0, 1 )</f>
        <v>0</v>
      </c>
      <c r="AP42" s="252">
        <f t="shared" ref="AP42" si="48" xml:space="preserve"> IF( ISNUMBER(R42), 0, 1 )</f>
        <v>0</v>
      </c>
      <c r="AQ42" s="2562"/>
      <c r="AR42" s="2562"/>
      <c r="AS42" s="1056"/>
      <c r="AU42" s="422" t="s">
        <v>9469</v>
      </c>
      <c r="AV42" s="253" t="s">
        <v>1387</v>
      </c>
      <c r="AW42" s="253">
        <v>3</v>
      </c>
      <c r="AX42" s="1069"/>
      <c r="AY42" s="1069"/>
      <c r="AZ42" s="1069"/>
      <c r="BA42" s="1069"/>
      <c r="BB42" s="1069"/>
      <c r="BC42" s="1069"/>
      <c r="BD42" s="1069"/>
      <c r="BE42" s="1069"/>
      <c r="BF42" s="1069"/>
      <c r="BG42" s="1069"/>
      <c r="BH42" s="1069"/>
      <c r="BI42" s="1069"/>
      <c r="BJ42" s="1071" t="s">
        <v>9470</v>
      </c>
      <c r="BK42" s="1071" t="s">
        <v>9471</v>
      </c>
      <c r="BL42" s="694" t="s">
        <v>9472</v>
      </c>
      <c r="BM42" s="1900" t="s">
        <v>9473</v>
      </c>
    </row>
    <row r="43" spans="2:65" ht="15.75" customHeight="1">
      <c r="B43" s="422" t="s">
        <v>9474</v>
      </c>
      <c r="C43" s="253" t="s">
        <v>1387</v>
      </c>
      <c r="D43" s="253">
        <v>3</v>
      </c>
      <c r="E43" s="1069"/>
      <c r="F43" s="1069"/>
      <c r="G43" s="1069"/>
      <c r="H43" s="1069"/>
      <c r="I43" s="1069"/>
      <c r="J43" s="696">
        <v>5.6470000000000002</v>
      </c>
      <c r="K43" s="1069"/>
      <c r="L43" s="1069"/>
      <c r="M43" s="1072"/>
      <c r="N43" s="1072"/>
      <c r="O43" s="1072"/>
      <c r="P43" s="696">
        <v>16.718</v>
      </c>
      <c r="Q43" s="1069"/>
      <c r="R43" s="1069"/>
      <c r="S43" s="1069"/>
      <c r="T43" s="695">
        <f t="shared" si="34"/>
        <v>22.365000000000002</v>
      </c>
      <c r="U43" s="249"/>
      <c r="V43" s="257" t="s">
        <v>9475</v>
      </c>
      <c r="X43" s="1045"/>
      <c r="Z43" s="1056"/>
      <c r="AA43" s="251">
        <f>IF( SUM( AC43:AR43 ) = 0, 0, $AC$7 )</f>
        <v>0</v>
      </c>
      <c r="AB43" s="1056"/>
      <c r="AC43" s="2562"/>
      <c r="AD43" s="2562"/>
      <c r="AE43" s="2562"/>
      <c r="AF43" s="2562"/>
      <c r="AG43" s="2562"/>
      <c r="AH43" s="252">
        <f t="shared" si="41"/>
        <v>0</v>
      </c>
      <c r="AI43" s="2562"/>
      <c r="AJ43" s="2562"/>
      <c r="AK43" s="2562"/>
      <c r="AL43" s="2562"/>
      <c r="AM43" s="2562"/>
      <c r="AN43" s="252">
        <f t="shared" ref="AN43" si="49" xml:space="preserve"> IF( ISNUMBER(P43), 0, 1 )</f>
        <v>0</v>
      </c>
      <c r="AO43" s="2562"/>
      <c r="AP43" s="2562"/>
      <c r="AQ43" s="2562"/>
      <c r="AR43" s="2562"/>
      <c r="AS43" s="1056"/>
      <c r="AU43" s="422" t="s">
        <v>9474</v>
      </c>
      <c r="AV43" s="253" t="s">
        <v>1387</v>
      </c>
      <c r="AW43" s="253">
        <v>3</v>
      </c>
      <c r="AX43" s="1069"/>
      <c r="AY43" s="1069"/>
      <c r="AZ43" s="1069"/>
      <c r="BA43" s="1069"/>
      <c r="BB43" s="1069"/>
      <c r="BC43" s="696" t="s">
        <v>9476</v>
      </c>
      <c r="BD43" s="1069"/>
      <c r="BE43" s="1069"/>
      <c r="BF43" s="1072"/>
      <c r="BG43" s="1072"/>
      <c r="BH43" s="1072"/>
      <c r="BI43" s="696" t="s">
        <v>9477</v>
      </c>
      <c r="BJ43" s="1069"/>
      <c r="BK43" s="1069"/>
      <c r="BL43" s="1069"/>
      <c r="BM43" s="695" t="s">
        <v>9478</v>
      </c>
    </row>
    <row r="44" spans="2:65" ht="15.75" customHeight="1">
      <c r="B44" s="422" t="s">
        <v>9479</v>
      </c>
      <c r="C44" s="253" t="s">
        <v>1387</v>
      </c>
      <c r="D44" s="253">
        <v>3</v>
      </c>
      <c r="E44" s="1069"/>
      <c r="F44" s="1069"/>
      <c r="G44" s="1069"/>
      <c r="H44" s="1069"/>
      <c r="I44" s="1069"/>
      <c r="J44" s="694">
        <f>IFERROR(J43 + J41, 0)</f>
        <v>18.675000000000001</v>
      </c>
      <c r="K44" s="1069"/>
      <c r="L44" s="1069"/>
      <c r="M44" s="1072"/>
      <c r="N44" s="1072"/>
      <c r="O44" s="1072"/>
      <c r="P44" s="694">
        <f>IFERROR(P43 + P41, 0)</f>
        <v>120.90400000000001</v>
      </c>
      <c r="Q44" s="1069"/>
      <c r="R44" s="1069"/>
      <c r="S44" s="1069"/>
      <c r="T44" s="695">
        <f>IFERROR(T41+T42+T43, 0)</f>
        <v>139.685</v>
      </c>
      <c r="U44" s="249"/>
      <c r="V44" s="257" t="s">
        <v>9480</v>
      </c>
      <c r="X44" s="1045"/>
      <c r="Z44" s="1056"/>
      <c r="AA44" s="251"/>
      <c r="AB44" s="1056"/>
      <c r="AC44" s="2562"/>
      <c r="AD44" s="2562"/>
      <c r="AE44" s="2562"/>
      <c r="AF44" s="2562"/>
      <c r="AG44" s="2562"/>
      <c r="AH44" s="2562"/>
      <c r="AI44" s="2562"/>
      <c r="AJ44" s="2562"/>
      <c r="AK44" s="2562"/>
      <c r="AL44" s="2562"/>
      <c r="AM44" s="2562"/>
      <c r="AN44" s="2562"/>
      <c r="AO44" s="2562"/>
      <c r="AP44" s="2562"/>
      <c r="AQ44" s="2562"/>
      <c r="AR44" s="2562"/>
      <c r="AS44" s="1056"/>
      <c r="AU44" s="422" t="s">
        <v>9479</v>
      </c>
      <c r="AV44" s="253" t="s">
        <v>1387</v>
      </c>
      <c r="AW44" s="253">
        <v>3</v>
      </c>
      <c r="AX44" s="1069"/>
      <c r="AY44" s="1069"/>
      <c r="AZ44" s="1069"/>
      <c r="BA44" s="1069"/>
      <c r="BB44" s="1069"/>
      <c r="BC44" s="694" t="s">
        <v>9481</v>
      </c>
      <c r="BD44" s="1069"/>
      <c r="BE44" s="1069"/>
      <c r="BF44" s="1072"/>
      <c r="BG44" s="1072"/>
      <c r="BH44" s="1072"/>
      <c r="BI44" s="694" t="s">
        <v>9482</v>
      </c>
      <c r="BJ44" s="1069"/>
      <c r="BK44" s="1069"/>
      <c r="BL44" s="1069"/>
      <c r="BM44" s="695" t="s">
        <v>9483</v>
      </c>
    </row>
    <row r="45" spans="2:65" ht="15.75" customHeight="1" thickBot="1">
      <c r="B45" s="425" t="s">
        <v>9484</v>
      </c>
      <c r="C45" s="319" t="s">
        <v>1387</v>
      </c>
      <c r="D45" s="319">
        <v>3</v>
      </c>
      <c r="E45" s="1073"/>
      <c r="F45" s="1073"/>
      <c r="G45" s="1073"/>
      <c r="H45" s="1073"/>
      <c r="I45" s="1073"/>
      <c r="J45" s="703">
        <f>IFERROR(J44 + J40, 0)</f>
        <v>919.32099999999991</v>
      </c>
      <c r="K45" s="1073"/>
      <c r="L45" s="1073"/>
      <c r="M45" s="1074"/>
      <c r="N45" s="1074"/>
      <c r="O45" s="1074"/>
      <c r="P45" s="703">
        <f>IFERROR(P44 + P40, 0)</f>
        <v>1460.0309999999999</v>
      </c>
      <c r="Q45" s="1073"/>
      <c r="R45" s="1073"/>
      <c r="S45" s="1073"/>
      <c r="T45" s="704">
        <f>IFERROR(T40+T44, 0)</f>
        <v>2379.4579999999996</v>
      </c>
      <c r="U45" s="634"/>
      <c r="V45" s="320" t="s">
        <v>9485</v>
      </c>
      <c r="X45" s="1032"/>
      <c r="Z45" s="1056"/>
      <c r="AA45" s="251"/>
      <c r="AB45" s="1056"/>
      <c r="AC45" s="2562"/>
      <c r="AD45" s="2562"/>
      <c r="AE45" s="2562"/>
      <c r="AF45" s="2562"/>
      <c r="AG45" s="2562"/>
      <c r="AH45" s="2562"/>
      <c r="AI45" s="2562"/>
      <c r="AJ45" s="2562"/>
      <c r="AK45" s="2562"/>
      <c r="AL45" s="2562"/>
      <c r="AM45" s="2562"/>
      <c r="AN45" s="2562"/>
      <c r="AO45" s="2562"/>
      <c r="AP45" s="2562"/>
      <c r="AQ45" s="2562"/>
      <c r="AR45" s="2562"/>
      <c r="AS45" s="1056"/>
      <c r="AU45" s="425" t="s">
        <v>9484</v>
      </c>
      <c r="AV45" s="319" t="s">
        <v>1387</v>
      </c>
      <c r="AW45" s="319">
        <v>3</v>
      </c>
      <c r="AX45" s="1073"/>
      <c r="AY45" s="1073"/>
      <c r="AZ45" s="1073"/>
      <c r="BA45" s="1073"/>
      <c r="BB45" s="1073"/>
      <c r="BC45" s="703" t="s">
        <v>9486</v>
      </c>
      <c r="BD45" s="1073"/>
      <c r="BE45" s="1073"/>
      <c r="BF45" s="1074"/>
      <c r="BG45" s="1074"/>
      <c r="BH45" s="1074"/>
      <c r="BI45" s="703" t="s">
        <v>9487</v>
      </c>
      <c r="BJ45" s="1073"/>
      <c r="BK45" s="1073"/>
      <c r="BL45" s="1073"/>
      <c r="BM45" s="704" t="s">
        <v>9488</v>
      </c>
    </row>
    <row r="46" spans="2:65" ht="15.75" customHeight="1" thickTop="1" thickBot="1">
      <c r="B46" s="1041"/>
      <c r="C46" s="1035"/>
      <c r="D46" s="1035"/>
      <c r="E46" s="1035"/>
      <c r="F46" s="1035"/>
      <c r="G46" s="1035"/>
      <c r="H46" s="1035"/>
      <c r="I46" s="1035"/>
      <c r="J46" s="1035"/>
      <c r="K46" s="1035"/>
      <c r="L46" s="1035"/>
      <c r="M46" s="1038"/>
      <c r="N46" s="1038"/>
      <c r="O46" s="1038"/>
      <c r="P46" s="634"/>
      <c r="Q46" s="634"/>
      <c r="R46" s="634"/>
      <c r="S46" s="634"/>
      <c r="T46" s="634"/>
      <c r="U46" s="634"/>
      <c r="V46" s="634"/>
      <c r="Z46" s="1056"/>
      <c r="AA46" s="251"/>
      <c r="AB46" s="1056"/>
      <c r="AC46" s="2562"/>
      <c r="AD46" s="2562"/>
      <c r="AE46" s="2562"/>
      <c r="AF46" s="2562"/>
      <c r="AG46" s="2562"/>
      <c r="AH46" s="2562"/>
      <c r="AI46" s="2562"/>
      <c r="AJ46" s="2562"/>
      <c r="AK46" s="2562"/>
      <c r="AL46" s="2562"/>
      <c r="AM46" s="2562"/>
      <c r="AN46" s="2562"/>
      <c r="AO46" s="2562"/>
      <c r="AP46" s="2562"/>
      <c r="AQ46" s="2562"/>
      <c r="AR46" s="2562"/>
      <c r="AS46" s="1056"/>
      <c r="AU46" s="1041"/>
      <c r="AV46" s="1035"/>
      <c r="AW46" s="1035"/>
      <c r="AX46" s="1035"/>
      <c r="AY46" s="1035"/>
      <c r="AZ46" s="1035"/>
      <c r="BA46" s="1035"/>
      <c r="BB46" s="1035"/>
      <c r="BC46" s="1035"/>
      <c r="BD46" s="1035"/>
      <c r="BE46" s="1035"/>
      <c r="BF46" s="1038"/>
      <c r="BG46" s="1038"/>
      <c r="BH46" s="1038"/>
      <c r="BI46" s="634"/>
      <c r="BJ46" s="634"/>
      <c r="BK46" s="634"/>
      <c r="BL46" s="634"/>
      <c r="BM46" s="634"/>
    </row>
    <row r="47" spans="2:65" ht="15.75" customHeight="1" thickTop="1" thickBot="1">
      <c r="B47" s="407" t="s">
        <v>1891</v>
      </c>
      <c r="C47" s="408" t="s">
        <v>1892</v>
      </c>
      <c r="D47" s="408" t="s">
        <v>136</v>
      </c>
      <c r="E47" s="408" t="s">
        <v>3849</v>
      </c>
      <c r="F47" s="409" t="s">
        <v>3850</v>
      </c>
      <c r="P47" s="106"/>
      <c r="Q47" s="106"/>
      <c r="R47" s="106"/>
      <c r="S47" s="106"/>
      <c r="T47" s="249"/>
      <c r="U47" s="249"/>
      <c r="V47" s="249"/>
      <c r="Z47" s="1056"/>
      <c r="AA47" s="251"/>
      <c r="AB47" s="1056"/>
      <c r="AC47" s="2562"/>
      <c r="AD47" s="2562"/>
      <c r="AE47" s="2562"/>
      <c r="AF47" s="2562"/>
      <c r="AG47" s="2562"/>
      <c r="AH47" s="2562"/>
      <c r="AI47" s="2562"/>
      <c r="AJ47" s="2562"/>
      <c r="AK47" s="2562"/>
      <c r="AL47" s="2562"/>
      <c r="AM47" s="2562"/>
      <c r="AN47" s="2562"/>
      <c r="AO47" s="2562"/>
      <c r="AP47" s="2562"/>
      <c r="AQ47" s="2562"/>
      <c r="AR47" s="2562"/>
      <c r="AS47" s="1056"/>
      <c r="AU47" s="407" t="s">
        <v>1891</v>
      </c>
      <c r="AV47" s="408" t="s">
        <v>1892</v>
      </c>
      <c r="AW47" s="408" t="s">
        <v>136</v>
      </c>
      <c r="AX47" s="408" t="s">
        <v>3849</v>
      </c>
      <c r="AY47" s="409" t="s">
        <v>3850</v>
      </c>
      <c r="BM47" s="249"/>
    </row>
    <row r="48" spans="2:65" ht="15.75" customHeight="1" thickTop="1" thickBot="1">
      <c r="B48" s="356"/>
      <c r="C48" s="444"/>
      <c r="D48" s="444"/>
      <c r="E48" s="444"/>
      <c r="F48" s="444"/>
      <c r="P48" s="106"/>
      <c r="Q48" s="106"/>
      <c r="R48" s="106"/>
      <c r="S48" s="106"/>
      <c r="T48" s="249"/>
      <c r="U48" s="249"/>
      <c r="V48" s="249"/>
      <c r="Z48" s="1056"/>
      <c r="AA48" s="251"/>
      <c r="AB48" s="1056"/>
      <c r="AC48" s="2562"/>
      <c r="AD48" s="2562"/>
      <c r="AE48" s="2562"/>
      <c r="AF48" s="2562"/>
      <c r="AG48" s="2562"/>
      <c r="AH48" s="2562"/>
      <c r="AI48" s="2562"/>
      <c r="AJ48" s="2562"/>
      <c r="AK48" s="2562"/>
      <c r="AL48" s="2562"/>
      <c r="AM48" s="2562"/>
      <c r="AN48" s="2562"/>
      <c r="AO48" s="2562"/>
      <c r="AP48" s="2562"/>
      <c r="AQ48" s="2562"/>
      <c r="AR48" s="2562"/>
      <c r="AS48" s="1056"/>
      <c r="AU48" s="356"/>
      <c r="AV48" s="444"/>
      <c r="AW48" s="444"/>
      <c r="AX48" s="444"/>
      <c r="AY48" s="444"/>
      <c r="BM48" s="249"/>
    </row>
    <row r="49" spans="2:65" ht="15.75" customHeight="1" thickTop="1" thickBot="1">
      <c r="B49" s="355" t="s">
        <v>9489</v>
      </c>
      <c r="C49" s="444"/>
      <c r="D49" s="444"/>
      <c r="E49" s="444"/>
      <c r="F49" s="444"/>
      <c r="P49" s="106"/>
      <c r="Q49" s="106"/>
      <c r="R49" s="106"/>
      <c r="S49" s="106"/>
      <c r="T49" s="106"/>
      <c r="U49" s="249"/>
      <c r="V49" s="249"/>
      <c r="Z49" s="1056"/>
      <c r="AA49" s="251"/>
      <c r="AB49" s="1056"/>
      <c r="AC49" s="2562"/>
      <c r="AD49" s="2562"/>
      <c r="AE49" s="2562"/>
      <c r="AF49" s="2562"/>
      <c r="AG49" s="2562"/>
      <c r="AH49" s="2562"/>
      <c r="AI49" s="2562"/>
      <c r="AJ49" s="2562"/>
      <c r="AK49" s="2562"/>
      <c r="AL49" s="2562"/>
      <c r="AM49" s="2562"/>
      <c r="AN49" s="2562"/>
      <c r="AO49" s="2562"/>
      <c r="AP49" s="2562"/>
      <c r="AQ49" s="2562"/>
      <c r="AR49" s="2562"/>
      <c r="AS49" s="1056"/>
      <c r="AU49" s="355" t="s">
        <v>9489</v>
      </c>
      <c r="AV49" s="444"/>
      <c r="AW49" s="444"/>
      <c r="AX49" s="444"/>
      <c r="AY49" s="444"/>
    </row>
    <row r="50" spans="2:65" ht="15.75" customHeight="1" thickTop="1">
      <c r="B50" s="413" t="s">
        <v>9490</v>
      </c>
      <c r="C50" s="244" t="s">
        <v>1387</v>
      </c>
      <c r="D50" s="244">
        <v>3</v>
      </c>
      <c r="E50" s="1075">
        <v>5499.7759999999998</v>
      </c>
      <c r="F50" s="1076">
        <v>5521.5990000000002</v>
      </c>
      <c r="P50" s="106"/>
      <c r="Q50" s="106"/>
      <c r="R50" s="106"/>
      <c r="S50" s="106"/>
      <c r="T50" s="106"/>
      <c r="U50" s="249"/>
      <c r="V50" s="248" t="s">
        <v>9491</v>
      </c>
      <c r="X50" s="1027"/>
      <c r="Z50" s="1056"/>
      <c r="AA50" s="251">
        <f>IF( SUM( AC50:AR50 ) = 0, 0, $AC$7 )</f>
        <v>0</v>
      </c>
      <c r="AB50" s="1056"/>
      <c r="AC50" s="252">
        <f t="shared" ref="AC50" si="50" xml:space="preserve"> IF( ISNUMBER(E50), 0, 1 )</f>
        <v>0</v>
      </c>
      <c r="AD50" s="252">
        <f t="shared" ref="AD50:AD51" si="51" xml:space="preserve"> IF( ISNUMBER(F50), 0, 1 )</f>
        <v>0</v>
      </c>
      <c r="AE50" s="2562"/>
      <c r="AF50" s="2562"/>
      <c r="AG50" s="2562"/>
      <c r="AH50" s="2562"/>
      <c r="AI50" s="2562"/>
      <c r="AJ50" s="2562"/>
      <c r="AK50" s="2562"/>
      <c r="AL50" s="2562"/>
      <c r="AM50" s="2562"/>
      <c r="AN50" s="2562"/>
      <c r="AO50" s="2562"/>
      <c r="AP50" s="2562"/>
      <c r="AQ50" s="2562"/>
      <c r="AR50" s="2562"/>
      <c r="AS50" s="1056"/>
      <c r="AU50" s="413" t="s">
        <v>9490</v>
      </c>
      <c r="AV50" s="244" t="s">
        <v>1387</v>
      </c>
      <c r="AW50" s="244">
        <v>3</v>
      </c>
      <c r="AX50" s="1075" t="s">
        <v>9492</v>
      </c>
      <c r="AY50" s="1076" t="s">
        <v>9493</v>
      </c>
    </row>
    <row r="51" spans="2:65" ht="15.75" customHeight="1" thickBot="1">
      <c r="B51" s="425" t="s">
        <v>9494</v>
      </c>
      <c r="C51" s="319" t="s">
        <v>1387</v>
      </c>
      <c r="D51" s="319">
        <v>3</v>
      </c>
      <c r="E51" s="1077"/>
      <c r="F51" s="2456">
        <v>129.55000000000001</v>
      </c>
      <c r="P51" s="106"/>
      <c r="Q51" s="106"/>
      <c r="R51" s="106"/>
      <c r="S51" s="106"/>
      <c r="T51" s="106"/>
      <c r="U51" s="249"/>
      <c r="V51" s="320" t="s">
        <v>9495</v>
      </c>
      <c r="X51" s="1032"/>
      <c r="Z51" s="1056"/>
      <c r="AA51" s="251">
        <f>IF( SUM( AC51:AR51 ) = 0, 0, $AC$7 )</f>
        <v>0</v>
      </c>
      <c r="AB51" s="1056"/>
      <c r="AC51" s="2562"/>
      <c r="AD51" s="252">
        <f t="shared" si="51"/>
        <v>0</v>
      </c>
      <c r="AE51" s="2562"/>
      <c r="AF51" s="2562"/>
      <c r="AG51" s="2562"/>
      <c r="AH51" s="2562"/>
      <c r="AI51" s="2562"/>
      <c r="AJ51" s="2562"/>
      <c r="AK51" s="2562"/>
      <c r="AL51" s="2562"/>
      <c r="AM51" s="2562"/>
      <c r="AN51" s="2562"/>
      <c r="AO51" s="2562"/>
      <c r="AP51" s="2562"/>
      <c r="AQ51" s="2562"/>
      <c r="AR51" s="2562"/>
      <c r="AS51" s="1056"/>
      <c r="AU51" s="425" t="s">
        <v>9496</v>
      </c>
      <c r="AV51" s="319" t="s">
        <v>1387</v>
      </c>
      <c r="AW51" s="319">
        <v>3</v>
      </c>
      <c r="AX51" s="1077"/>
      <c r="AY51" s="1078" t="s">
        <v>9497</v>
      </c>
    </row>
    <row r="52" spans="2:65" ht="15.75" customHeight="1" thickTop="1" thickBot="1">
      <c r="E52" s="86"/>
      <c r="F52" s="86"/>
      <c r="Z52" s="1056"/>
      <c r="AA52" s="251"/>
      <c r="AB52" s="1056"/>
      <c r="AC52" s="2562"/>
      <c r="AD52" s="2562"/>
      <c r="AE52" s="2562"/>
      <c r="AF52" s="2562"/>
      <c r="AG52" s="2562"/>
      <c r="AH52" s="2562"/>
      <c r="AI52" s="2562"/>
      <c r="AJ52" s="2562"/>
      <c r="AK52" s="2562"/>
      <c r="AL52" s="2562"/>
      <c r="AM52" s="2562"/>
      <c r="AN52" s="2562"/>
      <c r="AO52" s="2562"/>
      <c r="AP52" s="2562"/>
      <c r="AQ52" s="2562"/>
      <c r="AR52" s="2562"/>
      <c r="AS52" s="1056"/>
      <c r="AX52" s="86"/>
      <c r="AY52" s="86"/>
      <c r="BI52" s="417"/>
      <c r="BJ52" s="417"/>
      <c r="BK52" s="417"/>
      <c r="BL52" s="417"/>
      <c r="BM52" s="417"/>
    </row>
    <row r="53" spans="2:65" ht="16.5" thickTop="1" thickBot="1">
      <c r="B53" s="327"/>
      <c r="C53" s="83"/>
      <c r="E53" s="2854" t="s">
        <v>3849</v>
      </c>
      <c r="F53" s="2855"/>
      <c r="G53" s="2856"/>
      <c r="Z53" s="1056"/>
      <c r="AA53" s="251"/>
      <c r="AB53" s="1056"/>
      <c r="AC53" s="2562"/>
      <c r="AD53" s="2562"/>
      <c r="AE53" s="2562"/>
      <c r="AF53" s="2562"/>
      <c r="AG53" s="2562"/>
      <c r="AH53" s="2562"/>
      <c r="AI53" s="2562"/>
      <c r="AJ53" s="2562"/>
      <c r="AK53" s="2562"/>
      <c r="AL53" s="2562"/>
      <c r="AM53" s="2562"/>
      <c r="AN53" s="2562"/>
      <c r="AO53" s="2562"/>
      <c r="AP53" s="2562"/>
      <c r="AQ53" s="2562"/>
      <c r="AR53" s="2562"/>
      <c r="AS53" s="1056"/>
      <c r="AU53" s="327"/>
      <c r="AV53" s="83"/>
      <c r="AX53" s="2854" t="s">
        <v>3849</v>
      </c>
      <c r="AY53" s="2855"/>
      <c r="AZ53" s="2856"/>
      <c r="BI53" s="417"/>
      <c r="BJ53" s="417"/>
      <c r="BK53" s="417"/>
      <c r="BL53" s="417"/>
      <c r="BM53" s="417"/>
    </row>
    <row r="54" spans="2:65" ht="32" thickTop="1" thickBot="1">
      <c r="B54" s="355" t="s">
        <v>9498</v>
      </c>
      <c r="C54" s="1080" t="s">
        <v>1892</v>
      </c>
      <c r="D54" s="1080" t="s">
        <v>136</v>
      </c>
      <c r="E54" s="1081" t="s">
        <v>9490</v>
      </c>
      <c r="F54" s="1081" t="s">
        <v>9496</v>
      </c>
      <c r="G54" s="1082" t="s">
        <v>2112</v>
      </c>
      <c r="Z54" s="1056"/>
      <c r="AA54" s="251"/>
      <c r="AB54" s="1056"/>
      <c r="AC54" s="2562"/>
      <c r="AD54" s="2562"/>
      <c r="AE54" s="2562"/>
      <c r="AF54" s="2562"/>
      <c r="AG54" s="2562"/>
      <c r="AH54" s="2562"/>
      <c r="AI54" s="2562"/>
      <c r="AJ54" s="2562"/>
      <c r="AK54" s="2562"/>
      <c r="AL54" s="2562"/>
      <c r="AM54" s="2562"/>
      <c r="AN54" s="2562"/>
      <c r="AO54" s="2562"/>
      <c r="AP54" s="2562"/>
      <c r="AQ54" s="2562"/>
      <c r="AR54" s="2562"/>
      <c r="AS54" s="1056"/>
      <c r="AU54" s="1079" t="s">
        <v>9498</v>
      </c>
      <c r="AV54" s="1080" t="s">
        <v>1892</v>
      </c>
      <c r="AW54" s="1080" t="s">
        <v>136</v>
      </c>
      <c r="AX54" s="1081" t="s">
        <v>9490</v>
      </c>
      <c r="AY54" s="1081" t="s">
        <v>9496</v>
      </c>
      <c r="AZ54" s="1082" t="s">
        <v>2112</v>
      </c>
      <c r="BI54" s="417"/>
      <c r="BJ54" s="417"/>
      <c r="BK54" s="417"/>
      <c r="BL54" s="417"/>
      <c r="BM54" s="417"/>
    </row>
    <row r="55" spans="2:65" ht="15.75" customHeight="1" thickTop="1">
      <c r="B55" s="413" t="s">
        <v>9499</v>
      </c>
      <c r="C55" s="283" t="s">
        <v>1387</v>
      </c>
      <c r="D55" s="283">
        <v>3</v>
      </c>
      <c r="E55" s="706">
        <v>5414.7920000000004</v>
      </c>
      <c r="F55" s="706">
        <v>0</v>
      </c>
      <c r="G55" s="1059">
        <f t="shared" ref="G55:G56" si="52">IFERROR(E55 + F55,0)</f>
        <v>5414.7920000000004</v>
      </c>
      <c r="P55" s="106"/>
      <c r="Q55" s="106"/>
      <c r="R55" s="106"/>
      <c r="S55" s="106"/>
      <c r="T55" s="106"/>
      <c r="V55" s="248" t="s">
        <v>9500</v>
      </c>
      <c r="X55" s="1027"/>
      <c r="Z55" s="1056"/>
      <c r="AA55" s="251">
        <f>IF( SUM( AC55:AR55 ) = 0, 0, $AC$7 )</f>
        <v>0</v>
      </c>
      <c r="AB55" s="1056"/>
      <c r="AC55" s="252">
        <f t="shared" ref="AC55:AC57" si="53" xml:space="preserve"> IF( ISNUMBER(E55), 0, 1 )</f>
        <v>0</v>
      </c>
      <c r="AD55" s="252">
        <f t="shared" ref="AD55:AD57" si="54" xml:space="preserve"> IF( ISNUMBER(F55), 0, 1 )</f>
        <v>0</v>
      </c>
      <c r="AE55" s="2562"/>
      <c r="AF55" s="2562"/>
      <c r="AG55" s="2562"/>
      <c r="AH55" s="2562"/>
      <c r="AI55" s="2562"/>
      <c r="AJ55" s="2562"/>
      <c r="AK55" s="2562"/>
      <c r="AL55" s="2562"/>
      <c r="AM55" s="2562"/>
      <c r="AN55" s="2562"/>
      <c r="AO55" s="2562"/>
      <c r="AP55" s="2562"/>
      <c r="AQ55" s="2562"/>
      <c r="AR55" s="2562"/>
      <c r="AS55" s="1056"/>
      <c r="AU55" s="711" t="s">
        <v>9499</v>
      </c>
      <c r="AV55" s="283" t="s">
        <v>1387</v>
      </c>
      <c r="AW55" s="283">
        <v>3</v>
      </c>
      <c r="AX55" s="1083" t="s">
        <v>9501</v>
      </c>
      <c r="AY55" s="1083" t="s">
        <v>9502</v>
      </c>
      <c r="AZ55" s="1084" t="s">
        <v>9503</v>
      </c>
    </row>
    <row r="56" spans="2:65" ht="15.75" customHeight="1">
      <c r="B56" s="422" t="s">
        <v>9504</v>
      </c>
      <c r="C56" s="290" t="s">
        <v>1387</v>
      </c>
      <c r="D56" s="290">
        <v>3</v>
      </c>
      <c r="E56" s="696">
        <v>3005.5120000000002</v>
      </c>
      <c r="F56" s="696">
        <v>0</v>
      </c>
      <c r="G56" s="695">
        <f t="shared" si="52"/>
        <v>3005.5120000000002</v>
      </c>
      <c r="P56" s="106"/>
      <c r="Q56" s="106"/>
      <c r="R56" s="106"/>
      <c r="S56" s="106"/>
      <c r="T56" s="106"/>
      <c r="V56" s="257" t="s">
        <v>9505</v>
      </c>
      <c r="X56" s="1045"/>
      <c r="Z56" s="1056"/>
      <c r="AA56" s="251">
        <f>IF( SUM( AC56:AR56 ) = 0, 0, $AC$7 )</f>
        <v>0</v>
      </c>
      <c r="AB56" s="1056"/>
      <c r="AC56" s="252">
        <f t="shared" si="53"/>
        <v>0</v>
      </c>
      <c r="AD56" s="252">
        <f t="shared" si="54"/>
        <v>0</v>
      </c>
      <c r="AE56" s="2562"/>
      <c r="AF56" s="2562"/>
      <c r="AG56" s="2562"/>
      <c r="AH56" s="2562"/>
      <c r="AI56" s="2562"/>
      <c r="AJ56" s="2562"/>
      <c r="AK56" s="2562"/>
      <c r="AL56" s="2562"/>
      <c r="AM56" s="2562"/>
      <c r="AN56" s="2562"/>
      <c r="AO56" s="2562"/>
      <c r="AP56" s="2562"/>
      <c r="AQ56" s="2562"/>
      <c r="AR56" s="2562"/>
      <c r="AS56" s="1056"/>
      <c r="AU56" s="689" t="s">
        <v>9506</v>
      </c>
      <c r="AV56" s="290" t="s">
        <v>1387</v>
      </c>
      <c r="AW56" s="290">
        <v>3</v>
      </c>
      <c r="AX56" s="1085" t="s">
        <v>9507</v>
      </c>
      <c r="AY56" s="1085" t="s">
        <v>9508</v>
      </c>
      <c r="AZ56" s="1086" t="s">
        <v>9509</v>
      </c>
    </row>
    <row r="57" spans="2:65" ht="15.75" customHeight="1" thickBot="1">
      <c r="B57" s="425" t="s">
        <v>9510</v>
      </c>
      <c r="C57" s="297" t="s">
        <v>1387</v>
      </c>
      <c r="D57" s="297">
        <v>3</v>
      </c>
      <c r="E57" s="1963">
        <v>2409.279</v>
      </c>
      <c r="F57" s="1963">
        <v>0</v>
      </c>
      <c r="G57" s="704">
        <f>IFERROR(E57 + F57,0)</f>
        <v>2409.279</v>
      </c>
      <c r="P57" s="106"/>
      <c r="Q57" s="106"/>
      <c r="R57" s="106"/>
      <c r="S57" s="106"/>
      <c r="T57" s="106"/>
      <c r="V57" s="320" t="s">
        <v>9511</v>
      </c>
      <c r="X57" s="1032"/>
      <c r="Z57" s="1056"/>
      <c r="AA57" s="251">
        <f>IF( SUM( AC57:AR57 ) = 0, 0, $AC$7 )</f>
        <v>0</v>
      </c>
      <c r="AB57" s="1056"/>
      <c r="AC57" s="252">
        <f t="shared" si="53"/>
        <v>0</v>
      </c>
      <c r="AD57" s="252">
        <f t="shared" si="54"/>
        <v>0</v>
      </c>
      <c r="AE57" s="2562"/>
      <c r="AF57" s="2562"/>
      <c r="AG57" s="2562"/>
      <c r="AH57" s="2562"/>
      <c r="AI57" s="2562"/>
      <c r="AJ57" s="2562"/>
      <c r="AK57" s="2562"/>
      <c r="AL57" s="2562"/>
      <c r="AM57" s="2562"/>
      <c r="AN57" s="2562"/>
      <c r="AO57" s="2562"/>
      <c r="AP57" s="2562"/>
      <c r="AQ57" s="2562"/>
      <c r="AR57" s="2562"/>
      <c r="AS57" s="1056"/>
      <c r="AU57" s="415" t="s">
        <v>9512</v>
      </c>
      <c r="AV57" s="297" t="s">
        <v>1387</v>
      </c>
      <c r="AW57" s="297">
        <v>3</v>
      </c>
      <c r="AX57" s="1087" t="s">
        <v>9513</v>
      </c>
      <c r="AY57" s="1087" t="s">
        <v>9514</v>
      </c>
      <c r="AZ57" s="1088" t="s">
        <v>9515</v>
      </c>
    </row>
    <row r="58" spans="2:65" ht="16" thickTop="1">
      <c r="P58" s="106"/>
      <c r="Q58" s="106"/>
      <c r="R58" s="106"/>
      <c r="S58" s="106"/>
      <c r="T58" s="106"/>
      <c r="U58" s="106"/>
      <c r="V58" s="106"/>
      <c r="AA58" s="251"/>
      <c r="AC58" s="2562"/>
      <c r="AD58" s="2562"/>
      <c r="AE58" s="2562"/>
      <c r="AF58" s="2562"/>
      <c r="AG58" s="2562"/>
      <c r="AH58" s="2562"/>
      <c r="AI58" s="2562"/>
      <c r="AJ58" s="2562"/>
      <c r="AK58" s="2562"/>
      <c r="AL58" s="2562"/>
      <c r="AM58" s="2562"/>
      <c r="AN58" s="2562"/>
      <c r="AO58" s="2562"/>
      <c r="AP58" s="2562"/>
      <c r="AQ58" s="2562"/>
      <c r="AR58" s="2562"/>
    </row>
    <row r="59" spans="2:65">
      <c r="P59" s="106"/>
      <c r="Q59" s="106"/>
      <c r="R59" s="106"/>
      <c r="S59" s="106"/>
      <c r="T59" s="106"/>
      <c r="U59" s="106"/>
      <c r="V59" s="106"/>
      <c r="AA59" s="251"/>
      <c r="AC59" s="2562"/>
      <c r="AD59" s="2562"/>
      <c r="AE59" s="2562"/>
      <c r="AF59" s="2562"/>
      <c r="AG59" s="2562"/>
      <c r="AH59" s="2562"/>
      <c r="AI59" s="2562"/>
      <c r="AJ59" s="2562"/>
      <c r="AK59" s="2562"/>
      <c r="AL59" s="2562"/>
      <c r="AM59" s="2562"/>
      <c r="AN59" s="2562"/>
      <c r="AO59" s="2562"/>
      <c r="AP59" s="2562"/>
      <c r="AQ59" s="2562"/>
      <c r="AR59" s="2562"/>
    </row>
    <row r="60" spans="2:65">
      <c r="AA60" s="251"/>
      <c r="AC60" s="2562"/>
      <c r="AD60" s="2562"/>
      <c r="AE60" s="2562"/>
      <c r="AF60" s="2562"/>
      <c r="AG60" s="2562"/>
      <c r="AH60" s="2562"/>
      <c r="AI60" s="2562"/>
      <c r="AJ60" s="2562"/>
      <c r="AK60" s="2562"/>
      <c r="AL60" s="2562"/>
      <c r="AM60" s="2562"/>
      <c r="AN60" s="2562"/>
      <c r="AO60" s="2562"/>
      <c r="AP60" s="2562"/>
      <c r="AQ60" s="2562"/>
      <c r="AR60" s="2562"/>
    </row>
    <row r="61" spans="2:65">
      <c r="AA61" s="251"/>
      <c r="AC61" s="2562"/>
      <c r="AD61" s="2562"/>
      <c r="AE61" s="2562"/>
      <c r="AF61" s="2562"/>
      <c r="AG61" s="2562"/>
      <c r="AH61" s="2562"/>
      <c r="AI61" s="2562"/>
      <c r="AJ61" s="2562"/>
      <c r="AK61" s="2562"/>
      <c r="AL61" s="2562"/>
      <c r="AM61" s="2562"/>
      <c r="AN61" s="2562"/>
      <c r="AO61" s="2562"/>
      <c r="AP61" s="2562"/>
      <c r="AQ61" s="2562"/>
      <c r="AR61" s="2562"/>
    </row>
    <row r="62" spans="2:65">
      <c r="AA62" s="251"/>
      <c r="AC62" s="2562"/>
      <c r="AD62" s="2562"/>
      <c r="AE62" s="2562"/>
      <c r="AF62" s="2562"/>
      <c r="AG62" s="2562"/>
      <c r="AH62" s="2562"/>
      <c r="AI62" s="2562"/>
      <c r="AJ62" s="2562"/>
      <c r="AK62" s="2562"/>
      <c r="AL62" s="2562"/>
      <c r="AM62" s="2562"/>
      <c r="AN62" s="2562"/>
      <c r="AO62" s="2562"/>
      <c r="AP62" s="2562"/>
      <c r="AQ62" s="2562"/>
      <c r="AR62" s="2562"/>
    </row>
    <row r="63" spans="2:65">
      <c r="AA63" s="251"/>
      <c r="AC63" s="2562"/>
      <c r="AD63" s="2562"/>
      <c r="AE63" s="2562"/>
      <c r="AF63" s="2562"/>
      <c r="AG63" s="2562"/>
      <c r="AH63" s="2562"/>
      <c r="AI63" s="2562"/>
      <c r="AJ63" s="2562"/>
      <c r="AK63" s="2562"/>
      <c r="AL63" s="2562"/>
      <c r="AM63" s="2562"/>
      <c r="AN63" s="2562"/>
      <c r="AO63" s="2562"/>
      <c r="AP63" s="2562"/>
      <c r="AQ63" s="2562"/>
      <c r="AR63" s="2562"/>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05" priority="18" operator="equal">
      <formula>0</formula>
    </cfRule>
  </conditionalFormatting>
  <conditionalFormatting sqref="AA4:AA63">
    <cfRule type="cellIs" dxfId="104" priority="1" operator="equal">
      <formula>0</formula>
    </cfRule>
  </conditionalFormatting>
  <dataValidations count="1">
    <dataValidation type="custom" allowBlank="1" showErrorMessage="1" errorTitle="Input Error" error="Please input a numeric value." sqref="J23:J24 P39 H8:H10 E8:F10 J27 E50:F50 E35:I35 J39 H22:I22 E22:F22 Q38:R38 G23 F51 K35:O35"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tabColor theme="2" tint="-0.499984740745262"/>
  </sheetPr>
  <dimension ref="B1:AZ29"/>
  <sheetViews>
    <sheetView showGridLines="0" zoomScaleNormal="100" workbookViewId="0">
      <selection activeCell="I26" sqref="I26"/>
    </sheetView>
  </sheetViews>
  <sheetFormatPr defaultColWidth="9" defaultRowHeight="15.5"/>
  <cols>
    <col min="1" max="1" width="9" style="220" customWidth="1"/>
    <col min="2" max="2" width="36.08203125" style="950" bestFit="1" customWidth="1"/>
    <col min="3" max="3" width="7.08203125" style="220" customWidth="1"/>
    <col min="4" max="5" width="6" style="220" customWidth="1"/>
    <col min="6" max="18" width="11.58203125" style="220" customWidth="1"/>
    <col min="19" max="19" width="9.08203125" style="220" customWidth="1"/>
    <col min="20" max="20" width="1" style="220" customWidth="1"/>
    <col min="21" max="21" width="33.58203125" style="106" customWidth="1"/>
    <col min="22" max="22" width="2.08203125" style="106" customWidth="1"/>
    <col min="23" max="23" width="1.58203125" style="106" customWidth="1"/>
    <col min="24" max="24" width="25.08203125" style="106" customWidth="1"/>
    <col min="25" max="25" width="1.58203125" style="106" customWidth="1"/>
    <col min="26" max="37" width="1.58203125" style="106" hidden="1" customWidth="1"/>
    <col min="38" max="38" width="2.58203125" style="220" customWidth="1"/>
    <col min="39" max="39" width="36.08203125" style="220" bestFit="1" customWidth="1"/>
    <col min="40" max="40" width="9" style="220"/>
    <col min="41" max="52" width="17.58203125" style="220" customWidth="1"/>
    <col min="53" max="16384" width="9" style="220"/>
  </cols>
  <sheetData>
    <row r="1" spans="2:52" s="351" customFormat="1" ht="22.5" customHeight="1">
      <c r="B1" s="2771" t="s">
        <v>9516</v>
      </c>
      <c r="C1" s="2771"/>
      <c r="D1" s="2771"/>
      <c r="E1" s="2771"/>
      <c r="F1" s="2771"/>
      <c r="G1" s="2771"/>
      <c r="H1" s="2771"/>
      <c r="I1" s="2771"/>
      <c r="J1" s="2771"/>
      <c r="K1" s="2771"/>
      <c r="L1" s="2771"/>
      <c r="M1" s="2771"/>
      <c r="N1" s="2771"/>
      <c r="O1" s="2771"/>
      <c r="P1" s="2771"/>
      <c r="Q1" s="2771"/>
      <c r="R1" s="2837"/>
      <c r="S1" s="2837"/>
      <c r="U1" s="106"/>
      <c r="V1" s="106"/>
      <c r="W1" s="1056"/>
      <c r="X1" s="251"/>
      <c r="Y1" s="1056"/>
      <c r="Z1" s="106"/>
      <c r="AA1" s="106"/>
      <c r="AB1" s="106"/>
      <c r="AC1" s="106"/>
      <c r="AD1" s="106"/>
      <c r="AE1" s="106"/>
      <c r="AF1" s="106"/>
      <c r="AG1" s="106"/>
      <c r="AH1" s="106"/>
      <c r="AI1" s="106"/>
      <c r="AJ1" s="106"/>
      <c r="AK1" s="1056"/>
      <c r="AM1" s="2771" t="s">
        <v>1887</v>
      </c>
      <c r="AN1" s="2771"/>
      <c r="AO1" s="2771"/>
      <c r="AP1" s="2771"/>
      <c r="AQ1" s="627"/>
    </row>
    <row r="2" spans="2:52" s="351" customFormat="1" ht="22.5">
      <c r="B2" s="2771" t="str">
        <f>SelectCompany!B4</f>
        <v>Yorkshire Water</v>
      </c>
      <c r="C2" s="2771"/>
      <c r="D2" s="2771"/>
      <c r="E2" s="2771"/>
      <c r="F2" s="627"/>
      <c r="G2" s="2560"/>
      <c r="H2" s="2560"/>
      <c r="I2" s="2560"/>
      <c r="J2" s="2560"/>
      <c r="K2" s="2560"/>
      <c r="L2" s="352"/>
      <c r="M2" s="352"/>
      <c r="N2" s="352"/>
      <c r="O2" s="352"/>
      <c r="P2" s="352"/>
      <c r="Q2" s="352"/>
      <c r="R2" s="2837"/>
      <c r="S2" s="2837"/>
      <c r="U2" s="106"/>
      <c r="V2" s="106"/>
      <c r="W2" s="1056"/>
      <c r="X2" s="251"/>
      <c r="Y2" s="1056"/>
      <c r="Z2" s="106"/>
      <c r="AA2" s="106"/>
      <c r="AB2" s="106"/>
      <c r="AC2" s="106"/>
      <c r="AD2" s="106"/>
      <c r="AE2" s="106"/>
      <c r="AF2" s="106"/>
      <c r="AG2" s="106"/>
      <c r="AH2" s="106"/>
      <c r="AI2" s="106"/>
      <c r="AJ2" s="106"/>
      <c r="AK2" s="1056"/>
    </row>
    <row r="3" spans="2:52" ht="19.399999999999999" customHeight="1">
      <c r="B3" s="2781" t="s">
        <v>9517</v>
      </c>
      <c r="C3" s="2781"/>
      <c r="D3" s="2781"/>
      <c r="E3" s="2781"/>
      <c r="F3" s="2781"/>
      <c r="G3" s="2781"/>
      <c r="H3" s="2781"/>
      <c r="I3" s="2781"/>
      <c r="J3" s="2781"/>
      <c r="K3" s="2781"/>
      <c r="L3" s="2781"/>
      <c r="M3" s="2781"/>
      <c r="N3" s="2781"/>
      <c r="O3" s="2781"/>
      <c r="P3" s="2781"/>
      <c r="Q3" s="2781"/>
      <c r="R3" s="2560"/>
      <c r="S3" s="2560"/>
      <c r="T3" s="351"/>
      <c r="U3" s="2562"/>
      <c r="W3" s="1056"/>
      <c r="X3" s="554" t="s">
        <v>1889</v>
      </c>
      <c r="Y3" s="1056"/>
      <c r="AK3" s="1056"/>
      <c r="AL3" s="2562"/>
      <c r="AM3" s="2781" t="s">
        <v>9517</v>
      </c>
      <c r="AN3" s="2781"/>
      <c r="AO3" s="2781"/>
      <c r="AP3" s="2781"/>
      <c r="AQ3" s="2781"/>
      <c r="AR3" s="2781"/>
      <c r="AS3" s="2781"/>
      <c r="AT3" s="2781"/>
      <c r="AU3" s="2781"/>
      <c r="AV3" s="2781"/>
      <c r="AW3" s="2781"/>
      <c r="AX3" s="2781"/>
      <c r="AY3" s="2781"/>
      <c r="AZ3" s="2781"/>
    </row>
    <row r="4" spans="2:52" ht="23" thickBot="1">
      <c r="B4" s="2592"/>
      <c r="C4" s="2560"/>
      <c r="D4" s="2560"/>
      <c r="E4" s="2560"/>
      <c r="F4" s="2560"/>
      <c r="G4" s="2560"/>
      <c r="H4" s="2560"/>
      <c r="I4" s="2560"/>
      <c r="J4" s="2560"/>
      <c r="K4" s="2560"/>
      <c r="L4" s="951"/>
      <c r="M4" s="724"/>
      <c r="N4" s="724"/>
      <c r="O4" s="724"/>
      <c r="P4" s="724"/>
      <c r="Q4" s="724"/>
      <c r="R4" s="2560"/>
      <c r="S4" s="2560"/>
      <c r="T4" s="2562"/>
      <c r="W4" s="1056"/>
      <c r="X4" s="251"/>
      <c r="Y4" s="1056"/>
      <c r="AK4" s="1056"/>
      <c r="AL4" s="2562"/>
      <c r="AM4" s="2592"/>
      <c r="AN4" s="2560"/>
      <c r="AO4" s="2560"/>
      <c r="AP4" s="2560"/>
      <c r="AQ4" s="2560"/>
      <c r="AR4" s="2560"/>
      <c r="AS4" s="2560"/>
      <c r="AT4" s="2560"/>
      <c r="AU4" s="951"/>
      <c r="AV4" s="724"/>
      <c r="AW4" s="724"/>
      <c r="AX4" s="724"/>
      <c r="AY4" s="724"/>
      <c r="AZ4" s="724"/>
    </row>
    <row r="5" spans="2:52" s="197" customFormat="1" ht="16" thickTop="1">
      <c r="B5" s="2828" t="s">
        <v>7041</v>
      </c>
      <c r="C5" s="2793"/>
      <c r="D5" s="2667" t="s">
        <v>1892</v>
      </c>
      <c r="E5" s="2667" t="s">
        <v>136</v>
      </c>
      <c r="F5" s="2832" t="s">
        <v>6859</v>
      </c>
      <c r="G5" s="2832"/>
      <c r="H5" s="2832"/>
      <c r="I5" s="2832"/>
      <c r="J5" s="2832"/>
      <c r="K5" s="2832"/>
      <c r="L5" s="2807" t="s">
        <v>7042</v>
      </c>
      <c r="M5" s="2807"/>
      <c r="N5" s="2807"/>
      <c r="O5" s="2807"/>
      <c r="P5" s="2807"/>
      <c r="Q5" s="2851"/>
      <c r="R5" s="222"/>
      <c r="S5" s="2839" t="s">
        <v>1896</v>
      </c>
      <c r="U5" s="2763" t="s">
        <v>1897</v>
      </c>
      <c r="V5" s="106"/>
      <c r="W5" s="1056"/>
      <c r="X5" s="251"/>
      <c r="Y5" s="1056"/>
      <c r="Z5" s="106"/>
      <c r="AA5" s="106"/>
      <c r="AB5" s="106"/>
      <c r="AC5" s="106"/>
      <c r="AD5" s="106"/>
      <c r="AE5" s="106"/>
      <c r="AF5" s="106"/>
      <c r="AG5" s="106"/>
      <c r="AH5" s="106"/>
      <c r="AI5" s="106"/>
      <c r="AJ5" s="106"/>
      <c r="AK5" s="1056"/>
      <c r="AM5" s="2828" t="s">
        <v>7041</v>
      </c>
      <c r="AN5" s="2793"/>
      <c r="AO5" s="2832" t="s">
        <v>6859</v>
      </c>
      <c r="AP5" s="2832"/>
      <c r="AQ5" s="2832"/>
      <c r="AR5" s="2832"/>
      <c r="AS5" s="2832"/>
      <c r="AT5" s="2832"/>
      <c r="AU5" s="2807" t="s">
        <v>7042</v>
      </c>
      <c r="AV5" s="2807"/>
      <c r="AW5" s="2807"/>
      <c r="AX5" s="2807"/>
      <c r="AY5" s="2807"/>
      <c r="AZ5" s="2851"/>
    </row>
    <row r="6" spans="2:52" s="197" customFormat="1">
      <c r="B6" s="2829"/>
      <c r="C6" s="2830"/>
      <c r="D6" s="2770"/>
      <c r="E6" s="2770"/>
      <c r="F6" s="2830" t="s">
        <v>2828</v>
      </c>
      <c r="G6" s="2834" t="s">
        <v>3654</v>
      </c>
      <c r="H6" s="2834"/>
      <c r="I6" s="2834"/>
      <c r="J6" s="2834"/>
      <c r="K6" s="2834" t="s">
        <v>2112</v>
      </c>
      <c r="L6" s="2830" t="s">
        <v>2828</v>
      </c>
      <c r="M6" s="2802" t="s">
        <v>3654</v>
      </c>
      <c r="N6" s="2802"/>
      <c r="O6" s="2802"/>
      <c r="P6" s="2802"/>
      <c r="Q6" s="2836" t="s">
        <v>2112</v>
      </c>
      <c r="R6" s="222"/>
      <c r="S6" s="2840"/>
      <c r="U6" s="2764"/>
      <c r="V6" s="634"/>
      <c r="W6" s="1056"/>
      <c r="X6" s="251"/>
      <c r="Y6" s="1056"/>
      <c r="Z6" s="2858" t="s">
        <v>1890</v>
      </c>
      <c r="AA6" s="2858"/>
      <c r="AB6" s="2858"/>
      <c r="AC6" s="2858"/>
      <c r="AD6" s="2858"/>
      <c r="AE6" s="2858"/>
      <c r="AF6" s="2858"/>
      <c r="AG6" s="2858"/>
      <c r="AH6" s="2858"/>
      <c r="AI6" s="2858"/>
      <c r="AJ6" s="2858"/>
      <c r="AK6" s="1056"/>
      <c r="AM6" s="2829"/>
      <c r="AN6" s="2830"/>
      <c r="AO6" s="2830" t="s">
        <v>2828</v>
      </c>
      <c r="AP6" s="2834" t="s">
        <v>3654</v>
      </c>
      <c r="AQ6" s="2834"/>
      <c r="AR6" s="2834"/>
      <c r="AS6" s="2834"/>
      <c r="AT6" s="2834" t="s">
        <v>2112</v>
      </c>
      <c r="AU6" s="2830" t="s">
        <v>2828</v>
      </c>
      <c r="AV6" s="2802" t="s">
        <v>3654</v>
      </c>
      <c r="AW6" s="2802"/>
      <c r="AX6" s="2802"/>
      <c r="AY6" s="2802"/>
      <c r="AZ6" s="2836" t="s">
        <v>2112</v>
      </c>
    </row>
    <row r="7" spans="2:52" s="197" customFormat="1" ht="47" thickBot="1">
      <c r="B7" s="2831"/>
      <c r="C7" s="2794"/>
      <c r="D7" s="2668"/>
      <c r="E7" s="2668"/>
      <c r="F7" s="2794"/>
      <c r="G7" s="759" t="s">
        <v>5703</v>
      </c>
      <c r="H7" s="759" t="s">
        <v>5704</v>
      </c>
      <c r="I7" s="759" t="s">
        <v>5705</v>
      </c>
      <c r="J7" s="759" t="s">
        <v>5706</v>
      </c>
      <c r="K7" s="2835"/>
      <c r="L7" s="2794"/>
      <c r="M7" s="759" t="s">
        <v>5703</v>
      </c>
      <c r="N7" s="759" t="s">
        <v>5704</v>
      </c>
      <c r="O7" s="759" t="s">
        <v>5705</v>
      </c>
      <c r="P7" s="759" t="s">
        <v>5706</v>
      </c>
      <c r="Q7" s="2792"/>
      <c r="R7" s="954"/>
      <c r="S7" s="2841"/>
      <c r="U7" s="2765"/>
      <c r="V7" s="249"/>
      <c r="W7" s="1056"/>
      <c r="X7" s="251"/>
      <c r="Y7" s="1056"/>
      <c r="Z7" s="106" t="s">
        <v>1898</v>
      </c>
      <c r="AA7" s="106"/>
      <c r="AB7" s="106"/>
      <c r="AC7" s="106"/>
      <c r="AD7" s="106"/>
      <c r="AE7" s="106"/>
      <c r="AF7" s="106"/>
      <c r="AG7" s="106"/>
      <c r="AH7" s="106"/>
      <c r="AI7" s="106"/>
      <c r="AJ7" s="106"/>
      <c r="AK7" s="1056"/>
      <c r="AM7" s="2831"/>
      <c r="AN7" s="2794"/>
      <c r="AO7" s="2794"/>
      <c r="AP7" s="759" t="s">
        <v>5703</v>
      </c>
      <c r="AQ7" s="759" t="s">
        <v>5704</v>
      </c>
      <c r="AR7" s="759" t="s">
        <v>5705</v>
      </c>
      <c r="AS7" s="759" t="s">
        <v>5706</v>
      </c>
      <c r="AT7" s="2835"/>
      <c r="AU7" s="2794"/>
      <c r="AV7" s="759" t="s">
        <v>5703</v>
      </c>
      <c r="AW7" s="759" t="s">
        <v>5704</v>
      </c>
      <c r="AX7" s="759" t="s">
        <v>5705</v>
      </c>
      <c r="AY7" s="759" t="s">
        <v>5706</v>
      </c>
      <c r="AZ7" s="2792"/>
    </row>
    <row r="8" spans="2:52" s="197" customFormat="1" ht="15.75" customHeight="1" thickTop="1" thickBot="1">
      <c r="B8" s="955"/>
      <c r="C8" s="893"/>
      <c r="D8" s="893"/>
      <c r="E8" s="893"/>
      <c r="F8" s="893"/>
      <c r="G8" s="893"/>
      <c r="H8" s="893"/>
      <c r="I8" s="893"/>
      <c r="J8" s="893"/>
      <c r="K8" s="893"/>
      <c r="L8" s="893"/>
      <c r="M8" s="893"/>
      <c r="N8" s="893"/>
      <c r="O8" s="893"/>
      <c r="P8" s="893"/>
      <c r="Q8" s="893"/>
      <c r="R8" s="954"/>
      <c r="S8" s="893"/>
      <c r="V8" s="249"/>
      <c r="W8" s="2576"/>
      <c r="X8" s="251"/>
      <c r="Y8" s="2576"/>
      <c r="Z8" s="2562"/>
      <c r="AA8" s="2562"/>
      <c r="AB8" s="2562"/>
      <c r="AC8" s="2562"/>
      <c r="AD8" s="2562"/>
      <c r="AE8" s="2562"/>
      <c r="AF8" s="2562"/>
      <c r="AG8" s="2562"/>
      <c r="AH8" s="2562"/>
      <c r="AI8" s="2562"/>
      <c r="AJ8" s="2562"/>
      <c r="AK8" s="2576"/>
      <c r="AM8" s="955"/>
      <c r="AN8" s="893"/>
      <c r="AO8" s="893"/>
      <c r="AP8" s="893"/>
      <c r="AQ8" s="893"/>
      <c r="AR8" s="893"/>
      <c r="AS8" s="893"/>
      <c r="AT8" s="893"/>
      <c r="AU8" s="893"/>
      <c r="AV8" s="893"/>
      <c r="AW8" s="893"/>
      <c r="AX8" s="893"/>
      <c r="AY8" s="893"/>
      <c r="AZ8" s="893"/>
    </row>
    <row r="9" spans="2:52" s="197" customFormat="1" ht="15.75" customHeight="1" thickTop="1" thickBot="1">
      <c r="B9" s="956" t="s">
        <v>9518</v>
      </c>
      <c r="C9" s="893"/>
      <c r="D9" s="893"/>
      <c r="E9" s="893"/>
      <c r="F9" s="893"/>
      <c r="G9" s="893"/>
      <c r="H9" s="893"/>
      <c r="I9" s="893"/>
      <c r="J9" s="893"/>
      <c r="K9" s="893"/>
      <c r="L9" s="893"/>
      <c r="M9" s="893"/>
      <c r="N9" s="893"/>
      <c r="O9" s="893"/>
      <c r="P9" s="893"/>
      <c r="Q9" s="893"/>
      <c r="R9" s="954"/>
      <c r="S9" s="893"/>
      <c r="V9" s="249"/>
      <c r="W9" s="2576"/>
      <c r="X9" s="251"/>
      <c r="Y9" s="2576"/>
      <c r="Z9" s="2562"/>
      <c r="AA9" s="2562"/>
      <c r="AB9" s="2562"/>
      <c r="AC9" s="2562"/>
      <c r="AD9" s="2562"/>
      <c r="AE9" s="2562"/>
      <c r="AF9" s="2562"/>
      <c r="AG9" s="2562"/>
      <c r="AH9" s="2562"/>
      <c r="AI9" s="2562"/>
      <c r="AJ9" s="2562"/>
      <c r="AK9" s="2576"/>
      <c r="AM9" s="956" t="s">
        <v>9518</v>
      </c>
      <c r="AN9" s="893"/>
      <c r="AO9" s="893"/>
      <c r="AP9" s="893"/>
      <c r="AQ9" s="893"/>
      <c r="AR9" s="893"/>
      <c r="AS9" s="893"/>
      <c r="AT9" s="893"/>
      <c r="AU9" s="893"/>
      <c r="AV9" s="893"/>
      <c r="AW9" s="893"/>
      <c r="AX9" s="893"/>
      <c r="AY9" s="893"/>
      <c r="AZ9" s="893"/>
    </row>
    <row r="10" spans="2:52" s="197" customFormat="1" ht="15.75" customHeight="1" thickTop="1">
      <c r="B10" s="413" t="s">
        <v>9519</v>
      </c>
      <c r="C10" s="958" t="s">
        <v>1692</v>
      </c>
      <c r="D10" s="244" t="s">
        <v>137</v>
      </c>
      <c r="E10" s="244">
        <v>3</v>
      </c>
      <c r="F10" s="598">
        <v>0</v>
      </c>
      <c r="G10" s="598">
        <v>0</v>
      </c>
      <c r="H10" s="598">
        <v>0</v>
      </c>
      <c r="I10" s="598">
        <v>0</v>
      </c>
      <c r="J10" s="598">
        <v>0</v>
      </c>
      <c r="K10" s="1479">
        <f>IFERROR(SUM(F10:J10),0)</f>
        <v>0</v>
      </c>
      <c r="L10" s="1578">
        <v>0</v>
      </c>
      <c r="M10" s="1578">
        <v>0</v>
      </c>
      <c r="N10" s="1578">
        <v>0</v>
      </c>
      <c r="O10" s="1578">
        <v>0</v>
      </c>
      <c r="P10" s="1578">
        <v>0</v>
      </c>
      <c r="Q10" s="1579">
        <f>IFERROR(SUM(L10:P10),0)</f>
        <v>0</v>
      </c>
      <c r="R10" s="222"/>
      <c r="S10" s="961" t="s">
        <v>9520</v>
      </c>
      <c r="U10" s="250"/>
      <c r="V10" s="249"/>
      <c r="W10" s="2576"/>
      <c r="X10" s="251">
        <f>IF( SUM( Z10:AJ10 ) = 0, 0, $Z$7 )</f>
        <v>0</v>
      </c>
      <c r="Y10" s="2576"/>
      <c r="Z10" s="2599">
        <f xml:space="preserve"> IF( ISNUMBER(F10), 0, 1 )</f>
        <v>0</v>
      </c>
      <c r="AA10" s="2599">
        <f t="shared" ref="AA10:AA11" si="0" xml:space="preserve"> IF( ISNUMBER(G10), 0, 1 )</f>
        <v>0</v>
      </c>
      <c r="AB10" s="2599">
        <f t="shared" ref="AB10:AB11" si="1" xml:space="preserve"> IF( ISNUMBER(H10), 0, 1 )</f>
        <v>0</v>
      </c>
      <c r="AC10" s="2599">
        <f t="shared" ref="AC10:AC11" si="2" xml:space="preserve"> IF( ISNUMBER(I10), 0, 1 )</f>
        <v>0</v>
      </c>
      <c r="AD10" s="2599">
        <f t="shared" ref="AD10:AD11" si="3" xml:space="preserve"> IF( ISNUMBER(J10), 0, 1 )</f>
        <v>0</v>
      </c>
      <c r="AE10" s="2562"/>
      <c r="AF10" s="2599">
        <f t="shared" ref="AF10:AF11" si="4" xml:space="preserve"> IF( ISNUMBER(L10), 0, 1 )</f>
        <v>0</v>
      </c>
      <c r="AG10" s="2599">
        <f t="shared" ref="AG10:AG11" si="5" xml:space="preserve"> IF( ISNUMBER(M10), 0, 1 )</f>
        <v>0</v>
      </c>
      <c r="AH10" s="2599">
        <f t="shared" ref="AH10:AH11" si="6" xml:space="preserve"> IF( ISNUMBER(N10), 0, 1 )</f>
        <v>0</v>
      </c>
      <c r="AI10" s="2599">
        <f t="shared" ref="AI10:AI11" si="7" xml:space="preserve"> IF( ISNUMBER(O10), 0, 1 )</f>
        <v>0</v>
      </c>
      <c r="AJ10" s="2599">
        <f t="shared" ref="AJ10:AJ11" si="8" xml:space="preserve"> IF( ISNUMBER(P10), 0, 1 )</f>
        <v>0</v>
      </c>
      <c r="AK10" s="2576"/>
      <c r="AM10" s="413" t="s">
        <v>9519</v>
      </c>
      <c r="AN10" s="958" t="s">
        <v>1692</v>
      </c>
      <c r="AO10" s="1089" t="s">
        <v>9521</v>
      </c>
      <c r="AP10" s="801" t="s">
        <v>9522</v>
      </c>
      <c r="AQ10" s="801" t="s">
        <v>9523</v>
      </c>
      <c r="AR10" s="801" t="s">
        <v>9524</v>
      </c>
      <c r="AS10" s="801" t="s">
        <v>9525</v>
      </c>
      <c r="AT10" s="579" t="s">
        <v>9526</v>
      </c>
      <c r="AU10" s="706" t="s">
        <v>9527</v>
      </c>
      <c r="AV10" s="706" t="s">
        <v>9528</v>
      </c>
      <c r="AW10" s="706" t="s">
        <v>9529</v>
      </c>
      <c r="AX10" s="706" t="s">
        <v>9530</v>
      </c>
      <c r="AY10" s="706" t="s">
        <v>9531</v>
      </c>
      <c r="AZ10" s="1059" t="s">
        <v>9532</v>
      </c>
    </row>
    <row r="11" spans="2:52" s="197" customFormat="1" ht="15.75" customHeight="1">
      <c r="B11" s="422" t="s">
        <v>9519</v>
      </c>
      <c r="C11" s="318" t="s">
        <v>1693</v>
      </c>
      <c r="D11" s="253" t="s">
        <v>137</v>
      </c>
      <c r="E11" s="253">
        <v>3</v>
      </c>
      <c r="F11" s="601"/>
      <c r="G11" s="601"/>
      <c r="H11" s="601"/>
      <c r="I11" s="601"/>
      <c r="J11" s="601"/>
      <c r="K11" s="1481">
        <f>IFERROR(SUM(F11:J11),0)</f>
        <v>0</v>
      </c>
      <c r="L11" s="690"/>
      <c r="M11" s="690"/>
      <c r="N11" s="690"/>
      <c r="O11" s="690"/>
      <c r="P11" s="690"/>
      <c r="Q11" s="1580">
        <f>IFERROR(SUM(L11:P11),0)</f>
        <v>0</v>
      </c>
      <c r="R11" s="222"/>
      <c r="S11" s="966" t="s">
        <v>9533</v>
      </c>
      <c r="U11" s="258"/>
      <c r="V11" s="249"/>
      <c r="W11" s="2576"/>
      <c r="X11" s="251" t="str">
        <f>IF( SUM( Z11:AJ11 ) = 0, 0, $Z$7 )</f>
        <v>Please complete all cells in row</v>
      </c>
      <c r="Y11" s="2576"/>
      <c r="Z11" s="2599">
        <f t="shared" ref="Z11" si="9" xml:space="preserve"> IF( ISNUMBER(F11), 0, 1 )</f>
        <v>1</v>
      </c>
      <c r="AA11" s="2599">
        <f t="shared" si="0"/>
        <v>1</v>
      </c>
      <c r="AB11" s="2599">
        <f t="shared" si="1"/>
        <v>1</v>
      </c>
      <c r="AC11" s="2599">
        <f t="shared" si="2"/>
        <v>1</v>
      </c>
      <c r="AD11" s="2599">
        <f t="shared" si="3"/>
        <v>1</v>
      </c>
      <c r="AE11" s="2562"/>
      <c r="AF11" s="2599">
        <f t="shared" si="4"/>
        <v>1</v>
      </c>
      <c r="AG11" s="2599">
        <f t="shared" si="5"/>
        <v>1</v>
      </c>
      <c r="AH11" s="2599">
        <f t="shared" si="6"/>
        <v>1</v>
      </c>
      <c r="AI11" s="2599">
        <f t="shared" si="7"/>
        <v>1</v>
      </c>
      <c r="AJ11" s="2599">
        <f t="shared" si="8"/>
        <v>1</v>
      </c>
      <c r="AK11" s="2576"/>
      <c r="AM11" s="422" t="s">
        <v>9519</v>
      </c>
      <c r="AN11" s="318" t="s">
        <v>1693</v>
      </c>
      <c r="AO11" s="802" t="s">
        <v>9534</v>
      </c>
      <c r="AP11" s="802" t="s">
        <v>9535</v>
      </c>
      <c r="AQ11" s="802" t="s">
        <v>9536</v>
      </c>
      <c r="AR11" s="802" t="s">
        <v>9537</v>
      </c>
      <c r="AS11" s="802" t="s">
        <v>9538</v>
      </c>
      <c r="AT11" s="581" t="s">
        <v>9539</v>
      </c>
      <c r="AU11" s="696" t="s">
        <v>9540</v>
      </c>
      <c r="AV11" s="696" t="s">
        <v>9541</v>
      </c>
      <c r="AW11" s="696" t="s">
        <v>9542</v>
      </c>
      <c r="AX11" s="696" t="s">
        <v>9543</v>
      </c>
      <c r="AY11" s="696" t="s">
        <v>9544</v>
      </c>
      <c r="AZ11" s="695" t="s">
        <v>9545</v>
      </c>
    </row>
    <row r="12" spans="2:52" s="197" customFormat="1" ht="15.75" customHeight="1">
      <c r="B12" s="422" t="s">
        <v>9519</v>
      </c>
      <c r="C12" s="318" t="s">
        <v>1694</v>
      </c>
      <c r="D12" s="253" t="s">
        <v>137</v>
      </c>
      <c r="E12" s="253">
        <v>3</v>
      </c>
      <c r="F12" s="1481">
        <f>IFERROR(F10+F11,0)</f>
        <v>0</v>
      </c>
      <c r="G12" s="1481">
        <f t="shared" ref="G12:K12" si="10">IFERROR(G10+G11,0)</f>
        <v>0</v>
      </c>
      <c r="H12" s="1481">
        <f t="shared" si="10"/>
        <v>0</v>
      </c>
      <c r="I12" s="1481">
        <f t="shared" si="10"/>
        <v>0</v>
      </c>
      <c r="J12" s="1481">
        <f t="shared" si="10"/>
        <v>0</v>
      </c>
      <c r="K12" s="1481">
        <f t="shared" si="10"/>
        <v>0</v>
      </c>
      <c r="L12" s="1481">
        <f>IFERROR(L10+L11,0)</f>
        <v>0</v>
      </c>
      <c r="M12" s="1481">
        <f t="shared" ref="M12" si="11">IFERROR(M10+M11,0)</f>
        <v>0</v>
      </c>
      <c r="N12" s="1481">
        <f t="shared" ref="N12" si="12">IFERROR(N10+N11,0)</f>
        <v>0</v>
      </c>
      <c r="O12" s="1481">
        <f t="shared" ref="O12" si="13">IFERROR(O10+O11,0)</f>
        <v>0</v>
      </c>
      <c r="P12" s="1481">
        <f t="shared" ref="P12" si="14">IFERROR(P10+P11,0)</f>
        <v>0</v>
      </c>
      <c r="Q12" s="1580">
        <f t="shared" ref="Q12" si="15">IFERROR(Q10+Q11,0)</f>
        <v>0</v>
      </c>
      <c r="R12" s="222"/>
      <c r="S12" s="966" t="s">
        <v>9546</v>
      </c>
      <c r="U12" s="258"/>
      <c r="V12" s="249"/>
      <c r="W12" s="2576"/>
      <c r="X12" s="2562"/>
      <c r="Y12" s="2576"/>
      <c r="Z12" s="2562"/>
      <c r="AA12" s="2562"/>
      <c r="AB12" s="2562"/>
      <c r="AC12" s="2562"/>
      <c r="AD12" s="2562"/>
      <c r="AE12" s="2562"/>
      <c r="AF12" s="2562"/>
      <c r="AG12" s="2562"/>
      <c r="AH12" s="2562"/>
      <c r="AI12" s="2562"/>
      <c r="AJ12" s="2562"/>
      <c r="AK12" s="2576"/>
      <c r="AM12" s="422" t="s">
        <v>9519</v>
      </c>
      <c r="AN12" s="318" t="s">
        <v>1694</v>
      </c>
      <c r="AO12" s="581" t="s">
        <v>9547</v>
      </c>
      <c r="AP12" s="581" t="s">
        <v>9548</v>
      </c>
      <c r="AQ12" s="581" t="s">
        <v>9549</v>
      </c>
      <c r="AR12" s="581" t="s">
        <v>9550</v>
      </c>
      <c r="AS12" s="581" t="s">
        <v>9551</v>
      </c>
      <c r="AT12" s="581" t="s">
        <v>9552</v>
      </c>
      <c r="AU12" s="581" t="s">
        <v>9553</v>
      </c>
      <c r="AV12" s="581" t="s">
        <v>9554</v>
      </c>
      <c r="AW12" s="581" t="s">
        <v>9555</v>
      </c>
      <c r="AX12" s="581" t="s">
        <v>9556</v>
      </c>
      <c r="AY12" s="581" t="s">
        <v>9557</v>
      </c>
      <c r="AZ12" s="695" t="s">
        <v>9558</v>
      </c>
    </row>
    <row r="13" spans="2:52" s="197" customFormat="1" ht="15.75" customHeight="1">
      <c r="B13" s="422" t="s">
        <v>9559</v>
      </c>
      <c r="C13" s="318" t="s">
        <v>1692</v>
      </c>
      <c r="D13" s="253" t="s">
        <v>137</v>
      </c>
      <c r="E13" s="253">
        <v>3</v>
      </c>
      <c r="F13" s="601">
        <v>0</v>
      </c>
      <c r="G13" s="601">
        <v>0</v>
      </c>
      <c r="H13" s="601">
        <v>0</v>
      </c>
      <c r="I13" s="601">
        <v>0</v>
      </c>
      <c r="J13" s="601">
        <v>0</v>
      </c>
      <c r="K13" s="1481">
        <f>IFERROR(SUM(F13:J13),0)</f>
        <v>0</v>
      </c>
      <c r="L13" s="690">
        <v>0</v>
      </c>
      <c r="M13" s="690">
        <v>0</v>
      </c>
      <c r="N13" s="690">
        <v>0</v>
      </c>
      <c r="O13" s="690">
        <v>0</v>
      </c>
      <c r="P13" s="690">
        <v>0</v>
      </c>
      <c r="Q13" s="1580">
        <f>IFERROR(SUM(L13:P13),0)</f>
        <v>0</v>
      </c>
      <c r="R13" s="222"/>
      <c r="S13" s="966" t="s">
        <v>9560</v>
      </c>
      <c r="U13" s="258"/>
      <c r="V13" s="249"/>
      <c r="W13" s="2576"/>
      <c r="X13" s="251">
        <f t="shared" ref="X13:X14" si="16">IF( SUM( Z13:AJ13 ) = 0, 0, $Z$7 )</f>
        <v>0</v>
      </c>
      <c r="Y13" s="2576"/>
      <c r="Z13" s="2599">
        <f t="shared" ref="Z13:Z14" si="17" xml:space="preserve"> IF( ISNUMBER(F13), 0, 1 )</f>
        <v>0</v>
      </c>
      <c r="AA13" s="2599">
        <f t="shared" ref="AA13:AA14" si="18" xml:space="preserve"> IF( ISNUMBER(G13), 0, 1 )</f>
        <v>0</v>
      </c>
      <c r="AB13" s="2599">
        <f t="shared" ref="AB13:AB14" si="19" xml:space="preserve"> IF( ISNUMBER(H13), 0, 1 )</f>
        <v>0</v>
      </c>
      <c r="AC13" s="2599">
        <f t="shared" ref="AC13:AC14" si="20" xml:space="preserve"> IF( ISNUMBER(I13), 0, 1 )</f>
        <v>0</v>
      </c>
      <c r="AD13" s="2599">
        <f t="shared" ref="AD13:AD14" si="21" xml:space="preserve"> IF( ISNUMBER(J13), 0, 1 )</f>
        <v>0</v>
      </c>
      <c r="AE13" s="2562"/>
      <c r="AF13" s="2599">
        <f t="shared" ref="AF13:AF14" si="22" xml:space="preserve"> IF( ISNUMBER(L13), 0, 1 )</f>
        <v>0</v>
      </c>
      <c r="AG13" s="2599">
        <f t="shared" ref="AG13:AG14" si="23" xml:space="preserve"> IF( ISNUMBER(M13), 0, 1 )</f>
        <v>0</v>
      </c>
      <c r="AH13" s="2599">
        <f t="shared" ref="AH13:AH14" si="24" xml:space="preserve"> IF( ISNUMBER(N13), 0, 1 )</f>
        <v>0</v>
      </c>
      <c r="AI13" s="2599">
        <f t="shared" ref="AI13:AI14" si="25" xml:space="preserve"> IF( ISNUMBER(O13), 0, 1 )</f>
        <v>0</v>
      </c>
      <c r="AJ13" s="2599">
        <f t="shared" ref="AJ13:AJ14" si="26" xml:space="preserve"> IF( ISNUMBER(P13), 0, 1 )</f>
        <v>0</v>
      </c>
      <c r="AK13" s="2576"/>
      <c r="AM13" s="422" t="s">
        <v>9559</v>
      </c>
      <c r="AN13" s="318" t="s">
        <v>1692</v>
      </c>
      <c r="AO13" s="802" t="s">
        <v>9561</v>
      </c>
      <c r="AP13" s="802" t="s">
        <v>9562</v>
      </c>
      <c r="AQ13" s="802" t="s">
        <v>9563</v>
      </c>
      <c r="AR13" s="802" t="s">
        <v>9564</v>
      </c>
      <c r="AS13" s="802" t="s">
        <v>9565</v>
      </c>
      <c r="AT13" s="581" t="s">
        <v>9566</v>
      </c>
      <c r="AU13" s="696" t="s">
        <v>9567</v>
      </c>
      <c r="AV13" s="696" t="s">
        <v>9568</v>
      </c>
      <c r="AW13" s="696" t="s">
        <v>9569</v>
      </c>
      <c r="AX13" s="696" t="s">
        <v>9570</v>
      </c>
      <c r="AY13" s="696" t="s">
        <v>9571</v>
      </c>
      <c r="AZ13" s="695" t="s">
        <v>9572</v>
      </c>
    </row>
    <row r="14" spans="2:52" s="197" customFormat="1" ht="15.75" customHeight="1">
      <c r="B14" s="422" t="s">
        <v>9559</v>
      </c>
      <c r="C14" s="318" t="s">
        <v>1693</v>
      </c>
      <c r="D14" s="253" t="s">
        <v>137</v>
      </c>
      <c r="E14" s="253">
        <v>3</v>
      </c>
      <c r="F14" s="601"/>
      <c r="G14" s="601"/>
      <c r="H14" s="601"/>
      <c r="I14" s="601"/>
      <c r="J14" s="601"/>
      <c r="K14" s="1481">
        <f>IFERROR(SUM(F14:J14),0)</f>
        <v>0</v>
      </c>
      <c r="L14" s="690"/>
      <c r="M14" s="690"/>
      <c r="N14" s="690"/>
      <c r="O14" s="690"/>
      <c r="P14" s="690"/>
      <c r="Q14" s="1580">
        <f>IFERROR(SUM(L14:P14),0)</f>
        <v>0</v>
      </c>
      <c r="R14" s="222"/>
      <c r="S14" s="966" t="s">
        <v>9573</v>
      </c>
      <c r="U14" s="258"/>
      <c r="V14" s="249"/>
      <c r="W14" s="1056"/>
      <c r="X14" s="251" t="str">
        <f t="shared" si="16"/>
        <v>Please complete all cells in row</v>
      </c>
      <c r="Y14" s="1056"/>
      <c r="Z14" s="2599">
        <f t="shared" si="17"/>
        <v>1</v>
      </c>
      <c r="AA14" s="2599">
        <f t="shared" si="18"/>
        <v>1</v>
      </c>
      <c r="AB14" s="2599">
        <f t="shared" si="19"/>
        <v>1</v>
      </c>
      <c r="AC14" s="2599">
        <f t="shared" si="20"/>
        <v>1</v>
      </c>
      <c r="AD14" s="2599">
        <f t="shared" si="21"/>
        <v>1</v>
      </c>
      <c r="AE14" s="2562"/>
      <c r="AF14" s="2599">
        <f t="shared" si="22"/>
        <v>1</v>
      </c>
      <c r="AG14" s="2599">
        <f t="shared" si="23"/>
        <v>1</v>
      </c>
      <c r="AH14" s="2599">
        <f t="shared" si="24"/>
        <v>1</v>
      </c>
      <c r="AI14" s="2599">
        <f t="shared" si="25"/>
        <v>1</v>
      </c>
      <c r="AJ14" s="2599">
        <f t="shared" si="26"/>
        <v>1</v>
      </c>
      <c r="AK14" s="1056"/>
      <c r="AM14" s="422" t="s">
        <v>9559</v>
      </c>
      <c r="AN14" s="318" t="s">
        <v>1693</v>
      </c>
      <c r="AO14" s="802" t="s">
        <v>9574</v>
      </c>
      <c r="AP14" s="802" t="s">
        <v>9575</v>
      </c>
      <c r="AQ14" s="802" t="s">
        <v>9576</v>
      </c>
      <c r="AR14" s="802" t="s">
        <v>9577</v>
      </c>
      <c r="AS14" s="802" t="s">
        <v>9578</v>
      </c>
      <c r="AT14" s="581" t="s">
        <v>9579</v>
      </c>
      <c r="AU14" s="696" t="s">
        <v>9580</v>
      </c>
      <c r="AV14" s="696" t="s">
        <v>9581</v>
      </c>
      <c r="AW14" s="696" t="s">
        <v>9582</v>
      </c>
      <c r="AX14" s="696" t="s">
        <v>9583</v>
      </c>
      <c r="AY14" s="696" t="s">
        <v>9584</v>
      </c>
      <c r="AZ14" s="695" t="s">
        <v>9585</v>
      </c>
    </row>
    <row r="15" spans="2:52" s="197" customFormat="1" ht="15.75" customHeight="1">
      <c r="B15" s="422" t="s">
        <v>9559</v>
      </c>
      <c r="C15" s="318" t="s">
        <v>1694</v>
      </c>
      <c r="D15" s="253" t="s">
        <v>137</v>
      </c>
      <c r="E15" s="253">
        <v>3</v>
      </c>
      <c r="F15" s="1481">
        <f>IFERROR(F13+F14,0)</f>
        <v>0</v>
      </c>
      <c r="G15" s="1481">
        <f t="shared" ref="G15:K15" si="27">IFERROR(G13+G14,0)</f>
        <v>0</v>
      </c>
      <c r="H15" s="1481">
        <f t="shared" si="27"/>
        <v>0</v>
      </c>
      <c r="I15" s="1481">
        <f t="shared" si="27"/>
        <v>0</v>
      </c>
      <c r="J15" s="1481">
        <f t="shared" si="27"/>
        <v>0</v>
      </c>
      <c r="K15" s="1481">
        <f t="shared" si="27"/>
        <v>0</v>
      </c>
      <c r="L15" s="1481">
        <f>IFERROR(L13+L14,0)</f>
        <v>0</v>
      </c>
      <c r="M15" s="1481">
        <f t="shared" ref="M15" si="28">IFERROR(M13+M14,0)</f>
        <v>0</v>
      </c>
      <c r="N15" s="1481">
        <f t="shared" ref="N15" si="29">IFERROR(N13+N14,0)</f>
        <v>0</v>
      </c>
      <c r="O15" s="1481">
        <f t="shared" ref="O15" si="30">IFERROR(O13+O14,0)</f>
        <v>0</v>
      </c>
      <c r="P15" s="1481">
        <f t="shared" ref="P15" si="31">IFERROR(P13+P14,0)</f>
        <v>0</v>
      </c>
      <c r="Q15" s="1580">
        <f t="shared" ref="Q15" si="32">IFERROR(Q13+Q14,0)</f>
        <v>0</v>
      </c>
      <c r="R15" s="222"/>
      <c r="S15" s="966" t="s">
        <v>9586</v>
      </c>
      <c r="U15" s="258"/>
      <c r="V15" s="249"/>
      <c r="W15" s="1056"/>
      <c r="X15" s="2562"/>
      <c r="Y15" s="1056"/>
      <c r="Z15" s="2562"/>
      <c r="AA15" s="2562"/>
      <c r="AB15" s="2562"/>
      <c r="AC15" s="2562"/>
      <c r="AD15" s="2562"/>
      <c r="AE15" s="2562"/>
      <c r="AF15" s="2562"/>
      <c r="AG15" s="2562"/>
      <c r="AH15" s="2562"/>
      <c r="AI15" s="2562"/>
      <c r="AJ15" s="2562"/>
      <c r="AK15" s="1056"/>
      <c r="AM15" s="422" t="s">
        <v>9559</v>
      </c>
      <c r="AN15" s="318" t="s">
        <v>1694</v>
      </c>
      <c r="AO15" s="581" t="s">
        <v>9587</v>
      </c>
      <c r="AP15" s="581" t="s">
        <v>9588</v>
      </c>
      <c r="AQ15" s="581" t="s">
        <v>9589</v>
      </c>
      <c r="AR15" s="581" t="s">
        <v>9590</v>
      </c>
      <c r="AS15" s="581" t="s">
        <v>9591</v>
      </c>
      <c r="AT15" s="581" t="s">
        <v>9592</v>
      </c>
      <c r="AU15" s="581" t="s">
        <v>9593</v>
      </c>
      <c r="AV15" s="581" t="s">
        <v>9594</v>
      </c>
      <c r="AW15" s="581" t="s">
        <v>9595</v>
      </c>
      <c r="AX15" s="581" t="s">
        <v>9596</v>
      </c>
      <c r="AY15" s="581" t="s">
        <v>9597</v>
      </c>
      <c r="AZ15" s="695" t="s">
        <v>9598</v>
      </c>
    </row>
    <row r="16" spans="2:52" s="197" customFormat="1" ht="15.75" customHeight="1">
      <c r="B16" s="422" t="s">
        <v>9599</v>
      </c>
      <c r="C16" s="318" t="s">
        <v>1692</v>
      </c>
      <c r="D16" s="253" t="s">
        <v>137</v>
      </c>
      <c r="E16" s="253">
        <v>3</v>
      </c>
      <c r="F16" s="601">
        <v>0</v>
      </c>
      <c r="G16" s="601">
        <v>0</v>
      </c>
      <c r="H16" s="601">
        <v>0</v>
      </c>
      <c r="I16" s="601">
        <v>0</v>
      </c>
      <c r="J16" s="601">
        <v>0</v>
      </c>
      <c r="K16" s="1481">
        <f>IFERROR(SUM(F16:J16),0)</f>
        <v>0</v>
      </c>
      <c r="L16" s="690">
        <v>0</v>
      </c>
      <c r="M16" s="690">
        <v>0</v>
      </c>
      <c r="N16" s="690">
        <v>0</v>
      </c>
      <c r="O16" s="690">
        <v>0</v>
      </c>
      <c r="P16" s="690">
        <v>0</v>
      </c>
      <c r="Q16" s="1580">
        <f>IFERROR(SUM(L16:P16),0)</f>
        <v>0</v>
      </c>
      <c r="R16" s="222"/>
      <c r="S16" s="966" t="s">
        <v>9600</v>
      </c>
      <c r="U16" s="258"/>
      <c r="V16" s="249"/>
      <c r="W16" s="1056"/>
      <c r="X16" s="251">
        <f t="shared" ref="X16:X17" si="33">IF( SUM( Z16:AJ16 ) = 0, 0, $Z$7 )</f>
        <v>0</v>
      </c>
      <c r="Y16" s="1056"/>
      <c r="Z16" s="2599">
        <f t="shared" ref="Z16:Z17" si="34" xml:space="preserve"> IF( ISNUMBER(F16), 0, 1 )</f>
        <v>0</v>
      </c>
      <c r="AA16" s="2599">
        <f t="shared" ref="AA16:AA17" si="35" xml:space="preserve"> IF( ISNUMBER(G16), 0, 1 )</f>
        <v>0</v>
      </c>
      <c r="AB16" s="2599">
        <f t="shared" ref="AB16:AB17" si="36" xml:space="preserve"> IF( ISNUMBER(H16), 0, 1 )</f>
        <v>0</v>
      </c>
      <c r="AC16" s="2599">
        <f t="shared" ref="AC16:AC17" si="37" xml:space="preserve"> IF( ISNUMBER(I16), 0, 1 )</f>
        <v>0</v>
      </c>
      <c r="AD16" s="2599">
        <f t="shared" ref="AD16:AD17" si="38" xml:space="preserve"> IF( ISNUMBER(J16), 0, 1 )</f>
        <v>0</v>
      </c>
      <c r="AE16" s="2562"/>
      <c r="AF16" s="2599">
        <f t="shared" ref="AF16:AF17" si="39" xml:space="preserve"> IF( ISNUMBER(L16), 0, 1 )</f>
        <v>0</v>
      </c>
      <c r="AG16" s="2599">
        <f t="shared" ref="AG16:AG17" si="40" xml:space="preserve"> IF( ISNUMBER(M16), 0, 1 )</f>
        <v>0</v>
      </c>
      <c r="AH16" s="2599">
        <f t="shared" ref="AH16:AH17" si="41" xml:space="preserve"> IF( ISNUMBER(N16), 0, 1 )</f>
        <v>0</v>
      </c>
      <c r="AI16" s="2599">
        <f t="shared" ref="AI16:AI17" si="42" xml:space="preserve"> IF( ISNUMBER(O16), 0, 1 )</f>
        <v>0</v>
      </c>
      <c r="AJ16" s="2599">
        <f t="shared" ref="AJ16:AJ17" si="43" xml:space="preserve"> IF( ISNUMBER(P16), 0, 1 )</f>
        <v>0</v>
      </c>
      <c r="AK16" s="1056"/>
      <c r="AM16" s="422" t="s">
        <v>9599</v>
      </c>
      <c r="AN16" s="318" t="s">
        <v>1692</v>
      </c>
      <c r="AO16" s="802" t="s">
        <v>9601</v>
      </c>
      <c r="AP16" s="802" t="s">
        <v>9602</v>
      </c>
      <c r="AQ16" s="802" t="s">
        <v>9603</v>
      </c>
      <c r="AR16" s="802" t="s">
        <v>9604</v>
      </c>
      <c r="AS16" s="802" t="s">
        <v>9605</v>
      </c>
      <c r="AT16" s="581" t="s">
        <v>9606</v>
      </c>
      <c r="AU16" s="696" t="s">
        <v>9607</v>
      </c>
      <c r="AV16" s="696" t="s">
        <v>9608</v>
      </c>
      <c r="AW16" s="696" t="s">
        <v>9609</v>
      </c>
      <c r="AX16" s="696" t="s">
        <v>9610</v>
      </c>
      <c r="AY16" s="696" t="s">
        <v>9611</v>
      </c>
      <c r="AZ16" s="695" t="s">
        <v>9612</v>
      </c>
    </row>
    <row r="17" spans="2:52" ht="15.75" customHeight="1">
      <c r="B17" s="422" t="s">
        <v>9599</v>
      </c>
      <c r="C17" s="318" t="s">
        <v>1693</v>
      </c>
      <c r="D17" s="253" t="s">
        <v>137</v>
      </c>
      <c r="E17" s="253">
        <v>3</v>
      </c>
      <c r="F17" s="601"/>
      <c r="G17" s="601"/>
      <c r="H17" s="601"/>
      <c r="I17" s="601"/>
      <c r="J17" s="601"/>
      <c r="K17" s="1481">
        <f>IFERROR(SUM(F17:J17),0)</f>
        <v>0</v>
      </c>
      <c r="L17" s="690"/>
      <c r="M17" s="690"/>
      <c r="N17" s="690"/>
      <c r="O17" s="690"/>
      <c r="P17" s="690"/>
      <c r="Q17" s="1580">
        <f>IFERROR(SUM(L17:P17),0)</f>
        <v>0</v>
      </c>
      <c r="R17" s="222"/>
      <c r="S17" s="966" t="s">
        <v>9613</v>
      </c>
      <c r="T17" s="197"/>
      <c r="U17" s="258"/>
      <c r="V17" s="249"/>
      <c r="W17" s="1058"/>
      <c r="X17" s="251" t="str">
        <f t="shared" si="33"/>
        <v>Please complete all cells in row</v>
      </c>
      <c r="Y17" s="1058"/>
      <c r="Z17" s="2599">
        <f t="shared" si="34"/>
        <v>1</v>
      </c>
      <c r="AA17" s="2599">
        <f t="shared" si="35"/>
        <v>1</v>
      </c>
      <c r="AB17" s="2599">
        <f t="shared" si="36"/>
        <v>1</v>
      </c>
      <c r="AC17" s="2599">
        <f t="shared" si="37"/>
        <v>1</v>
      </c>
      <c r="AD17" s="2599">
        <f t="shared" si="38"/>
        <v>1</v>
      </c>
      <c r="AE17" s="2562"/>
      <c r="AF17" s="2599">
        <f t="shared" si="39"/>
        <v>1</v>
      </c>
      <c r="AG17" s="2599">
        <f t="shared" si="40"/>
        <v>1</v>
      </c>
      <c r="AH17" s="2599">
        <f t="shared" si="41"/>
        <v>1</v>
      </c>
      <c r="AI17" s="2599">
        <f t="shared" si="42"/>
        <v>1</v>
      </c>
      <c r="AJ17" s="2599">
        <f t="shared" si="43"/>
        <v>1</v>
      </c>
      <c r="AK17" s="1058"/>
      <c r="AL17" s="2562"/>
      <c r="AM17" s="422" t="s">
        <v>9599</v>
      </c>
      <c r="AN17" s="318" t="s">
        <v>1693</v>
      </c>
      <c r="AO17" s="802" t="s">
        <v>9614</v>
      </c>
      <c r="AP17" s="802" t="s">
        <v>9615</v>
      </c>
      <c r="AQ17" s="802" t="s">
        <v>9616</v>
      </c>
      <c r="AR17" s="802" t="s">
        <v>9617</v>
      </c>
      <c r="AS17" s="802" t="s">
        <v>9618</v>
      </c>
      <c r="AT17" s="581" t="s">
        <v>9619</v>
      </c>
      <c r="AU17" s="696" t="s">
        <v>9620</v>
      </c>
      <c r="AV17" s="696" t="s">
        <v>9621</v>
      </c>
      <c r="AW17" s="696" t="s">
        <v>9622</v>
      </c>
      <c r="AX17" s="696" t="s">
        <v>9623</v>
      </c>
      <c r="AY17" s="696" t="s">
        <v>9624</v>
      </c>
      <c r="AZ17" s="695" t="s">
        <v>9625</v>
      </c>
    </row>
    <row r="18" spans="2:52" ht="15.75" customHeight="1">
      <c r="B18" s="422" t="s">
        <v>9599</v>
      </c>
      <c r="C18" s="318" t="s">
        <v>1694</v>
      </c>
      <c r="D18" s="253" t="s">
        <v>137</v>
      </c>
      <c r="E18" s="253">
        <v>3</v>
      </c>
      <c r="F18" s="1481">
        <f>IFERROR(F16+F17,0)</f>
        <v>0</v>
      </c>
      <c r="G18" s="1481">
        <f t="shared" ref="G18:K18" si="44">IFERROR(G16+G17,0)</f>
        <v>0</v>
      </c>
      <c r="H18" s="1481">
        <f t="shared" si="44"/>
        <v>0</v>
      </c>
      <c r="I18" s="1481">
        <f t="shared" si="44"/>
        <v>0</v>
      </c>
      <c r="J18" s="1481">
        <f t="shared" si="44"/>
        <v>0</v>
      </c>
      <c r="K18" s="1481">
        <f t="shared" si="44"/>
        <v>0</v>
      </c>
      <c r="L18" s="1481">
        <f>IFERROR(L16+L17,0)</f>
        <v>0</v>
      </c>
      <c r="M18" s="1481">
        <f t="shared" ref="M18" si="45">IFERROR(M16+M17,0)</f>
        <v>0</v>
      </c>
      <c r="N18" s="1481">
        <f t="shared" ref="N18" si="46">IFERROR(N16+N17,0)</f>
        <v>0</v>
      </c>
      <c r="O18" s="1481">
        <f t="shared" ref="O18" si="47">IFERROR(O16+O17,0)</f>
        <v>0</v>
      </c>
      <c r="P18" s="1481">
        <f t="shared" ref="P18" si="48">IFERROR(P16+P17,0)</f>
        <v>0</v>
      </c>
      <c r="Q18" s="1580">
        <f t="shared" ref="Q18" si="49">IFERROR(Q16+Q17,0)</f>
        <v>0</v>
      </c>
      <c r="R18" s="222"/>
      <c r="S18" s="966" t="s">
        <v>9626</v>
      </c>
      <c r="T18" s="197"/>
      <c r="U18" s="258"/>
      <c r="V18" s="398"/>
      <c r="W18" s="1058"/>
      <c r="X18" s="2562"/>
      <c r="Y18" s="1058"/>
      <c r="Z18" s="2562"/>
      <c r="AA18" s="2562"/>
      <c r="AB18" s="2562"/>
      <c r="AC18" s="2562"/>
      <c r="AD18" s="2562"/>
      <c r="AE18" s="2562"/>
      <c r="AF18" s="2562"/>
      <c r="AG18" s="2562"/>
      <c r="AH18" s="2562"/>
      <c r="AI18" s="2562"/>
      <c r="AJ18" s="2562"/>
      <c r="AK18" s="1058"/>
      <c r="AL18" s="2562"/>
      <c r="AM18" s="422" t="s">
        <v>9599</v>
      </c>
      <c r="AN18" s="318" t="s">
        <v>1694</v>
      </c>
      <c r="AO18" s="581" t="s">
        <v>9627</v>
      </c>
      <c r="AP18" s="581" t="s">
        <v>9628</v>
      </c>
      <c r="AQ18" s="581" t="s">
        <v>9629</v>
      </c>
      <c r="AR18" s="581" t="s">
        <v>9630</v>
      </c>
      <c r="AS18" s="581" t="s">
        <v>9631</v>
      </c>
      <c r="AT18" s="581" t="s">
        <v>9632</v>
      </c>
      <c r="AU18" s="581" t="s">
        <v>9633</v>
      </c>
      <c r="AV18" s="581" t="s">
        <v>9634</v>
      </c>
      <c r="AW18" s="581" t="s">
        <v>9635</v>
      </c>
      <c r="AX18" s="581" t="s">
        <v>9636</v>
      </c>
      <c r="AY18" s="581" t="s">
        <v>9637</v>
      </c>
      <c r="AZ18" s="695" t="s">
        <v>9638</v>
      </c>
    </row>
    <row r="19" spans="2:52" ht="15.75" customHeight="1">
      <c r="B19" s="422" t="s">
        <v>9639</v>
      </c>
      <c r="C19" s="318" t="s">
        <v>1692</v>
      </c>
      <c r="D19" s="253" t="s">
        <v>137</v>
      </c>
      <c r="E19" s="253">
        <v>3</v>
      </c>
      <c r="F19" s="601">
        <v>0</v>
      </c>
      <c r="G19" s="601">
        <v>0</v>
      </c>
      <c r="H19" s="601">
        <v>0</v>
      </c>
      <c r="I19" s="601">
        <v>0</v>
      </c>
      <c r="J19" s="601">
        <v>0</v>
      </c>
      <c r="K19" s="1481">
        <f>IFERROR(SUM(F19:J19),0)</f>
        <v>0</v>
      </c>
      <c r="L19" s="690">
        <v>0</v>
      </c>
      <c r="M19" s="690">
        <v>0</v>
      </c>
      <c r="N19" s="690">
        <v>0</v>
      </c>
      <c r="O19" s="690">
        <v>0</v>
      </c>
      <c r="P19" s="690">
        <v>0</v>
      </c>
      <c r="Q19" s="1580">
        <f>IFERROR(SUM(L19:P19),0)</f>
        <v>0</v>
      </c>
      <c r="R19" s="222"/>
      <c r="S19" s="966" t="s">
        <v>9640</v>
      </c>
      <c r="T19" s="197"/>
      <c r="U19" s="1090"/>
      <c r="V19" s="398"/>
      <c r="W19" s="1058"/>
      <c r="X19" s="251">
        <f t="shared" ref="X19:X20" si="50">IF( SUM( Z19:AJ19 ) = 0, 0, $Z$7 )</f>
        <v>0</v>
      </c>
      <c r="Y19" s="1058"/>
      <c r="Z19" s="2599">
        <f t="shared" ref="Z19:Z20" si="51" xml:space="preserve"> IF( ISNUMBER(F19), 0, 1 )</f>
        <v>0</v>
      </c>
      <c r="AA19" s="2599">
        <f t="shared" ref="AA19:AA20" si="52" xml:space="preserve"> IF( ISNUMBER(G19), 0, 1 )</f>
        <v>0</v>
      </c>
      <c r="AB19" s="2599">
        <f t="shared" ref="AB19:AB20" si="53" xml:space="preserve"> IF( ISNUMBER(H19), 0, 1 )</f>
        <v>0</v>
      </c>
      <c r="AC19" s="2599">
        <f t="shared" ref="AC19:AC20" si="54" xml:space="preserve"> IF( ISNUMBER(I19), 0, 1 )</f>
        <v>0</v>
      </c>
      <c r="AD19" s="2599">
        <f t="shared" ref="AD19:AD20" si="55" xml:space="preserve"> IF( ISNUMBER(J19), 0, 1 )</f>
        <v>0</v>
      </c>
      <c r="AE19" s="2562"/>
      <c r="AF19" s="2599">
        <f t="shared" ref="AF19:AF20" si="56" xml:space="preserve"> IF( ISNUMBER(L19), 0, 1 )</f>
        <v>0</v>
      </c>
      <c r="AG19" s="2599">
        <f t="shared" ref="AG19:AG20" si="57" xml:space="preserve"> IF( ISNUMBER(M19), 0, 1 )</f>
        <v>0</v>
      </c>
      <c r="AH19" s="2599">
        <f t="shared" ref="AH19:AH20" si="58" xml:space="preserve"> IF( ISNUMBER(N19), 0, 1 )</f>
        <v>0</v>
      </c>
      <c r="AI19" s="2599">
        <f t="shared" ref="AI19:AI20" si="59" xml:space="preserve"> IF( ISNUMBER(O19), 0, 1 )</f>
        <v>0</v>
      </c>
      <c r="AJ19" s="2599">
        <f t="shared" ref="AJ19:AJ20" si="60" xml:space="preserve"> IF( ISNUMBER(P19), 0, 1 )</f>
        <v>0</v>
      </c>
      <c r="AK19" s="1058"/>
      <c r="AL19" s="2562"/>
      <c r="AM19" s="422" t="s">
        <v>9639</v>
      </c>
      <c r="AN19" s="318" t="s">
        <v>1692</v>
      </c>
      <c r="AO19" s="802" t="s">
        <v>9641</v>
      </c>
      <c r="AP19" s="802" t="s">
        <v>9642</v>
      </c>
      <c r="AQ19" s="802" t="s">
        <v>9643</v>
      </c>
      <c r="AR19" s="802" t="s">
        <v>9644</v>
      </c>
      <c r="AS19" s="802" t="s">
        <v>9645</v>
      </c>
      <c r="AT19" s="581" t="s">
        <v>9646</v>
      </c>
      <c r="AU19" s="696" t="s">
        <v>9647</v>
      </c>
      <c r="AV19" s="696" t="s">
        <v>9648</v>
      </c>
      <c r="AW19" s="696" t="s">
        <v>9649</v>
      </c>
      <c r="AX19" s="696" t="s">
        <v>9650</v>
      </c>
      <c r="AY19" s="696" t="s">
        <v>9651</v>
      </c>
      <c r="AZ19" s="695" t="s">
        <v>9652</v>
      </c>
    </row>
    <row r="20" spans="2:52" ht="15.75" customHeight="1">
      <c r="B20" s="422" t="s">
        <v>9639</v>
      </c>
      <c r="C20" s="318" t="s">
        <v>1693</v>
      </c>
      <c r="D20" s="253" t="s">
        <v>137</v>
      </c>
      <c r="E20" s="253">
        <v>3</v>
      </c>
      <c r="F20" s="601"/>
      <c r="G20" s="601"/>
      <c r="H20" s="601"/>
      <c r="I20" s="601"/>
      <c r="J20" s="601"/>
      <c r="K20" s="1481">
        <f>IFERROR(SUM(F20:J20),0)</f>
        <v>0</v>
      </c>
      <c r="L20" s="690"/>
      <c r="M20" s="690"/>
      <c r="N20" s="690"/>
      <c r="O20" s="690"/>
      <c r="P20" s="690"/>
      <c r="Q20" s="1580">
        <f>IFERROR(SUM(L20:P20),0)</f>
        <v>0</v>
      </c>
      <c r="R20" s="222"/>
      <c r="S20" s="966" t="s">
        <v>9653</v>
      </c>
      <c r="T20" s="197"/>
      <c r="U20" s="1090"/>
      <c r="V20" s="398"/>
      <c r="W20" s="1058"/>
      <c r="X20" s="251" t="str">
        <f t="shared" si="50"/>
        <v>Please complete all cells in row</v>
      </c>
      <c r="Y20" s="1058"/>
      <c r="Z20" s="2599">
        <f t="shared" si="51"/>
        <v>1</v>
      </c>
      <c r="AA20" s="2599">
        <f t="shared" si="52"/>
        <v>1</v>
      </c>
      <c r="AB20" s="2599">
        <f t="shared" si="53"/>
        <v>1</v>
      </c>
      <c r="AC20" s="2599">
        <f t="shared" si="54"/>
        <v>1</v>
      </c>
      <c r="AD20" s="2599">
        <f t="shared" si="55"/>
        <v>1</v>
      </c>
      <c r="AE20" s="2562"/>
      <c r="AF20" s="2599">
        <f t="shared" si="56"/>
        <v>1</v>
      </c>
      <c r="AG20" s="2599">
        <f t="shared" si="57"/>
        <v>1</v>
      </c>
      <c r="AH20" s="2599">
        <f t="shared" si="58"/>
        <v>1</v>
      </c>
      <c r="AI20" s="2599">
        <f t="shared" si="59"/>
        <v>1</v>
      </c>
      <c r="AJ20" s="2599">
        <f t="shared" si="60"/>
        <v>1</v>
      </c>
      <c r="AK20" s="1058"/>
      <c r="AL20" s="2562"/>
      <c r="AM20" s="422" t="s">
        <v>9639</v>
      </c>
      <c r="AN20" s="318" t="s">
        <v>1693</v>
      </c>
      <c r="AO20" s="802" t="s">
        <v>9654</v>
      </c>
      <c r="AP20" s="802" t="s">
        <v>9655</v>
      </c>
      <c r="AQ20" s="802" t="s">
        <v>9656</v>
      </c>
      <c r="AR20" s="802" t="s">
        <v>9657</v>
      </c>
      <c r="AS20" s="802" t="s">
        <v>9658</v>
      </c>
      <c r="AT20" s="581" t="s">
        <v>9659</v>
      </c>
      <c r="AU20" s="696" t="s">
        <v>9660</v>
      </c>
      <c r="AV20" s="696" t="s">
        <v>9661</v>
      </c>
      <c r="AW20" s="696" t="s">
        <v>9662</v>
      </c>
      <c r="AX20" s="696" t="s">
        <v>9663</v>
      </c>
      <c r="AY20" s="696" t="s">
        <v>9664</v>
      </c>
      <c r="AZ20" s="695" t="s">
        <v>9665</v>
      </c>
    </row>
    <row r="21" spans="2:52" ht="15.75" customHeight="1">
      <c r="B21" s="422" t="s">
        <v>9639</v>
      </c>
      <c r="C21" s="318" t="s">
        <v>1694</v>
      </c>
      <c r="D21" s="253" t="s">
        <v>137</v>
      </c>
      <c r="E21" s="253">
        <v>3</v>
      </c>
      <c r="F21" s="1481">
        <f>IFERROR(F19+F20,0)</f>
        <v>0</v>
      </c>
      <c r="G21" s="1481">
        <f t="shared" ref="G21:K21" si="61">IFERROR(G19+G20,0)</f>
        <v>0</v>
      </c>
      <c r="H21" s="1481">
        <f t="shared" si="61"/>
        <v>0</v>
      </c>
      <c r="I21" s="1481">
        <f t="shared" si="61"/>
        <v>0</v>
      </c>
      <c r="J21" s="1481">
        <f t="shared" si="61"/>
        <v>0</v>
      </c>
      <c r="K21" s="1481">
        <f t="shared" si="61"/>
        <v>0</v>
      </c>
      <c r="L21" s="1481">
        <f>IFERROR(L19+L20,0)</f>
        <v>0</v>
      </c>
      <c r="M21" s="1481">
        <f t="shared" ref="M21" si="62">IFERROR(M19+M20,0)</f>
        <v>0</v>
      </c>
      <c r="N21" s="1481">
        <f t="shared" ref="N21" si="63">IFERROR(N19+N20,0)</f>
        <v>0</v>
      </c>
      <c r="O21" s="1481">
        <f t="shared" ref="O21" si="64">IFERROR(O19+O20,0)</f>
        <v>0</v>
      </c>
      <c r="P21" s="1481">
        <f t="shared" ref="P21" si="65">IFERROR(P19+P20,0)</f>
        <v>0</v>
      </c>
      <c r="Q21" s="1580">
        <f t="shared" ref="Q21" si="66">IFERROR(Q19+Q20,0)</f>
        <v>0</v>
      </c>
      <c r="R21" s="222"/>
      <c r="S21" s="966" t="s">
        <v>9666</v>
      </c>
      <c r="T21" s="197"/>
      <c r="U21" s="1090"/>
      <c r="V21" s="398"/>
      <c r="W21" s="1058"/>
      <c r="X21" s="2562"/>
      <c r="Y21" s="1058"/>
      <c r="Z21" s="2562"/>
      <c r="AA21" s="2562"/>
      <c r="AB21" s="2562"/>
      <c r="AC21" s="2562"/>
      <c r="AD21" s="2562"/>
      <c r="AE21" s="2562"/>
      <c r="AF21" s="2562"/>
      <c r="AG21" s="2562"/>
      <c r="AH21" s="2562"/>
      <c r="AI21" s="2562"/>
      <c r="AJ21" s="2562"/>
      <c r="AK21" s="1058"/>
      <c r="AL21" s="2562"/>
      <c r="AM21" s="422" t="s">
        <v>9639</v>
      </c>
      <c r="AN21" s="318" t="s">
        <v>1694</v>
      </c>
      <c r="AO21" s="581" t="s">
        <v>9667</v>
      </c>
      <c r="AP21" s="581" t="s">
        <v>9668</v>
      </c>
      <c r="AQ21" s="581" t="s">
        <v>9669</v>
      </c>
      <c r="AR21" s="581" t="s">
        <v>9670</v>
      </c>
      <c r="AS21" s="581" t="s">
        <v>9671</v>
      </c>
      <c r="AT21" s="581" t="s">
        <v>9672</v>
      </c>
      <c r="AU21" s="581" t="s">
        <v>9673</v>
      </c>
      <c r="AV21" s="581" t="s">
        <v>9674</v>
      </c>
      <c r="AW21" s="581" t="s">
        <v>9675</v>
      </c>
      <c r="AX21" s="581" t="s">
        <v>9676</v>
      </c>
      <c r="AY21" s="581" t="s">
        <v>9677</v>
      </c>
      <c r="AZ21" s="695" t="s">
        <v>9678</v>
      </c>
    </row>
    <row r="22" spans="2:52" ht="15.75" customHeight="1">
      <c r="B22" s="422" t="s">
        <v>9679</v>
      </c>
      <c r="C22" s="318" t="s">
        <v>1692</v>
      </c>
      <c r="D22" s="253" t="s">
        <v>137</v>
      </c>
      <c r="E22" s="253">
        <v>3</v>
      </c>
      <c r="F22" s="1481">
        <f>IFERROR(F10+F13+F16+F19,0)</f>
        <v>0</v>
      </c>
      <c r="G22" s="1481">
        <f t="shared" ref="G22:K22" si="67">IFERROR(G10+G13+G16+G19,0)</f>
        <v>0</v>
      </c>
      <c r="H22" s="1481">
        <f t="shared" si="67"/>
        <v>0</v>
      </c>
      <c r="I22" s="1481">
        <f t="shared" si="67"/>
        <v>0</v>
      </c>
      <c r="J22" s="1481">
        <f t="shared" si="67"/>
        <v>0</v>
      </c>
      <c r="K22" s="1481">
        <f t="shared" si="67"/>
        <v>0</v>
      </c>
      <c r="L22" s="1481">
        <f>IFERROR(L10+L13+L16+L19,0)</f>
        <v>0</v>
      </c>
      <c r="M22" s="1481">
        <f t="shared" ref="M22:Q22" si="68">IFERROR(M10+M13+M16+M19,0)</f>
        <v>0</v>
      </c>
      <c r="N22" s="1481">
        <f t="shared" si="68"/>
        <v>0</v>
      </c>
      <c r="O22" s="1481">
        <f t="shared" si="68"/>
        <v>0</v>
      </c>
      <c r="P22" s="1481">
        <f t="shared" si="68"/>
        <v>0</v>
      </c>
      <c r="Q22" s="1580">
        <f t="shared" si="68"/>
        <v>0</v>
      </c>
      <c r="R22" s="222"/>
      <c r="S22" s="966" t="s">
        <v>9680</v>
      </c>
      <c r="T22" s="197"/>
      <c r="U22" s="399"/>
      <c r="V22" s="398"/>
      <c r="W22" s="1058"/>
      <c r="X22" s="2562"/>
      <c r="Y22" s="1058"/>
      <c r="Z22" s="2562"/>
      <c r="AA22" s="2562"/>
      <c r="AB22" s="2562"/>
      <c r="AC22" s="2562"/>
      <c r="AD22" s="2562"/>
      <c r="AE22" s="2562"/>
      <c r="AF22" s="2562"/>
      <c r="AG22" s="2562"/>
      <c r="AH22" s="2562"/>
      <c r="AI22" s="2562"/>
      <c r="AJ22" s="2562"/>
      <c r="AK22" s="1058"/>
      <c r="AL22" s="2562"/>
      <c r="AM22" s="422" t="s">
        <v>9679</v>
      </c>
      <c r="AN22" s="318" t="s">
        <v>1692</v>
      </c>
      <c r="AO22" s="581" t="s">
        <v>9681</v>
      </c>
      <c r="AP22" s="581" t="s">
        <v>9682</v>
      </c>
      <c r="AQ22" s="581" t="s">
        <v>9683</v>
      </c>
      <c r="AR22" s="581" t="s">
        <v>9684</v>
      </c>
      <c r="AS22" s="581" t="s">
        <v>9685</v>
      </c>
      <c r="AT22" s="581" t="s">
        <v>9686</v>
      </c>
      <c r="AU22" s="581" t="s">
        <v>9687</v>
      </c>
      <c r="AV22" s="581" t="s">
        <v>9688</v>
      </c>
      <c r="AW22" s="581" t="s">
        <v>9689</v>
      </c>
      <c r="AX22" s="581" t="s">
        <v>9690</v>
      </c>
      <c r="AY22" s="581" t="s">
        <v>9691</v>
      </c>
      <c r="AZ22" s="695" t="s">
        <v>9692</v>
      </c>
    </row>
    <row r="23" spans="2:52" ht="15.75" customHeight="1">
      <c r="B23" s="422" t="s">
        <v>9693</v>
      </c>
      <c r="C23" s="318" t="s">
        <v>1693</v>
      </c>
      <c r="D23" s="253" t="s">
        <v>137</v>
      </c>
      <c r="E23" s="253">
        <v>3</v>
      </c>
      <c r="F23" s="1481">
        <f>IFERROR(F11+F14+F17+F20,0)</f>
        <v>0</v>
      </c>
      <c r="G23" s="1481">
        <f t="shared" ref="G23:K23" si="69">IFERROR(G11+G14+G17+G20,0)</f>
        <v>0</v>
      </c>
      <c r="H23" s="1481">
        <f t="shared" si="69"/>
        <v>0</v>
      </c>
      <c r="I23" s="1481">
        <f t="shared" si="69"/>
        <v>0</v>
      </c>
      <c r="J23" s="1481">
        <f t="shared" si="69"/>
        <v>0</v>
      </c>
      <c r="K23" s="1481">
        <f t="shared" si="69"/>
        <v>0</v>
      </c>
      <c r="L23" s="1481">
        <f>IFERROR(L11+L14+L17+L20,0)</f>
        <v>0</v>
      </c>
      <c r="M23" s="1481">
        <f t="shared" ref="M23:Q23" si="70">IFERROR(M11+M14+M17+M20,0)</f>
        <v>0</v>
      </c>
      <c r="N23" s="1481">
        <f t="shared" si="70"/>
        <v>0</v>
      </c>
      <c r="O23" s="1481">
        <f t="shared" si="70"/>
        <v>0</v>
      </c>
      <c r="P23" s="1481">
        <f t="shared" si="70"/>
        <v>0</v>
      </c>
      <c r="Q23" s="1580">
        <f t="shared" si="70"/>
        <v>0</v>
      </c>
      <c r="R23" s="222"/>
      <c r="S23" s="966" t="s">
        <v>9694</v>
      </c>
      <c r="T23" s="197"/>
      <c r="U23" s="399"/>
      <c r="V23" s="398"/>
      <c r="W23" s="1058"/>
      <c r="X23" s="2562"/>
      <c r="Y23" s="1058"/>
      <c r="Z23" s="2562"/>
      <c r="AA23" s="2562"/>
      <c r="AB23" s="2562"/>
      <c r="AC23" s="2562"/>
      <c r="AD23" s="2562"/>
      <c r="AE23" s="2562"/>
      <c r="AF23" s="2562"/>
      <c r="AG23" s="2562"/>
      <c r="AH23" s="2562"/>
      <c r="AI23" s="2562"/>
      <c r="AJ23" s="2562"/>
      <c r="AK23" s="1058"/>
      <c r="AL23" s="2562"/>
      <c r="AM23" s="422" t="s">
        <v>9693</v>
      </c>
      <c r="AN23" s="318" t="s">
        <v>1693</v>
      </c>
      <c r="AO23" s="581" t="s">
        <v>9695</v>
      </c>
      <c r="AP23" s="581" t="s">
        <v>9696</v>
      </c>
      <c r="AQ23" s="581" t="s">
        <v>9697</v>
      </c>
      <c r="AR23" s="581" t="s">
        <v>9698</v>
      </c>
      <c r="AS23" s="581" t="s">
        <v>9699</v>
      </c>
      <c r="AT23" s="581" t="s">
        <v>9700</v>
      </c>
      <c r="AU23" s="581" t="s">
        <v>9701</v>
      </c>
      <c r="AV23" s="581" t="s">
        <v>9702</v>
      </c>
      <c r="AW23" s="581" t="s">
        <v>9703</v>
      </c>
      <c r="AX23" s="581" t="s">
        <v>9704</v>
      </c>
      <c r="AY23" s="581" t="s">
        <v>9705</v>
      </c>
      <c r="AZ23" s="695" t="s">
        <v>9706</v>
      </c>
    </row>
    <row r="24" spans="2:52" ht="32.25" customHeight="1" thickBot="1">
      <c r="B24" s="425" t="s">
        <v>9707</v>
      </c>
      <c r="C24" s="976" t="s">
        <v>1694</v>
      </c>
      <c r="D24" s="319" t="s">
        <v>137</v>
      </c>
      <c r="E24" s="319">
        <v>3</v>
      </c>
      <c r="F24" s="1473">
        <f>IFERROR(F22+F23,0)</f>
        <v>0</v>
      </c>
      <c r="G24" s="1473">
        <f t="shared" ref="G24:K24" si="71">IFERROR(G22+G23,0)</f>
        <v>0</v>
      </c>
      <c r="H24" s="1473">
        <f t="shared" si="71"/>
        <v>0</v>
      </c>
      <c r="I24" s="1473">
        <f t="shared" si="71"/>
        <v>0</v>
      </c>
      <c r="J24" s="1473">
        <f t="shared" si="71"/>
        <v>0</v>
      </c>
      <c r="K24" s="1473">
        <f t="shared" si="71"/>
        <v>0</v>
      </c>
      <c r="L24" s="1473">
        <f>IFERROR(L22+L23,0)</f>
        <v>0</v>
      </c>
      <c r="M24" s="1473">
        <f t="shared" ref="M24" si="72">IFERROR(M22+M23,0)</f>
        <v>0</v>
      </c>
      <c r="N24" s="1473">
        <f t="shared" ref="N24" si="73">IFERROR(N22+N23,0)</f>
        <v>0</v>
      </c>
      <c r="O24" s="1473">
        <f t="shared" ref="O24" si="74">IFERROR(O22+O23,0)</f>
        <v>0</v>
      </c>
      <c r="P24" s="1473">
        <f t="shared" ref="P24" si="75">IFERROR(P22+P23,0)</f>
        <v>0</v>
      </c>
      <c r="Q24" s="1483">
        <f t="shared" ref="Q24" si="76">IFERROR(Q22+Q23,0)</f>
        <v>0</v>
      </c>
      <c r="R24" s="222"/>
      <c r="S24" s="980" t="s">
        <v>9708</v>
      </c>
      <c r="T24" s="197"/>
      <c r="U24" s="396"/>
      <c r="V24" s="398"/>
      <c r="W24" s="1058"/>
      <c r="X24" s="2562"/>
      <c r="Y24" s="1058"/>
      <c r="Z24" s="2562"/>
      <c r="AA24" s="2562"/>
      <c r="AB24" s="2562"/>
      <c r="AC24" s="2562"/>
      <c r="AD24" s="2562"/>
      <c r="AE24" s="2562"/>
      <c r="AF24" s="2562"/>
      <c r="AG24" s="2562"/>
      <c r="AH24" s="2562"/>
      <c r="AI24" s="2562"/>
      <c r="AJ24" s="2562"/>
      <c r="AK24" s="1058"/>
      <c r="AL24" s="2562"/>
      <c r="AM24" s="425" t="s">
        <v>9707</v>
      </c>
      <c r="AN24" s="976" t="s">
        <v>1694</v>
      </c>
      <c r="AO24" s="583" t="s">
        <v>9709</v>
      </c>
      <c r="AP24" s="583" t="s">
        <v>9710</v>
      </c>
      <c r="AQ24" s="583" t="s">
        <v>9711</v>
      </c>
      <c r="AR24" s="583" t="s">
        <v>9712</v>
      </c>
      <c r="AS24" s="583" t="s">
        <v>9713</v>
      </c>
      <c r="AT24" s="583" t="s">
        <v>9714</v>
      </c>
      <c r="AU24" s="583" t="s">
        <v>9715</v>
      </c>
      <c r="AV24" s="583" t="s">
        <v>9716</v>
      </c>
      <c r="AW24" s="583" t="s">
        <v>9717</v>
      </c>
      <c r="AX24" s="583" t="s">
        <v>9718</v>
      </c>
      <c r="AY24" s="583" t="s">
        <v>9719</v>
      </c>
      <c r="AZ24" s="379" t="s">
        <v>9720</v>
      </c>
    </row>
    <row r="25" spans="2:52" ht="16" thickTop="1">
      <c r="B25" s="981"/>
      <c r="C25" s="197"/>
      <c r="D25" s="197"/>
      <c r="E25" s="197"/>
      <c r="F25" s="197"/>
      <c r="G25" s="197"/>
      <c r="H25" s="197"/>
      <c r="I25" s="197"/>
      <c r="J25" s="197"/>
      <c r="K25" s="197"/>
      <c r="L25" s="197"/>
      <c r="M25" s="197"/>
      <c r="N25" s="197"/>
      <c r="O25" s="197"/>
      <c r="P25" s="197"/>
      <c r="Q25" s="197"/>
      <c r="R25" s="197"/>
      <c r="S25" s="197"/>
      <c r="T25" s="197"/>
      <c r="U25" s="1091"/>
      <c r="V25" s="398"/>
      <c r="W25" s="398"/>
      <c r="X25" s="2562"/>
      <c r="Y25" s="398"/>
      <c r="Z25" s="2562"/>
      <c r="AA25" s="2562"/>
      <c r="AB25" s="2562"/>
      <c r="AC25" s="2562"/>
      <c r="AD25" s="2562"/>
      <c r="AE25" s="2562"/>
      <c r="AF25" s="2562"/>
      <c r="AG25" s="2562"/>
      <c r="AH25" s="2562"/>
      <c r="AI25" s="2562"/>
      <c r="AJ25" s="2562"/>
      <c r="AK25" s="398"/>
      <c r="AL25" s="2562"/>
      <c r="AM25" s="2562"/>
      <c r="AN25" s="2562"/>
      <c r="AO25" s="2562"/>
      <c r="AP25" s="2562"/>
      <c r="AQ25" s="2562"/>
      <c r="AR25" s="2562"/>
      <c r="AS25" s="2562"/>
      <c r="AT25" s="2562"/>
      <c r="AU25" s="2562"/>
      <c r="AV25" s="2562"/>
      <c r="AW25" s="2562"/>
      <c r="AX25" s="2562"/>
      <c r="AY25" s="2562"/>
      <c r="AZ25" s="2562"/>
    </row>
    <row r="26" spans="2:52">
      <c r="B26" s="981"/>
      <c r="C26" s="197"/>
      <c r="D26" s="197"/>
      <c r="E26" s="197"/>
      <c r="F26" s="197"/>
      <c r="G26" s="197"/>
      <c r="H26" s="197"/>
      <c r="I26" s="197"/>
      <c r="J26" s="197"/>
      <c r="K26" s="197"/>
      <c r="L26" s="197"/>
      <c r="M26" s="197"/>
      <c r="N26" s="197"/>
      <c r="O26" s="197"/>
      <c r="P26" s="197"/>
      <c r="Q26" s="197"/>
      <c r="R26" s="197"/>
      <c r="S26" s="197"/>
      <c r="T26" s="197"/>
      <c r="U26" s="1091"/>
      <c r="V26" s="398"/>
      <c r="W26" s="398"/>
      <c r="X26" s="2562"/>
      <c r="Y26" s="398"/>
      <c r="Z26" s="2562"/>
      <c r="AA26" s="2562"/>
      <c r="AB26" s="2562"/>
      <c r="AC26" s="2562"/>
      <c r="AD26" s="2562"/>
      <c r="AE26" s="2562"/>
      <c r="AF26" s="2562"/>
      <c r="AG26" s="2562"/>
      <c r="AH26" s="2562"/>
      <c r="AI26" s="2562"/>
      <c r="AJ26" s="2562"/>
      <c r="AK26" s="398"/>
      <c r="AL26" s="2562"/>
      <c r="AM26" s="2562"/>
      <c r="AN26" s="2562"/>
      <c r="AO26" s="2562"/>
      <c r="AP26" s="2562"/>
      <c r="AQ26" s="2562"/>
      <c r="AR26" s="2562"/>
      <c r="AS26" s="2562"/>
      <c r="AT26" s="2562"/>
      <c r="AU26" s="2562"/>
      <c r="AV26" s="2562"/>
      <c r="AW26" s="2562"/>
      <c r="AX26" s="2562"/>
      <c r="AY26" s="2562"/>
      <c r="AZ26" s="2562"/>
    </row>
    <row r="27" spans="2:52">
      <c r="B27" s="981"/>
      <c r="C27" s="197"/>
      <c r="D27" s="197"/>
      <c r="E27" s="197"/>
      <c r="F27" s="197"/>
      <c r="G27" s="197"/>
      <c r="H27" s="197"/>
      <c r="I27" s="197"/>
      <c r="J27" s="197"/>
      <c r="K27" s="197"/>
      <c r="L27" s="197"/>
      <c r="M27" s="197"/>
      <c r="N27" s="197"/>
      <c r="O27" s="197"/>
      <c r="P27" s="197"/>
      <c r="Q27" s="197"/>
      <c r="R27" s="197"/>
      <c r="S27" s="197"/>
      <c r="T27" s="197"/>
      <c r="U27" s="1091"/>
      <c r="V27" s="398"/>
      <c r="W27" s="398"/>
      <c r="X27" s="2562"/>
      <c r="Y27" s="398"/>
      <c r="Z27" s="2562"/>
      <c r="AA27" s="2562"/>
      <c r="AB27" s="2562"/>
      <c r="AC27" s="2562"/>
      <c r="AD27" s="2562"/>
      <c r="AE27" s="2562"/>
      <c r="AF27" s="2562"/>
      <c r="AG27" s="2562"/>
      <c r="AH27" s="2562"/>
      <c r="AI27" s="2562"/>
      <c r="AJ27" s="2562"/>
      <c r="AK27" s="398"/>
      <c r="AL27" s="2562"/>
      <c r="AM27" s="2562"/>
      <c r="AN27" s="2562"/>
      <c r="AO27" s="2562"/>
      <c r="AP27" s="2562"/>
      <c r="AQ27" s="2562"/>
      <c r="AR27" s="2562"/>
      <c r="AS27" s="2562"/>
      <c r="AT27" s="2562"/>
      <c r="AU27" s="2562"/>
      <c r="AV27" s="2562"/>
      <c r="AW27" s="2562"/>
      <c r="AX27" s="2562"/>
      <c r="AY27" s="2562"/>
      <c r="AZ27" s="2562"/>
    </row>
    <row r="28" spans="2:52">
      <c r="B28" s="981"/>
      <c r="C28" s="197"/>
      <c r="D28" s="197"/>
      <c r="E28" s="197"/>
      <c r="F28" s="197"/>
      <c r="G28" s="197"/>
      <c r="H28" s="197"/>
      <c r="I28" s="197"/>
      <c r="J28" s="197"/>
      <c r="K28" s="197"/>
      <c r="L28" s="197"/>
      <c r="M28" s="197"/>
      <c r="N28" s="197"/>
      <c r="O28" s="197"/>
      <c r="P28" s="197"/>
      <c r="Q28" s="197"/>
      <c r="R28" s="197"/>
      <c r="S28" s="197"/>
      <c r="T28" s="197"/>
      <c r="U28" s="1091"/>
      <c r="V28" s="398"/>
      <c r="W28" s="398"/>
      <c r="X28" s="2562"/>
      <c r="Y28" s="398"/>
      <c r="Z28" s="2562"/>
      <c r="AA28" s="2562"/>
      <c r="AB28" s="2562"/>
      <c r="AC28" s="2562"/>
      <c r="AD28" s="2562"/>
      <c r="AE28" s="2562"/>
      <c r="AF28" s="2562"/>
      <c r="AG28" s="2562"/>
      <c r="AH28" s="2562"/>
      <c r="AI28" s="2562"/>
      <c r="AJ28" s="2562"/>
      <c r="AK28" s="398"/>
      <c r="AL28" s="2562"/>
      <c r="AM28" s="2562"/>
      <c r="AN28" s="2562"/>
      <c r="AO28" s="2562"/>
      <c r="AP28" s="2562"/>
      <c r="AQ28" s="2562"/>
      <c r="AR28" s="2562"/>
      <c r="AS28" s="2562"/>
      <c r="AT28" s="2562"/>
      <c r="AU28" s="2562"/>
      <c r="AV28" s="2562"/>
      <c r="AW28" s="2562"/>
      <c r="AX28" s="2562"/>
      <c r="AY28" s="2562"/>
      <c r="AZ28" s="2562"/>
    </row>
    <row r="29" spans="2:52">
      <c r="B29" s="981"/>
      <c r="C29" s="197"/>
      <c r="D29" s="197"/>
      <c r="E29" s="197"/>
      <c r="F29" s="197"/>
      <c r="G29" s="197"/>
      <c r="H29" s="197"/>
      <c r="I29" s="197"/>
      <c r="J29" s="197"/>
      <c r="K29" s="197"/>
      <c r="L29" s="197"/>
      <c r="M29" s="197"/>
      <c r="N29" s="197"/>
      <c r="O29" s="197"/>
      <c r="P29" s="197"/>
      <c r="Q29" s="197"/>
      <c r="R29" s="197"/>
      <c r="S29" s="197"/>
      <c r="T29" s="197"/>
      <c r="U29" s="1042"/>
      <c r="V29" s="1042"/>
      <c r="W29" s="1042"/>
      <c r="X29" s="2562"/>
      <c r="Y29" s="1042"/>
      <c r="Z29" s="2562"/>
      <c r="AA29" s="2562"/>
      <c r="AB29" s="2562"/>
      <c r="AC29" s="2562"/>
      <c r="AD29" s="2562"/>
      <c r="AE29" s="2562"/>
      <c r="AF29" s="2562"/>
      <c r="AG29" s="2562"/>
      <c r="AH29" s="2562"/>
      <c r="AI29" s="2562"/>
      <c r="AJ29" s="2562"/>
      <c r="AK29" s="1042"/>
      <c r="AL29" s="2562"/>
      <c r="AM29" s="2562"/>
      <c r="AN29" s="2562"/>
      <c r="AO29" s="2562"/>
      <c r="AP29" s="2562"/>
      <c r="AQ29" s="2562"/>
      <c r="AR29" s="2562"/>
      <c r="AS29" s="2562"/>
      <c r="AT29" s="2562"/>
      <c r="AU29" s="2562"/>
      <c r="AV29" s="2562"/>
      <c r="AW29" s="2562"/>
      <c r="AX29" s="2562"/>
      <c r="AY29" s="2562"/>
      <c r="AZ29" s="2562"/>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03" priority="12" operator="equal">
      <formula>0</formula>
    </cfRule>
  </conditionalFormatting>
  <conditionalFormatting sqref="X4:X11">
    <cfRule type="cellIs" dxfId="102" priority="4" operator="equal">
      <formula>0</formula>
    </cfRule>
  </conditionalFormatting>
  <conditionalFormatting sqref="X13:X14">
    <cfRule type="cellIs" dxfId="101" priority="3" operator="equal">
      <formula>0</formula>
    </cfRule>
  </conditionalFormatting>
  <conditionalFormatting sqref="X16:X17">
    <cfRule type="cellIs" dxfId="100" priority="2" operator="equal">
      <formula>0</formula>
    </cfRule>
  </conditionalFormatting>
  <conditionalFormatting sqref="X19:X20">
    <cfRule type="cellIs" dxfId="99"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tabColor theme="2" tint="-0.499984740745262"/>
  </sheetPr>
  <dimension ref="B1:BS27"/>
  <sheetViews>
    <sheetView showGridLines="0" zoomScaleNormal="100" workbookViewId="0">
      <selection activeCell="W13" sqref="W13"/>
    </sheetView>
  </sheetViews>
  <sheetFormatPr defaultColWidth="9" defaultRowHeight="15.5"/>
  <cols>
    <col min="1" max="1" width="9" style="219"/>
    <col min="2" max="2" width="42.58203125" style="219" bestFit="1" customWidth="1"/>
    <col min="3" max="3" width="6.58203125" style="219" bestFit="1" customWidth="1"/>
    <col min="4" max="4" width="5.58203125" style="219" bestFit="1" customWidth="1"/>
    <col min="5" max="5" width="4.58203125" style="219" bestFit="1" customWidth="1"/>
    <col min="6" max="8" width="7.08203125" style="219" bestFit="1" customWidth="1"/>
    <col min="9" max="9" width="8.08203125" style="219" bestFit="1" customWidth="1"/>
    <col min="10" max="13" width="7.08203125" style="219" bestFit="1" customWidth="1"/>
    <col min="14" max="14" width="8.08203125" style="219" bestFit="1" customWidth="1"/>
    <col min="15" max="17" width="7.08203125" style="219" bestFit="1" customWidth="1"/>
    <col min="18" max="18" width="8.08203125" style="219" bestFit="1" customWidth="1"/>
    <col min="19" max="22" width="7.08203125" style="219" bestFit="1" customWidth="1"/>
    <col min="23" max="23" width="8.08203125" style="219" bestFit="1" customWidth="1"/>
    <col min="24" max="24" width="1.08203125" style="219" customWidth="1"/>
    <col min="25" max="25" width="9.58203125" style="219" bestFit="1" customWidth="1"/>
    <col min="26" max="26" width="0.58203125" style="219" customWidth="1"/>
    <col min="27" max="27" width="48.08203125" style="106" bestFit="1" customWidth="1"/>
    <col min="28" max="29" width="1.58203125" style="106" customWidth="1"/>
    <col min="30" max="30" width="20.08203125" style="106" bestFit="1" customWidth="1"/>
    <col min="31" max="31" width="1.58203125" style="106" customWidth="1"/>
    <col min="32" max="32" width="29.58203125" style="106" hidden="1" customWidth="1"/>
    <col min="33" max="39" width="2" style="106" hidden="1" customWidth="1"/>
    <col min="40" max="40" width="1.58203125" style="106" hidden="1" customWidth="1"/>
    <col min="41" max="48" width="2" style="106" hidden="1" customWidth="1"/>
    <col min="49" max="49" width="1.58203125" style="106" hidden="1" customWidth="1"/>
    <col min="50" max="50" width="1.58203125" style="219" customWidth="1"/>
    <col min="51" max="51" width="42.58203125" style="219" bestFit="1" customWidth="1"/>
    <col min="52" max="52" width="6.58203125" style="219" bestFit="1" customWidth="1"/>
    <col min="53" max="55" width="19.08203125" style="219" bestFit="1" customWidth="1"/>
    <col min="56" max="56" width="19" style="219" bestFit="1" customWidth="1"/>
    <col min="57" max="57" width="18.58203125" style="219" bestFit="1" customWidth="1"/>
    <col min="58" max="59" width="18.08203125" style="219" bestFit="1" customWidth="1"/>
    <col min="60" max="60" width="18.5" style="219" bestFit="1" customWidth="1"/>
    <col min="61" max="61" width="18.58203125" style="219" bestFit="1" customWidth="1"/>
    <col min="62" max="65" width="19.08203125" style="219" bestFit="1" customWidth="1"/>
    <col min="66" max="66" width="18.58203125" style="219" bestFit="1" customWidth="1"/>
    <col min="67" max="67" width="18.08203125" style="219" bestFit="1" customWidth="1"/>
    <col min="68" max="68" width="18.5" style="219" bestFit="1" customWidth="1"/>
    <col min="69" max="70" width="18.58203125" style="219" bestFit="1" customWidth="1"/>
    <col min="71" max="16384" width="9" style="219"/>
  </cols>
  <sheetData>
    <row r="1" spans="2:71" ht="22.5" customHeight="1">
      <c r="B1" s="2771" t="s">
        <v>9721</v>
      </c>
      <c r="C1" s="2771"/>
      <c r="D1" s="2771"/>
      <c r="E1" s="2771"/>
      <c r="F1" s="2771"/>
      <c r="G1" s="2771"/>
      <c r="H1" s="2771"/>
      <c r="I1" s="2771"/>
      <c r="J1" s="2771"/>
      <c r="K1" s="2771"/>
      <c r="L1" s="2771"/>
      <c r="M1" s="2771"/>
      <c r="N1" s="2771"/>
      <c r="O1" s="2771"/>
      <c r="P1" s="2771"/>
      <c r="Q1" s="2771"/>
      <c r="R1" s="2771"/>
      <c r="S1" s="2771"/>
      <c r="T1" s="2771"/>
      <c r="U1" s="2771"/>
      <c r="V1" s="2771"/>
      <c r="W1" s="2771"/>
      <c r="X1" s="2673"/>
      <c r="Y1" s="2673"/>
      <c r="Z1" s="2560"/>
      <c r="AC1" s="1056"/>
      <c r="AD1" s="251"/>
      <c r="AE1" s="1056"/>
      <c r="AW1" s="1056"/>
      <c r="AX1" s="2560"/>
      <c r="AY1" s="2771" t="s">
        <v>1887</v>
      </c>
      <c r="AZ1" s="2771"/>
      <c r="BA1" s="2771"/>
      <c r="BB1" s="2771"/>
      <c r="BC1" s="627"/>
      <c r="BD1" s="2560"/>
      <c r="BE1" s="2560"/>
      <c r="BF1" s="2560"/>
      <c r="BG1" s="2560"/>
      <c r="BH1" s="2560"/>
      <c r="BI1" s="2560"/>
      <c r="BJ1" s="2560"/>
      <c r="BK1" s="2560"/>
      <c r="BL1" s="2560"/>
      <c r="BM1" s="2560"/>
      <c r="BN1" s="2560"/>
      <c r="BO1" s="2560"/>
      <c r="BP1" s="2560"/>
      <c r="BQ1" s="2560"/>
      <c r="BR1" s="2560"/>
      <c r="BS1" s="2560"/>
    </row>
    <row r="2" spans="2:71" ht="22.5">
      <c r="B2" s="2771" t="str">
        <f>SelectCompany!B4</f>
        <v>Yorkshire Water</v>
      </c>
      <c r="C2" s="2771"/>
      <c r="D2" s="2771"/>
      <c r="E2" s="2771"/>
      <c r="F2" s="627"/>
      <c r="G2" s="491"/>
      <c r="H2" s="491"/>
      <c r="I2" s="491"/>
      <c r="J2" s="491"/>
      <c r="K2" s="491"/>
      <c r="L2" s="491"/>
      <c r="M2" s="491"/>
      <c r="N2" s="491"/>
      <c r="O2" s="491"/>
      <c r="P2" s="491"/>
      <c r="Q2" s="491"/>
      <c r="R2" s="491"/>
      <c r="S2" s="491"/>
      <c r="T2" s="491"/>
      <c r="U2" s="491"/>
      <c r="V2" s="491"/>
      <c r="W2" s="491"/>
      <c r="X2" s="352"/>
      <c r="Y2" s="352"/>
      <c r="Z2" s="2560"/>
      <c r="AC2" s="1056"/>
      <c r="AD2" s="251"/>
      <c r="AE2" s="1056"/>
      <c r="AW2" s="1056"/>
      <c r="AX2" s="2560"/>
      <c r="AY2" s="2560"/>
      <c r="AZ2" s="2560"/>
      <c r="BA2" s="2560"/>
      <c r="BB2" s="2560"/>
      <c r="BC2" s="2560"/>
      <c r="BD2" s="2560"/>
      <c r="BE2" s="2560"/>
      <c r="BF2" s="2560"/>
      <c r="BG2" s="2560"/>
      <c r="BH2" s="2560"/>
      <c r="BI2" s="2560"/>
      <c r="BJ2" s="2560"/>
      <c r="BK2" s="2560"/>
      <c r="BL2" s="2560"/>
      <c r="BM2" s="2560"/>
      <c r="BN2" s="2560"/>
      <c r="BO2" s="2560"/>
      <c r="BP2" s="2560"/>
      <c r="BQ2" s="2560"/>
      <c r="BR2" s="2560"/>
      <c r="BS2" s="2560"/>
    </row>
    <row r="3" spans="2:71" ht="19.399999999999999" customHeight="1">
      <c r="B3" s="2784" t="s">
        <v>9722</v>
      </c>
      <c r="C3" s="2784"/>
      <c r="D3" s="2784"/>
      <c r="E3" s="2784"/>
      <c r="F3" s="2784"/>
      <c r="G3" s="2784"/>
      <c r="H3" s="2784"/>
      <c r="I3" s="2784"/>
      <c r="J3" s="2784"/>
      <c r="K3" s="2784"/>
      <c r="L3" s="2784"/>
      <c r="M3" s="2784"/>
      <c r="N3" s="2784"/>
      <c r="O3" s="2784"/>
      <c r="P3" s="2784"/>
      <c r="Q3" s="2784"/>
      <c r="R3" s="2781"/>
      <c r="S3" s="2781"/>
      <c r="T3" s="2781"/>
      <c r="U3" s="2781"/>
      <c r="V3" s="2781"/>
      <c r="W3" s="2781"/>
      <c r="X3" s="352"/>
      <c r="Y3" s="352"/>
      <c r="Z3" s="2560"/>
      <c r="AA3" s="2560"/>
      <c r="AC3" s="1056"/>
      <c r="AD3" s="554" t="s">
        <v>1889</v>
      </c>
      <c r="AE3" s="1056"/>
      <c r="AW3" s="1056"/>
      <c r="AX3" s="2560"/>
      <c r="AY3" s="2781" t="s">
        <v>9722</v>
      </c>
      <c r="AZ3" s="2781"/>
      <c r="BA3" s="2781"/>
      <c r="BB3" s="2781"/>
      <c r="BC3" s="2781"/>
      <c r="BD3" s="2781"/>
      <c r="BE3" s="2781"/>
      <c r="BF3" s="2781"/>
      <c r="BG3" s="2781"/>
      <c r="BH3" s="2781"/>
      <c r="BI3" s="2781"/>
      <c r="BJ3" s="2781"/>
      <c r="BK3" s="2781"/>
      <c r="BL3" s="2781"/>
      <c r="BM3" s="2781"/>
      <c r="BN3" s="2781"/>
      <c r="BO3" s="2784"/>
      <c r="BP3" s="2784"/>
      <c r="BQ3" s="2784"/>
      <c r="BR3" s="2784"/>
      <c r="BS3" s="352"/>
    </row>
    <row r="4" spans="2:71" ht="23" thickBot="1">
      <c r="B4" s="951"/>
      <c r="C4" s="951"/>
      <c r="D4" s="951"/>
      <c r="E4" s="951"/>
      <c r="F4" s="951"/>
      <c r="G4" s="951"/>
      <c r="H4" s="951"/>
      <c r="I4" s="951"/>
      <c r="J4" s="951"/>
      <c r="K4" s="951"/>
      <c r="L4" s="951"/>
      <c r="M4" s="951"/>
      <c r="N4" s="951"/>
      <c r="O4" s="951"/>
      <c r="P4" s="951"/>
      <c r="Q4" s="951"/>
      <c r="R4" s="951"/>
      <c r="S4" s="951"/>
      <c r="T4" s="951"/>
      <c r="U4" s="951"/>
      <c r="V4" s="951"/>
      <c r="W4" s="951"/>
      <c r="X4" s="724"/>
      <c r="Y4" s="228"/>
      <c r="Z4" s="2560"/>
      <c r="AC4" s="1056"/>
      <c r="AD4" s="251"/>
      <c r="AE4" s="1056"/>
      <c r="AW4" s="1056"/>
      <c r="AX4" s="2560"/>
      <c r="AY4" s="951"/>
      <c r="AZ4" s="951"/>
      <c r="BA4" s="951"/>
      <c r="BB4" s="951"/>
      <c r="BC4" s="951"/>
      <c r="BD4" s="951"/>
      <c r="BE4" s="951"/>
      <c r="BF4" s="951"/>
      <c r="BG4" s="951"/>
      <c r="BH4" s="951"/>
      <c r="BI4" s="951"/>
      <c r="BJ4" s="951"/>
      <c r="BK4" s="951"/>
      <c r="BL4" s="951"/>
      <c r="BM4" s="951"/>
      <c r="BN4" s="951"/>
      <c r="BO4" s="951"/>
      <c r="BP4" s="951"/>
      <c r="BQ4" s="951"/>
      <c r="BR4" s="951"/>
      <c r="BS4" s="724"/>
    </row>
    <row r="5" spans="2:71" ht="16" thickTop="1">
      <c r="B5" s="2828" t="s">
        <v>7041</v>
      </c>
      <c r="C5" s="2793"/>
      <c r="D5" s="2793" t="s">
        <v>1892</v>
      </c>
      <c r="E5" s="2793" t="s">
        <v>136</v>
      </c>
      <c r="F5" s="2787" t="s">
        <v>6859</v>
      </c>
      <c r="G5" s="2787"/>
      <c r="H5" s="2787"/>
      <c r="I5" s="2787"/>
      <c r="J5" s="2787"/>
      <c r="K5" s="2787"/>
      <c r="L5" s="2787"/>
      <c r="M5" s="2787"/>
      <c r="N5" s="2787"/>
      <c r="O5" s="2787" t="s">
        <v>7042</v>
      </c>
      <c r="P5" s="2787"/>
      <c r="Q5" s="2787"/>
      <c r="R5" s="2787"/>
      <c r="S5" s="2787"/>
      <c r="T5" s="2787"/>
      <c r="U5" s="2787"/>
      <c r="V5" s="2787"/>
      <c r="W5" s="2788"/>
      <c r="X5" s="635"/>
      <c r="Y5" s="2763" t="s">
        <v>1896</v>
      </c>
      <c r="Z5" s="222"/>
      <c r="AA5" s="2763" t="s">
        <v>1897</v>
      </c>
      <c r="AC5" s="1056"/>
      <c r="AD5" s="251"/>
      <c r="AE5" s="1056"/>
      <c r="AW5" s="1056"/>
      <c r="AX5" s="2560"/>
      <c r="AY5" s="2828" t="s">
        <v>7041</v>
      </c>
      <c r="AZ5" s="2793"/>
      <c r="BA5" s="2787" t="s">
        <v>6859</v>
      </c>
      <c r="BB5" s="2787"/>
      <c r="BC5" s="2787"/>
      <c r="BD5" s="2787"/>
      <c r="BE5" s="2787"/>
      <c r="BF5" s="2787"/>
      <c r="BG5" s="2787"/>
      <c r="BH5" s="2787"/>
      <c r="BI5" s="2787"/>
      <c r="BJ5" s="2787" t="s">
        <v>7042</v>
      </c>
      <c r="BK5" s="2787"/>
      <c r="BL5" s="2787"/>
      <c r="BM5" s="2787"/>
      <c r="BN5" s="2787"/>
      <c r="BO5" s="2787"/>
      <c r="BP5" s="2787"/>
      <c r="BQ5" s="2787"/>
      <c r="BR5" s="2788"/>
      <c r="BS5" s="635"/>
    </row>
    <row r="6" spans="2:71">
      <c r="B6" s="2829"/>
      <c r="C6" s="2830"/>
      <c r="D6" s="2830"/>
      <c r="E6" s="2830"/>
      <c r="F6" s="2809" t="s">
        <v>6860</v>
      </c>
      <c r="G6" s="2809"/>
      <c r="H6" s="2809"/>
      <c r="I6" s="2809"/>
      <c r="J6" s="2809"/>
      <c r="K6" s="2802" t="s">
        <v>2831</v>
      </c>
      <c r="L6" s="2802"/>
      <c r="M6" s="2802"/>
      <c r="N6" s="2859" t="s">
        <v>2112</v>
      </c>
      <c r="O6" s="2809" t="s">
        <v>6860</v>
      </c>
      <c r="P6" s="2809"/>
      <c r="Q6" s="2809"/>
      <c r="R6" s="2809"/>
      <c r="S6" s="2809"/>
      <c r="T6" s="2802" t="s">
        <v>2831</v>
      </c>
      <c r="U6" s="2802"/>
      <c r="V6" s="2802"/>
      <c r="W6" s="2861" t="s">
        <v>2112</v>
      </c>
      <c r="X6" s="106"/>
      <c r="Y6" s="2764"/>
      <c r="Z6" s="222"/>
      <c r="AA6" s="2764"/>
      <c r="AB6" s="634"/>
      <c r="AC6" s="1056"/>
      <c r="AD6" s="251"/>
      <c r="AE6" s="1056"/>
      <c r="AF6" s="2858" t="s">
        <v>1890</v>
      </c>
      <c r="AG6" s="2858"/>
      <c r="AH6" s="2858"/>
      <c r="AI6" s="2858"/>
      <c r="AJ6" s="2858"/>
      <c r="AK6" s="2858"/>
      <c r="AL6" s="2858"/>
      <c r="AM6" s="2858"/>
      <c r="AN6" s="2858"/>
      <c r="AO6" s="2858"/>
      <c r="AP6" s="2858"/>
      <c r="AQ6" s="2858"/>
      <c r="AR6" s="2858"/>
      <c r="AS6" s="2858"/>
      <c r="AT6" s="2858"/>
      <c r="AU6" s="2858"/>
      <c r="AV6" s="2858"/>
      <c r="AW6" s="1056"/>
      <c r="AX6" s="2560"/>
      <c r="AY6" s="2829"/>
      <c r="AZ6" s="2830"/>
      <c r="BA6" s="2809" t="s">
        <v>6860</v>
      </c>
      <c r="BB6" s="2809"/>
      <c r="BC6" s="2809"/>
      <c r="BD6" s="2809"/>
      <c r="BE6" s="2809"/>
      <c r="BF6" s="2802" t="s">
        <v>2831</v>
      </c>
      <c r="BG6" s="2802"/>
      <c r="BH6" s="2802"/>
      <c r="BI6" s="2859" t="s">
        <v>2112</v>
      </c>
      <c r="BJ6" s="2809" t="s">
        <v>6860</v>
      </c>
      <c r="BK6" s="2809"/>
      <c r="BL6" s="2809"/>
      <c r="BM6" s="2809"/>
      <c r="BN6" s="2809"/>
      <c r="BO6" s="2802" t="s">
        <v>2831</v>
      </c>
      <c r="BP6" s="2802"/>
      <c r="BQ6" s="2802"/>
      <c r="BR6" s="2861" t="s">
        <v>2112</v>
      </c>
      <c r="BS6" s="106"/>
    </row>
    <row r="7" spans="2:71" ht="105.5" thickBot="1">
      <c r="B7" s="2831"/>
      <c r="C7" s="2794"/>
      <c r="D7" s="2794"/>
      <c r="E7" s="2794"/>
      <c r="F7" s="1092" t="s">
        <v>5882</v>
      </c>
      <c r="G7" s="1092" t="s">
        <v>5883</v>
      </c>
      <c r="H7" s="1092" t="s">
        <v>5884</v>
      </c>
      <c r="I7" s="1092" t="s">
        <v>5885</v>
      </c>
      <c r="J7" s="1092" t="s">
        <v>6190</v>
      </c>
      <c r="K7" s="1092" t="s">
        <v>5887</v>
      </c>
      <c r="L7" s="1092" t="s">
        <v>5888</v>
      </c>
      <c r="M7" s="1092" t="s">
        <v>5889</v>
      </c>
      <c r="N7" s="2860"/>
      <c r="O7" s="1092" t="s">
        <v>5882</v>
      </c>
      <c r="P7" s="1092" t="s">
        <v>5883</v>
      </c>
      <c r="Q7" s="1092" t="s">
        <v>5884</v>
      </c>
      <c r="R7" s="1092" t="s">
        <v>5885</v>
      </c>
      <c r="S7" s="1092" t="s">
        <v>6190</v>
      </c>
      <c r="T7" s="1092" t="s">
        <v>5887</v>
      </c>
      <c r="U7" s="1092" t="s">
        <v>5888</v>
      </c>
      <c r="V7" s="1092" t="s">
        <v>5889</v>
      </c>
      <c r="W7" s="2862"/>
      <c r="X7" s="106"/>
      <c r="Y7" s="2765"/>
      <c r="Z7" s="222"/>
      <c r="AA7" s="2765"/>
      <c r="AB7" s="249"/>
      <c r="AC7" s="1056"/>
      <c r="AD7" s="251"/>
      <c r="AE7" s="1056"/>
      <c r="AF7" s="106" t="s">
        <v>1898</v>
      </c>
      <c r="AW7" s="1056"/>
      <c r="AX7" s="2560"/>
      <c r="AY7" s="2831"/>
      <c r="AZ7" s="2794"/>
      <c r="BA7" s="1092" t="s">
        <v>5882</v>
      </c>
      <c r="BB7" s="1092" t="s">
        <v>5883</v>
      </c>
      <c r="BC7" s="1092" t="s">
        <v>5884</v>
      </c>
      <c r="BD7" s="1092" t="s">
        <v>5885</v>
      </c>
      <c r="BE7" s="1092" t="s">
        <v>6190</v>
      </c>
      <c r="BF7" s="1092" t="s">
        <v>5887</v>
      </c>
      <c r="BG7" s="1092" t="s">
        <v>5888</v>
      </c>
      <c r="BH7" s="1092" t="s">
        <v>5889</v>
      </c>
      <c r="BI7" s="2860"/>
      <c r="BJ7" s="1092" t="s">
        <v>5882</v>
      </c>
      <c r="BK7" s="1092" t="s">
        <v>5883</v>
      </c>
      <c r="BL7" s="1092" t="s">
        <v>5884</v>
      </c>
      <c r="BM7" s="1092" t="s">
        <v>5885</v>
      </c>
      <c r="BN7" s="1092" t="s">
        <v>6190</v>
      </c>
      <c r="BO7" s="1092" t="s">
        <v>5887</v>
      </c>
      <c r="BP7" s="1092" t="s">
        <v>5888</v>
      </c>
      <c r="BQ7" s="1092" t="s">
        <v>5889</v>
      </c>
      <c r="BR7" s="2862"/>
      <c r="BS7" s="106"/>
    </row>
    <row r="8" spans="2:71" ht="15.75" customHeight="1" thickTop="1" thickBot="1">
      <c r="B8" s="893"/>
      <c r="C8" s="893"/>
      <c r="D8" s="893"/>
      <c r="E8" s="893"/>
      <c r="F8" s="893"/>
      <c r="G8" s="893"/>
      <c r="H8" s="893"/>
      <c r="I8" s="893"/>
      <c r="J8" s="893"/>
      <c r="K8" s="893"/>
      <c r="L8" s="893"/>
      <c r="M8" s="893"/>
      <c r="N8" s="893"/>
      <c r="O8" s="893"/>
      <c r="P8" s="893"/>
      <c r="Q8" s="893"/>
      <c r="R8" s="893"/>
      <c r="S8" s="893"/>
      <c r="T8" s="893"/>
      <c r="U8" s="893"/>
      <c r="V8" s="893"/>
      <c r="W8" s="893"/>
      <c r="X8" s="893"/>
      <c r="Y8" s="893"/>
      <c r="Z8" s="222"/>
      <c r="AA8" s="222"/>
      <c r="AB8" s="249"/>
      <c r="AC8" s="2576"/>
      <c r="AD8" s="251"/>
      <c r="AE8" s="2576"/>
      <c r="AF8" s="2562"/>
      <c r="AG8" s="2562"/>
      <c r="AH8" s="2562"/>
      <c r="AI8" s="2562"/>
      <c r="AJ8" s="2562"/>
      <c r="AK8" s="2562"/>
      <c r="AL8" s="2562"/>
      <c r="AM8" s="2562"/>
      <c r="AN8" s="2562"/>
      <c r="AO8" s="2562"/>
      <c r="AP8" s="2562"/>
      <c r="AQ8" s="2562"/>
      <c r="AR8" s="2562"/>
      <c r="AS8" s="2562"/>
      <c r="AT8" s="2562"/>
      <c r="AU8" s="2562"/>
      <c r="AV8" s="2562"/>
      <c r="AW8" s="2576"/>
      <c r="AX8" s="2560"/>
      <c r="AY8" s="893"/>
      <c r="AZ8" s="893"/>
      <c r="BA8" s="893"/>
      <c r="BB8" s="893"/>
      <c r="BC8" s="893"/>
      <c r="BD8" s="893"/>
      <c r="BE8" s="893"/>
      <c r="BF8" s="893"/>
      <c r="BG8" s="893"/>
      <c r="BH8" s="893"/>
      <c r="BI8" s="893"/>
      <c r="BJ8" s="893"/>
      <c r="BK8" s="893"/>
      <c r="BL8" s="893"/>
      <c r="BM8" s="893"/>
      <c r="BN8" s="893"/>
      <c r="BO8" s="893"/>
      <c r="BP8" s="893"/>
      <c r="BQ8" s="893"/>
      <c r="BR8" s="893"/>
      <c r="BS8" s="893"/>
    </row>
    <row r="9" spans="2:71" ht="15.75" customHeight="1" thickTop="1" thickBot="1">
      <c r="B9" s="956" t="s">
        <v>9518</v>
      </c>
      <c r="C9" s="893"/>
      <c r="D9" s="893"/>
      <c r="E9" s="893"/>
      <c r="F9" s="893"/>
      <c r="G9" s="893"/>
      <c r="H9" s="893"/>
      <c r="I9" s="893"/>
      <c r="J9" s="893"/>
      <c r="K9" s="893"/>
      <c r="L9" s="893"/>
      <c r="M9" s="893"/>
      <c r="N9" s="893"/>
      <c r="O9" s="893"/>
      <c r="P9" s="893"/>
      <c r="Q9" s="893"/>
      <c r="R9" s="893"/>
      <c r="S9" s="893"/>
      <c r="T9" s="893"/>
      <c r="U9" s="893"/>
      <c r="V9" s="893"/>
      <c r="W9" s="893"/>
      <c r="X9" s="893"/>
      <c r="Y9" s="893"/>
      <c r="Z9" s="222"/>
      <c r="AA9" s="222"/>
      <c r="AB9" s="249"/>
      <c r="AC9" s="2576"/>
      <c r="AD9" s="251"/>
      <c r="AE9" s="2576"/>
      <c r="AF9" s="2562"/>
      <c r="AG9" s="2562"/>
      <c r="AH9" s="2562"/>
      <c r="AI9" s="2562"/>
      <c r="AJ9" s="2562"/>
      <c r="AK9" s="2562"/>
      <c r="AL9" s="2562"/>
      <c r="AM9" s="2562"/>
      <c r="AN9" s="2562"/>
      <c r="AO9" s="2562"/>
      <c r="AP9" s="2562"/>
      <c r="AQ9" s="2562"/>
      <c r="AR9" s="2562"/>
      <c r="AS9" s="2562"/>
      <c r="AT9" s="2562"/>
      <c r="AU9" s="2562"/>
      <c r="AV9" s="2562"/>
      <c r="AW9" s="2576"/>
      <c r="AX9" s="2560"/>
      <c r="AY9" s="956" t="s">
        <v>9518</v>
      </c>
      <c r="AZ9" s="893"/>
      <c r="BA9" s="893"/>
      <c r="BB9" s="893"/>
      <c r="BC9" s="893"/>
      <c r="BD9" s="893"/>
      <c r="BE9" s="893"/>
      <c r="BF9" s="893"/>
      <c r="BG9" s="893"/>
      <c r="BH9" s="893"/>
      <c r="BI9" s="893"/>
      <c r="BJ9" s="893"/>
      <c r="BK9" s="893"/>
      <c r="BL9" s="893"/>
      <c r="BM9" s="893"/>
      <c r="BN9" s="893"/>
      <c r="BO9" s="893"/>
      <c r="BP9" s="893"/>
      <c r="BQ9" s="893"/>
      <c r="BR9" s="893"/>
      <c r="BS9" s="893"/>
    </row>
    <row r="10" spans="2:71" ht="15.75" customHeight="1" thickTop="1">
      <c r="B10" s="957" t="s">
        <v>9519</v>
      </c>
      <c r="C10" s="958" t="s">
        <v>1692</v>
      </c>
      <c r="D10" s="244" t="s">
        <v>137</v>
      </c>
      <c r="E10" s="244">
        <v>3</v>
      </c>
      <c r="F10" s="598">
        <v>0</v>
      </c>
      <c r="G10" s="598">
        <v>0</v>
      </c>
      <c r="H10" s="598">
        <v>0</v>
      </c>
      <c r="I10" s="598">
        <v>0</v>
      </c>
      <c r="J10" s="598">
        <v>0</v>
      </c>
      <c r="K10" s="598">
        <v>0</v>
      </c>
      <c r="L10" s="598">
        <v>0</v>
      </c>
      <c r="M10" s="598">
        <v>0</v>
      </c>
      <c r="N10" s="1479">
        <f>IFERROR(SUM(F10:M10),0)</f>
        <v>0</v>
      </c>
      <c r="O10" s="598">
        <v>0</v>
      </c>
      <c r="P10" s="598">
        <v>0</v>
      </c>
      <c r="Q10" s="598">
        <v>0</v>
      </c>
      <c r="R10" s="598">
        <v>0</v>
      </c>
      <c r="S10" s="598">
        <v>0</v>
      </c>
      <c r="T10" s="598">
        <v>0</v>
      </c>
      <c r="U10" s="598">
        <v>0</v>
      </c>
      <c r="V10" s="598">
        <v>0</v>
      </c>
      <c r="W10" s="1480">
        <f>IFERROR(SUM(O10:V10),0)</f>
        <v>0</v>
      </c>
      <c r="X10" s="893"/>
      <c r="Y10" s="961" t="s">
        <v>9723</v>
      </c>
      <c r="Z10" s="222"/>
      <c r="AA10" s="250"/>
      <c r="AB10" s="249"/>
      <c r="AC10" s="2576"/>
      <c r="AD10" s="251">
        <f>IF( SUM( AF10:AV10 ) = 0, 0, $AF$7 )</f>
        <v>0</v>
      </c>
      <c r="AE10" s="2576"/>
      <c r="AF10" s="2599">
        <f xml:space="preserve"> IF( ISNUMBER(F10), 0, 1 )</f>
        <v>0</v>
      </c>
      <c r="AG10" s="2599">
        <f t="shared" ref="AG10:AM10" si="0" xml:space="preserve"> IF( ISNUMBER(G10), 0, 1 )</f>
        <v>0</v>
      </c>
      <c r="AH10" s="2599">
        <f t="shared" si="0"/>
        <v>0</v>
      </c>
      <c r="AI10" s="2599">
        <f t="shared" si="0"/>
        <v>0</v>
      </c>
      <c r="AJ10" s="2599">
        <f t="shared" si="0"/>
        <v>0</v>
      </c>
      <c r="AK10" s="2599">
        <f t="shared" si="0"/>
        <v>0</v>
      </c>
      <c r="AL10" s="2599">
        <f t="shared" si="0"/>
        <v>0</v>
      </c>
      <c r="AM10" s="2599">
        <f t="shared" si="0"/>
        <v>0</v>
      </c>
      <c r="AN10" s="2562"/>
      <c r="AO10" s="2599">
        <f t="shared" ref="AO10" si="1" xml:space="preserve"> IF( ISNUMBER(O10), 0, 1 )</f>
        <v>0</v>
      </c>
      <c r="AP10" s="2599">
        <f t="shared" ref="AP10" si="2" xml:space="preserve"> IF( ISNUMBER(P10), 0, 1 )</f>
        <v>0</v>
      </c>
      <c r="AQ10" s="2599">
        <f t="shared" ref="AQ10" si="3" xml:space="preserve"> IF( ISNUMBER(Q10), 0, 1 )</f>
        <v>0</v>
      </c>
      <c r="AR10" s="2599">
        <f t="shared" ref="AR10" si="4" xml:space="preserve"> IF( ISNUMBER(R10), 0, 1 )</f>
        <v>0</v>
      </c>
      <c r="AS10" s="2599">
        <f t="shared" ref="AS10" si="5" xml:space="preserve"> IF( ISNUMBER(S10), 0, 1 )</f>
        <v>0</v>
      </c>
      <c r="AT10" s="2599">
        <f t="shared" ref="AT10" si="6" xml:space="preserve"> IF( ISNUMBER(T10), 0, 1 )</f>
        <v>0</v>
      </c>
      <c r="AU10" s="2599">
        <f t="shared" ref="AU10" si="7" xml:space="preserve"> IF( ISNUMBER(U10), 0, 1 )</f>
        <v>0</v>
      </c>
      <c r="AV10" s="2599">
        <f t="shared" ref="AV10" si="8" xml:space="preserve"> IF( ISNUMBER(V10), 0, 1 )</f>
        <v>0</v>
      </c>
      <c r="AW10" s="2576"/>
      <c r="AX10" s="2560"/>
      <c r="AY10" s="957" t="s">
        <v>9519</v>
      </c>
      <c r="AZ10" s="958" t="s">
        <v>1692</v>
      </c>
      <c r="BA10" s="801" t="s">
        <v>9724</v>
      </c>
      <c r="BB10" s="801" t="s">
        <v>9725</v>
      </c>
      <c r="BC10" s="801" t="s">
        <v>9726</v>
      </c>
      <c r="BD10" s="801" t="s">
        <v>9727</v>
      </c>
      <c r="BE10" s="801" t="s">
        <v>9728</v>
      </c>
      <c r="BF10" s="801" t="s">
        <v>9729</v>
      </c>
      <c r="BG10" s="801" t="s">
        <v>9730</v>
      </c>
      <c r="BH10" s="801" t="s">
        <v>9731</v>
      </c>
      <c r="BI10" s="579" t="s">
        <v>9732</v>
      </c>
      <c r="BJ10" s="801" t="s">
        <v>9733</v>
      </c>
      <c r="BK10" s="801" t="s">
        <v>9734</v>
      </c>
      <c r="BL10" s="801" t="s">
        <v>9735</v>
      </c>
      <c r="BM10" s="801" t="s">
        <v>9736</v>
      </c>
      <c r="BN10" s="801" t="s">
        <v>9737</v>
      </c>
      <c r="BO10" s="801" t="s">
        <v>9738</v>
      </c>
      <c r="BP10" s="801" t="s">
        <v>9739</v>
      </c>
      <c r="BQ10" s="801" t="s">
        <v>9740</v>
      </c>
      <c r="BR10" s="378" t="s">
        <v>9741</v>
      </c>
      <c r="BS10" s="893"/>
    </row>
    <row r="11" spans="2:71" ht="15.75" customHeight="1">
      <c r="B11" s="962" t="s">
        <v>9519</v>
      </c>
      <c r="C11" s="318" t="s">
        <v>1693</v>
      </c>
      <c r="D11" s="253" t="s">
        <v>137</v>
      </c>
      <c r="E11" s="253">
        <v>3</v>
      </c>
      <c r="F11" s="601"/>
      <c r="G11" s="601"/>
      <c r="H11" s="601"/>
      <c r="I11" s="601"/>
      <c r="J11" s="601"/>
      <c r="K11" s="601"/>
      <c r="L11" s="601"/>
      <c r="M11" s="601"/>
      <c r="N11" s="1481">
        <f>IFERROR(SUM(F11:M11),0)</f>
        <v>0</v>
      </c>
      <c r="O11" s="601"/>
      <c r="P11" s="601"/>
      <c r="Q11" s="601"/>
      <c r="R11" s="601"/>
      <c r="S11" s="601"/>
      <c r="T11" s="601"/>
      <c r="U11" s="601"/>
      <c r="V11" s="601"/>
      <c r="W11" s="1482">
        <f>IFERROR(SUM(O11:V11),0)</f>
        <v>0</v>
      </c>
      <c r="X11" s="893"/>
      <c r="Y11" s="966" t="s">
        <v>9742</v>
      </c>
      <c r="Z11" s="222"/>
      <c r="AA11" s="258"/>
      <c r="AB11" s="249"/>
      <c r="AC11" s="2576"/>
      <c r="AD11" s="251" t="str">
        <f>IF( SUM( AF11:AV11 ) = 0, 0, $AF$7 )</f>
        <v>Please complete all cells in row</v>
      </c>
      <c r="AE11" s="2576"/>
      <c r="AF11" s="2599">
        <f xml:space="preserve"> IF( ISNUMBER(F11), 0, 1 )</f>
        <v>1</v>
      </c>
      <c r="AG11" s="2599">
        <f t="shared" ref="AG11" si="9" xml:space="preserve"> IF( ISNUMBER(G11), 0, 1 )</f>
        <v>1</v>
      </c>
      <c r="AH11" s="2599">
        <f t="shared" ref="AH11" si="10" xml:space="preserve"> IF( ISNUMBER(H11), 0, 1 )</f>
        <v>1</v>
      </c>
      <c r="AI11" s="2599">
        <f t="shared" ref="AI11" si="11" xml:space="preserve"> IF( ISNUMBER(I11), 0, 1 )</f>
        <v>1</v>
      </c>
      <c r="AJ11" s="2599">
        <f t="shared" ref="AJ11" si="12" xml:space="preserve"> IF( ISNUMBER(J11), 0, 1 )</f>
        <v>1</v>
      </c>
      <c r="AK11" s="2599">
        <f t="shared" ref="AK11" si="13" xml:space="preserve"> IF( ISNUMBER(K11), 0, 1 )</f>
        <v>1</v>
      </c>
      <c r="AL11" s="2599">
        <f t="shared" ref="AL11" si="14" xml:space="preserve"> IF( ISNUMBER(L11), 0, 1 )</f>
        <v>1</v>
      </c>
      <c r="AM11" s="2599">
        <f t="shared" ref="AM11" si="15" xml:space="preserve"> IF( ISNUMBER(M11), 0, 1 )</f>
        <v>1</v>
      </c>
      <c r="AN11" s="2562"/>
      <c r="AO11" s="2599">
        <f t="shared" ref="AO11" si="16" xml:space="preserve"> IF( ISNUMBER(O11), 0, 1 )</f>
        <v>1</v>
      </c>
      <c r="AP11" s="2599">
        <f t="shared" ref="AP11" si="17" xml:space="preserve"> IF( ISNUMBER(P11), 0, 1 )</f>
        <v>1</v>
      </c>
      <c r="AQ11" s="2599">
        <f t="shared" ref="AQ11" si="18" xml:space="preserve"> IF( ISNUMBER(Q11), 0, 1 )</f>
        <v>1</v>
      </c>
      <c r="AR11" s="2599">
        <f t="shared" ref="AR11" si="19" xml:space="preserve"> IF( ISNUMBER(R11), 0, 1 )</f>
        <v>1</v>
      </c>
      <c r="AS11" s="2599">
        <f t="shared" ref="AS11" si="20" xml:space="preserve"> IF( ISNUMBER(S11), 0, 1 )</f>
        <v>1</v>
      </c>
      <c r="AT11" s="2599">
        <f t="shared" ref="AT11" si="21" xml:space="preserve"> IF( ISNUMBER(T11), 0, 1 )</f>
        <v>1</v>
      </c>
      <c r="AU11" s="2599">
        <f t="shared" ref="AU11" si="22" xml:space="preserve"> IF( ISNUMBER(U11), 0, 1 )</f>
        <v>1</v>
      </c>
      <c r="AV11" s="2599">
        <f t="shared" ref="AV11" si="23" xml:space="preserve"> IF( ISNUMBER(V11), 0, 1 )</f>
        <v>1</v>
      </c>
      <c r="AW11" s="2576"/>
      <c r="AX11" s="2560"/>
      <c r="AY11" s="962" t="s">
        <v>9519</v>
      </c>
      <c r="AZ11" s="318" t="s">
        <v>1693</v>
      </c>
      <c r="BA11" s="802" t="s">
        <v>9743</v>
      </c>
      <c r="BB11" s="802" t="s">
        <v>9744</v>
      </c>
      <c r="BC11" s="802" t="s">
        <v>9745</v>
      </c>
      <c r="BD11" s="802" t="s">
        <v>9746</v>
      </c>
      <c r="BE11" s="802" t="s">
        <v>9747</v>
      </c>
      <c r="BF11" s="802" t="s">
        <v>9748</v>
      </c>
      <c r="BG11" s="802" t="s">
        <v>9749</v>
      </c>
      <c r="BH11" s="802" t="s">
        <v>9750</v>
      </c>
      <c r="BI11" s="581" t="s">
        <v>9751</v>
      </c>
      <c r="BJ11" s="802" t="s">
        <v>9752</v>
      </c>
      <c r="BK11" s="802" t="s">
        <v>9753</v>
      </c>
      <c r="BL11" s="802" t="s">
        <v>9754</v>
      </c>
      <c r="BM11" s="802" t="s">
        <v>9755</v>
      </c>
      <c r="BN11" s="802" t="s">
        <v>9756</v>
      </c>
      <c r="BO11" s="802" t="s">
        <v>9757</v>
      </c>
      <c r="BP11" s="802" t="s">
        <v>9758</v>
      </c>
      <c r="BQ11" s="802" t="s">
        <v>9759</v>
      </c>
      <c r="BR11" s="790" t="s">
        <v>9760</v>
      </c>
      <c r="BS11" s="893"/>
    </row>
    <row r="12" spans="2:71" ht="15.75" customHeight="1">
      <c r="B12" s="962" t="s">
        <v>9519</v>
      </c>
      <c r="C12" s="318" t="s">
        <v>1694</v>
      </c>
      <c r="D12" s="253" t="s">
        <v>137</v>
      </c>
      <c r="E12" s="253">
        <v>3</v>
      </c>
      <c r="F12" s="1481">
        <f>IFERROR(F10+F11,0)</f>
        <v>0</v>
      </c>
      <c r="G12" s="1481">
        <f t="shared" ref="G12:W12" si="24">IFERROR(G10+G11,0)</f>
        <v>0</v>
      </c>
      <c r="H12" s="1481">
        <f t="shared" si="24"/>
        <v>0</v>
      </c>
      <c r="I12" s="1481">
        <f t="shared" si="24"/>
        <v>0</v>
      </c>
      <c r="J12" s="1481">
        <f>IFERROR(J10+J11,0)</f>
        <v>0</v>
      </c>
      <c r="K12" s="1481">
        <f t="shared" si="24"/>
        <v>0</v>
      </c>
      <c r="L12" s="1481">
        <f t="shared" si="24"/>
        <v>0</v>
      </c>
      <c r="M12" s="1481">
        <f t="shared" si="24"/>
        <v>0</v>
      </c>
      <c r="N12" s="1481">
        <f t="shared" si="24"/>
        <v>0</v>
      </c>
      <c r="O12" s="1481">
        <f t="shared" si="24"/>
        <v>0</v>
      </c>
      <c r="P12" s="1481">
        <f t="shared" si="24"/>
        <v>0</v>
      </c>
      <c r="Q12" s="1481">
        <f t="shared" si="24"/>
        <v>0</v>
      </c>
      <c r="R12" s="1481">
        <f t="shared" si="24"/>
        <v>0</v>
      </c>
      <c r="S12" s="1481">
        <f t="shared" si="24"/>
        <v>0</v>
      </c>
      <c r="T12" s="1481">
        <f t="shared" si="24"/>
        <v>0</v>
      </c>
      <c r="U12" s="1481">
        <f t="shared" si="24"/>
        <v>0</v>
      </c>
      <c r="V12" s="1481">
        <f t="shared" si="24"/>
        <v>0</v>
      </c>
      <c r="W12" s="1482">
        <f t="shared" si="24"/>
        <v>0</v>
      </c>
      <c r="X12" s="893"/>
      <c r="Y12" s="966" t="s">
        <v>9761</v>
      </c>
      <c r="Z12" s="222"/>
      <c r="AA12" s="258"/>
      <c r="AB12" s="249"/>
      <c r="AC12" s="2576"/>
      <c r="AD12" s="251"/>
      <c r="AE12" s="2576"/>
      <c r="AF12" s="2562"/>
      <c r="AG12" s="2562"/>
      <c r="AH12" s="2562"/>
      <c r="AI12" s="2562"/>
      <c r="AJ12" s="2562"/>
      <c r="AK12" s="2562"/>
      <c r="AL12" s="2562"/>
      <c r="AM12" s="2562"/>
      <c r="AN12" s="2562"/>
      <c r="AO12" s="2562"/>
      <c r="AP12" s="2562"/>
      <c r="AQ12" s="2562"/>
      <c r="AR12" s="2562"/>
      <c r="AS12" s="2562"/>
      <c r="AT12" s="2562"/>
      <c r="AU12" s="2562"/>
      <c r="AV12" s="2562"/>
      <c r="AW12" s="2576"/>
      <c r="AX12" s="2560"/>
      <c r="AY12" s="962" t="s">
        <v>9519</v>
      </c>
      <c r="AZ12" s="318" t="s">
        <v>1694</v>
      </c>
      <c r="BA12" s="581" t="s">
        <v>9762</v>
      </c>
      <c r="BB12" s="581" t="s">
        <v>9763</v>
      </c>
      <c r="BC12" s="581" t="s">
        <v>9764</v>
      </c>
      <c r="BD12" s="581" t="s">
        <v>9765</v>
      </c>
      <c r="BE12" s="581" t="s">
        <v>9766</v>
      </c>
      <c r="BF12" s="581" t="s">
        <v>9767</v>
      </c>
      <c r="BG12" s="581" t="s">
        <v>9768</v>
      </c>
      <c r="BH12" s="581" t="s">
        <v>9769</v>
      </c>
      <c r="BI12" s="581" t="s">
        <v>9770</v>
      </c>
      <c r="BJ12" s="581" t="s">
        <v>9771</v>
      </c>
      <c r="BK12" s="581" t="s">
        <v>9772</v>
      </c>
      <c r="BL12" s="581" t="s">
        <v>9773</v>
      </c>
      <c r="BM12" s="581" t="s">
        <v>9774</v>
      </c>
      <c r="BN12" s="581" t="s">
        <v>9775</v>
      </c>
      <c r="BO12" s="581" t="s">
        <v>9776</v>
      </c>
      <c r="BP12" s="581" t="s">
        <v>9777</v>
      </c>
      <c r="BQ12" s="581" t="s">
        <v>9778</v>
      </c>
      <c r="BR12" s="790" t="s">
        <v>9779</v>
      </c>
      <c r="BS12" s="893"/>
    </row>
    <row r="13" spans="2:71" ht="15.75" customHeight="1">
      <c r="B13" s="962" t="s">
        <v>9559</v>
      </c>
      <c r="C13" s="318" t="s">
        <v>1692</v>
      </c>
      <c r="D13" s="253" t="s">
        <v>137</v>
      </c>
      <c r="E13" s="253">
        <v>3</v>
      </c>
      <c r="F13" s="601">
        <v>0</v>
      </c>
      <c r="G13" s="601">
        <v>0</v>
      </c>
      <c r="H13" s="601">
        <v>0</v>
      </c>
      <c r="I13" s="601">
        <v>0</v>
      </c>
      <c r="J13" s="601">
        <v>0</v>
      </c>
      <c r="K13" s="601">
        <v>0</v>
      </c>
      <c r="L13" s="601">
        <v>0</v>
      </c>
      <c r="M13" s="601">
        <v>0</v>
      </c>
      <c r="N13" s="1481">
        <f>IFERROR(SUM(F13:M13),0)</f>
        <v>0</v>
      </c>
      <c r="O13" s="601">
        <v>0</v>
      </c>
      <c r="P13" s="601">
        <v>0</v>
      </c>
      <c r="Q13" s="601">
        <v>0</v>
      </c>
      <c r="R13" s="601">
        <v>0</v>
      </c>
      <c r="S13" s="601">
        <v>0</v>
      </c>
      <c r="T13" s="601">
        <v>0</v>
      </c>
      <c r="U13" s="601">
        <v>0</v>
      </c>
      <c r="V13" s="601">
        <v>0</v>
      </c>
      <c r="W13" s="1482">
        <f>IFERROR(SUM(O13:V13),0)</f>
        <v>0</v>
      </c>
      <c r="X13" s="893"/>
      <c r="Y13" s="966" t="s">
        <v>9780</v>
      </c>
      <c r="Z13" s="222"/>
      <c r="AA13" s="258"/>
      <c r="AB13" s="249"/>
      <c r="AC13" s="2576"/>
      <c r="AD13" s="251">
        <f t="shared" ref="AD13:AD14" si="25">IF( SUM( AF13:AV13 ) = 0, 0, $AF$7 )</f>
        <v>0</v>
      </c>
      <c r="AE13" s="2576"/>
      <c r="AF13" s="2599">
        <f xml:space="preserve"> IF( ISNUMBER(F13), 0, 1 )</f>
        <v>0</v>
      </c>
      <c r="AG13" s="2599">
        <f t="shared" ref="AG13:AG14" si="26" xml:space="preserve"> IF( ISNUMBER(G13), 0, 1 )</f>
        <v>0</v>
      </c>
      <c r="AH13" s="2599">
        <f t="shared" ref="AH13:AH14" si="27" xml:space="preserve"> IF( ISNUMBER(H13), 0, 1 )</f>
        <v>0</v>
      </c>
      <c r="AI13" s="2599">
        <f t="shared" ref="AI13:AI14" si="28" xml:space="preserve"> IF( ISNUMBER(I13), 0, 1 )</f>
        <v>0</v>
      </c>
      <c r="AJ13" s="2599">
        <f t="shared" ref="AJ13:AJ14" si="29" xml:space="preserve"> IF( ISNUMBER(J13), 0, 1 )</f>
        <v>0</v>
      </c>
      <c r="AK13" s="2599">
        <f t="shared" ref="AK13:AK14" si="30" xml:space="preserve"> IF( ISNUMBER(K13), 0, 1 )</f>
        <v>0</v>
      </c>
      <c r="AL13" s="2599">
        <f t="shared" ref="AL13:AL14" si="31" xml:space="preserve"> IF( ISNUMBER(L13), 0, 1 )</f>
        <v>0</v>
      </c>
      <c r="AM13" s="2599">
        <f t="shared" ref="AM13:AM14" si="32" xml:space="preserve"> IF( ISNUMBER(M13), 0, 1 )</f>
        <v>0</v>
      </c>
      <c r="AN13" s="2562"/>
      <c r="AO13" s="2599">
        <f t="shared" ref="AO13:AO14" si="33" xml:space="preserve"> IF( ISNUMBER(O13), 0, 1 )</f>
        <v>0</v>
      </c>
      <c r="AP13" s="2599">
        <f t="shared" ref="AP13:AP14" si="34" xml:space="preserve"> IF( ISNUMBER(P13), 0, 1 )</f>
        <v>0</v>
      </c>
      <c r="AQ13" s="2599">
        <f t="shared" ref="AQ13:AQ14" si="35" xml:space="preserve"> IF( ISNUMBER(Q13), 0, 1 )</f>
        <v>0</v>
      </c>
      <c r="AR13" s="2599">
        <f t="shared" ref="AR13:AR14" si="36" xml:space="preserve"> IF( ISNUMBER(R13), 0, 1 )</f>
        <v>0</v>
      </c>
      <c r="AS13" s="2599">
        <f t="shared" ref="AS13:AS14" si="37" xml:space="preserve"> IF( ISNUMBER(S13), 0, 1 )</f>
        <v>0</v>
      </c>
      <c r="AT13" s="2599">
        <f t="shared" ref="AT13:AT14" si="38" xml:space="preserve"> IF( ISNUMBER(T13), 0, 1 )</f>
        <v>0</v>
      </c>
      <c r="AU13" s="2599">
        <f t="shared" ref="AU13:AU14" si="39" xml:space="preserve"> IF( ISNUMBER(U13), 0, 1 )</f>
        <v>0</v>
      </c>
      <c r="AV13" s="2599">
        <f t="shared" ref="AV13:AV14" si="40" xml:space="preserve"> IF( ISNUMBER(V13), 0, 1 )</f>
        <v>0</v>
      </c>
      <c r="AW13" s="2576"/>
      <c r="AX13" s="2560"/>
      <c r="AY13" s="962" t="s">
        <v>9559</v>
      </c>
      <c r="AZ13" s="318" t="s">
        <v>1692</v>
      </c>
      <c r="BA13" s="802" t="s">
        <v>9781</v>
      </c>
      <c r="BB13" s="802" t="s">
        <v>9782</v>
      </c>
      <c r="BC13" s="802" t="s">
        <v>9783</v>
      </c>
      <c r="BD13" s="802" t="s">
        <v>9784</v>
      </c>
      <c r="BE13" s="802" t="s">
        <v>9785</v>
      </c>
      <c r="BF13" s="802" t="s">
        <v>9786</v>
      </c>
      <c r="BG13" s="802" t="s">
        <v>9787</v>
      </c>
      <c r="BH13" s="802" t="s">
        <v>9788</v>
      </c>
      <c r="BI13" s="581" t="s">
        <v>9789</v>
      </c>
      <c r="BJ13" s="802" t="s">
        <v>9790</v>
      </c>
      <c r="BK13" s="802" t="s">
        <v>9791</v>
      </c>
      <c r="BL13" s="802" t="s">
        <v>9792</v>
      </c>
      <c r="BM13" s="802" t="s">
        <v>9793</v>
      </c>
      <c r="BN13" s="802" t="s">
        <v>9794</v>
      </c>
      <c r="BO13" s="802" t="s">
        <v>9795</v>
      </c>
      <c r="BP13" s="802" t="s">
        <v>9796</v>
      </c>
      <c r="BQ13" s="802" t="s">
        <v>9797</v>
      </c>
      <c r="BR13" s="790" t="s">
        <v>9798</v>
      </c>
      <c r="BS13" s="893"/>
    </row>
    <row r="14" spans="2:71" ht="15.75" customHeight="1">
      <c r="B14" s="962" t="s">
        <v>9559</v>
      </c>
      <c r="C14" s="318" t="s">
        <v>1693</v>
      </c>
      <c r="D14" s="253" t="s">
        <v>137</v>
      </c>
      <c r="E14" s="253">
        <v>3</v>
      </c>
      <c r="F14" s="601"/>
      <c r="G14" s="601"/>
      <c r="H14" s="601"/>
      <c r="I14" s="601"/>
      <c r="J14" s="601"/>
      <c r="K14" s="601"/>
      <c r="L14" s="601"/>
      <c r="M14" s="601"/>
      <c r="N14" s="1481">
        <f>IFERROR(SUM(F14:M14),0)</f>
        <v>0</v>
      </c>
      <c r="O14" s="601"/>
      <c r="P14" s="601"/>
      <c r="Q14" s="601"/>
      <c r="R14" s="601"/>
      <c r="S14" s="601"/>
      <c r="T14" s="601"/>
      <c r="U14" s="601"/>
      <c r="V14" s="601"/>
      <c r="W14" s="1482">
        <f>IFERROR(SUM(O14:V14),0)</f>
        <v>0</v>
      </c>
      <c r="X14" s="893"/>
      <c r="Y14" s="966" t="s">
        <v>9799</v>
      </c>
      <c r="Z14" s="222"/>
      <c r="AA14" s="258"/>
      <c r="AB14" s="249"/>
      <c r="AC14" s="1056"/>
      <c r="AD14" s="251" t="str">
        <f t="shared" si="25"/>
        <v>Please complete all cells in row</v>
      </c>
      <c r="AE14" s="1056"/>
      <c r="AF14" s="2599">
        <f xml:space="preserve"> IF( ISNUMBER(F14), 0, 1 )</f>
        <v>1</v>
      </c>
      <c r="AG14" s="2599">
        <f t="shared" si="26"/>
        <v>1</v>
      </c>
      <c r="AH14" s="2599">
        <f t="shared" si="27"/>
        <v>1</v>
      </c>
      <c r="AI14" s="2599">
        <f t="shared" si="28"/>
        <v>1</v>
      </c>
      <c r="AJ14" s="2599">
        <f t="shared" si="29"/>
        <v>1</v>
      </c>
      <c r="AK14" s="2599">
        <f t="shared" si="30"/>
        <v>1</v>
      </c>
      <c r="AL14" s="2599">
        <f t="shared" si="31"/>
        <v>1</v>
      </c>
      <c r="AM14" s="2599">
        <f t="shared" si="32"/>
        <v>1</v>
      </c>
      <c r="AN14" s="2562"/>
      <c r="AO14" s="2599">
        <f t="shared" si="33"/>
        <v>1</v>
      </c>
      <c r="AP14" s="2599">
        <f t="shared" si="34"/>
        <v>1</v>
      </c>
      <c r="AQ14" s="2599">
        <f t="shared" si="35"/>
        <v>1</v>
      </c>
      <c r="AR14" s="2599">
        <f t="shared" si="36"/>
        <v>1</v>
      </c>
      <c r="AS14" s="2599">
        <f t="shared" si="37"/>
        <v>1</v>
      </c>
      <c r="AT14" s="2599">
        <f t="shared" si="38"/>
        <v>1</v>
      </c>
      <c r="AU14" s="2599">
        <f t="shared" si="39"/>
        <v>1</v>
      </c>
      <c r="AV14" s="2599">
        <f t="shared" si="40"/>
        <v>1</v>
      </c>
      <c r="AW14" s="1056"/>
      <c r="AX14" s="2560"/>
      <c r="AY14" s="962" t="s">
        <v>9559</v>
      </c>
      <c r="AZ14" s="318" t="s">
        <v>1693</v>
      </c>
      <c r="BA14" s="802" t="s">
        <v>9800</v>
      </c>
      <c r="BB14" s="802" t="s">
        <v>9801</v>
      </c>
      <c r="BC14" s="802" t="s">
        <v>9802</v>
      </c>
      <c r="BD14" s="802" t="s">
        <v>9803</v>
      </c>
      <c r="BE14" s="802" t="s">
        <v>9804</v>
      </c>
      <c r="BF14" s="802" t="s">
        <v>9805</v>
      </c>
      <c r="BG14" s="802" t="s">
        <v>9806</v>
      </c>
      <c r="BH14" s="802" t="s">
        <v>9807</v>
      </c>
      <c r="BI14" s="581" t="s">
        <v>9808</v>
      </c>
      <c r="BJ14" s="802" t="s">
        <v>9809</v>
      </c>
      <c r="BK14" s="802" t="s">
        <v>9810</v>
      </c>
      <c r="BL14" s="802" t="s">
        <v>9811</v>
      </c>
      <c r="BM14" s="802" t="s">
        <v>9812</v>
      </c>
      <c r="BN14" s="802" t="s">
        <v>9813</v>
      </c>
      <c r="BO14" s="802" t="s">
        <v>9814</v>
      </c>
      <c r="BP14" s="802" t="s">
        <v>9815</v>
      </c>
      <c r="BQ14" s="802" t="s">
        <v>9816</v>
      </c>
      <c r="BR14" s="790" t="s">
        <v>9817</v>
      </c>
      <c r="BS14" s="893"/>
    </row>
    <row r="15" spans="2:71" ht="15.75" customHeight="1">
      <c r="B15" s="962" t="s">
        <v>9559</v>
      </c>
      <c r="C15" s="318" t="s">
        <v>1694</v>
      </c>
      <c r="D15" s="253" t="s">
        <v>137</v>
      </c>
      <c r="E15" s="253">
        <v>3</v>
      </c>
      <c r="F15" s="1481">
        <f>IFERROR(F13+F14,0)</f>
        <v>0</v>
      </c>
      <c r="G15" s="1481">
        <f t="shared" ref="G15:W15" si="41">IFERROR(G13+G14,0)</f>
        <v>0</v>
      </c>
      <c r="H15" s="1481">
        <f t="shared" si="41"/>
        <v>0</v>
      </c>
      <c r="I15" s="1481">
        <f t="shared" si="41"/>
        <v>0</v>
      </c>
      <c r="J15" s="1481">
        <f t="shared" si="41"/>
        <v>0</v>
      </c>
      <c r="K15" s="1481">
        <f t="shared" si="41"/>
        <v>0</v>
      </c>
      <c r="L15" s="1481">
        <f t="shared" si="41"/>
        <v>0</v>
      </c>
      <c r="M15" s="1481">
        <f t="shared" si="41"/>
        <v>0</v>
      </c>
      <c r="N15" s="1481">
        <f t="shared" si="41"/>
        <v>0</v>
      </c>
      <c r="O15" s="1481">
        <f t="shared" si="41"/>
        <v>0</v>
      </c>
      <c r="P15" s="1481">
        <f t="shared" si="41"/>
        <v>0</v>
      </c>
      <c r="Q15" s="1481">
        <f t="shared" si="41"/>
        <v>0</v>
      </c>
      <c r="R15" s="1481">
        <f t="shared" si="41"/>
        <v>0</v>
      </c>
      <c r="S15" s="1481">
        <f t="shared" si="41"/>
        <v>0</v>
      </c>
      <c r="T15" s="1481">
        <f t="shared" si="41"/>
        <v>0</v>
      </c>
      <c r="U15" s="1481">
        <f t="shared" si="41"/>
        <v>0</v>
      </c>
      <c r="V15" s="1481">
        <f t="shared" si="41"/>
        <v>0</v>
      </c>
      <c r="W15" s="1482">
        <f t="shared" si="41"/>
        <v>0</v>
      </c>
      <c r="X15" s="893"/>
      <c r="Y15" s="966" t="s">
        <v>9818</v>
      </c>
      <c r="Z15" s="222"/>
      <c r="AA15" s="258"/>
      <c r="AB15" s="249"/>
      <c r="AC15" s="1056"/>
      <c r="AD15" s="251"/>
      <c r="AE15" s="1056"/>
      <c r="AW15" s="1056"/>
      <c r="AX15" s="2560"/>
      <c r="AY15" s="962" t="s">
        <v>9559</v>
      </c>
      <c r="AZ15" s="318" t="s">
        <v>1694</v>
      </c>
      <c r="BA15" s="581" t="s">
        <v>9819</v>
      </c>
      <c r="BB15" s="581" t="s">
        <v>9820</v>
      </c>
      <c r="BC15" s="581" t="s">
        <v>9821</v>
      </c>
      <c r="BD15" s="581" t="s">
        <v>9822</v>
      </c>
      <c r="BE15" s="581" t="s">
        <v>9823</v>
      </c>
      <c r="BF15" s="581" t="s">
        <v>9824</v>
      </c>
      <c r="BG15" s="581" t="s">
        <v>9825</v>
      </c>
      <c r="BH15" s="581" t="s">
        <v>9826</v>
      </c>
      <c r="BI15" s="581" t="s">
        <v>9827</v>
      </c>
      <c r="BJ15" s="581" t="s">
        <v>9828</v>
      </c>
      <c r="BK15" s="581" t="s">
        <v>9829</v>
      </c>
      <c r="BL15" s="581" t="s">
        <v>9830</v>
      </c>
      <c r="BM15" s="581" t="s">
        <v>9831</v>
      </c>
      <c r="BN15" s="581" t="s">
        <v>9832</v>
      </c>
      <c r="BO15" s="581" t="s">
        <v>9833</v>
      </c>
      <c r="BP15" s="581" t="s">
        <v>9834</v>
      </c>
      <c r="BQ15" s="581" t="s">
        <v>9835</v>
      </c>
      <c r="BR15" s="790" t="s">
        <v>9836</v>
      </c>
      <c r="BS15" s="893"/>
    </row>
    <row r="16" spans="2:71" ht="15.75" customHeight="1">
      <c r="B16" s="962" t="s">
        <v>9599</v>
      </c>
      <c r="C16" s="318" t="s">
        <v>1692</v>
      </c>
      <c r="D16" s="253" t="s">
        <v>137</v>
      </c>
      <c r="E16" s="253">
        <v>3</v>
      </c>
      <c r="F16" s="601">
        <v>0</v>
      </c>
      <c r="G16" s="601">
        <v>0</v>
      </c>
      <c r="H16" s="601">
        <v>0</v>
      </c>
      <c r="I16" s="601">
        <v>0</v>
      </c>
      <c r="J16" s="601">
        <v>0</v>
      </c>
      <c r="K16" s="601">
        <v>0</v>
      </c>
      <c r="L16" s="601">
        <v>0</v>
      </c>
      <c r="M16" s="601">
        <v>0</v>
      </c>
      <c r="N16" s="1481">
        <f>IFERROR(SUM(F16:M16),0)</f>
        <v>0</v>
      </c>
      <c r="O16" s="601">
        <v>0</v>
      </c>
      <c r="P16" s="601">
        <v>0</v>
      </c>
      <c r="Q16" s="601">
        <v>0</v>
      </c>
      <c r="R16" s="601">
        <v>0</v>
      </c>
      <c r="S16" s="601">
        <v>0</v>
      </c>
      <c r="T16" s="601">
        <v>0</v>
      </c>
      <c r="U16" s="601">
        <v>0</v>
      </c>
      <c r="V16" s="601">
        <v>0</v>
      </c>
      <c r="W16" s="1482">
        <f>IFERROR(SUM(O16:V16),0)</f>
        <v>0</v>
      </c>
      <c r="X16" s="893"/>
      <c r="Y16" s="966" t="s">
        <v>9837</v>
      </c>
      <c r="Z16" s="222"/>
      <c r="AA16" s="258"/>
      <c r="AB16" s="249"/>
      <c r="AC16" s="1056"/>
      <c r="AD16" s="251">
        <f t="shared" ref="AD16:AD17" si="42">IF( SUM( AF16:AV16 ) = 0, 0, $AF$7 )</f>
        <v>0</v>
      </c>
      <c r="AE16" s="1056"/>
      <c r="AF16" s="2599">
        <f xml:space="preserve"> IF( ISNUMBER(F16), 0, 1 )</f>
        <v>0</v>
      </c>
      <c r="AG16" s="2599">
        <f t="shared" ref="AG16:AG17" si="43" xml:space="preserve"> IF( ISNUMBER(G16), 0, 1 )</f>
        <v>0</v>
      </c>
      <c r="AH16" s="2599">
        <f t="shared" ref="AH16:AH17" si="44" xml:space="preserve"> IF( ISNUMBER(H16), 0, 1 )</f>
        <v>0</v>
      </c>
      <c r="AI16" s="2599">
        <f t="shared" ref="AI16:AI17" si="45" xml:space="preserve"> IF( ISNUMBER(I16), 0, 1 )</f>
        <v>0</v>
      </c>
      <c r="AJ16" s="2599">
        <f t="shared" ref="AJ16:AJ17" si="46" xml:space="preserve"> IF( ISNUMBER(J16), 0, 1 )</f>
        <v>0</v>
      </c>
      <c r="AK16" s="2599">
        <f t="shared" ref="AK16:AK17" si="47" xml:space="preserve"> IF( ISNUMBER(K16), 0, 1 )</f>
        <v>0</v>
      </c>
      <c r="AL16" s="2599">
        <f t="shared" ref="AL16:AL17" si="48" xml:space="preserve"> IF( ISNUMBER(L16), 0, 1 )</f>
        <v>0</v>
      </c>
      <c r="AM16" s="2599">
        <f t="shared" ref="AM16:AM17" si="49" xml:space="preserve"> IF( ISNUMBER(M16), 0, 1 )</f>
        <v>0</v>
      </c>
      <c r="AN16" s="2562"/>
      <c r="AO16" s="2599">
        <f t="shared" ref="AO16:AO17" si="50" xml:space="preserve"> IF( ISNUMBER(O16), 0, 1 )</f>
        <v>0</v>
      </c>
      <c r="AP16" s="2599">
        <f t="shared" ref="AP16:AP17" si="51" xml:space="preserve"> IF( ISNUMBER(P16), 0, 1 )</f>
        <v>0</v>
      </c>
      <c r="AQ16" s="2599">
        <f t="shared" ref="AQ16:AQ17" si="52" xml:space="preserve"> IF( ISNUMBER(Q16), 0, 1 )</f>
        <v>0</v>
      </c>
      <c r="AR16" s="2599">
        <f t="shared" ref="AR16:AR17" si="53" xml:space="preserve"> IF( ISNUMBER(R16), 0, 1 )</f>
        <v>0</v>
      </c>
      <c r="AS16" s="2599">
        <f t="shared" ref="AS16:AS17" si="54" xml:space="preserve"> IF( ISNUMBER(S16), 0, 1 )</f>
        <v>0</v>
      </c>
      <c r="AT16" s="2599">
        <f t="shared" ref="AT16:AT17" si="55" xml:space="preserve"> IF( ISNUMBER(T16), 0, 1 )</f>
        <v>0</v>
      </c>
      <c r="AU16" s="2599">
        <f t="shared" ref="AU16:AU17" si="56" xml:space="preserve"> IF( ISNUMBER(U16), 0, 1 )</f>
        <v>0</v>
      </c>
      <c r="AV16" s="2599">
        <f t="shared" ref="AV16:AV17" si="57" xml:space="preserve"> IF( ISNUMBER(V16), 0, 1 )</f>
        <v>0</v>
      </c>
      <c r="AW16" s="1056"/>
      <c r="AX16" s="2560"/>
      <c r="AY16" s="962" t="s">
        <v>9599</v>
      </c>
      <c r="AZ16" s="318" t="s">
        <v>1692</v>
      </c>
      <c r="BA16" s="802" t="s">
        <v>9838</v>
      </c>
      <c r="BB16" s="802" t="s">
        <v>9839</v>
      </c>
      <c r="BC16" s="802" t="s">
        <v>9840</v>
      </c>
      <c r="BD16" s="802" t="s">
        <v>9841</v>
      </c>
      <c r="BE16" s="802" t="s">
        <v>9842</v>
      </c>
      <c r="BF16" s="802" t="s">
        <v>9843</v>
      </c>
      <c r="BG16" s="802" t="s">
        <v>9844</v>
      </c>
      <c r="BH16" s="802" t="s">
        <v>9845</v>
      </c>
      <c r="BI16" s="581" t="s">
        <v>9846</v>
      </c>
      <c r="BJ16" s="802" t="s">
        <v>9847</v>
      </c>
      <c r="BK16" s="802" t="s">
        <v>9848</v>
      </c>
      <c r="BL16" s="802" t="s">
        <v>9849</v>
      </c>
      <c r="BM16" s="802" t="s">
        <v>9850</v>
      </c>
      <c r="BN16" s="802" t="s">
        <v>9851</v>
      </c>
      <c r="BO16" s="802" t="s">
        <v>9852</v>
      </c>
      <c r="BP16" s="802" t="s">
        <v>9853</v>
      </c>
      <c r="BQ16" s="802" t="s">
        <v>9854</v>
      </c>
      <c r="BR16" s="790" t="s">
        <v>9855</v>
      </c>
      <c r="BS16" s="893"/>
    </row>
    <row r="17" spans="2:71" ht="15.75" customHeight="1">
      <c r="B17" s="962" t="s">
        <v>9599</v>
      </c>
      <c r="C17" s="318" t="s">
        <v>1693</v>
      </c>
      <c r="D17" s="253" t="s">
        <v>137</v>
      </c>
      <c r="E17" s="253">
        <v>3</v>
      </c>
      <c r="F17" s="601"/>
      <c r="G17" s="601"/>
      <c r="H17" s="601"/>
      <c r="I17" s="601"/>
      <c r="J17" s="601"/>
      <c r="K17" s="601"/>
      <c r="L17" s="601"/>
      <c r="M17" s="601"/>
      <c r="N17" s="1481">
        <f>IFERROR(SUM(F17:M17),0)</f>
        <v>0</v>
      </c>
      <c r="O17" s="601"/>
      <c r="P17" s="601"/>
      <c r="Q17" s="601"/>
      <c r="R17" s="601"/>
      <c r="S17" s="601"/>
      <c r="T17" s="601"/>
      <c r="U17" s="601"/>
      <c r="V17" s="601"/>
      <c r="W17" s="1482">
        <f>IFERROR(SUM(O17:V17),0)</f>
        <v>0</v>
      </c>
      <c r="X17" s="893"/>
      <c r="Y17" s="966" t="s">
        <v>9856</v>
      </c>
      <c r="Z17" s="222"/>
      <c r="AA17" s="258"/>
      <c r="AB17" s="249"/>
      <c r="AC17" s="1058"/>
      <c r="AD17" s="251" t="str">
        <f t="shared" si="42"/>
        <v>Please complete all cells in row</v>
      </c>
      <c r="AE17" s="1058"/>
      <c r="AF17" s="2599">
        <f xml:space="preserve"> IF( ISNUMBER(F17), 0, 1 )</f>
        <v>1</v>
      </c>
      <c r="AG17" s="2599">
        <f t="shared" si="43"/>
        <v>1</v>
      </c>
      <c r="AH17" s="2599">
        <f t="shared" si="44"/>
        <v>1</v>
      </c>
      <c r="AI17" s="2599">
        <f t="shared" si="45"/>
        <v>1</v>
      </c>
      <c r="AJ17" s="2599">
        <f t="shared" si="46"/>
        <v>1</v>
      </c>
      <c r="AK17" s="2599">
        <f t="shared" si="47"/>
        <v>1</v>
      </c>
      <c r="AL17" s="2599">
        <f t="shared" si="48"/>
        <v>1</v>
      </c>
      <c r="AM17" s="2599">
        <f t="shared" si="49"/>
        <v>1</v>
      </c>
      <c r="AN17" s="2562"/>
      <c r="AO17" s="2599">
        <f t="shared" si="50"/>
        <v>1</v>
      </c>
      <c r="AP17" s="2599">
        <f t="shared" si="51"/>
        <v>1</v>
      </c>
      <c r="AQ17" s="2599">
        <f t="shared" si="52"/>
        <v>1</v>
      </c>
      <c r="AR17" s="2599">
        <f t="shared" si="53"/>
        <v>1</v>
      </c>
      <c r="AS17" s="2599">
        <f t="shared" si="54"/>
        <v>1</v>
      </c>
      <c r="AT17" s="2599">
        <f t="shared" si="55"/>
        <v>1</v>
      </c>
      <c r="AU17" s="2599">
        <f t="shared" si="56"/>
        <v>1</v>
      </c>
      <c r="AV17" s="2599">
        <f t="shared" si="57"/>
        <v>1</v>
      </c>
      <c r="AW17" s="1058"/>
      <c r="AX17" s="2560"/>
      <c r="AY17" s="962" t="s">
        <v>9599</v>
      </c>
      <c r="AZ17" s="318" t="s">
        <v>1693</v>
      </c>
      <c r="BA17" s="802" t="s">
        <v>9857</v>
      </c>
      <c r="BB17" s="802" t="s">
        <v>9858</v>
      </c>
      <c r="BC17" s="802" t="s">
        <v>9859</v>
      </c>
      <c r="BD17" s="802" t="s">
        <v>9860</v>
      </c>
      <c r="BE17" s="802" t="s">
        <v>9861</v>
      </c>
      <c r="BF17" s="802" t="s">
        <v>9862</v>
      </c>
      <c r="BG17" s="802" t="s">
        <v>9863</v>
      </c>
      <c r="BH17" s="802" t="s">
        <v>9864</v>
      </c>
      <c r="BI17" s="581" t="s">
        <v>9865</v>
      </c>
      <c r="BJ17" s="802" t="s">
        <v>9866</v>
      </c>
      <c r="BK17" s="802" t="s">
        <v>9867</v>
      </c>
      <c r="BL17" s="802" t="s">
        <v>9868</v>
      </c>
      <c r="BM17" s="802" t="s">
        <v>9869</v>
      </c>
      <c r="BN17" s="802" t="s">
        <v>9870</v>
      </c>
      <c r="BO17" s="802" t="s">
        <v>9871</v>
      </c>
      <c r="BP17" s="802" t="s">
        <v>9872</v>
      </c>
      <c r="BQ17" s="802" t="s">
        <v>9873</v>
      </c>
      <c r="BR17" s="790" t="s">
        <v>9874</v>
      </c>
      <c r="BS17" s="893"/>
    </row>
    <row r="18" spans="2:71" ht="15.75" customHeight="1">
      <c r="B18" s="962" t="s">
        <v>9599</v>
      </c>
      <c r="C18" s="318" t="s">
        <v>1694</v>
      </c>
      <c r="D18" s="253" t="s">
        <v>137</v>
      </c>
      <c r="E18" s="253">
        <v>3</v>
      </c>
      <c r="F18" s="1481">
        <f>IFERROR(F16+F17,0)</f>
        <v>0</v>
      </c>
      <c r="G18" s="1481">
        <f t="shared" ref="G18:W18" si="58">IFERROR(G16+G17,0)</f>
        <v>0</v>
      </c>
      <c r="H18" s="1481">
        <f t="shared" si="58"/>
        <v>0</v>
      </c>
      <c r="I18" s="1481">
        <f t="shared" si="58"/>
        <v>0</v>
      </c>
      <c r="J18" s="1481">
        <f t="shared" si="58"/>
        <v>0</v>
      </c>
      <c r="K18" s="1481">
        <f t="shared" si="58"/>
        <v>0</v>
      </c>
      <c r="L18" s="1481">
        <f t="shared" si="58"/>
        <v>0</v>
      </c>
      <c r="M18" s="1481">
        <f t="shared" si="58"/>
        <v>0</v>
      </c>
      <c r="N18" s="1481">
        <f t="shared" si="58"/>
        <v>0</v>
      </c>
      <c r="O18" s="1481">
        <f t="shared" si="58"/>
        <v>0</v>
      </c>
      <c r="P18" s="1481">
        <f t="shared" si="58"/>
        <v>0</v>
      </c>
      <c r="Q18" s="1481">
        <f t="shared" si="58"/>
        <v>0</v>
      </c>
      <c r="R18" s="1481">
        <f t="shared" si="58"/>
        <v>0</v>
      </c>
      <c r="S18" s="1481">
        <f t="shared" si="58"/>
        <v>0</v>
      </c>
      <c r="T18" s="1481">
        <f t="shared" si="58"/>
        <v>0</v>
      </c>
      <c r="U18" s="1481">
        <f t="shared" si="58"/>
        <v>0</v>
      </c>
      <c r="V18" s="1481">
        <f t="shared" si="58"/>
        <v>0</v>
      </c>
      <c r="W18" s="1482">
        <f t="shared" si="58"/>
        <v>0</v>
      </c>
      <c r="X18" s="893"/>
      <c r="Y18" s="966" t="s">
        <v>9875</v>
      </c>
      <c r="Z18" s="222"/>
      <c r="AA18" s="1093"/>
      <c r="AB18" s="398"/>
      <c r="AC18" s="1058"/>
      <c r="AD18" s="251"/>
      <c r="AE18" s="1058"/>
      <c r="AF18" s="398"/>
      <c r="AG18" s="398"/>
      <c r="AH18" s="398"/>
      <c r="AI18" s="398"/>
      <c r="AJ18" s="398"/>
      <c r="AK18" s="398"/>
      <c r="AL18" s="398"/>
      <c r="AM18" s="398"/>
      <c r="AN18" s="398"/>
      <c r="AO18" s="398"/>
      <c r="AP18" s="398"/>
      <c r="AQ18" s="398"/>
      <c r="AR18" s="398"/>
      <c r="AS18" s="398"/>
      <c r="AT18" s="398"/>
      <c r="AU18" s="398"/>
      <c r="AV18" s="398"/>
      <c r="AW18" s="1058"/>
      <c r="AX18" s="2560"/>
      <c r="AY18" s="962" t="s">
        <v>9599</v>
      </c>
      <c r="AZ18" s="318" t="s">
        <v>1694</v>
      </c>
      <c r="BA18" s="581" t="s">
        <v>9876</v>
      </c>
      <c r="BB18" s="581" t="s">
        <v>9877</v>
      </c>
      <c r="BC18" s="581" t="s">
        <v>9878</v>
      </c>
      <c r="BD18" s="581" t="s">
        <v>9879</v>
      </c>
      <c r="BE18" s="581" t="s">
        <v>9880</v>
      </c>
      <c r="BF18" s="581" t="s">
        <v>9881</v>
      </c>
      <c r="BG18" s="581" t="s">
        <v>9882</v>
      </c>
      <c r="BH18" s="581" t="s">
        <v>9883</v>
      </c>
      <c r="BI18" s="581" t="s">
        <v>9884</v>
      </c>
      <c r="BJ18" s="581" t="s">
        <v>9885</v>
      </c>
      <c r="BK18" s="581" t="s">
        <v>9886</v>
      </c>
      <c r="BL18" s="581" t="s">
        <v>9887</v>
      </c>
      <c r="BM18" s="581" t="s">
        <v>9888</v>
      </c>
      <c r="BN18" s="581" t="s">
        <v>9889</v>
      </c>
      <c r="BO18" s="581" t="s">
        <v>9890</v>
      </c>
      <c r="BP18" s="581" t="s">
        <v>9891</v>
      </c>
      <c r="BQ18" s="581" t="s">
        <v>9892</v>
      </c>
      <c r="BR18" s="790" t="s">
        <v>9893</v>
      </c>
      <c r="BS18" s="893"/>
    </row>
    <row r="19" spans="2:71" ht="15.75" customHeight="1">
      <c r="B19" s="962" t="s">
        <v>9639</v>
      </c>
      <c r="C19" s="318" t="s">
        <v>1692</v>
      </c>
      <c r="D19" s="253" t="s">
        <v>137</v>
      </c>
      <c r="E19" s="253">
        <v>3</v>
      </c>
      <c r="F19" s="601">
        <v>0</v>
      </c>
      <c r="G19" s="601">
        <v>0</v>
      </c>
      <c r="H19" s="601">
        <v>0</v>
      </c>
      <c r="I19" s="601">
        <v>0</v>
      </c>
      <c r="J19" s="601">
        <v>0</v>
      </c>
      <c r="K19" s="601">
        <v>0</v>
      </c>
      <c r="L19" s="601">
        <v>0</v>
      </c>
      <c r="M19" s="601">
        <v>0</v>
      </c>
      <c r="N19" s="1481">
        <f>IFERROR(SUM(F19:M19),0)</f>
        <v>0</v>
      </c>
      <c r="O19" s="601">
        <v>0</v>
      </c>
      <c r="P19" s="601">
        <v>0</v>
      </c>
      <c r="Q19" s="601">
        <v>0</v>
      </c>
      <c r="R19" s="601">
        <v>0</v>
      </c>
      <c r="S19" s="601">
        <v>0</v>
      </c>
      <c r="T19" s="601">
        <v>0</v>
      </c>
      <c r="U19" s="601">
        <v>0</v>
      </c>
      <c r="V19" s="601">
        <v>0</v>
      </c>
      <c r="W19" s="1482">
        <f>IFERROR(SUM(O19:V19),0)</f>
        <v>0</v>
      </c>
      <c r="X19" s="893"/>
      <c r="Y19" s="966" t="s">
        <v>9894</v>
      </c>
      <c r="Z19" s="222"/>
      <c r="AA19" s="1090"/>
      <c r="AB19" s="398"/>
      <c r="AC19" s="1058"/>
      <c r="AD19" s="251">
        <f t="shared" ref="AD19:AD20" si="59">IF( SUM( AF19:AV19 ) = 0, 0, $AF$7 )</f>
        <v>0</v>
      </c>
      <c r="AE19" s="1058"/>
      <c r="AF19" s="2599">
        <f xml:space="preserve"> IF( ISNUMBER(F19), 0, 1 )</f>
        <v>0</v>
      </c>
      <c r="AG19" s="2599">
        <f t="shared" ref="AG19:AG20" si="60" xml:space="preserve"> IF( ISNUMBER(G19), 0, 1 )</f>
        <v>0</v>
      </c>
      <c r="AH19" s="2599">
        <f t="shared" ref="AH19:AH20" si="61" xml:space="preserve"> IF( ISNUMBER(H19), 0, 1 )</f>
        <v>0</v>
      </c>
      <c r="AI19" s="2599">
        <f t="shared" ref="AI19:AI20" si="62" xml:space="preserve"> IF( ISNUMBER(I19), 0, 1 )</f>
        <v>0</v>
      </c>
      <c r="AJ19" s="2599">
        <f t="shared" ref="AJ19:AJ20" si="63" xml:space="preserve"> IF( ISNUMBER(J19), 0, 1 )</f>
        <v>0</v>
      </c>
      <c r="AK19" s="2599">
        <f t="shared" ref="AK19:AK20" si="64" xml:space="preserve"> IF( ISNUMBER(K19), 0, 1 )</f>
        <v>0</v>
      </c>
      <c r="AL19" s="2599">
        <f t="shared" ref="AL19:AL20" si="65" xml:space="preserve"> IF( ISNUMBER(L19), 0, 1 )</f>
        <v>0</v>
      </c>
      <c r="AM19" s="2599">
        <f t="shared" ref="AM19:AM20" si="66" xml:space="preserve"> IF( ISNUMBER(M19), 0, 1 )</f>
        <v>0</v>
      </c>
      <c r="AN19" s="2562"/>
      <c r="AO19" s="2599">
        <f t="shared" ref="AO19:AO20" si="67" xml:space="preserve"> IF( ISNUMBER(O19), 0, 1 )</f>
        <v>0</v>
      </c>
      <c r="AP19" s="2599">
        <f t="shared" ref="AP19:AP20" si="68" xml:space="preserve"> IF( ISNUMBER(P19), 0, 1 )</f>
        <v>0</v>
      </c>
      <c r="AQ19" s="2599">
        <f t="shared" ref="AQ19:AQ20" si="69" xml:space="preserve"> IF( ISNUMBER(Q19), 0, 1 )</f>
        <v>0</v>
      </c>
      <c r="AR19" s="2599">
        <f t="shared" ref="AR19:AR20" si="70" xml:space="preserve"> IF( ISNUMBER(R19), 0, 1 )</f>
        <v>0</v>
      </c>
      <c r="AS19" s="2599">
        <f t="shared" ref="AS19:AS20" si="71" xml:space="preserve"> IF( ISNUMBER(S19), 0, 1 )</f>
        <v>0</v>
      </c>
      <c r="AT19" s="2599">
        <f t="shared" ref="AT19:AT20" si="72" xml:space="preserve"> IF( ISNUMBER(T19), 0, 1 )</f>
        <v>0</v>
      </c>
      <c r="AU19" s="2599">
        <f t="shared" ref="AU19:AU20" si="73" xml:space="preserve"> IF( ISNUMBER(U19), 0, 1 )</f>
        <v>0</v>
      </c>
      <c r="AV19" s="2599">
        <f t="shared" ref="AV19:AV20" si="74" xml:space="preserve"> IF( ISNUMBER(V19), 0, 1 )</f>
        <v>0</v>
      </c>
      <c r="AW19" s="1058"/>
      <c r="AX19" s="2560"/>
      <c r="AY19" s="962" t="s">
        <v>9639</v>
      </c>
      <c r="AZ19" s="318" t="s">
        <v>1692</v>
      </c>
      <c r="BA19" s="802" t="s">
        <v>9895</v>
      </c>
      <c r="BB19" s="802" t="s">
        <v>9896</v>
      </c>
      <c r="BC19" s="802" t="s">
        <v>9897</v>
      </c>
      <c r="BD19" s="802" t="s">
        <v>9898</v>
      </c>
      <c r="BE19" s="802" t="s">
        <v>9899</v>
      </c>
      <c r="BF19" s="802" t="s">
        <v>9900</v>
      </c>
      <c r="BG19" s="802" t="s">
        <v>9901</v>
      </c>
      <c r="BH19" s="802" t="s">
        <v>9902</v>
      </c>
      <c r="BI19" s="581" t="s">
        <v>9903</v>
      </c>
      <c r="BJ19" s="802" t="s">
        <v>9904</v>
      </c>
      <c r="BK19" s="802" t="s">
        <v>9905</v>
      </c>
      <c r="BL19" s="802" t="s">
        <v>9906</v>
      </c>
      <c r="BM19" s="802" t="s">
        <v>9907</v>
      </c>
      <c r="BN19" s="802" t="s">
        <v>9908</v>
      </c>
      <c r="BO19" s="802" t="s">
        <v>9909</v>
      </c>
      <c r="BP19" s="802" t="s">
        <v>9910</v>
      </c>
      <c r="BQ19" s="802" t="s">
        <v>9911</v>
      </c>
      <c r="BR19" s="790" t="s">
        <v>9912</v>
      </c>
      <c r="BS19" s="893"/>
    </row>
    <row r="20" spans="2:71" ht="15.75" customHeight="1">
      <c r="B20" s="962" t="s">
        <v>9639</v>
      </c>
      <c r="C20" s="318" t="s">
        <v>1693</v>
      </c>
      <c r="D20" s="253" t="s">
        <v>137</v>
      </c>
      <c r="E20" s="253">
        <v>3</v>
      </c>
      <c r="F20" s="601"/>
      <c r="G20" s="601"/>
      <c r="H20" s="601"/>
      <c r="I20" s="601"/>
      <c r="J20" s="601"/>
      <c r="K20" s="601"/>
      <c r="L20" s="601"/>
      <c r="M20" s="601"/>
      <c r="N20" s="1481">
        <f>IFERROR(SUM(F20:M20),0)</f>
        <v>0</v>
      </c>
      <c r="O20" s="601"/>
      <c r="P20" s="601"/>
      <c r="Q20" s="601"/>
      <c r="R20" s="601"/>
      <c r="S20" s="601"/>
      <c r="T20" s="601"/>
      <c r="U20" s="601"/>
      <c r="V20" s="601"/>
      <c r="W20" s="1482">
        <f>IFERROR(SUM(O20:V20),0)</f>
        <v>0</v>
      </c>
      <c r="X20" s="893"/>
      <c r="Y20" s="966" t="s">
        <v>9913</v>
      </c>
      <c r="Z20" s="222"/>
      <c r="AA20" s="1090"/>
      <c r="AB20" s="398"/>
      <c r="AC20" s="1058"/>
      <c r="AD20" s="251" t="str">
        <f t="shared" si="59"/>
        <v>Please complete all cells in row</v>
      </c>
      <c r="AE20" s="1058"/>
      <c r="AF20" s="2599">
        <f xml:space="preserve"> IF( ISNUMBER(F20), 0, 1 )</f>
        <v>1</v>
      </c>
      <c r="AG20" s="2599">
        <f t="shared" si="60"/>
        <v>1</v>
      </c>
      <c r="AH20" s="2599">
        <f t="shared" si="61"/>
        <v>1</v>
      </c>
      <c r="AI20" s="2599">
        <f t="shared" si="62"/>
        <v>1</v>
      </c>
      <c r="AJ20" s="2599">
        <f t="shared" si="63"/>
        <v>1</v>
      </c>
      <c r="AK20" s="2599">
        <f t="shared" si="64"/>
        <v>1</v>
      </c>
      <c r="AL20" s="2599">
        <f t="shared" si="65"/>
        <v>1</v>
      </c>
      <c r="AM20" s="2599">
        <f t="shared" si="66"/>
        <v>1</v>
      </c>
      <c r="AN20" s="2562"/>
      <c r="AO20" s="2599">
        <f t="shared" si="67"/>
        <v>1</v>
      </c>
      <c r="AP20" s="2599">
        <f t="shared" si="68"/>
        <v>1</v>
      </c>
      <c r="AQ20" s="2599">
        <f t="shared" si="69"/>
        <v>1</v>
      </c>
      <c r="AR20" s="2599">
        <f t="shared" si="70"/>
        <v>1</v>
      </c>
      <c r="AS20" s="2599">
        <f t="shared" si="71"/>
        <v>1</v>
      </c>
      <c r="AT20" s="2599">
        <f t="shared" si="72"/>
        <v>1</v>
      </c>
      <c r="AU20" s="2599">
        <f t="shared" si="73"/>
        <v>1</v>
      </c>
      <c r="AV20" s="2599">
        <f t="shared" si="74"/>
        <v>1</v>
      </c>
      <c r="AW20" s="1058"/>
      <c r="AX20" s="2560"/>
      <c r="AY20" s="962" t="s">
        <v>9639</v>
      </c>
      <c r="AZ20" s="318" t="s">
        <v>1693</v>
      </c>
      <c r="BA20" s="802" t="s">
        <v>9914</v>
      </c>
      <c r="BB20" s="802" t="s">
        <v>9915</v>
      </c>
      <c r="BC20" s="802" t="s">
        <v>9916</v>
      </c>
      <c r="BD20" s="802" t="s">
        <v>9917</v>
      </c>
      <c r="BE20" s="802" t="s">
        <v>9918</v>
      </c>
      <c r="BF20" s="802" t="s">
        <v>9919</v>
      </c>
      <c r="BG20" s="802" t="s">
        <v>9920</v>
      </c>
      <c r="BH20" s="802" t="s">
        <v>9921</v>
      </c>
      <c r="BI20" s="581" t="s">
        <v>9922</v>
      </c>
      <c r="BJ20" s="802" t="s">
        <v>9923</v>
      </c>
      <c r="BK20" s="802" t="s">
        <v>9924</v>
      </c>
      <c r="BL20" s="802" t="s">
        <v>9925</v>
      </c>
      <c r="BM20" s="802" t="s">
        <v>9926</v>
      </c>
      <c r="BN20" s="802" t="s">
        <v>9927</v>
      </c>
      <c r="BO20" s="802" t="s">
        <v>9928</v>
      </c>
      <c r="BP20" s="802" t="s">
        <v>9929</v>
      </c>
      <c r="BQ20" s="802" t="s">
        <v>9930</v>
      </c>
      <c r="BR20" s="790" t="s">
        <v>9931</v>
      </c>
      <c r="BS20" s="893"/>
    </row>
    <row r="21" spans="2:71" ht="15.75" customHeight="1">
      <c r="B21" s="962" t="s">
        <v>9639</v>
      </c>
      <c r="C21" s="318" t="s">
        <v>1694</v>
      </c>
      <c r="D21" s="253" t="s">
        <v>137</v>
      </c>
      <c r="E21" s="253">
        <v>3</v>
      </c>
      <c r="F21" s="1481">
        <f>IFERROR(F19+F20,0)</f>
        <v>0</v>
      </c>
      <c r="G21" s="1481">
        <f t="shared" ref="G21:W21" si="75">IFERROR(G19+G20,0)</f>
        <v>0</v>
      </c>
      <c r="H21" s="1481">
        <f t="shared" si="75"/>
        <v>0</v>
      </c>
      <c r="I21" s="1481">
        <f t="shared" si="75"/>
        <v>0</v>
      </c>
      <c r="J21" s="1481">
        <f t="shared" si="75"/>
        <v>0</v>
      </c>
      <c r="K21" s="1481">
        <f t="shared" si="75"/>
        <v>0</v>
      </c>
      <c r="L21" s="1481">
        <f t="shared" si="75"/>
        <v>0</v>
      </c>
      <c r="M21" s="1481">
        <f t="shared" si="75"/>
        <v>0</v>
      </c>
      <c r="N21" s="1481">
        <f t="shared" si="75"/>
        <v>0</v>
      </c>
      <c r="O21" s="1481">
        <f t="shared" si="75"/>
        <v>0</v>
      </c>
      <c r="P21" s="1481">
        <f t="shared" si="75"/>
        <v>0</v>
      </c>
      <c r="Q21" s="1481">
        <f t="shared" si="75"/>
        <v>0</v>
      </c>
      <c r="R21" s="1481">
        <f t="shared" si="75"/>
        <v>0</v>
      </c>
      <c r="S21" s="1481">
        <f t="shared" si="75"/>
        <v>0</v>
      </c>
      <c r="T21" s="1481">
        <f t="shared" si="75"/>
        <v>0</v>
      </c>
      <c r="U21" s="1481">
        <f t="shared" si="75"/>
        <v>0</v>
      </c>
      <c r="V21" s="1481">
        <f t="shared" si="75"/>
        <v>0</v>
      </c>
      <c r="W21" s="1482">
        <f t="shared" si="75"/>
        <v>0</v>
      </c>
      <c r="X21" s="893"/>
      <c r="Y21" s="966" t="s">
        <v>9932</v>
      </c>
      <c r="Z21" s="222"/>
      <c r="AA21" s="1090"/>
      <c r="AB21" s="398"/>
      <c r="AC21" s="1058"/>
      <c r="AD21" s="251"/>
      <c r="AE21" s="1058"/>
      <c r="AF21" s="398"/>
      <c r="AG21" s="398"/>
      <c r="AH21" s="398"/>
      <c r="AI21" s="398"/>
      <c r="AJ21" s="398"/>
      <c r="AK21" s="398"/>
      <c r="AL21" s="398"/>
      <c r="AM21" s="398"/>
      <c r="AN21" s="398"/>
      <c r="AO21" s="398"/>
      <c r="AP21" s="398"/>
      <c r="AQ21" s="398"/>
      <c r="AR21" s="398"/>
      <c r="AS21" s="398"/>
      <c r="AT21" s="398"/>
      <c r="AU21" s="398"/>
      <c r="AV21" s="398"/>
      <c r="AW21" s="1058"/>
      <c r="AX21" s="2560"/>
      <c r="AY21" s="962" t="s">
        <v>9639</v>
      </c>
      <c r="AZ21" s="318" t="s">
        <v>1694</v>
      </c>
      <c r="BA21" s="581" t="s">
        <v>9933</v>
      </c>
      <c r="BB21" s="581" t="s">
        <v>9934</v>
      </c>
      <c r="BC21" s="581" t="s">
        <v>9935</v>
      </c>
      <c r="BD21" s="581" t="s">
        <v>9936</v>
      </c>
      <c r="BE21" s="581" t="s">
        <v>9937</v>
      </c>
      <c r="BF21" s="581" t="s">
        <v>9938</v>
      </c>
      <c r="BG21" s="581" t="s">
        <v>9939</v>
      </c>
      <c r="BH21" s="581" t="s">
        <v>9940</v>
      </c>
      <c r="BI21" s="581" t="s">
        <v>9941</v>
      </c>
      <c r="BJ21" s="581" t="s">
        <v>9942</v>
      </c>
      <c r="BK21" s="581" t="s">
        <v>9943</v>
      </c>
      <c r="BL21" s="581" t="s">
        <v>9944</v>
      </c>
      <c r="BM21" s="581" t="s">
        <v>9945</v>
      </c>
      <c r="BN21" s="581" t="s">
        <v>9946</v>
      </c>
      <c r="BO21" s="581" t="s">
        <v>9947</v>
      </c>
      <c r="BP21" s="581" t="s">
        <v>9948</v>
      </c>
      <c r="BQ21" s="581" t="s">
        <v>9949</v>
      </c>
      <c r="BR21" s="790" t="s">
        <v>9950</v>
      </c>
      <c r="BS21" s="893"/>
    </row>
    <row r="22" spans="2:71" ht="15.75" customHeight="1">
      <c r="B22" s="422" t="s">
        <v>9679</v>
      </c>
      <c r="C22" s="318" t="s">
        <v>1692</v>
      </c>
      <c r="D22" s="253" t="s">
        <v>137</v>
      </c>
      <c r="E22" s="253">
        <v>3</v>
      </c>
      <c r="F22" s="1481">
        <f>IFERROR(F10+F13+F16+F19,0)</f>
        <v>0</v>
      </c>
      <c r="G22" s="1481">
        <f t="shared" ref="G22:W22" si="76">IFERROR(G10+G13+G16+G19,0)</f>
        <v>0</v>
      </c>
      <c r="H22" s="1481">
        <f t="shared" si="76"/>
        <v>0</v>
      </c>
      <c r="I22" s="1481">
        <f t="shared" si="76"/>
        <v>0</v>
      </c>
      <c r="J22" s="1481">
        <f t="shared" si="76"/>
        <v>0</v>
      </c>
      <c r="K22" s="1481">
        <f t="shared" si="76"/>
        <v>0</v>
      </c>
      <c r="L22" s="1481">
        <f t="shared" si="76"/>
        <v>0</v>
      </c>
      <c r="M22" s="1481">
        <f t="shared" si="76"/>
        <v>0</v>
      </c>
      <c r="N22" s="1481">
        <f t="shared" si="76"/>
        <v>0</v>
      </c>
      <c r="O22" s="1481">
        <f t="shared" si="76"/>
        <v>0</v>
      </c>
      <c r="P22" s="1481">
        <f t="shared" si="76"/>
        <v>0</v>
      </c>
      <c r="Q22" s="1481">
        <f t="shared" si="76"/>
        <v>0</v>
      </c>
      <c r="R22" s="1481">
        <f>IFERROR(R10+R13+R16+R19,0)</f>
        <v>0</v>
      </c>
      <c r="S22" s="1481">
        <f t="shared" si="76"/>
        <v>0</v>
      </c>
      <c r="T22" s="1481">
        <f>IFERROR(T10+T13+T16+T19,0)</f>
        <v>0</v>
      </c>
      <c r="U22" s="1481">
        <f t="shared" si="76"/>
        <v>0</v>
      </c>
      <c r="V22" s="1481">
        <f t="shared" si="76"/>
        <v>0</v>
      </c>
      <c r="W22" s="1482">
        <f t="shared" si="76"/>
        <v>0</v>
      </c>
      <c r="X22" s="893"/>
      <c r="Y22" s="966" t="s">
        <v>9951</v>
      </c>
      <c r="Z22" s="222"/>
      <c r="AA22" s="399"/>
      <c r="AB22" s="398"/>
      <c r="AC22" s="1058"/>
      <c r="AD22" s="251"/>
      <c r="AE22" s="1058"/>
      <c r="AF22" s="398"/>
      <c r="AG22" s="398"/>
      <c r="AH22" s="398"/>
      <c r="AI22" s="398"/>
      <c r="AJ22" s="398"/>
      <c r="AK22" s="398"/>
      <c r="AL22" s="398"/>
      <c r="AM22" s="398"/>
      <c r="AN22" s="398"/>
      <c r="AO22" s="398"/>
      <c r="AP22" s="398"/>
      <c r="AQ22" s="398"/>
      <c r="AR22" s="398"/>
      <c r="AS22" s="398"/>
      <c r="AT22" s="398"/>
      <c r="AU22" s="398"/>
      <c r="AV22" s="398"/>
      <c r="AW22" s="1058"/>
      <c r="AX22" s="2560"/>
      <c r="AY22" s="422" t="s">
        <v>9679</v>
      </c>
      <c r="AZ22" s="318" t="s">
        <v>1692</v>
      </c>
      <c r="BA22" s="581" t="s">
        <v>9952</v>
      </c>
      <c r="BB22" s="581" t="s">
        <v>9953</v>
      </c>
      <c r="BC22" s="581" t="s">
        <v>9954</v>
      </c>
      <c r="BD22" s="581" t="s">
        <v>9955</v>
      </c>
      <c r="BE22" s="581" t="s">
        <v>9956</v>
      </c>
      <c r="BF22" s="581" t="s">
        <v>9957</v>
      </c>
      <c r="BG22" s="581" t="s">
        <v>9958</v>
      </c>
      <c r="BH22" s="581" t="s">
        <v>9959</v>
      </c>
      <c r="BI22" s="581" t="s">
        <v>9960</v>
      </c>
      <c r="BJ22" s="581" t="s">
        <v>9961</v>
      </c>
      <c r="BK22" s="581" t="s">
        <v>9962</v>
      </c>
      <c r="BL22" s="581" t="s">
        <v>9963</v>
      </c>
      <c r="BM22" s="581" t="s">
        <v>9964</v>
      </c>
      <c r="BN22" s="581" t="s">
        <v>9965</v>
      </c>
      <c r="BO22" s="581" t="s">
        <v>9966</v>
      </c>
      <c r="BP22" s="581" t="s">
        <v>9967</v>
      </c>
      <c r="BQ22" s="581" t="s">
        <v>9968</v>
      </c>
      <c r="BR22" s="790" t="s">
        <v>9969</v>
      </c>
      <c r="BS22" s="893"/>
    </row>
    <row r="23" spans="2:71" ht="15.75" customHeight="1">
      <c r="B23" s="422" t="s">
        <v>9693</v>
      </c>
      <c r="C23" s="318" t="s">
        <v>1693</v>
      </c>
      <c r="D23" s="253" t="s">
        <v>137</v>
      </c>
      <c r="E23" s="253">
        <v>3</v>
      </c>
      <c r="F23" s="1481">
        <f>IFERROR(F11+F14+F17+F20,0)</f>
        <v>0</v>
      </c>
      <c r="G23" s="1481">
        <f t="shared" ref="G23:W23" si="77">IFERROR(G11+G14+G17+G20,0)</f>
        <v>0</v>
      </c>
      <c r="H23" s="1481">
        <f t="shared" si="77"/>
        <v>0</v>
      </c>
      <c r="I23" s="1481">
        <f t="shared" si="77"/>
        <v>0</v>
      </c>
      <c r="J23" s="1481">
        <f t="shared" si="77"/>
        <v>0</v>
      </c>
      <c r="K23" s="1481">
        <f>IFERROR(K11+K14+K17+K20,0)</f>
        <v>0</v>
      </c>
      <c r="L23" s="1481">
        <f t="shared" si="77"/>
        <v>0</v>
      </c>
      <c r="M23" s="1481">
        <f t="shared" si="77"/>
        <v>0</v>
      </c>
      <c r="N23" s="1481">
        <f t="shared" si="77"/>
        <v>0</v>
      </c>
      <c r="O23" s="1481">
        <f t="shared" si="77"/>
        <v>0</v>
      </c>
      <c r="P23" s="1481">
        <f t="shared" si="77"/>
        <v>0</v>
      </c>
      <c r="Q23" s="1481">
        <f t="shared" si="77"/>
        <v>0</v>
      </c>
      <c r="R23" s="1481">
        <f t="shared" si="77"/>
        <v>0</v>
      </c>
      <c r="S23" s="1481">
        <f t="shared" si="77"/>
        <v>0</v>
      </c>
      <c r="T23" s="1481">
        <f>IFERROR(T11+T14+T17+T20,0)</f>
        <v>0</v>
      </c>
      <c r="U23" s="1481">
        <f t="shared" si="77"/>
        <v>0</v>
      </c>
      <c r="V23" s="1481">
        <f t="shared" si="77"/>
        <v>0</v>
      </c>
      <c r="W23" s="1482">
        <f t="shared" si="77"/>
        <v>0</v>
      </c>
      <c r="X23" s="893"/>
      <c r="Y23" s="966" t="s">
        <v>9970</v>
      </c>
      <c r="Z23" s="222"/>
      <c r="AA23" s="399"/>
      <c r="AB23" s="398"/>
      <c r="AC23" s="1058"/>
      <c r="AD23" s="251"/>
      <c r="AE23" s="1058"/>
      <c r="AF23" s="398"/>
      <c r="AG23" s="398"/>
      <c r="AH23" s="398"/>
      <c r="AI23" s="398"/>
      <c r="AJ23" s="398"/>
      <c r="AK23" s="398"/>
      <c r="AL23" s="398"/>
      <c r="AM23" s="398"/>
      <c r="AN23" s="398"/>
      <c r="AO23" s="398"/>
      <c r="AP23" s="398"/>
      <c r="AQ23" s="398"/>
      <c r="AR23" s="398"/>
      <c r="AS23" s="398"/>
      <c r="AT23" s="398"/>
      <c r="AU23" s="398"/>
      <c r="AV23" s="398"/>
      <c r="AW23" s="1058"/>
      <c r="AX23" s="2560"/>
      <c r="AY23" s="422" t="s">
        <v>9693</v>
      </c>
      <c r="AZ23" s="318" t="s">
        <v>1693</v>
      </c>
      <c r="BA23" s="581" t="s">
        <v>9971</v>
      </c>
      <c r="BB23" s="581" t="s">
        <v>9972</v>
      </c>
      <c r="BC23" s="581" t="s">
        <v>9973</v>
      </c>
      <c r="BD23" s="581" t="s">
        <v>9974</v>
      </c>
      <c r="BE23" s="581" t="s">
        <v>9975</v>
      </c>
      <c r="BF23" s="581" t="s">
        <v>9976</v>
      </c>
      <c r="BG23" s="581" t="s">
        <v>9977</v>
      </c>
      <c r="BH23" s="581" t="s">
        <v>9978</v>
      </c>
      <c r="BI23" s="581" t="s">
        <v>9979</v>
      </c>
      <c r="BJ23" s="581" t="s">
        <v>9980</v>
      </c>
      <c r="BK23" s="581" t="s">
        <v>9981</v>
      </c>
      <c r="BL23" s="581" t="s">
        <v>9982</v>
      </c>
      <c r="BM23" s="581" t="s">
        <v>9983</v>
      </c>
      <c r="BN23" s="581" t="s">
        <v>9984</v>
      </c>
      <c r="BO23" s="581" t="s">
        <v>9985</v>
      </c>
      <c r="BP23" s="581" t="s">
        <v>9986</v>
      </c>
      <c r="BQ23" s="581" t="s">
        <v>9987</v>
      </c>
      <c r="BR23" s="790" t="s">
        <v>9988</v>
      </c>
      <c r="BS23" s="893"/>
    </row>
    <row r="24" spans="2:71" ht="15.75" customHeight="1" thickBot="1">
      <c r="B24" s="425" t="s">
        <v>9707</v>
      </c>
      <c r="C24" s="976" t="s">
        <v>1694</v>
      </c>
      <c r="D24" s="319" t="s">
        <v>137</v>
      </c>
      <c r="E24" s="319">
        <v>3</v>
      </c>
      <c r="F24" s="1473">
        <f>IFERROR(F22+F23,0)</f>
        <v>0</v>
      </c>
      <c r="G24" s="1473">
        <f t="shared" ref="G24:W24" si="78">IFERROR(G22+G23,0)</f>
        <v>0</v>
      </c>
      <c r="H24" s="1473">
        <f t="shared" si="78"/>
        <v>0</v>
      </c>
      <c r="I24" s="1473">
        <f t="shared" si="78"/>
        <v>0</v>
      </c>
      <c r="J24" s="1473">
        <f t="shared" si="78"/>
        <v>0</v>
      </c>
      <c r="K24" s="1473">
        <f>IFERROR(K22+K23,0)</f>
        <v>0</v>
      </c>
      <c r="L24" s="1473">
        <f t="shared" si="78"/>
        <v>0</v>
      </c>
      <c r="M24" s="1473">
        <f t="shared" si="78"/>
        <v>0</v>
      </c>
      <c r="N24" s="1473">
        <f t="shared" si="78"/>
        <v>0</v>
      </c>
      <c r="O24" s="1473">
        <f t="shared" si="78"/>
        <v>0</v>
      </c>
      <c r="P24" s="1473">
        <f t="shared" si="78"/>
        <v>0</v>
      </c>
      <c r="Q24" s="1473">
        <f t="shared" si="78"/>
        <v>0</v>
      </c>
      <c r="R24" s="1473">
        <f t="shared" si="78"/>
        <v>0</v>
      </c>
      <c r="S24" s="1473">
        <f t="shared" si="78"/>
        <v>0</v>
      </c>
      <c r="T24" s="1473">
        <f t="shared" si="78"/>
        <v>0</v>
      </c>
      <c r="U24" s="1473">
        <f t="shared" si="78"/>
        <v>0</v>
      </c>
      <c r="V24" s="1473">
        <f t="shared" si="78"/>
        <v>0</v>
      </c>
      <c r="W24" s="1483">
        <f t="shared" si="78"/>
        <v>0</v>
      </c>
      <c r="X24" s="83"/>
      <c r="Y24" s="980" t="s">
        <v>9989</v>
      </c>
      <c r="Z24" s="222"/>
      <c r="AA24" s="269"/>
      <c r="AB24" s="398"/>
      <c r="AC24" s="1058"/>
      <c r="AD24" s="251"/>
      <c r="AE24" s="1058"/>
      <c r="AF24" s="398"/>
      <c r="AG24" s="398"/>
      <c r="AH24" s="398"/>
      <c r="AI24" s="398"/>
      <c r="AJ24" s="398"/>
      <c r="AK24" s="398"/>
      <c r="AL24" s="398"/>
      <c r="AM24" s="398"/>
      <c r="AN24" s="398"/>
      <c r="AO24" s="398"/>
      <c r="AP24" s="398"/>
      <c r="AQ24" s="398"/>
      <c r="AR24" s="398"/>
      <c r="AS24" s="398"/>
      <c r="AT24" s="398"/>
      <c r="AU24" s="398"/>
      <c r="AV24" s="398"/>
      <c r="AW24" s="1058"/>
      <c r="AX24" s="2560"/>
      <c r="AY24" s="425" t="s">
        <v>9707</v>
      </c>
      <c r="AZ24" s="976" t="s">
        <v>1694</v>
      </c>
      <c r="BA24" s="583" t="s">
        <v>9990</v>
      </c>
      <c r="BB24" s="583" t="s">
        <v>9991</v>
      </c>
      <c r="BC24" s="583" t="s">
        <v>9992</v>
      </c>
      <c r="BD24" s="583" t="s">
        <v>9993</v>
      </c>
      <c r="BE24" s="583" t="s">
        <v>9994</v>
      </c>
      <c r="BF24" s="583" t="s">
        <v>9995</v>
      </c>
      <c r="BG24" s="583" t="s">
        <v>9996</v>
      </c>
      <c r="BH24" s="583" t="s">
        <v>9997</v>
      </c>
      <c r="BI24" s="583" t="s">
        <v>9998</v>
      </c>
      <c r="BJ24" s="583" t="s">
        <v>9999</v>
      </c>
      <c r="BK24" s="583" t="s">
        <v>10000</v>
      </c>
      <c r="BL24" s="583" t="s">
        <v>10001</v>
      </c>
      <c r="BM24" s="583" t="s">
        <v>10002</v>
      </c>
      <c r="BN24" s="583" t="s">
        <v>10003</v>
      </c>
      <c r="BO24" s="583" t="s">
        <v>10004</v>
      </c>
      <c r="BP24" s="583" t="s">
        <v>10005</v>
      </c>
      <c r="BQ24" s="583" t="s">
        <v>10006</v>
      </c>
      <c r="BR24" s="379" t="s">
        <v>10007</v>
      </c>
      <c r="BS24" s="345"/>
    </row>
    <row r="25" spans="2:71" ht="16" thickTop="1">
      <c r="B25" s="222"/>
      <c r="C25" s="222"/>
      <c r="D25" s="222"/>
      <c r="E25" s="222"/>
      <c r="F25" s="222"/>
      <c r="G25" s="222"/>
      <c r="H25" s="222"/>
      <c r="I25" s="222"/>
      <c r="J25" s="222"/>
      <c r="K25" s="222"/>
      <c r="L25" s="222"/>
      <c r="M25" s="222"/>
      <c r="N25" s="222"/>
      <c r="O25" s="222"/>
      <c r="P25" s="222"/>
      <c r="Q25" s="222"/>
      <c r="R25" s="222"/>
      <c r="S25" s="222"/>
      <c r="T25" s="222"/>
      <c r="U25" s="222"/>
      <c r="V25" s="222"/>
      <c r="W25" s="222"/>
      <c r="X25" s="222"/>
      <c r="Y25" s="222"/>
      <c r="Z25" s="222"/>
      <c r="AA25" s="1091"/>
      <c r="AB25" s="398"/>
      <c r="AC25" s="398"/>
      <c r="AD25" s="251"/>
      <c r="AE25" s="398"/>
      <c r="AF25" s="398"/>
      <c r="AG25" s="398"/>
      <c r="AH25" s="398"/>
      <c r="AI25" s="398"/>
      <c r="AJ25" s="398"/>
      <c r="AK25" s="398"/>
      <c r="AL25" s="398"/>
      <c r="AM25" s="398"/>
      <c r="AN25" s="398"/>
      <c r="AO25" s="398"/>
      <c r="AP25" s="398"/>
      <c r="AQ25" s="398"/>
      <c r="AR25" s="398"/>
      <c r="AS25" s="398"/>
      <c r="AT25" s="398"/>
      <c r="AU25" s="398"/>
      <c r="AV25" s="398"/>
      <c r="AW25" s="398"/>
      <c r="AX25" s="2560"/>
      <c r="AY25" s="2560"/>
      <c r="AZ25" s="2560"/>
      <c r="BA25" s="2560"/>
      <c r="BB25" s="2560"/>
      <c r="BC25" s="2560"/>
      <c r="BD25" s="2560"/>
      <c r="BE25" s="2560"/>
      <c r="BF25" s="2560"/>
      <c r="BG25" s="2560"/>
      <c r="BH25" s="2560"/>
      <c r="BI25" s="2560"/>
      <c r="BJ25" s="2560"/>
      <c r="BK25" s="2560"/>
      <c r="BL25" s="2560"/>
      <c r="BM25" s="2560"/>
      <c r="BN25" s="2560"/>
      <c r="BO25" s="2560"/>
      <c r="BP25" s="2560"/>
      <c r="BQ25" s="2560"/>
      <c r="BR25" s="2560"/>
      <c r="BS25" s="2560"/>
    </row>
    <row r="26" spans="2:71">
      <c r="B26" s="222"/>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1091"/>
      <c r="AB26" s="398"/>
      <c r="AC26" s="398"/>
      <c r="AD26" s="251"/>
      <c r="AE26" s="398"/>
      <c r="AF26" s="398"/>
      <c r="AG26" s="398"/>
      <c r="AH26" s="398"/>
      <c r="AI26" s="398"/>
      <c r="AJ26" s="398"/>
      <c r="AK26" s="398"/>
      <c r="AL26" s="398"/>
      <c r="AM26" s="398"/>
      <c r="AN26" s="398"/>
      <c r="AO26" s="398"/>
      <c r="AP26" s="398"/>
      <c r="AQ26" s="398"/>
      <c r="AR26" s="398"/>
      <c r="AS26" s="398"/>
      <c r="AT26" s="398"/>
      <c r="AU26" s="398"/>
      <c r="AV26" s="398"/>
      <c r="AW26" s="398"/>
      <c r="AX26" s="2560"/>
      <c r="AY26" s="2560"/>
      <c r="AZ26" s="2560"/>
      <c r="BA26" s="2560"/>
      <c r="BB26" s="2560"/>
      <c r="BC26" s="2560"/>
      <c r="BD26" s="2560"/>
      <c r="BE26" s="2560"/>
      <c r="BF26" s="2560"/>
      <c r="BG26" s="2560"/>
      <c r="BH26" s="2560"/>
      <c r="BI26" s="2560"/>
      <c r="BJ26" s="2560"/>
      <c r="BK26" s="2560"/>
      <c r="BL26" s="2560"/>
      <c r="BM26" s="2560"/>
      <c r="BN26" s="2560"/>
      <c r="BO26" s="2560"/>
      <c r="BP26" s="2560"/>
      <c r="BQ26" s="2560"/>
      <c r="BR26" s="2560"/>
      <c r="BS26" s="2560"/>
    </row>
    <row r="27" spans="2:71">
      <c r="B27" s="222"/>
      <c r="C27" s="222"/>
      <c r="D27" s="222"/>
      <c r="E27" s="222"/>
      <c r="F27" s="222"/>
      <c r="G27" s="222"/>
      <c r="H27" s="222"/>
      <c r="I27" s="222"/>
      <c r="J27" s="222"/>
      <c r="K27" s="222"/>
      <c r="L27" s="222"/>
      <c r="M27" s="222"/>
      <c r="N27" s="222"/>
      <c r="O27" s="222"/>
      <c r="P27" s="222"/>
      <c r="Q27" s="222"/>
      <c r="R27" s="222"/>
      <c r="S27" s="222"/>
      <c r="T27" s="222"/>
      <c r="U27" s="222"/>
      <c r="V27" s="222"/>
      <c r="W27" s="222"/>
      <c r="X27" s="222"/>
      <c r="Y27" s="222"/>
      <c r="Z27" s="222"/>
      <c r="AA27" s="1091"/>
      <c r="AB27" s="398"/>
      <c r="AC27" s="398"/>
      <c r="AD27" s="251"/>
      <c r="AE27" s="398"/>
      <c r="AF27" s="398"/>
      <c r="AG27" s="398"/>
      <c r="AH27" s="398"/>
      <c r="AI27" s="398"/>
      <c r="AJ27" s="398"/>
      <c r="AK27" s="398"/>
      <c r="AL27" s="398"/>
      <c r="AM27" s="398"/>
      <c r="AN27" s="398"/>
      <c r="AO27" s="398"/>
      <c r="AP27" s="398"/>
      <c r="AQ27" s="398"/>
      <c r="AR27" s="398"/>
      <c r="AS27" s="398"/>
      <c r="AT27" s="398"/>
      <c r="AU27" s="398"/>
      <c r="AV27" s="398"/>
      <c r="AW27" s="398"/>
      <c r="AX27" s="2560"/>
      <c r="AY27" s="2560"/>
      <c r="AZ27" s="2560"/>
      <c r="BA27" s="2560"/>
      <c r="BB27" s="2560"/>
      <c r="BC27" s="2560"/>
      <c r="BD27" s="2560"/>
      <c r="BE27" s="2560"/>
      <c r="BF27" s="2560"/>
      <c r="BG27" s="2560"/>
      <c r="BH27" s="2560"/>
      <c r="BI27" s="2560"/>
      <c r="BJ27" s="2560"/>
      <c r="BK27" s="2560"/>
      <c r="BL27" s="2560"/>
      <c r="BM27" s="2560"/>
      <c r="BN27" s="2560"/>
      <c r="BO27" s="2560"/>
      <c r="BP27" s="2560"/>
      <c r="BQ27" s="2560"/>
      <c r="BR27" s="2560"/>
      <c r="BS27" s="2560"/>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98" priority="5" operator="equal">
      <formula>0</formula>
    </cfRule>
  </conditionalFormatting>
  <conditionalFormatting sqref="AD4:AD27">
    <cfRule type="cellIs" dxfId="97" priority="1" operator="equal">
      <formula>0</formula>
    </cfRule>
  </conditionalFormatting>
  <dataValidations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tabColor theme="2" tint="-0.499984740745262"/>
  </sheetPr>
  <dimension ref="B1:AS26"/>
  <sheetViews>
    <sheetView showGridLines="0" zoomScaleNormal="100" workbookViewId="0">
      <selection activeCell="B1" sqref="B1:N1"/>
    </sheetView>
  </sheetViews>
  <sheetFormatPr defaultColWidth="9" defaultRowHeight="15.5"/>
  <cols>
    <col min="1" max="1" width="9" style="220"/>
    <col min="2" max="2" width="44.08203125" style="220" bestFit="1" customWidth="1"/>
    <col min="3" max="4" width="6" style="220" customWidth="1"/>
    <col min="5" max="7" width="7.58203125" style="220" bestFit="1" customWidth="1"/>
    <col min="8" max="8" width="3.58203125" style="220" bestFit="1" customWidth="1"/>
    <col min="9" max="9" width="7.58203125" style="220" customWidth="1"/>
    <col min="10" max="12" width="7.58203125" style="228" bestFit="1" customWidth="1"/>
    <col min="13" max="13" width="3.58203125" style="228" bestFit="1" customWidth="1"/>
    <col min="14" max="14" width="14.58203125" style="228" bestFit="1" customWidth="1"/>
    <col min="15" max="15" width="1.08203125" style="228" customWidth="1"/>
    <col min="16" max="16" width="7.58203125" style="220" customWidth="1"/>
    <col min="17" max="17" width="1" style="220" customWidth="1"/>
    <col min="18" max="18" width="33.58203125" style="106" customWidth="1"/>
    <col min="19" max="20" width="1.58203125" style="106" customWidth="1"/>
    <col min="21" max="21" width="25.08203125" style="106" customWidth="1"/>
    <col min="22" max="22" width="1.58203125" style="106" customWidth="1"/>
    <col min="23" max="32" width="6.08203125" style="106" hidden="1" customWidth="1"/>
    <col min="33" max="33" width="1.58203125" style="106" hidden="1" customWidth="1"/>
    <col min="34" max="34" width="1.58203125" style="220" customWidth="1"/>
    <col min="35" max="35" width="45.58203125" style="220" bestFit="1" customWidth="1"/>
    <col min="36" max="36" width="18.5" style="220" bestFit="1" customWidth="1"/>
    <col min="37" max="37" width="18.08203125" style="220" bestFit="1" customWidth="1"/>
    <col min="38" max="38" width="18.5" style="220" bestFit="1" customWidth="1"/>
    <col min="39" max="39" width="3.58203125" style="220" bestFit="1" customWidth="1"/>
    <col min="40" max="40" width="18.08203125" style="220" bestFit="1" customWidth="1"/>
    <col min="41" max="41" width="18.58203125" style="220" bestFit="1" customWidth="1"/>
    <col min="42" max="42" width="18.5" style="220" bestFit="1" customWidth="1"/>
    <col min="43" max="43" width="18.58203125" style="220" bestFit="1" customWidth="1"/>
    <col min="44" max="44" width="3.58203125" style="220" bestFit="1" customWidth="1"/>
    <col min="45" max="45" width="18.5" style="220" bestFit="1" customWidth="1"/>
    <col min="46" max="16384" width="9" style="220"/>
  </cols>
  <sheetData>
    <row r="1" spans="2:45" s="351" customFormat="1" ht="22.5" customHeight="1">
      <c r="B1" s="2771" t="s">
        <v>10008</v>
      </c>
      <c r="C1" s="2771"/>
      <c r="D1" s="2771"/>
      <c r="E1" s="2771"/>
      <c r="F1" s="2771"/>
      <c r="G1" s="2771"/>
      <c r="H1" s="2771"/>
      <c r="I1" s="2771"/>
      <c r="J1" s="2771"/>
      <c r="K1" s="2771"/>
      <c r="L1" s="2771"/>
      <c r="M1" s="2771"/>
      <c r="N1" s="2771"/>
      <c r="O1" s="228"/>
      <c r="P1" s="490"/>
      <c r="Q1" s="490"/>
      <c r="R1" s="106"/>
      <c r="S1" s="106"/>
      <c r="T1" s="1056"/>
      <c r="U1" s="251"/>
      <c r="V1" s="1056"/>
      <c r="W1" s="106"/>
      <c r="X1" s="106"/>
      <c r="Y1" s="106"/>
      <c r="Z1" s="106"/>
      <c r="AA1" s="106"/>
      <c r="AB1" s="106"/>
      <c r="AC1" s="106"/>
      <c r="AD1" s="106"/>
      <c r="AE1" s="106"/>
      <c r="AF1" s="106"/>
      <c r="AG1" s="1056"/>
      <c r="AI1" s="2771" t="s">
        <v>1887</v>
      </c>
      <c r="AJ1" s="2771"/>
      <c r="AK1" s="2771"/>
      <c r="AL1" s="2771"/>
    </row>
    <row r="2" spans="2:45" s="351" customFormat="1" ht="22.5">
      <c r="B2" s="2771" t="str">
        <f>SelectCompany!B4</f>
        <v>Yorkshire Water</v>
      </c>
      <c r="C2" s="2771"/>
      <c r="D2" s="2771"/>
      <c r="E2" s="2771"/>
      <c r="F2" s="2585"/>
      <c r="G2" s="2585"/>
      <c r="H2" s="2585"/>
      <c r="I2" s="2585"/>
      <c r="J2" s="2585"/>
      <c r="K2" s="2585"/>
      <c r="L2" s="2585"/>
      <c r="M2" s="2585"/>
      <c r="N2" s="2585"/>
      <c r="O2" s="228"/>
      <c r="P2" s="490"/>
      <c r="Q2" s="490"/>
      <c r="R2" s="106"/>
      <c r="S2" s="106"/>
      <c r="T2" s="1056"/>
      <c r="U2" s="251"/>
      <c r="V2" s="1056"/>
      <c r="W2" s="106"/>
      <c r="X2" s="106"/>
      <c r="Y2" s="106"/>
      <c r="Z2" s="106"/>
      <c r="AA2" s="106"/>
      <c r="AB2" s="106"/>
      <c r="AC2" s="106"/>
      <c r="AD2" s="106"/>
      <c r="AE2" s="106"/>
      <c r="AF2" s="106"/>
      <c r="AG2" s="1056"/>
    </row>
    <row r="3" spans="2:45" ht="22.5">
      <c r="B3" s="2781" t="s">
        <v>10009</v>
      </c>
      <c r="C3" s="2781"/>
      <c r="D3" s="2781"/>
      <c r="E3" s="2781"/>
      <c r="F3" s="2781"/>
      <c r="G3" s="2781"/>
      <c r="H3" s="2781"/>
      <c r="I3" s="2781"/>
      <c r="J3" s="2781"/>
      <c r="K3" s="2781"/>
      <c r="L3" s="2781"/>
      <c r="M3" s="2781"/>
      <c r="N3" s="2781"/>
      <c r="O3" s="594"/>
      <c r="P3" s="228"/>
      <c r="Q3" s="2562"/>
      <c r="R3" s="2562"/>
      <c r="T3" s="1056"/>
      <c r="U3" s="554" t="s">
        <v>1889</v>
      </c>
      <c r="V3" s="1056"/>
      <c r="AG3" s="1056"/>
      <c r="AH3" s="2562"/>
      <c r="AI3" s="2781" t="s">
        <v>10009</v>
      </c>
      <c r="AJ3" s="2781"/>
      <c r="AK3" s="2781"/>
      <c r="AL3" s="2781"/>
      <c r="AM3" s="2781"/>
      <c r="AN3" s="2781"/>
      <c r="AO3" s="2781"/>
      <c r="AP3" s="2781"/>
      <c r="AQ3" s="2781"/>
      <c r="AR3" s="2781"/>
      <c r="AS3" s="2781"/>
    </row>
    <row r="4" spans="2:45" ht="23" thickBot="1">
      <c r="B4" s="594"/>
      <c r="C4" s="594"/>
      <c r="D4" s="594"/>
      <c r="E4" s="594"/>
      <c r="F4" s="594"/>
      <c r="G4" s="594"/>
      <c r="H4" s="594"/>
      <c r="I4" s="594"/>
      <c r="J4" s="594"/>
      <c r="K4" s="594"/>
      <c r="L4" s="594"/>
      <c r="M4" s="594"/>
      <c r="N4" s="594"/>
      <c r="O4" s="594"/>
      <c r="P4" s="228"/>
      <c r="Q4" s="2562"/>
      <c r="T4" s="1056"/>
      <c r="U4" s="251"/>
      <c r="V4" s="1056"/>
      <c r="AG4" s="1056"/>
      <c r="AH4" s="2562"/>
      <c r="AI4" s="594"/>
      <c r="AJ4" s="594"/>
      <c r="AK4" s="594"/>
      <c r="AL4" s="594"/>
      <c r="AM4" s="594"/>
      <c r="AN4" s="594"/>
      <c r="AO4" s="594"/>
      <c r="AP4" s="594"/>
      <c r="AQ4" s="594"/>
      <c r="AR4" s="594"/>
      <c r="AS4" s="594"/>
    </row>
    <row r="5" spans="2:45" ht="16" thickTop="1">
      <c r="B5" s="2785"/>
      <c r="C5" s="2787" t="s">
        <v>1892</v>
      </c>
      <c r="D5" s="2787" t="s">
        <v>136</v>
      </c>
      <c r="E5" s="2787" t="s">
        <v>2539</v>
      </c>
      <c r="F5" s="2787"/>
      <c r="G5" s="2787"/>
      <c r="H5" s="2787"/>
      <c r="I5" s="2787"/>
      <c r="J5" s="2787" t="s">
        <v>5325</v>
      </c>
      <c r="K5" s="2787"/>
      <c r="L5" s="2787"/>
      <c r="M5" s="2787"/>
      <c r="N5" s="2788"/>
      <c r="O5" s="678"/>
      <c r="P5" s="2863" t="s">
        <v>1896</v>
      </c>
      <c r="Q5" s="197"/>
      <c r="R5" s="2763" t="s">
        <v>1897</v>
      </c>
      <c r="T5" s="1056"/>
      <c r="U5" s="251"/>
      <c r="V5" s="1056"/>
      <c r="AG5" s="1056"/>
      <c r="AH5" s="2562"/>
      <c r="AI5" s="2785"/>
      <c r="AJ5" s="2787" t="s">
        <v>2539</v>
      </c>
      <c r="AK5" s="2787"/>
      <c r="AL5" s="2787"/>
      <c r="AM5" s="2787"/>
      <c r="AN5" s="2787"/>
      <c r="AO5" s="2787" t="s">
        <v>5325</v>
      </c>
      <c r="AP5" s="2787"/>
      <c r="AQ5" s="2787"/>
      <c r="AR5" s="2787"/>
      <c r="AS5" s="2788"/>
    </row>
    <row r="6" spans="2:45" ht="76.5" thickBot="1">
      <c r="B6" s="2786"/>
      <c r="C6" s="2865"/>
      <c r="D6" s="2865"/>
      <c r="E6" s="1094" t="s">
        <v>2828</v>
      </c>
      <c r="F6" s="1094" t="s">
        <v>5326</v>
      </c>
      <c r="G6" s="1094" t="s">
        <v>5327</v>
      </c>
      <c r="H6" s="1094" t="s">
        <v>2831</v>
      </c>
      <c r="I6" s="1094" t="s">
        <v>3961</v>
      </c>
      <c r="J6" s="1094" t="s">
        <v>2828</v>
      </c>
      <c r="K6" s="1094" t="s">
        <v>5326</v>
      </c>
      <c r="L6" s="1094" t="s">
        <v>5327</v>
      </c>
      <c r="M6" s="1094" t="s">
        <v>2831</v>
      </c>
      <c r="N6" s="1095" t="s">
        <v>3961</v>
      </c>
      <c r="O6" s="313"/>
      <c r="P6" s="2864"/>
      <c r="Q6" s="197"/>
      <c r="R6" s="2765"/>
      <c r="S6" s="634"/>
      <c r="T6" s="1056"/>
      <c r="U6" s="251"/>
      <c r="V6" s="1056"/>
      <c r="W6" s="2662" t="s">
        <v>1890</v>
      </c>
      <c r="X6" s="2662"/>
      <c r="Y6" s="2662"/>
      <c r="Z6" s="2662"/>
      <c r="AA6" s="2662"/>
      <c r="AB6" s="2662"/>
      <c r="AC6" s="2662"/>
      <c r="AD6" s="2662"/>
      <c r="AE6" s="2662"/>
      <c r="AF6" s="2662"/>
      <c r="AG6" s="1056"/>
      <c r="AH6" s="2562"/>
      <c r="AI6" s="2786"/>
      <c r="AJ6" s="1094" t="s">
        <v>2828</v>
      </c>
      <c r="AK6" s="1094" t="s">
        <v>5326</v>
      </c>
      <c r="AL6" s="1094" t="s">
        <v>5327</v>
      </c>
      <c r="AM6" s="1094" t="s">
        <v>2831</v>
      </c>
      <c r="AN6" s="1094" t="s">
        <v>3961</v>
      </c>
      <c r="AO6" s="1094" t="s">
        <v>2828</v>
      </c>
      <c r="AP6" s="1094" t="s">
        <v>5326</v>
      </c>
      <c r="AQ6" s="1094" t="s">
        <v>5327</v>
      </c>
      <c r="AR6" s="1094" t="s">
        <v>2831</v>
      </c>
      <c r="AS6" s="1095" t="s">
        <v>3961</v>
      </c>
    </row>
    <row r="7" spans="2:45" ht="15.75" customHeight="1" thickTop="1" thickBot="1">
      <c r="B7" s="377"/>
      <c r="C7" s="377"/>
      <c r="D7" s="377"/>
      <c r="E7" s="313"/>
      <c r="F7" s="313"/>
      <c r="G7" s="313"/>
      <c r="H7" s="313"/>
      <c r="I7" s="313"/>
      <c r="J7" s="313"/>
      <c r="K7" s="313"/>
      <c r="L7" s="313"/>
      <c r="M7" s="313"/>
      <c r="N7" s="313"/>
      <c r="O7" s="313"/>
      <c r="P7" s="544"/>
      <c r="Q7" s="197"/>
      <c r="R7" s="249"/>
      <c r="S7" s="249"/>
      <c r="T7" s="1056"/>
      <c r="U7" s="251"/>
      <c r="V7" s="1056"/>
      <c r="W7" s="236" t="s">
        <v>1898</v>
      </c>
      <c r="AG7" s="1056"/>
      <c r="AH7" s="2562"/>
      <c r="AI7" s="377"/>
      <c r="AJ7" s="313"/>
      <c r="AK7" s="313"/>
      <c r="AL7" s="313"/>
      <c r="AM7" s="313"/>
      <c r="AN7" s="313"/>
      <c r="AO7" s="313"/>
      <c r="AP7" s="313"/>
      <c r="AQ7" s="313"/>
      <c r="AR7" s="313"/>
      <c r="AS7" s="313"/>
    </row>
    <row r="8" spans="2:45" ht="15.75" customHeight="1" thickTop="1" thickBot="1">
      <c r="B8" s="681" t="s">
        <v>10010</v>
      </c>
      <c r="C8" s="1096"/>
      <c r="D8" s="1096"/>
      <c r="E8" s="313"/>
      <c r="F8" s="313"/>
      <c r="G8" s="313"/>
      <c r="H8" s="313"/>
      <c r="I8" s="313"/>
      <c r="J8" s="313"/>
      <c r="K8" s="313"/>
      <c r="L8" s="313"/>
      <c r="M8" s="313"/>
      <c r="N8" s="313"/>
      <c r="O8" s="313"/>
      <c r="P8" s="544"/>
      <c r="Q8" s="197"/>
      <c r="R8" s="670"/>
      <c r="S8" s="249"/>
      <c r="T8" s="2576"/>
      <c r="U8" s="251"/>
      <c r="V8" s="2576"/>
      <c r="AG8" s="2576"/>
      <c r="AH8" s="2562"/>
      <c r="AI8" s="681" t="s">
        <v>10010</v>
      </c>
      <c r="AJ8" s="313"/>
      <c r="AK8" s="313"/>
      <c r="AL8" s="313"/>
      <c r="AM8" s="313"/>
      <c r="AN8" s="313"/>
      <c r="AO8" s="313"/>
      <c r="AP8" s="313"/>
      <c r="AQ8" s="313"/>
      <c r="AR8" s="313"/>
      <c r="AS8" s="313"/>
    </row>
    <row r="9" spans="2:45" ht="15.75" customHeight="1" thickTop="1">
      <c r="B9" s="684" t="s">
        <v>10011</v>
      </c>
      <c r="C9" s="1097" t="s">
        <v>137</v>
      </c>
      <c r="D9" s="1097">
        <v>3</v>
      </c>
      <c r="E9" s="686"/>
      <c r="F9" s="686"/>
      <c r="G9" s="686"/>
      <c r="H9" s="1964"/>
      <c r="I9" s="686"/>
      <c r="J9" s="686"/>
      <c r="K9" s="686"/>
      <c r="L9" s="686"/>
      <c r="M9" s="1964"/>
      <c r="N9" s="687"/>
      <c r="O9" s="893"/>
      <c r="P9" s="961" t="s">
        <v>10012</v>
      </c>
      <c r="Q9" s="197"/>
      <c r="R9" s="250"/>
      <c r="S9" s="249"/>
      <c r="T9" s="2576"/>
      <c r="U9" s="251" t="str">
        <f>IF( SUM( W9:AF9 ) = 0, 0, $W$7 )</f>
        <v>Please complete all cells in row</v>
      </c>
      <c r="V9" s="2576"/>
      <c r="W9" s="252">
        <f xml:space="preserve"> IF( ISNUMBER(E9), 0, 1 )</f>
        <v>1</v>
      </c>
      <c r="X9" s="252">
        <f t="shared" ref="X9:Y9" si="0" xml:space="preserve"> IF( ISNUMBER(F9), 0, 1 )</f>
        <v>1</v>
      </c>
      <c r="Y9" s="252">
        <f t="shared" si="0"/>
        <v>1</v>
      </c>
      <c r="Z9" s="251"/>
      <c r="AA9" s="252">
        <f t="shared" ref="AA9:AD9" si="1" xml:space="preserve"> IF( ISNUMBER(I9), 0, 1 )</f>
        <v>1</v>
      </c>
      <c r="AB9" s="252">
        <f t="shared" si="1"/>
        <v>1</v>
      </c>
      <c r="AC9" s="252">
        <f t="shared" si="1"/>
        <v>1</v>
      </c>
      <c r="AD9" s="252">
        <f t="shared" si="1"/>
        <v>1</v>
      </c>
      <c r="AE9" s="251"/>
      <c r="AF9" s="252">
        <f xml:space="preserve"> IF( ISNUMBER(N9), 0, 1 )</f>
        <v>1</v>
      </c>
      <c r="AG9" s="2576"/>
      <c r="AH9" s="2562"/>
      <c r="AI9" s="684" t="s">
        <v>10011</v>
      </c>
      <c r="AJ9" s="1098" t="s">
        <v>10013</v>
      </c>
      <c r="AK9" s="1098" t="s">
        <v>10014</v>
      </c>
      <c r="AL9" s="1098" t="s">
        <v>10015</v>
      </c>
      <c r="AM9" s="1099"/>
      <c r="AN9" s="1098" t="s">
        <v>10016</v>
      </c>
      <c r="AO9" s="1098" t="s">
        <v>10017</v>
      </c>
      <c r="AP9" s="1098" t="s">
        <v>10018</v>
      </c>
      <c r="AQ9" s="1098" t="s">
        <v>10019</v>
      </c>
      <c r="AR9" s="1099"/>
      <c r="AS9" s="1100" t="s">
        <v>10020</v>
      </c>
    </row>
    <row r="10" spans="2:45" ht="15.75" customHeight="1">
      <c r="B10" s="689" t="s">
        <v>10021</v>
      </c>
      <c r="C10" s="290" t="s">
        <v>137</v>
      </c>
      <c r="D10" s="290">
        <v>3</v>
      </c>
      <c r="E10" s="1582"/>
      <c r="F10" s="1582"/>
      <c r="G10" s="1582"/>
      <c r="H10" s="1965"/>
      <c r="I10" s="690"/>
      <c r="J10" s="690"/>
      <c r="K10" s="690"/>
      <c r="L10" s="690"/>
      <c r="M10" s="1965"/>
      <c r="N10" s="691"/>
      <c r="O10" s="893"/>
      <c r="P10" s="966" t="s">
        <v>10022</v>
      </c>
      <c r="Q10" s="197"/>
      <c r="R10" s="258"/>
      <c r="S10" s="249"/>
      <c r="T10" s="2576"/>
      <c r="U10" s="251" t="str">
        <f>IF( SUM( W10:AF10 ) = 0, 0, $W$7 )</f>
        <v>Please complete all cells in row</v>
      </c>
      <c r="V10" s="2576"/>
      <c r="W10" s="252">
        <f xml:space="preserve"> IF( ISNUMBER(E10), 0, 1 )</f>
        <v>1</v>
      </c>
      <c r="X10" s="252">
        <f t="shared" ref="X10" si="2" xml:space="preserve"> IF( ISNUMBER(F10), 0, 1 )</f>
        <v>1</v>
      </c>
      <c r="Y10" s="252">
        <f t="shared" ref="Y10" si="3" xml:space="preserve"> IF( ISNUMBER(G10), 0, 1 )</f>
        <v>1</v>
      </c>
      <c r="Z10" s="251"/>
      <c r="AA10" s="252">
        <f t="shared" ref="AA10" si="4" xml:space="preserve"> IF( ISNUMBER(I10), 0, 1 )</f>
        <v>1</v>
      </c>
      <c r="AB10" s="252">
        <f t="shared" ref="AB10" si="5" xml:space="preserve"> IF( ISNUMBER(J10), 0, 1 )</f>
        <v>1</v>
      </c>
      <c r="AC10" s="252">
        <f t="shared" ref="AC10" si="6" xml:space="preserve"> IF( ISNUMBER(K10), 0, 1 )</f>
        <v>1</v>
      </c>
      <c r="AD10" s="252">
        <f t="shared" ref="AD10" si="7" xml:space="preserve"> IF( ISNUMBER(L10), 0, 1 )</f>
        <v>1</v>
      </c>
      <c r="AE10" s="251"/>
      <c r="AF10" s="252">
        <f xml:space="preserve"> IF( ISNUMBER(N10), 0, 1 )</f>
        <v>1</v>
      </c>
      <c r="AG10" s="2576"/>
      <c r="AH10" s="2562"/>
      <c r="AI10" s="689" t="s">
        <v>10021</v>
      </c>
      <c r="AJ10" s="1101" t="s">
        <v>10023</v>
      </c>
      <c r="AK10" s="1101" t="s">
        <v>10024</v>
      </c>
      <c r="AL10" s="1101" t="s">
        <v>10025</v>
      </c>
      <c r="AM10" s="1102"/>
      <c r="AN10" s="1103" t="s">
        <v>10026</v>
      </c>
      <c r="AO10" s="1103" t="s">
        <v>10027</v>
      </c>
      <c r="AP10" s="1103" t="s">
        <v>10028</v>
      </c>
      <c r="AQ10" s="1103" t="s">
        <v>10029</v>
      </c>
      <c r="AR10" s="1102"/>
      <c r="AS10" s="1104" t="s">
        <v>10030</v>
      </c>
    </row>
    <row r="11" spans="2:45" ht="15.75" customHeight="1">
      <c r="B11" s="689" t="s">
        <v>5392</v>
      </c>
      <c r="C11" s="290" t="s">
        <v>137</v>
      </c>
      <c r="D11" s="290">
        <v>3</v>
      </c>
      <c r="E11" s="1554">
        <f>IFERROR(E10-E9,0)</f>
        <v>0</v>
      </c>
      <c r="F11" s="1554">
        <f t="shared" ref="F11:G11" si="8">IFERROR(F10-F9,0)</f>
        <v>0</v>
      </c>
      <c r="G11" s="1554">
        <f t="shared" si="8"/>
        <v>0</v>
      </c>
      <c r="H11" s="1583"/>
      <c r="I11" s="1554">
        <f t="shared" ref="I11:L11" si="9">IFERROR(I10-I9,0)</f>
        <v>0</v>
      </c>
      <c r="J11" s="1554">
        <f t="shared" si="9"/>
        <v>0</v>
      </c>
      <c r="K11" s="1554">
        <f t="shared" si="9"/>
        <v>0</v>
      </c>
      <c r="L11" s="1554">
        <f t="shared" si="9"/>
        <v>0</v>
      </c>
      <c r="M11" s="1583"/>
      <c r="N11" s="1580">
        <f>IFERROR(N10-N9,0)</f>
        <v>0</v>
      </c>
      <c r="O11" s="893"/>
      <c r="P11" s="966" t="s">
        <v>10031</v>
      </c>
      <c r="Q11" s="197"/>
      <c r="R11" s="258"/>
      <c r="S11" s="249"/>
      <c r="T11" s="2576"/>
      <c r="U11" s="251"/>
      <c r="V11" s="2576"/>
      <c r="W11" s="251"/>
      <c r="X11" s="251"/>
      <c r="Y11" s="251"/>
      <c r="Z11" s="251"/>
      <c r="AA11" s="251"/>
      <c r="AB11" s="251"/>
      <c r="AC11" s="251"/>
      <c r="AD11" s="251"/>
      <c r="AE11" s="251"/>
      <c r="AF11" s="251"/>
      <c r="AG11" s="2576"/>
      <c r="AH11" s="2562"/>
      <c r="AI11" s="689" t="s">
        <v>5392</v>
      </c>
      <c r="AJ11" s="1105" t="s">
        <v>10032</v>
      </c>
      <c r="AK11" s="1105" t="s">
        <v>10033</v>
      </c>
      <c r="AL11" s="1105" t="s">
        <v>10034</v>
      </c>
      <c r="AM11" s="1102"/>
      <c r="AN11" s="1105" t="s">
        <v>10035</v>
      </c>
      <c r="AO11" s="1105" t="s">
        <v>10036</v>
      </c>
      <c r="AP11" s="1105" t="s">
        <v>10037</v>
      </c>
      <c r="AQ11" s="1105" t="s">
        <v>10038</v>
      </c>
      <c r="AR11" s="1102"/>
      <c r="AS11" s="1106" t="s">
        <v>10039</v>
      </c>
    </row>
    <row r="12" spans="2:45" ht="15.75" customHeight="1">
      <c r="B12" s="689" t="s">
        <v>5404</v>
      </c>
      <c r="C12" s="290" t="s">
        <v>137</v>
      </c>
      <c r="D12" s="290">
        <v>3</v>
      </c>
      <c r="E12" s="1582"/>
      <c r="F12" s="1582"/>
      <c r="G12" s="1582"/>
      <c r="H12" s="1965"/>
      <c r="I12" s="690"/>
      <c r="J12" s="690"/>
      <c r="K12" s="690"/>
      <c r="L12" s="690"/>
      <c r="M12" s="1965"/>
      <c r="N12" s="691"/>
      <c r="O12" s="893"/>
      <c r="P12" s="966" t="s">
        <v>10040</v>
      </c>
      <c r="Q12" s="197"/>
      <c r="R12" s="258"/>
      <c r="S12" s="249"/>
      <c r="T12" s="2576"/>
      <c r="U12" s="251" t="str">
        <f>IF( SUM( W12:AF12 ) = 0, 0, $W$7 )</f>
        <v>Please complete all cells in row</v>
      </c>
      <c r="V12" s="2576"/>
      <c r="W12" s="252">
        <f xml:space="preserve"> IF( ISNUMBER(E12), 0, 1 )</f>
        <v>1</v>
      </c>
      <c r="X12" s="252">
        <f t="shared" ref="X12" si="10" xml:space="preserve"> IF( ISNUMBER(F12), 0, 1 )</f>
        <v>1</v>
      </c>
      <c r="Y12" s="252">
        <f t="shared" ref="Y12" si="11" xml:space="preserve"> IF( ISNUMBER(G12), 0, 1 )</f>
        <v>1</v>
      </c>
      <c r="Z12" s="251"/>
      <c r="AA12" s="252">
        <f t="shared" ref="AA12" si="12" xml:space="preserve"> IF( ISNUMBER(I12), 0, 1 )</f>
        <v>1</v>
      </c>
      <c r="AB12" s="252">
        <f t="shared" ref="AB12" si="13" xml:space="preserve"> IF( ISNUMBER(J12), 0, 1 )</f>
        <v>1</v>
      </c>
      <c r="AC12" s="252">
        <f t="shared" ref="AC12" si="14" xml:space="preserve"> IF( ISNUMBER(K12), 0, 1 )</f>
        <v>1</v>
      </c>
      <c r="AD12" s="252">
        <f t="shared" ref="AD12" si="15" xml:space="preserve"> IF( ISNUMBER(L12), 0, 1 )</f>
        <v>1</v>
      </c>
      <c r="AE12" s="251"/>
      <c r="AF12" s="252">
        <f xml:space="preserve"> IF( ISNUMBER(N12), 0, 1 )</f>
        <v>1</v>
      </c>
      <c r="AG12" s="2576"/>
      <c r="AH12" s="2562"/>
      <c r="AI12" s="689" t="s">
        <v>5404</v>
      </c>
      <c r="AJ12" s="1101" t="s">
        <v>10041</v>
      </c>
      <c r="AK12" s="1101" t="s">
        <v>10042</v>
      </c>
      <c r="AL12" s="1101" t="s">
        <v>10043</v>
      </c>
      <c r="AM12" s="1102"/>
      <c r="AN12" s="1103" t="s">
        <v>10044</v>
      </c>
      <c r="AO12" s="1103" t="s">
        <v>10045</v>
      </c>
      <c r="AP12" s="1103" t="s">
        <v>10046</v>
      </c>
      <c r="AQ12" s="1103" t="s">
        <v>10047</v>
      </c>
      <c r="AR12" s="1102"/>
      <c r="AS12" s="1104" t="s">
        <v>10048</v>
      </c>
    </row>
    <row r="13" spans="2:45" ht="15.75" customHeight="1">
      <c r="B13" s="689" t="s">
        <v>5416</v>
      </c>
      <c r="C13" s="290" t="s">
        <v>137</v>
      </c>
      <c r="D13" s="290">
        <v>3</v>
      </c>
      <c r="E13" s="1554">
        <f>IFERROR(E11-E12,0)</f>
        <v>0</v>
      </c>
      <c r="F13" s="1554">
        <f t="shared" ref="F13:G13" si="16">IFERROR(F11-F12,0)</f>
        <v>0</v>
      </c>
      <c r="G13" s="1554">
        <f t="shared" si="16"/>
        <v>0</v>
      </c>
      <c r="H13" s="1583"/>
      <c r="I13" s="1554">
        <f t="shared" ref="I13:L13" si="17">IFERROR(I11-I12,0)</f>
        <v>0</v>
      </c>
      <c r="J13" s="1554">
        <f t="shared" si="17"/>
        <v>0</v>
      </c>
      <c r="K13" s="1554">
        <f t="shared" si="17"/>
        <v>0</v>
      </c>
      <c r="L13" s="1554">
        <f t="shared" si="17"/>
        <v>0</v>
      </c>
      <c r="M13" s="1583"/>
      <c r="N13" s="1580">
        <f>IFERROR(N11-N12,0)</f>
        <v>0</v>
      </c>
      <c r="O13" s="893"/>
      <c r="P13" s="966" t="s">
        <v>10049</v>
      </c>
      <c r="Q13" s="197"/>
      <c r="R13" s="258"/>
      <c r="S13" s="249"/>
      <c r="T13" s="2576"/>
      <c r="U13" s="251"/>
      <c r="V13" s="2576"/>
      <c r="W13" s="251"/>
      <c r="X13" s="251"/>
      <c r="Y13" s="251"/>
      <c r="Z13" s="251"/>
      <c r="AA13" s="251"/>
      <c r="AB13" s="251"/>
      <c r="AC13" s="251"/>
      <c r="AD13" s="251"/>
      <c r="AE13" s="251"/>
      <c r="AF13" s="251"/>
      <c r="AG13" s="2576"/>
      <c r="AH13" s="2562"/>
      <c r="AI13" s="689" t="s">
        <v>5416</v>
      </c>
      <c r="AJ13" s="1105" t="s">
        <v>10050</v>
      </c>
      <c r="AK13" s="1105" t="s">
        <v>10051</v>
      </c>
      <c r="AL13" s="1105" t="s">
        <v>10052</v>
      </c>
      <c r="AM13" s="1102"/>
      <c r="AN13" s="1105" t="s">
        <v>10053</v>
      </c>
      <c r="AO13" s="1105" t="s">
        <v>10054</v>
      </c>
      <c r="AP13" s="1105" t="s">
        <v>10055</v>
      </c>
      <c r="AQ13" s="1105" t="s">
        <v>10056</v>
      </c>
      <c r="AR13" s="1102"/>
      <c r="AS13" s="1106" t="s">
        <v>10057</v>
      </c>
    </row>
    <row r="14" spans="2:45" ht="15.75" customHeight="1">
      <c r="B14" s="689" t="s">
        <v>5428</v>
      </c>
      <c r="C14" s="290" t="s">
        <v>1344</v>
      </c>
      <c r="D14" s="290">
        <v>2</v>
      </c>
      <c r="E14" s="1587"/>
      <c r="F14" s="1587"/>
      <c r="G14" s="1587"/>
      <c r="H14" s="1966"/>
      <c r="I14" s="701"/>
      <c r="J14" s="701"/>
      <c r="K14" s="701"/>
      <c r="L14" s="701"/>
      <c r="M14" s="1966"/>
      <c r="N14" s="702"/>
      <c r="O14" s="1111"/>
      <c r="P14" s="966" t="s">
        <v>10058</v>
      </c>
      <c r="Q14" s="197"/>
      <c r="R14" s="258"/>
      <c r="S14" s="249"/>
      <c r="T14" s="1056"/>
      <c r="U14" s="251" t="str">
        <f t="shared" ref="U14:U15" si="18">IF( SUM( W14:AF14 ) = 0, 0, $W$7 )</f>
        <v>Please complete all cells in row</v>
      </c>
      <c r="V14" s="1056"/>
      <c r="W14" s="252">
        <f xml:space="preserve"> IF( ISNUMBER(E14), 0, 1 )</f>
        <v>1</v>
      </c>
      <c r="X14" s="252">
        <f t="shared" ref="X14:X15" si="19" xml:space="preserve"> IF( ISNUMBER(F14), 0, 1 )</f>
        <v>1</v>
      </c>
      <c r="Y14" s="252">
        <f t="shared" ref="Y14:Y15" si="20" xml:space="preserve"> IF( ISNUMBER(G14), 0, 1 )</f>
        <v>1</v>
      </c>
      <c r="Z14" s="251"/>
      <c r="AA14" s="252">
        <f t="shared" ref="AA14:AA15" si="21" xml:space="preserve"> IF( ISNUMBER(I14), 0, 1 )</f>
        <v>1</v>
      </c>
      <c r="AB14" s="252">
        <f t="shared" ref="AB14:AB15" si="22" xml:space="preserve"> IF( ISNUMBER(J14), 0, 1 )</f>
        <v>1</v>
      </c>
      <c r="AC14" s="252">
        <f t="shared" ref="AC14:AC15" si="23" xml:space="preserve"> IF( ISNUMBER(K14), 0, 1 )</f>
        <v>1</v>
      </c>
      <c r="AD14" s="252">
        <f t="shared" ref="AD14:AD15" si="24" xml:space="preserve"> IF( ISNUMBER(L14), 0, 1 )</f>
        <v>1</v>
      </c>
      <c r="AE14" s="251"/>
      <c r="AF14" s="252">
        <f xml:space="preserve"> IF( ISNUMBER(N14), 0, 1 )</f>
        <v>1</v>
      </c>
      <c r="AG14" s="1056"/>
      <c r="AH14" s="2562"/>
      <c r="AI14" s="689" t="s">
        <v>5428</v>
      </c>
      <c r="AJ14" s="1107" t="s">
        <v>10059</v>
      </c>
      <c r="AK14" s="1107" t="s">
        <v>10060</v>
      </c>
      <c r="AL14" s="1107" t="s">
        <v>10061</v>
      </c>
      <c r="AM14" s="1108"/>
      <c r="AN14" s="1109" t="s">
        <v>10062</v>
      </c>
      <c r="AO14" s="1109" t="s">
        <v>10063</v>
      </c>
      <c r="AP14" s="1109" t="s">
        <v>10064</v>
      </c>
      <c r="AQ14" s="1109" t="s">
        <v>10065</v>
      </c>
      <c r="AR14" s="1108"/>
      <c r="AS14" s="1110" t="s">
        <v>10066</v>
      </c>
    </row>
    <row r="15" spans="2:45" ht="31">
      <c r="B15" s="689" t="s">
        <v>5440</v>
      </c>
      <c r="C15" s="290" t="s">
        <v>1344</v>
      </c>
      <c r="D15" s="290">
        <v>2</v>
      </c>
      <c r="E15" s="1587"/>
      <c r="F15" s="1587"/>
      <c r="G15" s="1587"/>
      <c r="H15" s="1966"/>
      <c r="I15" s="701"/>
      <c r="J15" s="701"/>
      <c r="K15" s="701"/>
      <c r="L15" s="701"/>
      <c r="M15" s="1966"/>
      <c r="N15" s="702"/>
      <c r="O15" s="1111"/>
      <c r="P15" s="966" t="s">
        <v>10067</v>
      </c>
      <c r="Q15" s="197"/>
      <c r="R15" s="258"/>
      <c r="S15" s="249"/>
      <c r="T15" s="1056"/>
      <c r="U15" s="251" t="str">
        <f t="shared" si="18"/>
        <v>Please complete all cells in row</v>
      </c>
      <c r="V15" s="1056"/>
      <c r="W15" s="252">
        <f xml:space="preserve"> IF( ISNUMBER(E15), 0, 1 )</f>
        <v>1</v>
      </c>
      <c r="X15" s="252">
        <f t="shared" si="19"/>
        <v>1</v>
      </c>
      <c r="Y15" s="252">
        <f t="shared" si="20"/>
        <v>1</v>
      </c>
      <c r="Z15" s="251"/>
      <c r="AA15" s="252">
        <f t="shared" si="21"/>
        <v>1</v>
      </c>
      <c r="AB15" s="252">
        <f t="shared" si="22"/>
        <v>1</v>
      </c>
      <c r="AC15" s="252">
        <f t="shared" si="23"/>
        <v>1</v>
      </c>
      <c r="AD15" s="252">
        <f t="shared" si="24"/>
        <v>1</v>
      </c>
      <c r="AE15" s="251"/>
      <c r="AF15" s="252">
        <f xml:space="preserve"> IF( ISNUMBER(N15), 0, 1 )</f>
        <v>1</v>
      </c>
      <c r="AG15" s="1056"/>
      <c r="AH15" s="2562"/>
      <c r="AI15" s="689" t="s">
        <v>5440</v>
      </c>
      <c r="AJ15" s="1107" t="s">
        <v>10068</v>
      </c>
      <c r="AK15" s="1107" t="s">
        <v>10069</v>
      </c>
      <c r="AL15" s="1107" t="s">
        <v>10070</v>
      </c>
      <c r="AM15" s="1108"/>
      <c r="AN15" s="1109" t="s">
        <v>10071</v>
      </c>
      <c r="AO15" s="1109" t="s">
        <v>10072</v>
      </c>
      <c r="AP15" s="1109" t="s">
        <v>10073</v>
      </c>
      <c r="AQ15" s="1109" t="s">
        <v>10074</v>
      </c>
      <c r="AR15" s="1108"/>
      <c r="AS15" s="1110" t="s">
        <v>10075</v>
      </c>
    </row>
    <row r="16" spans="2:45" ht="15.75" customHeight="1">
      <c r="B16" s="689" t="s">
        <v>10076</v>
      </c>
      <c r="C16" s="290" t="s">
        <v>137</v>
      </c>
      <c r="D16" s="290">
        <v>3</v>
      </c>
      <c r="E16" s="1554">
        <f>IF(E11&lt;0, E11*E14,0)</f>
        <v>0</v>
      </c>
      <c r="F16" s="1554">
        <f>IF(F11&lt;0, F11*F14,0)</f>
        <v>0</v>
      </c>
      <c r="G16" s="1554">
        <f>IF(G11&lt;0, G11*G14,0)</f>
        <v>0</v>
      </c>
      <c r="H16" s="2418"/>
      <c r="I16" s="1554">
        <f>IF(I11&lt;0, I11*I14,0)</f>
        <v>0</v>
      </c>
      <c r="J16" s="1554">
        <f>IF(J11&lt;0, J11*J14,0)</f>
        <v>0</v>
      </c>
      <c r="K16" s="1554">
        <f>IF(K11&lt;0, K11*K14,0)</f>
        <v>0</v>
      </c>
      <c r="L16" s="1554">
        <f>IF(L11&lt;0, L11*L14,0)</f>
        <v>0</v>
      </c>
      <c r="M16" s="2418"/>
      <c r="N16" s="1580">
        <f>IF(N11&lt;0, N11*N14,0)</f>
        <v>0</v>
      </c>
      <c r="O16" s="893"/>
      <c r="P16" s="966" t="s">
        <v>10077</v>
      </c>
      <c r="Q16" s="197"/>
      <c r="R16" s="258"/>
      <c r="S16" s="249"/>
      <c r="T16" s="1056"/>
      <c r="U16" s="251"/>
      <c r="V16" s="1056"/>
      <c r="W16" s="251"/>
      <c r="X16" s="251"/>
      <c r="Y16" s="251"/>
      <c r="Z16" s="251"/>
      <c r="AA16" s="251"/>
      <c r="AB16" s="251"/>
      <c r="AC16" s="251"/>
      <c r="AD16" s="251"/>
      <c r="AE16" s="251"/>
      <c r="AF16" s="251"/>
      <c r="AG16" s="1056"/>
      <c r="AH16" s="2562"/>
      <c r="AI16" s="689" t="s">
        <v>10076</v>
      </c>
      <c r="AJ16" s="1105" t="s">
        <v>10078</v>
      </c>
      <c r="AK16" s="1105" t="s">
        <v>10079</v>
      </c>
      <c r="AL16" s="1105" t="s">
        <v>10080</v>
      </c>
      <c r="AM16" s="1102"/>
      <c r="AN16" s="1105" t="s">
        <v>10081</v>
      </c>
      <c r="AO16" s="1105" t="s">
        <v>10082</v>
      </c>
      <c r="AP16" s="1105" t="s">
        <v>10083</v>
      </c>
      <c r="AQ16" s="1105" t="s">
        <v>10084</v>
      </c>
      <c r="AR16" s="1102"/>
      <c r="AS16" s="1106" t="s">
        <v>10085</v>
      </c>
    </row>
    <row r="17" spans="2:45" ht="15.75" customHeight="1">
      <c r="B17" s="689" t="s">
        <v>10086</v>
      </c>
      <c r="C17" s="290" t="s">
        <v>137</v>
      </c>
      <c r="D17" s="290">
        <v>3</v>
      </c>
      <c r="E17" s="1554">
        <f>IF(E11&gt;0, E11*E15, 0)</f>
        <v>0</v>
      </c>
      <c r="F17" s="1554">
        <f>IF(F11&gt;0, F11*F15, 0)</f>
        <v>0</v>
      </c>
      <c r="G17" s="1554">
        <f>IF(G11&gt;0, G11*G15, 0)</f>
        <v>0</v>
      </c>
      <c r="H17" s="2418"/>
      <c r="I17" s="1554">
        <f>IF(I11&gt;0, I11*I15, 0)</f>
        <v>0</v>
      </c>
      <c r="J17" s="1554">
        <f>IF(J11&gt;0, J11*J15, 0)</f>
        <v>0</v>
      </c>
      <c r="K17" s="1554">
        <f>IF(K11&gt;0, K11*K15, 0)</f>
        <v>0</v>
      </c>
      <c r="L17" s="1554">
        <f>IF(L11&gt;0, L11*L15, 0)</f>
        <v>0</v>
      </c>
      <c r="M17" s="2418"/>
      <c r="N17" s="1580">
        <f>IF(N11&gt;0, N11*N15, 0)</f>
        <v>0</v>
      </c>
      <c r="O17" s="893"/>
      <c r="P17" s="966" t="s">
        <v>10087</v>
      </c>
      <c r="Q17" s="197"/>
      <c r="R17" s="258"/>
      <c r="S17" s="249"/>
      <c r="T17" s="1058"/>
      <c r="U17" s="251"/>
      <c r="V17" s="1058"/>
      <c r="W17" s="251"/>
      <c r="X17" s="251"/>
      <c r="Y17" s="251"/>
      <c r="Z17" s="251"/>
      <c r="AA17" s="251"/>
      <c r="AB17" s="251"/>
      <c r="AC17" s="251"/>
      <c r="AD17" s="251"/>
      <c r="AE17" s="251"/>
      <c r="AF17" s="251"/>
      <c r="AG17" s="1058"/>
      <c r="AH17" s="2562"/>
      <c r="AI17" s="689" t="s">
        <v>10086</v>
      </c>
      <c r="AJ17" s="1105" t="s">
        <v>10088</v>
      </c>
      <c r="AK17" s="1105" t="s">
        <v>10089</v>
      </c>
      <c r="AL17" s="1105" t="s">
        <v>10090</v>
      </c>
      <c r="AM17" s="1102"/>
      <c r="AN17" s="1105" t="s">
        <v>10091</v>
      </c>
      <c r="AO17" s="1105" t="s">
        <v>10092</v>
      </c>
      <c r="AP17" s="1105" t="s">
        <v>10093</v>
      </c>
      <c r="AQ17" s="1105" t="s">
        <v>10094</v>
      </c>
      <c r="AR17" s="1102"/>
      <c r="AS17" s="1106" t="s">
        <v>10095</v>
      </c>
    </row>
    <row r="18" spans="2:45" ht="15.75" customHeight="1">
      <c r="B18" s="689" t="s">
        <v>10096</v>
      </c>
      <c r="C18" s="290" t="s">
        <v>137</v>
      </c>
      <c r="D18" s="290">
        <v>3</v>
      </c>
      <c r="E18" s="1554">
        <f>IF(E16=0, 0, E11-E16)</f>
        <v>0</v>
      </c>
      <c r="F18" s="1554">
        <f>IF(F16=0, 0, F11-F16)</f>
        <v>0</v>
      </c>
      <c r="G18" s="1554">
        <f>IF(G16=0, 0, G11-G16)</f>
        <v>0</v>
      </c>
      <c r="H18" s="2418"/>
      <c r="I18" s="1554">
        <f>IF(I16=0, 0, I11-I16)</f>
        <v>0</v>
      </c>
      <c r="J18" s="1554">
        <f>IF(J16=0, 0, J11-J16)</f>
        <v>0</v>
      </c>
      <c r="K18" s="1554">
        <f>IF(K16=0, 0, K11-K16)</f>
        <v>0</v>
      </c>
      <c r="L18" s="1554">
        <f>IF(L16=0, 0, L11-L16)</f>
        <v>0</v>
      </c>
      <c r="M18" s="2418"/>
      <c r="N18" s="1580">
        <f>IF(N16=0, 0, N11-N16)</f>
        <v>0</v>
      </c>
      <c r="O18" s="313"/>
      <c r="P18" s="966" t="s">
        <v>10097</v>
      </c>
      <c r="Q18" s="197"/>
      <c r="R18" s="258"/>
      <c r="S18" s="398"/>
      <c r="T18" s="1058"/>
      <c r="U18" s="251"/>
      <c r="V18" s="1058"/>
      <c r="W18" s="251"/>
      <c r="X18" s="251"/>
      <c r="Y18" s="251"/>
      <c r="Z18" s="251"/>
      <c r="AA18" s="251"/>
      <c r="AB18" s="251"/>
      <c r="AC18" s="251"/>
      <c r="AD18" s="251"/>
      <c r="AE18" s="251"/>
      <c r="AF18" s="251"/>
      <c r="AG18" s="1058"/>
      <c r="AH18" s="2562"/>
      <c r="AI18" s="689" t="s">
        <v>10096</v>
      </c>
      <c r="AJ18" s="1105" t="s">
        <v>10098</v>
      </c>
      <c r="AK18" s="1105" t="s">
        <v>10099</v>
      </c>
      <c r="AL18" s="1105" t="s">
        <v>10100</v>
      </c>
      <c r="AM18" s="1102"/>
      <c r="AN18" s="1105" t="s">
        <v>10101</v>
      </c>
      <c r="AO18" s="1105" t="s">
        <v>10102</v>
      </c>
      <c r="AP18" s="1105" t="s">
        <v>10103</v>
      </c>
      <c r="AQ18" s="1105" t="s">
        <v>10104</v>
      </c>
      <c r="AR18" s="1102"/>
      <c r="AS18" s="1106" t="s">
        <v>10105</v>
      </c>
    </row>
    <row r="19" spans="2:45" ht="15.75" customHeight="1" thickBot="1">
      <c r="B19" s="415" t="s">
        <v>10106</v>
      </c>
      <c r="C19" s="297" t="s">
        <v>137</v>
      </c>
      <c r="D19" s="297">
        <v>3</v>
      </c>
      <c r="E19" s="1584">
        <f>IF(E17=0, 0, E11-E17)</f>
        <v>0</v>
      </c>
      <c r="F19" s="1584">
        <f>IF(F17=0, 0, F11-F17)</f>
        <v>0</v>
      </c>
      <c r="G19" s="1584">
        <f>IF(G17=0, 0, G11-G17)</f>
        <v>0</v>
      </c>
      <c r="H19" s="2419"/>
      <c r="I19" s="1584">
        <f>IF(I17=0, 0, I11-I17)</f>
        <v>0</v>
      </c>
      <c r="J19" s="1584">
        <f>IF(J17=0, 0, J11-J17)</f>
        <v>0</v>
      </c>
      <c r="K19" s="1584">
        <f>IF(K17=0, 0, K11-K17)</f>
        <v>0</v>
      </c>
      <c r="L19" s="1584">
        <f>IF(L17=0, 0, L11-L17)</f>
        <v>0</v>
      </c>
      <c r="M19" s="2419"/>
      <c r="N19" s="1549">
        <f>IF(N17=0, 0, N11-N17)</f>
        <v>0</v>
      </c>
      <c r="O19" s="313"/>
      <c r="P19" s="980" t="s">
        <v>10107</v>
      </c>
      <c r="Q19" s="197"/>
      <c r="R19" s="269"/>
      <c r="S19" s="398"/>
      <c r="T19" s="1058"/>
      <c r="U19" s="251"/>
      <c r="V19" s="1058"/>
      <c r="W19" s="251"/>
      <c r="X19" s="251"/>
      <c r="Y19" s="251"/>
      <c r="Z19" s="251"/>
      <c r="AA19" s="251"/>
      <c r="AB19" s="251"/>
      <c r="AC19" s="251"/>
      <c r="AD19" s="251"/>
      <c r="AE19" s="251"/>
      <c r="AF19" s="251"/>
      <c r="AG19" s="1058"/>
      <c r="AH19" s="2562"/>
      <c r="AI19" s="415" t="s">
        <v>10106</v>
      </c>
      <c r="AJ19" s="1112" t="s">
        <v>10108</v>
      </c>
      <c r="AK19" s="1112" t="s">
        <v>10109</v>
      </c>
      <c r="AL19" s="1112" t="s">
        <v>10110</v>
      </c>
      <c r="AM19" s="1113"/>
      <c r="AN19" s="1112" t="s">
        <v>10111</v>
      </c>
      <c r="AO19" s="1112" t="s">
        <v>10112</v>
      </c>
      <c r="AP19" s="1112" t="s">
        <v>10113</v>
      </c>
      <c r="AQ19" s="1112" t="s">
        <v>10114</v>
      </c>
      <c r="AR19" s="1113"/>
      <c r="AS19" s="1114" t="s">
        <v>10115</v>
      </c>
    </row>
    <row r="20" spans="2:45" ht="15.75" customHeight="1" thickTop="1" thickBot="1">
      <c r="B20" s="417"/>
      <c r="C20" s="417"/>
      <c r="D20" s="417"/>
      <c r="E20" s="1476"/>
      <c r="F20" s="1476"/>
      <c r="G20" s="1476"/>
      <c r="H20" s="1476"/>
      <c r="I20" s="1476"/>
      <c r="J20" s="1476"/>
      <c r="K20" s="1476"/>
      <c r="L20" s="1476"/>
      <c r="M20" s="1476"/>
      <c r="N20" s="1476"/>
      <c r="O20" s="313"/>
      <c r="P20" s="197"/>
      <c r="Q20" s="197"/>
      <c r="R20" s="398"/>
      <c r="S20" s="398"/>
      <c r="T20" s="1058"/>
      <c r="U20" s="251"/>
      <c r="V20" s="1058"/>
      <c r="W20" s="251"/>
      <c r="X20" s="251"/>
      <c r="Y20" s="251"/>
      <c r="Z20" s="251"/>
      <c r="AA20" s="251"/>
      <c r="AB20" s="251"/>
      <c r="AC20" s="251"/>
      <c r="AD20" s="251"/>
      <c r="AE20" s="251"/>
      <c r="AF20" s="251"/>
      <c r="AG20" s="1058"/>
      <c r="AH20" s="2562"/>
      <c r="AI20" s="417"/>
      <c r="AJ20" s="1115"/>
      <c r="AK20" s="1115"/>
      <c r="AL20" s="1115"/>
      <c r="AM20" s="1115"/>
      <c r="AN20" s="1115"/>
      <c r="AO20" s="1115"/>
      <c r="AP20" s="1115"/>
      <c r="AQ20" s="1115"/>
      <c r="AR20" s="1115"/>
      <c r="AS20" s="1115"/>
    </row>
    <row r="21" spans="2:45" ht="15.75" customHeight="1" thickTop="1">
      <c r="B21" s="711" t="s">
        <v>10116</v>
      </c>
      <c r="C21" s="283" t="s">
        <v>137</v>
      </c>
      <c r="D21" s="283">
        <v>3</v>
      </c>
      <c r="E21" s="1586">
        <f>IFERROR(E10+(E16-E17),0)</f>
        <v>0</v>
      </c>
      <c r="F21" s="1586">
        <f t="shared" ref="F21:G21" si="25">IFERROR(F10+(F16-F17),0)</f>
        <v>0</v>
      </c>
      <c r="G21" s="1586">
        <f t="shared" si="25"/>
        <v>0</v>
      </c>
      <c r="H21" s="1581"/>
      <c r="I21" s="1586">
        <f t="shared" ref="I21:L21" si="26">IFERROR(I10+(I16-I17),0)</f>
        <v>0</v>
      </c>
      <c r="J21" s="1586">
        <f t="shared" si="26"/>
        <v>0</v>
      </c>
      <c r="K21" s="1586">
        <f t="shared" si="26"/>
        <v>0</v>
      </c>
      <c r="L21" s="1586">
        <f t="shared" si="26"/>
        <v>0</v>
      </c>
      <c r="M21" s="1581"/>
      <c r="N21" s="1579">
        <f>IFERROR(N10+(N16-N17),0)</f>
        <v>0</v>
      </c>
      <c r="O21" s="313"/>
      <c r="P21" s="961" t="s">
        <v>10117</v>
      </c>
      <c r="Q21" s="197"/>
      <c r="R21" s="395"/>
      <c r="S21" s="398"/>
      <c r="T21" s="1058"/>
      <c r="U21" s="251"/>
      <c r="V21" s="1058"/>
      <c r="W21" s="251"/>
      <c r="X21" s="251"/>
      <c r="Y21" s="251"/>
      <c r="Z21" s="251"/>
      <c r="AA21" s="251"/>
      <c r="AB21" s="251"/>
      <c r="AC21" s="251"/>
      <c r="AD21" s="251"/>
      <c r="AE21" s="251"/>
      <c r="AF21" s="251"/>
      <c r="AG21" s="1058"/>
      <c r="AH21" s="2562"/>
      <c r="AI21" s="711" t="s">
        <v>10116</v>
      </c>
      <c r="AJ21" s="1116" t="s">
        <v>10118</v>
      </c>
      <c r="AK21" s="1116" t="s">
        <v>10119</v>
      </c>
      <c r="AL21" s="1116" t="s">
        <v>10120</v>
      </c>
      <c r="AM21" s="1099"/>
      <c r="AN21" s="1116" t="s">
        <v>10121</v>
      </c>
      <c r="AO21" s="1116" t="s">
        <v>10122</v>
      </c>
      <c r="AP21" s="1116" t="s">
        <v>10123</v>
      </c>
      <c r="AQ21" s="1116" t="s">
        <v>10124</v>
      </c>
      <c r="AR21" s="1099"/>
      <c r="AS21" s="1117" t="s">
        <v>10125</v>
      </c>
    </row>
    <row r="22" spans="2:45" ht="15.75" customHeight="1">
      <c r="B22" s="689" t="s">
        <v>10126</v>
      </c>
      <c r="C22" s="290" t="s">
        <v>137</v>
      </c>
      <c r="D22" s="290">
        <v>3</v>
      </c>
      <c r="E22" s="690"/>
      <c r="F22" s="690"/>
      <c r="G22" s="690"/>
      <c r="H22" s="1965"/>
      <c r="I22" s="690"/>
      <c r="J22" s="690"/>
      <c r="K22" s="690"/>
      <c r="L22" s="690"/>
      <c r="M22" s="1965"/>
      <c r="N22" s="691"/>
      <c r="O22" s="313"/>
      <c r="P22" s="966" t="s">
        <v>10127</v>
      </c>
      <c r="Q22" s="197"/>
      <c r="R22" s="399"/>
      <c r="S22" s="398"/>
      <c r="T22" s="1058"/>
      <c r="U22" s="251" t="str">
        <f>IF( SUM( W22:AF22 ) = 0, 0, $W$7 )</f>
        <v>Please complete all cells in row</v>
      </c>
      <c r="V22" s="1058"/>
      <c r="W22" s="252">
        <f xml:space="preserve"> IF( ISNUMBER(E22), 0, 1 )</f>
        <v>1</v>
      </c>
      <c r="X22" s="252">
        <f t="shared" ref="X22" si="27" xml:space="preserve"> IF( ISNUMBER(F22), 0, 1 )</f>
        <v>1</v>
      </c>
      <c r="Y22" s="252">
        <f t="shared" ref="Y22" si="28" xml:space="preserve"> IF( ISNUMBER(G22), 0, 1 )</f>
        <v>1</v>
      </c>
      <c r="Z22" s="251"/>
      <c r="AA22" s="252">
        <f t="shared" ref="AA22" si="29" xml:space="preserve"> IF( ISNUMBER(I22), 0, 1 )</f>
        <v>1</v>
      </c>
      <c r="AB22" s="252">
        <f t="shared" ref="AB22" si="30" xml:space="preserve"> IF( ISNUMBER(J22), 0, 1 )</f>
        <v>1</v>
      </c>
      <c r="AC22" s="252">
        <f t="shared" ref="AC22" si="31" xml:space="preserve"> IF( ISNUMBER(K22), 0, 1 )</f>
        <v>1</v>
      </c>
      <c r="AD22" s="252">
        <f t="shared" ref="AD22" si="32" xml:space="preserve"> IF( ISNUMBER(L22), 0, 1 )</f>
        <v>1</v>
      </c>
      <c r="AE22" s="251"/>
      <c r="AF22" s="252">
        <f xml:space="preserve"> IF( ISNUMBER(N22), 0, 1 )</f>
        <v>1</v>
      </c>
      <c r="AG22" s="1058"/>
      <c r="AH22" s="2562"/>
      <c r="AI22" s="689" t="s">
        <v>10126</v>
      </c>
      <c r="AJ22" s="1103" t="s">
        <v>10128</v>
      </c>
      <c r="AK22" s="1103" t="s">
        <v>10129</v>
      </c>
      <c r="AL22" s="1103" t="s">
        <v>10130</v>
      </c>
      <c r="AM22" s="1102"/>
      <c r="AN22" s="1103" t="s">
        <v>10131</v>
      </c>
      <c r="AO22" s="1103" t="s">
        <v>10132</v>
      </c>
      <c r="AP22" s="1103" t="s">
        <v>10133</v>
      </c>
      <c r="AQ22" s="1103" t="s">
        <v>10134</v>
      </c>
      <c r="AR22" s="1102"/>
      <c r="AS22" s="1104" t="s">
        <v>10135</v>
      </c>
    </row>
    <row r="23" spans="2:45" ht="15.75" customHeight="1" thickBot="1">
      <c r="B23" s="415" t="s">
        <v>10136</v>
      </c>
      <c r="C23" s="297" t="s">
        <v>137</v>
      </c>
      <c r="D23" s="297">
        <v>3</v>
      </c>
      <c r="E23" s="1584">
        <f>IFERROR(E21-E22,0)</f>
        <v>0</v>
      </c>
      <c r="F23" s="1584">
        <f t="shared" ref="F23:G23" si="33">IFERROR(F21-F22,0)</f>
        <v>0</v>
      </c>
      <c r="G23" s="1584">
        <f t="shared" si="33"/>
        <v>0</v>
      </c>
      <c r="H23" s="1585"/>
      <c r="I23" s="1584">
        <f>IFERROR(I21-I22,0)</f>
        <v>0</v>
      </c>
      <c r="J23" s="1584">
        <f t="shared" ref="J23:L23" si="34">IFERROR(J21-J22,0)</f>
        <v>0</v>
      </c>
      <c r="K23" s="1584">
        <f>IFERROR(K21-K22,0)</f>
        <v>0</v>
      </c>
      <c r="L23" s="1584">
        <f t="shared" si="34"/>
        <v>0</v>
      </c>
      <c r="M23" s="1585"/>
      <c r="N23" s="1549">
        <f>IFERROR(N21-N22,0)</f>
        <v>0</v>
      </c>
      <c r="O23" s="313"/>
      <c r="P23" s="980" t="s">
        <v>10137</v>
      </c>
      <c r="Q23" s="197"/>
      <c r="R23" s="396"/>
      <c r="S23" s="398"/>
      <c r="T23" s="1058"/>
      <c r="U23" s="251"/>
      <c r="V23" s="1058"/>
      <c r="W23" s="251"/>
      <c r="X23" s="251"/>
      <c r="Y23" s="251"/>
      <c r="Z23" s="251"/>
      <c r="AA23" s="251"/>
      <c r="AB23" s="251"/>
      <c r="AC23" s="251"/>
      <c r="AD23" s="251"/>
      <c r="AE23" s="251"/>
      <c r="AF23" s="251"/>
      <c r="AG23" s="1058"/>
      <c r="AH23" s="2562"/>
      <c r="AI23" s="415" t="s">
        <v>10136</v>
      </c>
      <c r="AJ23" s="1112" t="s">
        <v>10138</v>
      </c>
      <c r="AK23" s="1112" t="s">
        <v>10139</v>
      </c>
      <c r="AL23" s="1112" t="s">
        <v>10140</v>
      </c>
      <c r="AM23" s="1113"/>
      <c r="AN23" s="1112" t="s">
        <v>10141</v>
      </c>
      <c r="AO23" s="1112" t="s">
        <v>10142</v>
      </c>
      <c r="AP23" s="1112" t="s">
        <v>10143</v>
      </c>
      <c r="AQ23" s="1112" t="s">
        <v>10144</v>
      </c>
      <c r="AR23" s="1113"/>
      <c r="AS23" s="1114" t="s">
        <v>10145</v>
      </c>
    </row>
    <row r="24" spans="2:45" ht="16" thickTop="1">
      <c r="B24" s="417"/>
      <c r="C24" s="417"/>
      <c r="D24" s="417"/>
      <c r="E24" s="313"/>
      <c r="F24" s="313"/>
      <c r="G24" s="313"/>
      <c r="H24" s="313"/>
      <c r="I24" s="313"/>
      <c r="J24" s="313"/>
      <c r="K24" s="313"/>
      <c r="L24" s="313"/>
      <c r="M24" s="313"/>
      <c r="N24" s="313"/>
      <c r="O24" s="313"/>
      <c r="P24" s="1118"/>
      <c r="Q24" s="197"/>
      <c r="R24" s="1091"/>
      <c r="S24" s="398"/>
      <c r="T24" s="398"/>
      <c r="U24" s="251"/>
      <c r="V24" s="398"/>
      <c r="W24" s="251"/>
      <c r="X24" s="251"/>
      <c r="Y24" s="251"/>
      <c r="Z24" s="251"/>
      <c r="AA24" s="251"/>
      <c r="AB24" s="251"/>
      <c r="AC24" s="251"/>
      <c r="AD24" s="251"/>
      <c r="AE24" s="251"/>
      <c r="AF24" s="251"/>
      <c r="AG24" s="398"/>
      <c r="AH24" s="2562"/>
      <c r="AI24" s="2562"/>
      <c r="AJ24" s="2562"/>
      <c r="AK24" s="2562"/>
      <c r="AL24" s="2562"/>
      <c r="AM24" s="2562"/>
      <c r="AN24" s="2562"/>
      <c r="AO24" s="2562"/>
      <c r="AP24" s="2562"/>
      <c r="AQ24" s="2562"/>
      <c r="AR24" s="2562"/>
      <c r="AS24" s="2562"/>
    </row>
    <row r="25" spans="2:45">
      <c r="B25" s="197"/>
      <c r="C25" s="197"/>
      <c r="D25" s="197"/>
      <c r="E25" s="197"/>
      <c r="F25" s="197"/>
      <c r="G25" s="197"/>
      <c r="H25" s="197"/>
      <c r="I25" s="197"/>
      <c r="P25" s="197"/>
      <c r="Q25" s="197"/>
      <c r="R25" s="1091"/>
      <c r="S25" s="398"/>
      <c r="T25" s="398"/>
      <c r="U25" s="251"/>
      <c r="V25" s="398"/>
      <c r="W25" s="251"/>
      <c r="X25" s="251"/>
      <c r="Y25" s="251"/>
      <c r="Z25" s="251"/>
      <c r="AA25" s="251"/>
      <c r="AB25" s="251"/>
      <c r="AC25" s="251"/>
      <c r="AD25" s="251"/>
      <c r="AE25" s="251"/>
      <c r="AF25" s="251"/>
      <c r="AG25" s="398"/>
      <c r="AH25" s="2562"/>
      <c r="AI25" s="2562"/>
      <c r="AJ25" s="2562"/>
      <c r="AK25" s="2562"/>
      <c r="AL25" s="2562"/>
      <c r="AM25" s="2562"/>
      <c r="AN25" s="2562"/>
      <c r="AO25" s="2562"/>
      <c r="AP25" s="2562"/>
      <c r="AQ25" s="2562"/>
      <c r="AR25" s="2562"/>
      <c r="AS25" s="2562"/>
    </row>
    <row r="26" spans="2:45">
      <c r="B26" s="197"/>
      <c r="C26" s="197"/>
      <c r="D26" s="197"/>
      <c r="E26" s="197"/>
      <c r="F26" s="197"/>
      <c r="G26" s="197"/>
      <c r="H26" s="197"/>
      <c r="I26" s="197"/>
      <c r="P26" s="197"/>
      <c r="Q26" s="197"/>
      <c r="R26" s="1091"/>
      <c r="S26" s="398"/>
      <c r="T26" s="398"/>
      <c r="U26" s="251"/>
      <c r="V26" s="398"/>
      <c r="W26" s="251"/>
      <c r="X26" s="251"/>
      <c r="Y26" s="251"/>
      <c r="Z26" s="251"/>
      <c r="AA26" s="251"/>
      <c r="AB26" s="251"/>
      <c r="AC26" s="251"/>
      <c r="AD26" s="251"/>
      <c r="AE26" s="251"/>
      <c r="AF26" s="251"/>
      <c r="AG26" s="398"/>
      <c r="AH26" s="2562"/>
      <c r="AI26" s="2562"/>
      <c r="AJ26" s="2562"/>
      <c r="AK26" s="2562"/>
      <c r="AL26" s="2562"/>
      <c r="AM26" s="2562"/>
      <c r="AN26" s="2562"/>
      <c r="AO26" s="2562"/>
      <c r="AP26" s="2562"/>
      <c r="AQ26" s="2562"/>
      <c r="AR26" s="2562"/>
      <c r="AS26" s="2562"/>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96" priority="15" operator="equal">
      <formula>0</formula>
    </cfRule>
  </conditionalFormatting>
  <conditionalFormatting sqref="U4:U26">
    <cfRule type="cellIs" dxfId="95" priority="1" operator="equal">
      <formula>0</formula>
    </cfRule>
  </conditionalFormatting>
  <conditionalFormatting sqref="W11:AF11 W13:AF13 W16:AF21 W23:AF26">
    <cfRule type="cellIs" dxfId="94" priority="10" operator="equal">
      <formula>0</formula>
    </cfRule>
  </conditionalFormatting>
  <conditionalFormatting sqref="Z9:Z10 AE9:AE10">
    <cfRule type="cellIs" dxfId="93" priority="9" operator="equal">
      <formula>0</formula>
    </cfRule>
  </conditionalFormatting>
  <conditionalFormatting sqref="Z12 AE12">
    <cfRule type="cellIs" dxfId="92" priority="8" operator="equal">
      <formula>0</formula>
    </cfRule>
  </conditionalFormatting>
  <conditionalFormatting sqref="Z14:Z15 AE14:AE15">
    <cfRule type="cellIs" dxfId="91" priority="6" operator="equal">
      <formula>0</formula>
    </cfRule>
  </conditionalFormatting>
  <conditionalFormatting sqref="Z22 AE22">
    <cfRule type="cellIs" dxfId="90" priority="5" operator="equal">
      <formula>0</formula>
    </cfRule>
  </conditionalFormatting>
  <pageMargins left="0.7" right="0.7" top="0.75" bottom="0.75" header="0.3" footer="0.3"/>
  <pageSetup paperSize="9" orientation="portrait" horizontalDpi="120" verticalDpi="72" r:id="rId1"/>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5"/>
  <sheetViews>
    <sheetView zoomScaleNormal="100" workbookViewId="0"/>
  </sheetViews>
  <sheetFormatPr defaultColWidth="9" defaultRowHeight="15.5"/>
  <cols>
    <col min="1" max="1" width="1.58203125" style="2206" customWidth="1"/>
    <col min="2" max="2" width="48.58203125" style="2206" bestFit="1" customWidth="1"/>
    <col min="3" max="3" width="7.08203125" style="2206" customWidth="1"/>
    <col min="4" max="4" width="8.08203125" style="2206" customWidth="1"/>
    <col min="5" max="5" width="14.58203125" style="2206" customWidth="1"/>
    <col min="6" max="7" width="22.08203125" style="2206" customWidth="1"/>
    <col min="8" max="9" width="14.58203125" style="2206" customWidth="1"/>
    <col min="10" max="11" width="22.08203125" style="2206" customWidth="1"/>
    <col min="12" max="12" width="14.58203125" style="2206" customWidth="1"/>
    <col min="13" max="13" width="1.58203125" style="2206" customWidth="1"/>
    <col min="14" max="14" width="12.5" style="2206" customWidth="1"/>
    <col min="15" max="15" width="1.58203125" style="2206" customWidth="1"/>
    <col min="16" max="16" width="33.58203125" style="2206" customWidth="1"/>
    <col min="17" max="18" width="1.58203125" style="106" customWidth="1"/>
    <col min="19" max="19" width="25.08203125" style="106" customWidth="1"/>
    <col min="20" max="20" width="1.58203125" style="106" customWidth="1"/>
    <col min="21" max="27" width="6.08203125" style="106" hidden="1" customWidth="1"/>
    <col min="28" max="28" width="1.58203125" style="106" hidden="1" customWidth="1"/>
    <col min="29" max="29" width="1.58203125" style="2206" customWidth="1"/>
    <col min="30" max="30" width="48.58203125" style="2206" bestFit="1" customWidth="1"/>
    <col min="31" max="31" width="20.58203125" style="2206" bestFit="1" customWidth="1"/>
    <col min="32" max="33" width="22.08203125" style="2206" customWidth="1"/>
    <col min="34" max="35" width="14.58203125" style="2206" customWidth="1"/>
    <col min="36" max="37" width="22.08203125" style="2206" customWidth="1"/>
    <col min="38" max="38" width="14.58203125" style="2206" customWidth="1"/>
    <col min="39" max="16384" width="9" style="2206"/>
  </cols>
  <sheetData>
    <row r="1" spans="1:38" s="2258" customFormat="1" ht="22.5">
      <c r="A1" s="2370"/>
      <c r="B1" s="2371" t="s">
        <v>10146</v>
      </c>
      <c r="C1" s="2600"/>
      <c r="D1" s="2600"/>
      <c r="E1" s="2600"/>
      <c r="F1" s="2600"/>
      <c r="G1" s="2600"/>
      <c r="H1" s="2600"/>
      <c r="I1" s="2371"/>
      <c r="J1" s="2600"/>
      <c r="K1" s="2600"/>
      <c r="L1" s="2573"/>
      <c r="M1" s="2573"/>
      <c r="N1" s="2573"/>
      <c r="O1" s="2370"/>
      <c r="P1" s="2370"/>
      <c r="Q1" s="865"/>
      <c r="R1" s="1056"/>
      <c r="S1" s="251"/>
      <c r="T1" s="1056"/>
      <c r="U1" s="106"/>
      <c r="V1" s="106"/>
      <c r="W1" s="106"/>
      <c r="X1" s="106"/>
      <c r="Y1" s="106"/>
      <c r="Z1" s="106"/>
      <c r="AA1" s="106"/>
      <c r="AB1" s="1056"/>
      <c r="AC1" s="2370"/>
      <c r="AD1" s="2370"/>
      <c r="AE1" s="2370"/>
      <c r="AF1" s="2600"/>
      <c r="AG1" s="2600"/>
      <c r="AH1" s="2600"/>
      <c r="AI1" s="2371"/>
      <c r="AJ1" s="2600"/>
      <c r="AK1" s="2600"/>
      <c r="AL1" s="2573"/>
    </row>
    <row r="2" spans="1:38" s="2258" customFormat="1" ht="22.5">
      <c r="A2" s="2370"/>
      <c r="B2" s="2866" t="str">
        <f>SelectCompany!B4</f>
        <v>Yorkshire Water</v>
      </c>
      <c r="C2" s="2866"/>
      <c r="D2" s="2866"/>
      <c r="E2" s="2866"/>
      <c r="F2" s="2600"/>
      <c r="G2" s="2600"/>
      <c r="H2" s="2600"/>
      <c r="I2" s="2371"/>
      <c r="J2" s="2600"/>
      <c r="K2" s="2600"/>
      <c r="L2" s="2573"/>
      <c r="M2" s="2573"/>
      <c r="N2" s="2573"/>
      <c r="O2" s="2370"/>
      <c r="P2" s="2370"/>
      <c r="Q2" s="865"/>
      <c r="R2" s="1056"/>
      <c r="S2" s="251"/>
      <c r="T2" s="1056"/>
      <c r="U2" s="106"/>
      <c r="V2" s="106"/>
      <c r="W2" s="106"/>
      <c r="X2" s="106"/>
      <c r="Y2" s="106"/>
      <c r="Z2" s="106"/>
      <c r="AA2" s="106"/>
      <c r="AB2" s="1056"/>
      <c r="AC2" s="2370"/>
      <c r="AD2" s="2370"/>
      <c r="AE2" s="2370"/>
      <c r="AF2" s="2600"/>
      <c r="AG2" s="2600"/>
      <c r="AH2" s="2600"/>
      <c r="AI2" s="2371"/>
      <c r="AJ2" s="2600"/>
      <c r="AK2" s="2600"/>
      <c r="AL2" s="2573"/>
    </row>
    <row r="3" spans="1:38" s="2259" customFormat="1" ht="19">
      <c r="A3" s="2372"/>
      <c r="B3" s="2781" t="s">
        <v>10147</v>
      </c>
      <c r="C3" s="2781"/>
      <c r="D3" s="2781"/>
      <c r="E3" s="2781"/>
      <c r="F3" s="2781"/>
      <c r="G3" s="2781"/>
      <c r="H3" s="2781"/>
      <c r="I3" s="2781"/>
      <c r="J3" s="2781"/>
      <c r="K3" s="2781"/>
      <c r="L3" s="2781"/>
      <c r="M3" s="2781"/>
      <c r="N3" s="2781"/>
      <c r="O3" s="2781"/>
      <c r="P3" s="2781"/>
      <c r="Q3" s="865"/>
      <c r="R3" s="1056"/>
      <c r="S3" s="554" t="s">
        <v>1889</v>
      </c>
      <c r="T3" s="1056"/>
      <c r="U3" s="106"/>
      <c r="V3" s="106"/>
      <c r="W3" s="106"/>
      <c r="X3" s="106"/>
      <c r="Y3" s="106"/>
      <c r="Z3" s="106"/>
      <c r="AA3" s="106"/>
      <c r="AB3" s="1056"/>
      <c r="AC3" s="2372"/>
      <c r="AD3" s="2781" t="s">
        <v>10147</v>
      </c>
      <c r="AE3" s="2781"/>
      <c r="AF3" s="2781"/>
      <c r="AG3" s="2781"/>
      <c r="AH3" s="2781"/>
      <c r="AI3" s="2781"/>
      <c r="AJ3" s="2781"/>
      <c r="AK3" s="2781"/>
      <c r="AL3" s="2781"/>
    </row>
    <row r="4" spans="1:38" s="2259" customFormat="1" ht="19.5" thickBot="1">
      <c r="A4" s="2372"/>
      <c r="B4" s="2373"/>
      <c r="C4" s="2373"/>
      <c r="D4" s="2373"/>
      <c r="E4" s="2373"/>
      <c r="F4" s="2373"/>
      <c r="G4" s="2373"/>
      <c r="H4" s="2373"/>
      <c r="I4" s="2373"/>
      <c r="J4" s="2373"/>
      <c r="K4" s="2373"/>
      <c r="L4" s="2373"/>
      <c r="M4" s="2372"/>
      <c r="N4" s="2374"/>
      <c r="O4" s="2372"/>
      <c r="P4" s="2372"/>
      <c r="Q4" s="865"/>
      <c r="R4" s="1056"/>
      <c r="S4" s="251"/>
      <c r="T4" s="1056"/>
      <c r="U4" s="106"/>
      <c r="V4" s="106"/>
      <c r="W4" s="106"/>
      <c r="X4" s="106"/>
      <c r="Y4" s="106"/>
      <c r="Z4" s="106"/>
      <c r="AA4" s="106"/>
      <c r="AB4" s="1056"/>
      <c r="AC4" s="2372"/>
      <c r="AD4" s="2373"/>
      <c r="AE4" s="2373"/>
      <c r="AF4" s="2373"/>
      <c r="AG4" s="2373"/>
      <c r="AH4" s="2373"/>
      <c r="AI4" s="2373"/>
      <c r="AJ4" s="2373"/>
      <c r="AK4" s="2373"/>
      <c r="AL4" s="2373"/>
    </row>
    <row r="5" spans="1:38" s="2260" customFormat="1" ht="15" customHeight="1" thickTop="1">
      <c r="A5" s="239"/>
      <c r="B5" s="2686" t="s">
        <v>1891</v>
      </c>
      <c r="C5" s="2867" t="s">
        <v>1892</v>
      </c>
      <c r="D5" s="2867" t="s">
        <v>136</v>
      </c>
      <c r="E5" s="2667" t="s">
        <v>10148</v>
      </c>
      <c r="F5" s="2667"/>
      <c r="G5" s="2667"/>
      <c r="H5" s="2667"/>
      <c r="I5" s="2667" t="s">
        <v>10149</v>
      </c>
      <c r="J5" s="2667"/>
      <c r="K5" s="2667"/>
      <c r="L5" s="2669"/>
      <c r="M5" s="239"/>
      <c r="N5" s="2763" t="s">
        <v>1896</v>
      </c>
      <c r="O5" s="239"/>
      <c r="P5" s="2763" t="s">
        <v>1897</v>
      </c>
      <c r="Q5" s="865"/>
      <c r="R5" s="1056"/>
      <c r="S5" s="251"/>
      <c r="T5" s="1056"/>
      <c r="U5" s="106"/>
      <c r="V5" s="106"/>
      <c r="W5" s="106"/>
      <c r="X5" s="106"/>
      <c r="Y5" s="106"/>
      <c r="Z5" s="106"/>
      <c r="AA5" s="106"/>
      <c r="AB5" s="1056"/>
      <c r="AC5" s="239"/>
      <c r="AD5" s="2686" t="s">
        <v>1891</v>
      </c>
      <c r="AE5" s="2667" t="s">
        <v>10148</v>
      </c>
      <c r="AF5" s="2667"/>
      <c r="AG5" s="2667"/>
      <c r="AH5" s="2667"/>
      <c r="AI5" s="2667" t="s">
        <v>10149</v>
      </c>
      <c r="AJ5" s="2667"/>
      <c r="AK5" s="2667"/>
      <c r="AL5" s="2669"/>
    </row>
    <row r="6" spans="1:38" s="2260" customFormat="1" ht="15" customHeight="1" thickBot="1">
      <c r="A6" s="239"/>
      <c r="B6" s="2687"/>
      <c r="C6" s="2868"/>
      <c r="D6" s="2868"/>
      <c r="E6" s="238" t="s">
        <v>10150</v>
      </c>
      <c r="F6" s="238" t="s">
        <v>10151</v>
      </c>
      <c r="G6" s="238" t="s">
        <v>10152</v>
      </c>
      <c r="H6" s="238" t="s">
        <v>2112</v>
      </c>
      <c r="I6" s="238" t="s">
        <v>10150</v>
      </c>
      <c r="J6" s="238" t="s">
        <v>10151</v>
      </c>
      <c r="K6" s="238" t="s">
        <v>10152</v>
      </c>
      <c r="L6" s="576" t="s">
        <v>2112</v>
      </c>
      <c r="M6" s="239"/>
      <c r="N6" s="2765"/>
      <c r="O6" s="239"/>
      <c r="P6" s="2765"/>
      <c r="Q6" s="2273"/>
      <c r="R6" s="1056"/>
      <c r="S6" s="251"/>
      <c r="T6" s="1056"/>
      <c r="U6" s="2662" t="s">
        <v>1890</v>
      </c>
      <c r="V6" s="2662"/>
      <c r="W6" s="2662"/>
      <c r="X6" s="2662"/>
      <c r="Y6" s="2662"/>
      <c r="Z6" s="2662"/>
      <c r="AA6" s="2662"/>
      <c r="AB6" s="1056"/>
      <c r="AC6" s="239"/>
      <c r="AD6" s="2687"/>
      <c r="AE6" s="238" t="s">
        <v>10150</v>
      </c>
      <c r="AF6" s="238" t="s">
        <v>10151</v>
      </c>
      <c r="AG6" s="238" t="s">
        <v>10152</v>
      </c>
      <c r="AH6" s="238" t="s">
        <v>2112</v>
      </c>
      <c r="AI6" s="238" t="s">
        <v>10150</v>
      </c>
      <c r="AJ6" s="238" t="s">
        <v>10151</v>
      </c>
      <c r="AK6" s="238" t="s">
        <v>10152</v>
      </c>
      <c r="AL6" s="576" t="s">
        <v>2112</v>
      </c>
    </row>
    <row r="7" spans="1:38" s="2260" customFormat="1" ht="15" customHeight="1" thickTop="1" thickBot="1">
      <c r="A7" s="239"/>
      <c r="B7" s="852"/>
      <c r="C7" s="852"/>
      <c r="D7" s="852"/>
      <c r="E7" s="852"/>
      <c r="F7" s="853"/>
      <c r="G7" s="853"/>
      <c r="H7" s="853"/>
      <c r="I7" s="852"/>
      <c r="J7" s="853"/>
      <c r="K7" s="853"/>
      <c r="L7" s="853"/>
      <c r="M7" s="239"/>
      <c r="N7" s="197"/>
      <c r="O7" s="239"/>
      <c r="P7" s="197"/>
      <c r="Q7" s="926"/>
      <c r="R7" s="1056"/>
      <c r="S7" s="251"/>
      <c r="T7" s="1056"/>
      <c r="U7" s="236" t="s">
        <v>1898</v>
      </c>
      <c r="V7" s="106"/>
      <c r="W7" s="106"/>
      <c r="X7" s="106"/>
      <c r="Y7" s="106"/>
      <c r="Z7" s="106"/>
      <c r="AA7" s="106"/>
      <c r="AB7" s="1056"/>
      <c r="AC7" s="239"/>
      <c r="AD7" s="852"/>
      <c r="AE7" s="852"/>
      <c r="AF7" s="853"/>
      <c r="AG7" s="853"/>
      <c r="AH7" s="853"/>
      <c r="AI7" s="852"/>
      <c r="AJ7" s="853"/>
      <c r="AK7" s="853"/>
      <c r="AL7" s="853"/>
    </row>
    <row r="8" spans="1:38" s="2260" customFormat="1" ht="15" customHeight="1" thickTop="1">
      <c r="A8" s="239"/>
      <c r="B8" s="358" t="s">
        <v>10153</v>
      </c>
      <c r="C8" s="2375" t="s">
        <v>137</v>
      </c>
      <c r="D8" s="2375">
        <v>3</v>
      </c>
      <c r="E8" s="2261">
        <v>-1.0369999999999999</v>
      </c>
      <c r="F8" s="2261">
        <v>149.06200000000001</v>
      </c>
      <c r="G8" s="2261">
        <v>-172.49600000000001</v>
      </c>
      <c r="H8" s="2262">
        <f t="shared" ref="H8:H12" si="0">SUM(E8:G8)</f>
        <v>-24.471000000000004</v>
      </c>
      <c r="I8" s="2261">
        <v>-1.0369999999999999</v>
      </c>
      <c r="J8" s="2261">
        <v>149.06200000000001</v>
      </c>
      <c r="K8" s="2263">
        <v>-172.49600000000001</v>
      </c>
      <c r="L8" s="2264">
        <f t="shared" ref="L8:L13" si="1">SUM(I8:K8)</f>
        <v>-24.471000000000004</v>
      </c>
      <c r="M8" s="239"/>
      <c r="N8" s="935" t="s">
        <v>10154</v>
      </c>
      <c r="O8" s="239"/>
      <c r="P8" s="519"/>
      <c r="Q8" s="926"/>
      <c r="R8" s="2576"/>
      <c r="S8" s="251">
        <f>IF( SUM( U8:AA8 ) = 0, 0, $U$7 )</f>
        <v>0</v>
      </c>
      <c r="T8" s="2576"/>
      <c r="U8" s="252">
        <f xml:space="preserve"> IF( ISNUMBER(E8), 0, 1 )</f>
        <v>0</v>
      </c>
      <c r="V8" s="252">
        <f t="shared" ref="V8:W8" si="2" xml:space="preserve"> IF( ISNUMBER(F8), 0, 1 )</f>
        <v>0</v>
      </c>
      <c r="W8" s="252">
        <f t="shared" si="2"/>
        <v>0</v>
      </c>
      <c r="X8" s="251"/>
      <c r="Y8" s="252">
        <f t="shared" ref="Y8:AA8" si="3" xml:space="preserve"> IF( ISNUMBER(I8), 0, 1 )</f>
        <v>0</v>
      </c>
      <c r="Z8" s="252">
        <f t="shared" si="3"/>
        <v>0</v>
      </c>
      <c r="AA8" s="252">
        <f t="shared" si="3"/>
        <v>0</v>
      </c>
      <c r="AB8" s="2576"/>
      <c r="AC8" s="239"/>
      <c r="AD8" s="358" t="s">
        <v>10153</v>
      </c>
      <c r="AE8" s="2261" t="s">
        <v>1283</v>
      </c>
      <c r="AF8" s="2261" t="s">
        <v>1284</v>
      </c>
      <c r="AG8" s="2261" t="s">
        <v>1285</v>
      </c>
      <c r="AH8" s="2262" t="s">
        <v>1286</v>
      </c>
      <c r="AI8" s="2261" t="s">
        <v>1287</v>
      </c>
      <c r="AJ8" s="2261" t="s">
        <v>1288</v>
      </c>
      <c r="AK8" s="2263" t="s">
        <v>1289</v>
      </c>
      <c r="AL8" s="2264" t="s">
        <v>1290</v>
      </c>
    </row>
    <row r="9" spans="1:38" s="2260" customFormat="1" ht="15" customHeight="1">
      <c r="A9" s="239"/>
      <c r="B9" s="365" t="s">
        <v>10155</v>
      </c>
      <c r="C9" s="2376" t="s">
        <v>137</v>
      </c>
      <c r="D9" s="2376">
        <v>3</v>
      </c>
      <c r="E9" s="2265">
        <v>5.8010000000000002</v>
      </c>
      <c r="F9" s="2265">
        <v>0</v>
      </c>
      <c r="G9" s="2265">
        <v>0</v>
      </c>
      <c r="H9" s="2266">
        <f t="shared" si="0"/>
        <v>5.8010000000000002</v>
      </c>
      <c r="I9" s="2265">
        <v>5.8010000000000002</v>
      </c>
      <c r="J9" s="2265">
        <v>0</v>
      </c>
      <c r="K9" s="2267">
        <v>0</v>
      </c>
      <c r="L9" s="2268">
        <f t="shared" si="1"/>
        <v>5.8010000000000002</v>
      </c>
      <c r="M9" s="239"/>
      <c r="N9" s="936" t="s">
        <v>10156</v>
      </c>
      <c r="O9" s="239"/>
      <c r="P9" s="520"/>
      <c r="Q9" s="926"/>
      <c r="R9" s="2576"/>
      <c r="S9" s="251">
        <f t="shared" ref="S9:S13" si="4">IF( SUM( U9:AA9 ) = 0, 0, $U$7 )</f>
        <v>0</v>
      </c>
      <c r="T9" s="2576"/>
      <c r="U9" s="252">
        <f t="shared" ref="U9:U13" si="5" xml:space="preserve"> IF( ISNUMBER(E9), 0, 1 )</f>
        <v>0</v>
      </c>
      <c r="V9" s="252">
        <f t="shared" ref="V9:V13" si="6" xml:space="preserve"> IF( ISNUMBER(F9), 0, 1 )</f>
        <v>0</v>
      </c>
      <c r="W9" s="252">
        <f t="shared" ref="W9:W13" si="7" xml:space="preserve"> IF( ISNUMBER(G9), 0, 1 )</f>
        <v>0</v>
      </c>
      <c r="X9" s="251"/>
      <c r="Y9" s="252">
        <f t="shared" ref="Y9:Y13" si="8" xml:space="preserve"> IF( ISNUMBER(I9), 0, 1 )</f>
        <v>0</v>
      </c>
      <c r="Z9" s="252">
        <f t="shared" ref="Z9:Z13" si="9" xml:space="preserve"> IF( ISNUMBER(J9), 0, 1 )</f>
        <v>0</v>
      </c>
      <c r="AA9" s="252">
        <f t="shared" ref="AA9:AA13" si="10" xml:space="preserve"> IF( ISNUMBER(K9), 0, 1 )</f>
        <v>0</v>
      </c>
      <c r="AB9" s="2576"/>
      <c r="AC9" s="239"/>
      <c r="AD9" s="365" t="s">
        <v>10155</v>
      </c>
      <c r="AE9" s="2265" t="s">
        <v>1291</v>
      </c>
      <c r="AF9" s="2265" t="s">
        <v>1292</v>
      </c>
      <c r="AG9" s="2265" t="s">
        <v>1293</v>
      </c>
      <c r="AH9" s="2266" t="s">
        <v>1294</v>
      </c>
      <c r="AI9" s="2265" t="s">
        <v>1295</v>
      </c>
      <c r="AJ9" s="2265" t="s">
        <v>1296</v>
      </c>
      <c r="AK9" s="2267" t="s">
        <v>1297</v>
      </c>
      <c r="AL9" s="2268" t="s">
        <v>1298</v>
      </c>
    </row>
    <row r="10" spans="1:38" s="2260" customFormat="1" ht="15" customHeight="1">
      <c r="A10" s="239"/>
      <c r="B10" s="365" t="s">
        <v>10157</v>
      </c>
      <c r="C10" s="2376" t="s">
        <v>137</v>
      </c>
      <c r="D10" s="2376">
        <v>3</v>
      </c>
      <c r="E10" s="2265">
        <v>166.09700000000001</v>
      </c>
      <c r="F10" s="2265">
        <v>0</v>
      </c>
      <c r="G10" s="2265">
        <v>0</v>
      </c>
      <c r="H10" s="2266">
        <f t="shared" si="0"/>
        <v>166.09700000000001</v>
      </c>
      <c r="I10" s="2265">
        <v>166.09700000000001</v>
      </c>
      <c r="J10" s="2265">
        <v>0</v>
      </c>
      <c r="K10" s="2267">
        <v>0</v>
      </c>
      <c r="L10" s="2268">
        <f t="shared" si="1"/>
        <v>166.09700000000001</v>
      </c>
      <c r="M10" s="239"/>
      <c r="N10" s="936" t="s">
        <v>10158</v>
      </c>
      <c r="O10" s="239"/>
      <c r="P10" s="520"/>
      <c r="Q10" s="926"/>
      <c r="R10" s="2576"/>
      <c r="S10" s="251">
        <f t="shared" si="4"/>
        <v>0</v>
      </c>
      <c r="T10" s="2576"/>
      <c r="U10" s="252">
        <f t="shared" si="5"/>
        <v>0</v>
      </c>
      <c r="V10" s="252">
        <f t="shared" si="6"/>
        <v>0</v>
      </c>
      <c r="W10" s="252">
        <f t="shared" si="7"/>
        <v>0</v>
      </c>
      <c r="X10" s="251"/>
      <c r="Y10" s="252">
        <f t="shared" si="8"/>
        <v>0</v>
      </c>
      <c r="Z10" s="252">
        <f t="shared" si="9"/>
        <v>0</v>
      </c>
      <c r="AA10" s="252">
        <f t="shared" si="10"/>
        <v>0</v>
      </c>
      <c r="AB10" s="2576"/>
      <c r="AC10" s="239"/>
      <c r="AD10" s="365" t="s">
        <v>10157</v>
      </c>
      <c r="AE10" s="2265" t="s">
        <v>1299</v>
      </c>
      <c r="AF10" s="2265" t="s">
        <v>1300</v>
      </c>
      <c r="AG10" s="2265" t="s">
        <v>1301</v>
      </c>
      <c r="AH10" s="2266" t="s">
        <v>1302</v>
      </c>
      <c r="AI10" s="2265" t="s">
        <v>1303</v>
      </c>
      <c r="AJ10" s="2265" t="s">
        <v>1304</v>
      </c>
      <c r="AK10" s="2267" t="s">
        <v>1305</v>
      </c>
      <c r="AL10" s="2268" t="s">
        <v>1306</v>
      </c>
    </row>
    <row r="11" spans="1:38" s="2260" customFormat="1" ht="15" customHeight="1">
      <c r="A11" s="239"/>
      <c r="B11" s="365" t="s">
        <v>10159</v>
      </c>
      <c r="C11" s="2376" t="s">
        <v>137</v>
      </c>
      <c r="D11" s="2376">
        <v>3</v>
      </c>
      <c r="E11" s="2265">
        <v>0</v>
      </c>
      <c r="F11" s="2265">
        <v>0</v>
      </c>
      <c r="G11" s="2265">
        <v>0</v>
      </c>
      <c r="H11" s="2266">
        <f t="shared" si="0"/>
        <v>0</v>
      </c>
      <c r="I11" s="2265">
        <v>0</v>
      </c>
      <c r="J11" s="2265">
        <v>0</v>
      </c>
      <c r="K11" s="2267">
        <v>0</v>
      </c>
      <c r="L11" s="2268">
        <f t="shared" si="1"/>
        <v>0</v>
      </c>
      <c r="M11" s="239"/>
      <c r="N11" s="936" t="s">
        <v>10160</v>
      </c>
      <c r="O11" s="239"/>
      <c r="P11" s="520"/>
      <c r="Q11" s="926"/>
      <c r="R11" s="2576"/>
      <c r="S11" s="251">
        <f t="shared" si="4"/>
        <v>0</v>
      </c>
      <c r="T11" s="2576"/>
      <c r="U11" s="252">
        <f t="shared" si="5"/>
        <v>0</v>
      </c>
      <c r="V11" s="252">
        <f t="shared" si="6"/>
        <v>0</v>
      </c>
      <c r="W11" s="252">
        <f t="shared" si="7"/>
        <v>0</v>
      </c>
      <c r="X11" s="251"/>
      <c r="Y11" s="252">
        <f t="shared" si="8"/>
        <v>0</v>
      </c>
      <c r="Z11" s="252">
        <f t="shared" si="9"/>
        <v>0</v>
      </c>
      <c r="AA11" s="252">
        <f t="shared" si="10"/>
        <v>0</v>
      </c>
      <c r="AB11" s="2576"/>
      <c r="AC11" s="239"/>
      <c r="AD11" s="365" t="s">
        <v>10159</v>
      </c>
      <c r="AE11" s="2265" t="s">
        <v>1307</v>
      </c>
      <c r="AF11" s="2265" t="s">
        <v>1308</v>
      </c>
      <c r="AG11" s="2265" t="s">
        <v>1309</v>
      </c>
      <c r="AH11" s="2266" t="s">
        <v>1310</v>
      </c>
      <c r="AI11" s="2265" t="s">
        <v>1311</v>
      </c>
      <c r="AJ11" s="2265" t="s">
        <v>1312</v>
      </c>
      <c r="AK11" s="2267" t="s">
        <v>1313</v>
      </c>
      <c r="AL11" s="2268" t="s">
        <v>1314</v>
      </c>
    </row>
    <row r="12" spans="1:38" s="2260" customFormat="1" ht="15" customHeight="1">
      <c r="A12" s="239"/>
      <c r="B12" s="365" t="s">
        <v>10161</v>
      </c>
      <c r="C12" s="2376" t="s">
        <v>137</v>
      </c>
      <c r="D12" s="2376">
        <v>3</v>
      </c>
      <c r="E12" s="2265">
        <v>194.61308646556628</v>
      </c>
      <c r="F12" s="2265">
        <v>0</v>
      </c>
      <c r="G12" s="2265">
        <v>0</v>
      </c>
      <c r="H12" s="2266">
        <f t="shared" si="0"/>
        <v>194.61308646556628</v>
      </c>
      <c r="I12" s="2265">
        <v>194.61308646556628</v>
      </c>
      <c r="J12" s="2265">
        <v>0</v>
      </c>
      <c r="K12" s="2267">
        <v>0</v>
      </c>
      <c r="L12" s="2268">
        <f t="shared" si="1"/>
        <v>194.61308646556628</v>
      </c>
      <c r="M12" s="239"/>
      <c r="N12" s="936" t="s">
        <v>10162</v>
      </c>
      <c r="O12" s="239"/>
      <c r="P12" s="520"/>
      <c r="Q12" s="926"/>
      <c r="R12" s="2576"/>
      <c r="S12" s="251">
        <f t="shared" si="4"/>
        <v>0</v>
      </c>
      <c r="T12" s="2576"/>
      <c r="U12" s="252">
        <f t="shared" si="5"/>
        <v>0</v>
      </c>
      <c r="V12" s="252">
        <f t="shared" si="6"/>
        <v>0</v>
      </c>
      <c r="W12" s="252">
        <f t="shared" si="7"/>
        <v>0</v>
      </c>
      <c r="X12" s="251"/>
      <c r="Y12" s="252">
        <f t="shared" si="8"/>
        <v>0</v>
      </c>
      <c r="Z12" s="252">
        <f t="shared" si="9"/>
        <v>0</v>
      </c>
      <c r="AA12" s="252">
        <f t="shared" si="10"/>
        <v>0</v>
      </c>
      <c r="AB12" s="2576"/>
      <c r="AC12" s="239"/>
      <c r="AD12" s="365" t="s">
        <v>10161</v>
      </c>
      <c r="AE12" s="2265" t="s">
        <v>1315</v>
      </c>
      <c r="AF12" s="2265" t="s">
        <v>1316</v>
      </c>
      <c r="AG12" s="2265" t="s">
        <v>1317</v>
      </c>
      <c r="AH12" s="2266" t="s">
        <v>1318</v>
      </c>
      <c r="AI12" s="2265" t="s">
        <v>1319</v>
      </c>
      <c r="AJ12" s="2265" t="s">
        <v>1320</v>
      </c>
      <c r="AK12" s="2267" t="s">
        <v>1321</v>
      </c>
      <c r="AL12" s="2268" t="s">
        <v>1322</v>
      </c>
    </row>
    <row r="13" spans="1:38" s="2260" customFormat="1" ht="15" customHeight="1">
      <c r="A13" s="239"/>
      <c r="B13" s="365" t="s">
        <v>10163</v>
      </c>
      <c r="C13" s="2376" t="s">
        <v>137</v>
      </c>
      <c r="D13" s="2376">
        <v>3</v>
      </c>
      <c r="E13" s="2265">
        <v>1637.8730600094184</v>
      </c>
      <c r="F13" s="2265">
        <v>116.406009</v>
      </c>
      <c r="G13" s="2265">
        <v>-90.159979177268028</v>
      </c>
      <c r="H13" s="2266">
        <f>SUM(E13:G13)</f>
        <v>1664.1190898321504</v>
      </c>
      <c r="I13" s="2265">
        <v>1637.8730600094184</v>
      </c>
      <c r="J13" s="2265">
        <v>116.406009</v>
      </c>
      <c r="K13" s="2267">
        <v>-90.159979177268028</v>
      </c>
      <c r="L13" s="2268">
        <f t="shared" si="1"/>
        <v>1664.1190898321504</v>
      </c>
      <c r="M13" s="239"/>
      <c r="N13" s="936" t="s">
        <v>10164</v>
      </c>
      <c r="O13" s="239"/>
      <c r="P13" s="520"/>
      <c r="Q13" s="926"/>
      <c r="R13" s="2576"/>
      <c r="S13" s="251">
        <f t="shared" si="4"/>
        <v>0</v>
      </c>
      <c r="T13" s="2576"/>
      <c r="U13" s="252">
        <f t="shared" si="5"/>
        <v>0</v>
      </c>
      <c r="V13" s="252">
        <f t="shared" si="6"/>
        <v>0</v>
      </c>
      <c r="W13" s="252">
        <f t="shared" si="7"/>
        <v>0</v>
      </c>
      <c r="X13" s="251"/>
      <c r="Y13" s="252">
        <f t="shared" si="8"/>
        <v>0</v>
      </c>
      <c r="Z13" s="252">
        <f t="shared" si="9"/>
        <v>0</v>
      </c>
      <c r="AA13" s="252">
        <f t="shared" si="10"/>
        <v>0</v>
      </c>
      <c r="AB13" s="2576"/>
      <c r="AC13" s="239"/>
      <c r="AD13" s="365" t="s">
        <v>10163</v>
      </c>
      <c r="AE13" s="2265" t="s">
        <v>1323</v>
      </c>
      <c r="AF13" s="2265" t="s">
        <v>1324</v>
      </c>
      <c r="AG13" s="2265" t="s">
        <v>1325</v>
      </c>
      <c r="AH13" s="2266" t="s">
        <v>1326</v>
      </c>
      <c r="AI13" s="2265" t="s">
        <v>1327</v>
      </c>
      <c r="AJ13" s="2265" t="s">
        <v>1328</v>
      </c>
      <c r="AK13" s="2267" t="s">
        <v>1329</v>
      </c>
      <c r="AL13" s="2268" t="s">
        <v>1330</v>
      </c>
    </row>
    <row r="14" spans="1:38" s="2260" customFormat="1" ht="15" customHeight="1" thickBot="1">
      <c r="A14" s="239"/>
      <c r="B14" s="368" t="s">
        <v>2112</v>
      </c>
      <c r="C14" s="2272" t="s">
        <v>137</v>
      </c>
      <c r="D14" s="2272">
        <v>3</v>
      </c>
      <c r="E14" s="2269">
        <f>IFERROR(SUM(E8:E13), 0)</f>
        <v>2003.3471464749846</v>
      </c>
      <c r="F14" s="2269">
        <f t="shared" ref="F14:L14" si="11">IFERROR(SUM(F8:F13), 0)</f>
        <v>265.468009</v>
      </c>
      <c r="G14" s="2269">
        <f t="shared" si="11"/>
        <v>-262.65597917726802</v>
      </c>
      <c r="H14" s="2269">
        <f t="shared" si="11"/>
        <v>2006.1591762977168</v>
      </c>
      <c r="I14" s="2269">
        <f>IFERROR(SUM(I8:I13), 0)</f>
        <v>2003.3471464749846</v>
      </c>
      <c r="J14" s="2269">
        <f t="shared" si="11"/>
        <v>265.468009</v>
      </c>
      <c r="K14" s="2270">
        <f t="shared" si="11"/>
        <v>-262.65597917726802</v>
      </c>
      <c r="L14" s="2271">
        <f t="shared" si="11"/>
        <v>2006.1591762977168</v>
      </c>
      <c r="M14" s="239"/>
      <c r="N14" s="938" t="s">
        <v>10165</v>
      </c>
      <c r="O14" s="239"/>
      <c r="P14" s="522"/>
      <c r="Q14" s="926"/>
      <c r="R14" s="1056"/>
      <c r="S14" s="251">
        <f>IF( SUM( U14:AA14 ) = 0, 0, $W$7 )</f>
        <v>0</v>
      </c>
      <c r="T14" s="1056"/>
      <c r="U14" s="106"/>
      <c r="V14" s="106"/>
      <c r="W14" s="106"/>
      <c r="X14" s="106"/>
      <c r="Y14" s="106"/>
      <c r="Z14" s="106"/>
      <c r="AA14" s="106"/>
      <c r="AB14" s="1056"/>
      <c r="AC14" s="239"/>
      <c r="AD14" s="368" t="s">
        <v>2112</v>
      </c>
      <c r="AE14" s="2269" t="s">
        <v>1331</v>
      </c>
      <c r="AF14" s="2269" t="s">
        <v>1332</v>
      </c>
      <c r="AG14" s="2269" t="s">
        <v>1333</v>
      </c>
      <c r="AH14" s="2269" t="s">
        <v>1334</v>
      </c>
      <c r="AI14" s="2269" t="s">
        <v>1335</v>
      </c>
      <c r="AJ14" s="2269" t="s">
        <v>1336</v>
      </c>
      <c r="AK14" s="2270" t="s">
        <v>1337</v>
      </c>
      <c r="AL14" s="2271" t="s">
        <v>1338</v>
      </c>
    </row>
    <row r="15" spans="1:38" ht="16" thickTop="1">
      <c r="A15" s="17"/>
      <c r="B15" s="17"/>
      <c r="C15" s="17"/>
      <c r="D15" s="17"/>
      <c r="E15" s="17"/>
      <c r="F15" s="17"/>
      <c r="G15" s="17"/>
      <c r="H15" s="17"/>
      <c r="I15" s="17"/>
      <c r="J15" s="17"/>
      <c r="K15" s="17"/>
      <c r="L15" s="17"/>
      <c r="M15" s="17"/>
      <c r="N15" s="17"/>
      <c r="O15" s="17"/>
      <c r="P15" s="17"/>
      <c r="AC15" s="17"/>
      <c r="AD15" s="17"/>
      <c r="AE15" s="17"/>
      <c r="AF15" s="17"/>
      <c r="AG15" s="17"/>
      <c r="AH15" s="17"/>
      <c r="AI15" s="17"/>
      <c r="AJ15" s="17"/>
      <c r="AK15" s="17"/>
      <c r="AL15" s="17"/>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89" priority="7" operator="equal">
      <formula>0</formula>
    </cfRule>
  </conditionalFormatting>
  <conditionalFormatting sqref="S4:S14">
    <cfRule type="cellIs" dxfId="88" priority="2" operator="equal">
      <formula>0</formula>
    </cfRule>
  </conditionalFormatting>
  <conditionalFormatting sqref="U11:AA11 U13:AA13">
    <cfRule type="cellIs" dxfId="87" priority="19" operator="equal">
      <formula>0</formula>
    </cfRule>
  </conditionalFormatting>
  <conditionalFormatting sqref="X8:X13">
    <cfRule type="cellIs" dxfId="86"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Normal="100" zoomScaleSheetLayoutView="100" workbookViewId="0">
      <pane ySplit="6" topLeftCell="A7" activePane="bottomLeft" state="frozen"/>
      <selection pane="bottomLeft" activeCell="J9" sqref="J9"/>
    </sheetView>
  </sheetViews>
  <sheetFormatPr defaultColWidth="103.58203125" defaultRowHeight="15.5"/>
  <cols>
    <col min="1" max="1" width="2.5" style="220" customWidth="1"/>
    <col min="2" max="2" width="22.08203125" style="220" customWidth="1"/>
    <col min="3" max="3" width="13.5" style="220" customWidth="1"/>
    <col min="4" max="4" width="5.5" style="220" bestFit="1" customWidth="1"/>
    <col min="5" max="5" width="4.58203125" style="220" bestFit="1" customWidth="1"/>
    <col min="6" max="6" width="11.08203125" style="220" bestFit="1" customWidth="1"/>
    <col min="7" max="7" width="20.08203125" style="220" bestFit="1" customWidth="1"/>
    <col min="8" max="8" width="14.08203125" style="220" bestFit="1" customWidth="1"/>
    <col min="9" max="9" width="17.08203125" style="220" bestFit="1" customWidth="1"/>
    <col min="10" max="10" width="23.08203125" style="220" bestFit="1" customWidth="1"/>
    <col min="11" max="11" width="2.58203125" style="220" customWidth="1"/>
    <col min="12" max="12" width="15.58203125" style="229" bestFit="1" customWidth="1"/>
    <col min="13" max="13" width="2.58203125" style="229" customWidth="1"/>
    <col min="14" max="14" width="47.5" style="229" bestFit="1" customWidth="1"/>
    <col min="15" max="15" width="16.58203125" style="229" customWidth="1"/>
    <col min="16" max="16" width="6.08203125" style="230" customWidth="1"/>
    <col min="17" max="17" width="20.58203125" style="220" bestFit="1" customWidth="1"/>
    <col min="18" max="18" width="6.08203125" style="230" customWidth="1"/>
    <col min="19" max="22" width="6.08203125" style="230" hidden="1" customWidth="1"/>
    <col min="23" max="23" width="6.08203125" style="220" customWidth="1"/>
    <col min="24" max="24" width="10.08203125" style="220" customWidth="1"/>
    <col min="25" max="25" width="25.08203125" style="220" customWidth="1"/>
    <col min="26" max="26" width="15.08203125" style="220" bestFit="1" customWidth="1"/>
    <col min="27" max="27" width="20.58203125" style="220" bestFit="1" customWidth="1"/>
    <col min="28" max="28" width="14.58203125" style="220" bestFit="1" customWidth="1"/>
    <col min="29" max="29" width="13.08203125" style="220" bestFit="1" customWidth="1"/>
    <col min="30" max="30" width="23.08203125" style="220" bestFit="1" customWidth="1"/>
    <col min="31" max="16384" width="103.58203125" style="220"/>
  </cols>
  <sheetData>
    <row r="1" spans="1:30" s="227" customFormat="1" ht="22.5">
      <c r="B1" s="2673" t="s">
        <v>1886</v>
      </c>
      <c r="C1" s="2673"/>
      <c r="D1" s="2673"/>
      <c r="E1" s="2673"/>
      <c r="F1" s="2673"/>
      <c r="G1" s="2673"/>
      <c r="H1" s="2673"/>
      <c r="I1" s="2673"/>
      <c r="J1" s="2673"/>
      <c r="L1" s="228"/>
      <c r="M1" s="228"/>
      <c r="N1" s="228"/>
      <c r="O1" s="229"/>
      <c r="P1" s="2571"/>
      <c r="R1" s="2571"/>
      <c r="S1" s="2572"/>
      <c r="T1" s="2572"/>
      <c r="U1" s="2572"/>
      <c r="V1" s="2571"/>
      <c r="W1" s="229"/>
      <c r="X1" s="2673" t="s">
        <v>1887</v>
      </c>
      <c r="Y1" s="2673"/>
      <c r="Z1" s="2673"/>
      <c r="AA1" s="2673"/>
      <c r="AB1" s="2673"/>
      <c r="AC1" s="2673"/>
      <c r="AD1" s="2673"/>
    </row>
    <row r="2" spans="1:30" s="227" customFormat="1" ht="22.5">
      <c r="B2" s="2673" t="str">
        <f>SelectCompany!B4</f>
        <v>Yorkshire Water</v>
      </c>
      <c r="C2" s="2673"/>
      <c r="D2" s="2673"/>
      <c r="E2" s="2673"/>
      <c r="F2" s="2673"/>
      <c r="G2" s="2673"/>
      <c r="H2" s="2673"/>
      <c r="I2" s="2673"/>
      <c r="J2" s="2673"/>
      <c r="L2" s="228"/>
      <c r="M2" s="228"/>
      <c r="N2" s="228"/>
      <c r="O2" s="229"/>
      <c r="P2" s="2571"/>
      <c r="R2" s="2571"/>
      <c r="S2" s="2572"/>
      <c r="T2" s="2572"/>
      <c r="U2" s="2572"/>
      <c r="V2" s="2571"/>
      <c r="X2" s="2673"/>
      <c r="Y2" s="2673"/>
      <c r="Z2" s="2673"/>
      <c r="AA2" s="2673"/>
      <c r="AB2" s="2673"/>
      <c r="AC2" s="2673"/>
      <c r="AD2" s="2673"/>
    </row>
    <row r="3" spans="1:30" s="231" customFormat="1" ht="19">
      <c r="B3" s="2674" t="s">
        <v>1888</v>
      </c>
      <c r="C3" s="2675"/>
      <c r="D3" s="2675"/>
      <c r="E3" s="2675"/>
      <c r="F3" s="2675"/>
      <c r="G3" s="2675"/>
      <c r="H3" s="2675"/>
      <c r="I3" s="2675"/>
      <c r="J3" s="2675"/>
      <c r="K3" s="2675"/>
      <c r="L3" s="2675"/>
      <c r="M3" s="2675"/>
      <c r="N3" s="2675"/>
      <c r="O3" s="229"/>
      <c r="P3" s="2571"/>
      <c r="Q3" s="232" t="s">
        <v>1889</v>
      </c>
      <c r="R3" s="2571"/>
      <c r="S3" s="2572"/>
      <c r="T3" s="2572"/>
      <c r="U3" s="2572"/>
      <c r="V3" s="2571"/>
      <c r="X3" s="2676" t="s">
        <v>1888</v>
      </c>
      <c r="Y3" s="2677"/>
      <c r="Z3" s="2677"/>
      <c r="AA3" s="2677"/>
      <c r="AB3" s="2677"/>
      <c r="AC3" s="2677"/>
      <c r="AD3" s="2678"/>
    </row>
    <row r="4" spans="1:30" ht="16" thickBot="1">
      <c r="A4" s="2562"/>
      <c r="B4" s="233"/>
      <c r="C4" s="233"/>
      <c r="D4" s="233"/>
      <c r="E4" s="233"/>
      <c r="F4" s="2661"/>
      <c r="G4" s="2661"/>
      <c r="H4" s="2661"/>
      <c r="I4" s="2661"/>
      <c r="J4" s="2661"/>
      <c r="K4" s="2562"/>
      <c r="L4" s="228"/>
      <c r="P4" s="2571"/>
      <c r="Q4" s="2573"/>
      <c r="R4" s="2571"/>
      <c r="S4" s="2662" t="s">
        <v>1890</v>
      </c>
      <c r="T4" s="2662"/>
      <c r="U4" s="2662"/>
      <c r="V4" s="2571"/>
      <c r="W4" s="2562"/>
      <c r="X4" s="233"/>
      <c r="Y4" s="233"/>
      <c r="Z4" s="2661"/>
      <c r="AA4" s="2661"/>
      <c r="AB4" s="2661"/>
      <c r="AC4" s="2661"/>
      <c r="AD4" s="2661"/>
    </row>
    <row r="5" spans="1:30" ht="16" thickTop="1">
      <c r="A5" s="197"/>
      <c r="B5" s="2663" t="s">
        <v>1891</v>
      </c>
      <c r="C5" s="2664"/>
      <c r="D5" s="2664" t="s">
        <v>1892</v>
      </c>
      <c r="E5" s="2664" t="s">
        <v>136</v>
      </c>
      <c r="F5" s="2667" t="s">
        <v>1893</v>
      </c>
      <c r="G5" s="2667" t="s">
        <v>1894</v>
      </c>
      <c r="H5" s="2667"/>
      <c r="I5" s="2667"/>
      <c r="J5" s="2669" t="s">
        <v>1895</v>
      </c>
      <c r="K5" s="197"/>
      <c r="L5" s="2671" t="s">
        <v>1896</v>
      </c>
      <c r="M5" s="235"/>
      <c r="N5" s="2671" t="s">
        <v>1897</v>
      </c>
      <c r="O5" s="235"/>
      <c r="P5" s="2571"/>
      <c r="Q5" s="2573"/>
      <c r="R5" s="2571"/>
      <c r="S5" s="236" t="s">
        <v>1898</v>
      </c>
      <c r="T5" s="237"/>
      <c r="U5" s="237"/>
      <c r="V5" s="2571"/>
      <c r="W5" s="2562"/>
      <c r="X5" s="2663" t="s">
        <v>1891</v>
      </c>
      <c r="Y5" s="2664"/>
      <c r="Z5" s="2667" t="s">
        <v>1893</v>
      </c>
      <c r="AA5" s="2667" t="s">
        <v>1894</v>
      </c>
      <c r="AB5" s="2667"/>
      <c r="AC5" s="2667"/>
      <c r="AD5" s="2669" t="s">
        <v>1895</v>
      </c>
    </row>
    <row r="6" spans="1:30" ht="47" thickBot="1">
      <c r="A6" s="197"/>
      <c r="B6" s="2665"/>
      <c r="C6" s="2666"/>
      <c r="D6" s="2666"/>
      <c r="E6" s="2666"/>
      <c r="F6" s="2668"/>
      <c r="G6" s="238" t="s">
        <v>1899</v>
      </c>
      <c r="H6" s="238" t="s">
        <v>1900</v>
      </c>
      <c r="I6" s="238" t="s">
        <v>1901</v>
      </c>
      <c r="J6" s="2670"/>
      <c r="K6" s="197"/>
      <c r="L6" s="2672"/>
      <c r="M6" s="235"/>
      <c r="N6" s="2672"/>
      <c r="O6" s="235"/>
      <c r="P6" s="2571"/>
      <c r="Q6" s="2573"/>
      <c r="R6" s="2571"/>
      <c r="S6" s="2562"/>
      <c r="T6" s="2562"/>
      <c r="U6" s="2562"/>
      <c r="V6" s="2571"/>
      <c r="W6" s="2562"/>
      <c r="X6" s="2665"/>
      <c r="Y6" s="2666"/>
      <c r="Z6" s="2668"/>
      <c r="AA6" s="238" t="s">
        <v>1899</v>
      </c>
      <c r="AB6" s="238" t="s">
        <v>1900</v>
      </c>
      <c r="AC6" s="238" t="s">
        <v>1901</v>
      </c>
      <c r="AD6" s="2670"/>
    </row>
    <row r="7" spans="1:30" s="234" customFormat="1" ht="16.5" thickTop="1" thickBot="1">
      <c r="A7" s="239"/>
      <c r="B7" s="240"/>
      <c r="C7" s="240"/>
      <c r="D7" s="240"/>
      <c r="E7" s="240"/>
      <c r="F7" s="241"/>
      <c r="G7" s="241"/>
      <c r="H7" s="241"/>
      <c r="I7" s="241"/>
      <c r="J7" s="241"/>
      <c r="K7" s="239"/>
      <c r="L7" s="240"/>
      <c r="M7" s="235"/>
      <c r="N7" s="235"/>
      <c r="O7" s="235"/>
      <c r="P7" s="2571"/>
      <c r="Q7" s="2573"/>
      <c r="R7" s="2571"/>
      <c r="S7" s="2573"/>
      <c r="T7" s="2573"/>
      <c r="U7" s="2573"/>
      <c r="V7" s="2571"/>
      <c r="W7" s="2562"/>
      <c r="X7" s="242"/>
      <c r="Y7" s="242"/>
      <c r="Z7" s="243"/>
      <c r="AA7" s="243"/>
      <c r="AB7" s="243"/>
      <c r="AC7" s="243"/>
      <c r="AD7" s="243"/>
    </row>
    <row r="8" spans="1:30" ht="16" thickTop="1">
      <c r="A8" s="197"/>
      <c r="B8" s="2659" t="s">
        <v>1902</v>
      </c>
      <c r="C8" s="2660"/>
      <c r="D8" s="244" t="s">
        <v>137</v>
      </c>
      <c r="E8" s="244">
        <v>3</v>
      </c>
      <c r="F8" s="245">
        <v>1144.6959999999999</v>
      </c>
      <c r="G8" s="245">
        <v>12.243</v>
      </c>
      <c r="H8" s="245">
        <v>13.601000000000001</v>
      </c>
      <c r="I8" s="1807">
        <f>IFERROR(G8 - H8,0)</f>
        <v>-1.3580000000000005</v>
      </c>
      <c r="J8" s="1808">
        <f>IFERROR(F8 + I8,0)</f>
        <v>1143.338</v>
      </c>
      <c r="K8" s="197"/>
      <c r="L8" s="248" t="s">
        <v>1903</v>
      </c>
      <c r="M8" s="249"/>
      <c r="N8" s="250"/>
      <c r="O8" s="174"/>
      <c r="P8" s="2571"/>
      <c r="Q8" s="251">
        <f>IF( SUM( S8:U8 ) = 0, 0, $S$5 )</f>
        <v>0</v>
      </c>
      <c r="R8" s="2571"/>
      <c r="S8" s="252">
        <f xml:space="preserve"> IF( ISNUMBER( F8 ), 0, 1 )</f>
        <v>0</v>
      </c>
      <c r="T8" s="252">
        <f t="shared" ref="T8:T10" si="0" xml:space="preserve"> IF( ISNUMBER( G8 ), 0, 1 )</f>
        <v>0</v>
      </c>
      <c r="U8" s="252">
        <f t="shared" ref="U8:U10" si="1" xml:space="preserve"> IF( ISNUMBER( H8 ), 0, 1 )</f>
        <v>0</v>
      </c>
      <c r="V8" s="2571"/>
      <c r="W8" s="2562"/>
      <c r="X8" s="2659" t="s">
        <v>1902</v>
      </c>
      <c r="Y8" s="2660"/>
      <c r="Z8" s="245" t="s">
        <v>1904</v>
      </c>
      <c r="AA8" s="245" t="s">
        <v>1905</v>
      </c>
      <c r="AB8" s="245" t="s">
        <v>1906</v>
      </c>
      <c r="AC8" s="246" t="s">
        <v>1907</v>
      </c>
      <c r="AD8" s="247" t="s">
        <v>1908</v>
      </c>
    </row>
    <row r="9" spans="1:30">
      <c r="A9" s="197"/>
      <c r="B9" s="2655" t="s">
        <v>1909</v>
      </c>
      <c r="C9" s="2656"/>
      <c r="D9" s="253" t="s">
        <v>137</v>
      </c>
      <c r="E9" s="253">
        <v>3</v>
      </c>
      <c r="F9" s="254">
        <v>-908.029</v>
      </c>
      <c r="G9" s="254">
        <v>-27.856000000000002</v>
      </c>
      <c r="H9" s="254">
        <v>-12.657999999999999</v>
      </c>
      <c r="I9" s="1809">
        <f t="shared" ref="I9:I22" si="2">IFERROR(G9 - H9,0)</f>
        <v>-15.198000000000002</v>
      </c>
      <c r="J9" s="1810">
        <f t="shared" ref="J9:J21" si="3">IFERROR(F9 + I9,0)</f>
        <v>-923.22699999999998</v>
      </c>
      <c r="K9" s="197"/>
      <c r="L9" s="257" t="s">
        <v>1910</v>
      </c>
      <c r="M9" s="249"/>
      <c r="N9" s="258"/>
      <c r="O9" s="174"/>
      <c r="P9" s="2571"/>
      <c r="Q9" s="251">
        <f t="shared" ref="Q9:Q10" si="4">IF( SUM( S9:U9 ) = 0, 0, $S$5 )</f>
        <v>0</v>
      </c>
      <c r="R9" s="2571"/>
      <c r="S9" s="252">
        <f t="shared" ref="S9:S10" si="5" xml:space="preserve"> IF( ISNUMBER( F9 ), 0, 1 )</f>
        <v>0</v>
      </c>
      <c r="T9" s="252">
        <f t="shared" si="0"/>
        <v>0</v>
      </c>
      <c r="U9" s="252">
        <f t="shared" si="1"/>
        <v>0</v>
      </c>
      <c r="V9" s="2571"/>
      <c r="W9" s="2562"/>
      <c r="X9" s="2655" t="s">
        <v>1909</v>
      </c>
      <c r="Y9" s="2656"/>
      <c r="Z9" s="254" t="s">
        <v>1911</v>
      </c>
      <c r="AA9" s="254" t="s">
        <v>1912</v>
      </c>
      <c r="AB9" s="254" t="s">
        <v>1913</v>
      </c>
      <c r="AC9" s="255" t="s">
        <v>1914</v>
      </c>
      <c r="AD9" s="256" t="s">
        <v>1915</v>
      </c>
    </row>
    <row r="10" spans="1:30">
      <c r="A10" s="197"/>
      <c r="B10" s="2655" t="s">
        <v>1916</v>
      </c>
      <c r="C10" s="2656"/>
      <c r="D10" s="253" t="s">
        <v>137</v>
      </c>
      <c r="E10" s="253">
        <v>3</v>
      </c>
      <c r="F10" s="254">
        <v>0</v>
      </c>
      <c r="G10" s="254">
        <v>7.11</v>
      </c>
      <c r="H10" s="254">
        <v>0</v>
      </c>
      <c r="I10" s="1811">
        <f>IFERROR(G10 - H10,0)</f>
        <v>7.11</v>
      </c>
      <c r="J10" s="1812">
        <f t="shared" si="3"/>
        <v>7.11</v>
      </c>
      <c r="K10" s="197"/>
      <c r="L10" s="257" t="s">
        <v>1917</v>
      </c>
      <c r="M10" s="249"/>
      <c r="N10" s="258"/>
      <c r="O10" s="174"/>
      <c r="P10" s="2571"/>
      <c r="Q10" s="251">
        <f t="shared" si="4"/>
        <v>0</v>
      </c>
      <c r="R10" s="2571"/>
      <c r="S10" s="252">
        <f t="shared" si="5"/>
        <v>0</v>
      </c>
      <c r="T10" s="252">
        <f t="shared" si="0"/>
        <v>0</v>
      </c>
      <c r="U10" s="252">
        <f t="shared" si="1"/>
        <v>0</v>
      </c>
      <c r="V10" s="2571"/>
      <c r="W10" s="2562"/>
      <c r="X10" s="2655" t="s">
        <v>1916</v>
      </c>
      <c r="Y10" s="2656"/>
      <c r="Z10" s="254" t="s">
        <v>1918</v>
      </c>
      <c r="AA10" s="254" t="s">
        <v>1919</v>
      </c>
      <c r="AB10" s="254" t="s">
        <v>1920</v>
      </c>
      <c r="AC10" s="255" t="s">
        <v>1921</v>
      </c>
      <c r="AD10" s="256" t="s">
        <v>1922</v>
      </c>
    </row>
    <row r="11" spans="1:30">
      <c r="A11" s="197"/>
      <c r="B11" s="2655" t="s">
        <v>1923</v>
      </c>
      <c r="C11" s="2656"/>
      <c r="D11" s="253" t="s">
        <v>137</v>
      </c>
      <c r="E11" s="253">
        <v>3</v>
      </c>
      <c r="F11" s="1811">
        <f>IFERROR(SUM(F8:F10),0)</f>
        <v>236.66699999999992</v>
      </c>
      <c r="G11" s="1811">
        <f>IFERROR(SUM(G8:G10),0)</f>
        <v>-8.5030000000000001</v>
      </c>
      <c r="H11" s="1811">
        <f>IFERROR(SUM(H8:H10),0)</f>
        <v>0.94300000000000139</v>
      </c>
      <c r="I11" s="1811">
        <f t="shared" si="2"/>
        <v>-9.4460000000000015</v>
      </c>
      <c r="J11" s="1812">
        <f t="shared" si="3"/>
        <v>227.22099999999992</v>
      </c>
      <c r="K11" s="197"/>
      <c r="L11" s="257" t="s">
        <v>1924</v>
      </c>
      <c r="M11" s="249"/>
      <c r="N11" s="258"/>
      <c r="O11" s="174"/>
      <c r="P11" s="2571"/>
      <c r="Q11" s="2562"/>
      <c r="R11" s="2571"/>
      <c r="S11" s="237"/>
      <c r="T11" s="237"/>
      <c r="U11" s="237"/>
      <c r="V11" s="2571"/>
      <c r="W11" s="2562"/>
      <c r="X11" s="2655" t="s">
        <v>1923</v>
      </c>
      <c r="Y11" s="2656"/>
      <c r="Z11" s="255" t="s">
        <v>1925</v>
      </c>
      <c r="AA11" s="255" t="s">
        <v>1926</v>
      </c>
      <c r="AB11" s="255" t="s">
        <v>1927</v>
      </c>
      <c r="AC11" s="255" t="s">
        <v>1928</v>
      </c>
      <c r="AD11" s="256" t="s">
        <v>1929</v>
      </c>
    </row>
    <row r="12" spans="1:30">
      <c r="A12" s="197"/>
      <c r="B12" s="2657" t="s">
        <v>1930</v>
      </c>
      <c r="C12" s="2658"/>
      <c r="D12" s="259" t="s">
        <v>137</v>
      </c>
      <c r="E12" s="259">
        <v>3</v>
      </c>
      <c r="F12" s="254">
        <v>0</v>
      </c>
      <c r="G12" s="254">
        <v>12.631</v>
      </c>
      <c r="H12" s="254">
        <v>0.13700000000000001</v>
      </c>
      <c r="I12" s="1811">
        <f t="shared" si="2"/>
        <v>12.494</v>
      </c>
      <c r="J12" s="1812">
        <f t="shared" si="3"/>
        <v>12.494</v>
      </c>
      <c r="K12" s="197"/>
      <c r="L12" s="257" t="s">
        <v>1931</v>
      </c>
      <c r="M12" s="249"/>
      <c r="N12" s="258"/>
      <c r="O12" s="174"/>
      <c r="P12" s="2571"/>
      <c r="Q12" s="251">
        <f t="shared" ref="Q12:Q15" si="6">IF( SUM( S12:U12 ) = 0, 0, $S$5 )</f>
        <v>0</v>
      </c>
      <c r="R12" s="2571"/>
      <c r="S12" s="252">
        <f t="shared" ref="S12:S15" si="7" xml:space="preserve"> IF( ISNUMBER( F12 ), 0, 1 )</f>
        <v>0</v>
      </c>
      <c r="T12" s="252">
        <f t="shared" ref="T12:T15" si="8" xml:space="preserve"> IF( ISNUMBER( G12 ), 0, 1 )</f>
        <v>0</v>
      </c>
      <c r="U12" s="252">
        <f t="shared" ref="U12:U15" si="9" xml:space="preserve"> IF( ISNUMBER( H12 ), 0, 1 )</f>
        <v>0</v>
      </c>
      <c r="V12" s="2571"/>
      <c r="W12" s="2562"/>
      <c r="X12" s="2657" t="s">
        <v>1930</v>
      </c>
      <c r="Y12" s="2658"/>
      <c r="Z12" s="254" t="s">
        <v>1932</v>
      </c>
      <c r="AA12" s="254" t="s">
        <v>1933</v>
      </c>
      <c r="AB12" s="254" t="s">
        <v>1934</v>
      </c>
      <c r="AC12" s="255" t="s">
        <v>1935</v>
      </c>
      <c r="AD12" s="256" t="s">
        <v>1936</v>
      </c>
    </row>
    <row r="13" spans="1:30">
      <c r="A13" s="197"/>
      <c r="B13" s="2649" t="s">
        <v>1937</v>
      </c>
      <c r="C13" s="2650"/>
      <c r="D13" s="260" t="s">
        <v>137</v>
      </c>
      <c r="E13" s="260">
        <v>3</v>
      </c>
      <c r="F13" s="254">
        <v>65.135999999999996</v>
      </c>
      <c r="G13" s="254">
        <v>0</v>
      </c>
      <c r="H13" s="254">
        <v>0</v>
      </c>
      <c r="I13" s="1811">
        <f t="shared" si="2"/>
        <v>0</v>
      </c>
      <c r="J13" s="1812">
        <f t="shared" si="3"/>
        <v>65.135999999999996</v>
      </c>
      <c r="K13" s="197"/>
      <c r="L13" s="257" t="s">
        <v>1938</v>
      </c>
      <c r="M13" s="249"/>
      <c r="N13" s="258"/>
      <c r="O13" s="174"/>
      <c r="P13" s="2571"/>
      <c r="Q13" s="251">
        <f t="shared" si="6"/>
        <v>0</v>
      </c>
      <c r="R13" s="2571"/>
      <c r="S13" s="252">
        <f t="shared" si="7"/>
        <v>0</v>
      </c>
      <c r="T13" s="252">
        <f t="shared" si="8"/>
        <v>0</v>
      </c>
      <c r="U13" s="252">
        <f t="shared" si="9"/>
        <v>0</v>
      </c>
      <c r="V13" s="2571"/>
      <c r="W13" s="2562"/>
      <c r="X13" s="2649" t="s">
        <v>1937</v>
      </c>
      <c r="Y13" s="2650"/>
      <c r="Z13" s="254" t="s">
        <v>1939</v>
      </c>
      <c r="AA13" s="254" t="s">
        <v>1940</v>
      </c>
      <c r="AB13" s="254" t="s">
        <v>1941</v>
      </c>
      <c r="AC13" s="255" t="s">
        <v>1942</v>
      </c>
      <c r="AD13" s="256" t="s">
        <v>1943</v>
      </c>
    </row>
    <row r="14" spans="1:30">
      <c r="A14" s="197"/>
      <c r="B14" s="2653" t="s">
        <v>1944</v>
      </c>
      <c r="C14" s="2654"/>
      <c r="D14" s="261" t="s">
        <v>137</v>
      </c>
      <c r="E14" s="261">
        <v>3</v>
      </c>
      <c r="F14" s="254">
        <v>-376.43799999999999</v>
      </c>
      <c r="G14" s="254">
        <v>-51.207999999999998</v>
      </c>
      <c r="H14" s="254">
        <v>0</v>
      </c>
      <c r="I14" s="1811">
        <f t="shared" si="2"/>
        <v>-51.207999999999998</v>
      </c>
      <c r="J14" s="1812">
        <f t="shared" si="3"/>
        <v>-427.64599999999996</v>
      </c>
      <c r="K14" s="197"/>
      <c r="L14" s="257" t="s">
        <v>1945</v>
      </c>
      <c r="M14" s="249"/>
      <c r="N14" s="258"/>
      <c r="O14" s="249"/>
      <c r="P14" s="2571"/>
      <c r="Q14" s="251">
        <f t="shared" si="6"/>
        <v>0</v>
      </c>
      <c r="R14" s="2571"/>
      <c r="S14" s="252">
        <f t="shared" si="7"/>
        <v>0</v>
      </c>
      <c r="T14" s="252">
        <f t="shared" si="8"/>
        <v>0</v>
      </c>
      <c r="U14" s="252">
        <f t="shared" si="9"/>
        <v>0</v>
      </c>
      <c r="V14" s="2571"/>
      <c r="W14" s="2562"/>
      <c r="X14" s="2653" t="s">
        <v>1944</v>
      </c>
      <c r="Y14" s="2654"/>
      <c r="Z14" s="254" t="s">
        <v>1946</v>
      </c>
      <c r="AA14" s="254" t="s">
        <v>1947</v>
      </c>
      <c r="AB14" s="254" t="s">
        <v>1948</v>
      </c>
      <c r="AC14" s="255" t="s">
        <v>1949</v>
      </c>
      <c r="AD14" s="256" t="s">
        <v>1950</v>
      </c>
    </row>
    <row r="15" spans="1:30">
      <c r="A15" s="197"/>
      <c r="B15" s="2651" t="s">
        <v>1951</v>
      </c>
      <c r="C15" s="2652"/>
      <c r="D15" s="262" t="s">
        <v>137</v>
      </c>
      <c r="E15" s="262">
        <v>3</v>
      </c>
      <c r="F15" s="254">
        <v>0</v>
      </c>
      <c r="G15" s="254">
        <v>0</v>
      </c>
      <c r="H15" s="254">
        <v>0</v>
      </c>
      <c r="I15" s="1811">
        <f t="shared" si="2"/>
        <v>0</v>
      </c>
      <c r="J15" s="1812">
        <f t="shared" si="3"/>
        <v>0</v>
      </c>
      <c r="K15" s="197"/>
      <c r="L15" s="257" t="s">
        <v>1952</v>
      </c>
      <c r="M15" s="249"/>
      <c r="N15" s="258"/>
      <c r="O15" s="249"/>
      <c r="P15" s="2571"/>
      <c r="Q15" s="251">
        <f t="shared" si="6"/>
        <v>0</v>
      </c>
      <c r="R15" s="2571"/>
      <c r="S15" s="252">
        <f t="shared" si="7"/>
        <v>0</v>
      </c>
      <c r="T15" s="252">
        <f t="shared" si="8"/>
        <v>0</v>
      </c>
      <c r="U15" s="252">
        <f t="shared" si="9"/>
        <v>0</v>
      </c>
      <c r="V15" s="2571"/>
      <c r="W15" s="2562"/>
      <c r="X15" s="2651" t="s">
        <v>1951</v>
      </c>
      <c r="Y15" s="2652"/>
      <c r="Z15" s="254" t="s">
        <v>1953</v>
      </c>
      <c r="AA15" s="254" t="s">
        <v>1954</v>
      </c>
      <c r="AB15" s="254" t="s">
        <v>1955</v>
      </c>
      <c r="AC15" s="255" t="s">
        <v>1956</v>
      </c>
      <c r="AD15" s="256" t="s">
        <v>1957</v>
      </c>
    </row>
    <row r="16" spans="1:30">
      <c r="A16" s="197"/>
      <c r="B16" s="2651" t="s">
        <v>1958</v>
      </c>
      <c r="C16" s="2652"/>
      <c r="D16" s="262" t="s">
        <v>137</v>
      </c>
      <c r="E16" s="262">
        <v>3</v>
      </c>
      <c r="F16" s="1811">
        <f>IFERROR(SUM(F11:F15),0)</f>
        <v>-74.635000000000105</v>
      </c>
      <c r="G16" s="1811">
        <f>IFERROR(SUM(G11:G15),0)</f>
        <v>-47.08</v>
      </c>
      <c r="H16" s="1811">
        <f>IFERROR(SUM(H11:H15),0)</f>
        <v>1.0800000000000014</v>
      </c>
      <c r="I16" s="255">
        <f t="shared" si="2"/>
        <v>-48.16</v>
      </c>
      <c r="J16" s="256">
        <f t="shared" si="3"/>
        <v>-122.7950000000001</v>
      </c>
      <c r="K16" s="197"/>
      <c r="L16" s="257" t="s">
        <v>1959</v>
      </c>
      <c r="M16" s="249"/>
      <c r="N16" s="258"/>
      <c r="O16" s="249"/>
      <c r="P16" s="2571"/>
      <c r="Q16" s="2562"/>
      <c r="R16" s="2571"/>
      <c r="S16" s="237"/>
      <c r="T16" s="237"/>
      <c r="U16" s="237"/>
      <c r="V16" s="2571"/>
      <c r="W16" s="2562"/>
      <c r="X16" s="2651" t="s">
        <v>1958</v>
      </c>
      <c r="Y16" s="2652"/>
      <c r="Z16" s="255" t="s">
        <v>1960</v>
      </c>
      <c r="AA16" s="255" t="s">
        <v>1961</v>
      </c>
      <c r="AB16" s="255" t="s">
        <v>1962</v>
      </c>
      <c r="AC16" s="255" t="s">
        <v>1963</v>
      </c>
      <c r="AD16" s="256" t="s">
        <v>1964</v>
      </c>
    </row>
    <row r="17" spans="1:30">
      <c r="A17" s="197"/>
      <c r="B17" s="2651" t="s">
        <v>1965</v>
      </c>
      <c r="C17" s="2652"/>
      <c r="D17" s="262" t="s">
        <v>137</v>
      </c>
      <c r="E17" s="262">
        <v>3</v>
      </c>
      <c r="F17" s="254">
        <v>797.92399999999998</v>
      </c>
      <c r="G17" s="254">
        <v>0</v>
      </c>
      <c r="H17" s="254">
        <v>0</v>
      </c>
      <c r="I17" s="1811">
        <f t="shared" si="2"/>
        <v>0</v>
      </c>
      <c r="J17" s="1812">
        <f t="shared" si="3"/>
        <v>797.92399999999998</v>
      </c>
      <c r="K17" s="197"/>
      <c r="L17" s="257" t="s">
        <v>1966</v>
      </c>
      <c r="M17" s="249"/>
      <c r="N17" s="258"/>
      <c r="O17" s="249"/>
      <c r="P17" s="2571"/>
      <c r="Q17" s="251">
        <f>IF( SUM( S17:U17 ) = 0, 0, $S$5 )</f>
        <v>0</v>
      </c>
      <c r="R17" s="2571"/>
      <c r="S17" s="252">
        <f t="shared" ref="S17:U17" si="10" xml:space="preserve"> IF( ISNUMBER( F17 ), 0, 1 )</f>
        <v>0</v>
      </c>
      <c r="T17" s="252">
        <f t="shared" si="10"/>
        <v>0</v>
      </c>
      <c r="U17" s="252">
        <f t="shared" si="10"/>
        <v>0</v>
      </c>
      <c r="V17" s="2571"/>
      <c r="W17" s="2562"/>
      <c r="X17" s="2651" t="s">
        <v>1965</v>
      </c>
      <c r="Y17" s="2652"/>
      <c r="Z17" s="254" t="s">
        <v>1967</v>
      </c>
      <c r="AA17" s="254" t="s">
        <v>1968</v>
      </c>
      <c r="AB17" s="254" t="s">
        <v>1969</v>
      </c>
      <c r="AC17" s="255" t="s">
        <v>1970</v>
      </c>
      <c r="AD17" s="256" t="s">
        <v>1971</v>
      </c>
    </row>
    <row r="18" spans="1:30">
      <c r="A18" s="197"/>
      <c r="B18" s="2649" t="s">
        <v>1972</v>
      </c>
      <c r="C18" s="2650"/>
      <c r="D18" s="260" t="s">
        <v>137</v>
      </c>
      <c r="E18" s="260">
        <v>3</v>
      </c>
      <c r="F18" s="1811">
        <f>IFERROR(SUM(F16:F17),0)</f>
        <v>723.28899999999987</v>
      </c>
      <c r="G18" s="1811">
        <f>IFERROR(SUM(G16:G17),0)</f>
        <v>-47.08</v>
      </c>
      <c r="H18" s="1811">
        <f>IFERROR(SUM(H16:H17),0)</f>
        <v>1.0800000000000014</v>
      </c>
      <c r="I18" s="1811">
        <f t="shared" si="2"/>
        <v>-48.16</v>
      </c>
      <c r="J18" s="1812">
        <f t="shared" si="3"/>
        <v>675.12899999999991</v>
      </c>
      <c r="K18" s="197"/>
      <c r="L18" s="257" t="s">
        <v>1973</v>
      </c>
      <c r="M18" s="249"/>
      <c r="N18" s="258"/>
      <c r="O18" s="249"/>
      <c r="P18" s="2571"/>
      <c r="Q18" s="2562"/>
      <c r="R18" s="2571"/>
      <c r="S18" s="237"/>
      <c r="T18" s="237"/>
      <c r="U18" s="237"/>
      <c r="V18" s="2571"/>
      <c r="W18" s="2562"/>
      <c r="X18" s="2649" t="s">
        <v>1972</v>
      </c>
      <c r="Y18" s="2650"/>
      <c r="Z18" s="255" t="s">
        <v>1974</v>
      </c>
      <c r="AA18" s="255" t="s">
        <v>1975</v>
      </c>
      <c r="AB18" s="255" t="s">
        <v>1976</v>
      </c>
      <c r="AC18" s="255" t="s">
        <v>1977</v>
      </c>
      <c r="AD18" s="256" t="s">
        <v>1978</v>
      </c>
    </row>
    <row r="19" spans="1:30">
      <c r="A19" s="197"/>
      <c r="B19" s="2653" t="s">
        <v>1979</v>
      </c>
      <c r="C19" s="2654"/>
      <c r="D19" s="260" t="s">
        <v>137</v>
      </c>
      <c r="E19" s="260">
        <v>3</v>
      </c>
      <c r="F19" s="1821">
        <f>IFERROR((-F27),0)</f>
        <v>1.837</v>
      </c>
      <c r="G19" s="1821">
        <f>IFERROR((-G27),0)</f>
        <v>0</v>
      </c>
      <c r="H19" s="1821">
        <f>IFERROR((-H27),0)</f>
        <v>-0.21</v>
      </c>
      <c r="I19" s="1811">
        <f t="shared" si="2"/>
        <v>0.21</v>
      </c>
      <c r="J19" s="1812">
        <f t="shared" si="3"/>
        <v>2.0470000000000002</v>
      </c>
      <c r="K19" s="197"/>
      <c r="L19" s="257" t="s">
        <v>1980</v>
      </c>
      <c r="M19" s="249"/>
      <c r="N19" s="258"/>
      <c r="O19" s="249"/>
      <c r="P19" s="2571"/>
      <c r="Q19" s="2562"/>
      <c r="R19" s="2571"/>
      <c r="S19" s="237"/>
      <c r="T19" s="237"/>
      <c r="U19" s="237"/>
      <c r="V19" s="2571"/>
      <c r="W19" s="2562"/>
      <c r="X19" s="2653" t="s">
        <v>1979</v>
      </c>
      <c r="Y19" s="2654"/>
      <c r="Z19" s="343" t="s">
        <v>1981</v>
      </c>
      <c r="AA19" s="343" t="s">
        <v>1982</v>
      </c>
      <c r="AB19" s="343" t="s">
        <v>1983</v>
      </c>
      <c r="AC19" s="255" t="s">
        <v>1984</v>
      </c>
      <c r="AD19" s="256" t="s">
        <v>1985</v>
      </c>
    </row>
    <row r="20" spans="1:30">
      <c r="A20" s="197"/>
      <c r="B20" s="2649" t="s">
        <v>1986</v>
      </c>
      <c r="C20" s="2650"/>
      <c r="D20" s="260" t="s">
        <v>137</v>
      </c>
      <c r="E20" s="260">
        <v>3</v>
      </c>
      <c r="F20" s="254">
        <v>-180.90700000000001</v>
      </c>
      <c r="G20" s="254">
        <v>11.77</v>
      </c>
      <c r="H20" s="254">
        <v>0</v>
      </c>
      <c r="I20" s="1811">
        <f t="shared" si="2"/>
        <v>11.77</v>
      </c>
      <c r="J20" s="1812">
        <f t="shared" si="3"/>
        <v>-169.137</v>
      </c>
      <c r="K20" s="197"/>
      <c r="L20" s="257" t="s">
        <v>1987</v>
      </c>
      <c r="M20" s="249"/>
      <c r="N20" s="258"/>
      <c r="O20" s="249"/>
      <c r="P20" s="2571"/>
      <c r="Q20" s="251">
        <f>IF( SUM( S20:U20 ) = 0, 0, $S$5 )</f>
        <v>0</v>
      </c>
      <c r="R20" s="2571"/>
      <c r="S20" s="252">
        <f t="shared" ref="S20:U20" si="11" xml:space="preserve"> IF( ISNUMBER( F20 ), 0, 1 )</f>
        <v>0</v>
      </c>
      <c r="T20" s="252">
        <f t="shared" si="11"/>
        <v>0</v>
      </c>
      <c r="U20" s="252">
        <f t="shared" si="11"/>
        <v>0</v>
      </c>
      <c r="V20" s="2571"/>
      <c r="W20" s="2562"/>
      <c r="X20" s="2649" t="s">
        <v>1986</v>
      </c>
      <c r="Y20" s="2650"/>
      <c r="Z20" s="254" t="s">
        <v>1988</v>
      </c>
      <c r="AA20" s="254" t="s">
        <v>1989</v>
      </c>
      <c r="AB20" s="254" t="s">
        <v>1990</v>
      </c>
      <c r="AC20" s="255" t="s">
        <v>1991</v>
      </c>
      <c r="AD20" s="256" t="s">
        <v>1992</v>
      </c>
    </row>
    <row r="21" spans="1:30">
      <c r="A21" s="197"/>
      <c r="B21" s="2649" t="s">
        <v>1993</v>
      </c>
      <c r="C21" s="2650"/>
      <c r="D21" s="260" t="s">
        <v>137</v>
      </c>
      <c r="E21" s="260">
        <v>3</v>
      </c>
      <c r="F21" s="1811">
        <f>IFERROR(SUM(F18:F20),0)</f>
        <v>544.21899999999982</v>
      </c>
      <c r="G21" s="1811">
        <f>IFERROR(SUM(G18:G20),0)</f>
        <v>-35.31</v>
      </c>
      <c r="H21" s="1811">
        <f>IFERROR(SUM(H18:H20),0)</f>
        <v>0.87000000000000144</v>
      </c>
      <c r="I21" s="1811">
        <f t="shared" si="2"/>
        <v>-36.180000000000007</v>
      </c>
      <c r="J21" s="1812">
        <f t="shared" si="3"/>
        <v>508.03899999999982</v>
      </c>
      <c r="K21" s="197"/>
      <c r="L21" s="257" t="s">
        <v>1994</v>
      </c>
      <c r="M21" s="249"/>
      <c r="N21" s="258"/>
      <c r="O21" s="249"/>
      <c r="P21" s="2571"/>
      <c r="Q21" s="2562"/>
      <c r="R21" s="2571"/>
      <c r="S21" s="237"/>
      <c r="T21" s="237"/>
      <c r="U21" s="237"/>
      <c r="V21" s="2571"/>
      <c r="W21" s="2562"/>
      <c r="X21" s="2649" t="s">
        <v>1993</v>
      </c>
      <c r="Y21" s="2650"/>
      <c r="Z21" s="255" t="s">
        <v>1995</v>
      </c>
      <c r="AA21" s="255" t="s">
        <v>1996</v>
      </c>
      <c r="AB21" s="255" t="s">
        <v>1997</v>
      </c>
      <c r="AC21" s="255" t="s">
        <v>1998</v>
      </c>
      <c r="AD21" s="256" t="s">
        <v>1999</v>
      </c>
    </row>
    <row r="22" spans="1:30" ht="16" thickBot="1">
      <c r="A22" s="197"/>
      <c r="B22" s="2645" t="s">
        <v>2000</v>
      </c>
      <c r="C22" s="2646"/>
      <c r="D22" s="263" t="s">
        <v>137</v>
      </c>
      <c r="E22" s="263">
        <v>3</v>
      </c>
      <c r="F22" s="264">
        <v>-62.337000000000003</v>
      </c>
      <c r="G22" s="264">
        <v>0</v>
      </c>
      <c r="H22" s="264">
        <v>0</v>
      </c>
      <c r="I22" s="1813">
        <f t="shared" si="2"/>
        <v>0</v>
      </c>
      <c r="J22" s="1814">
        <f>IFERROR(F22 + I22,0)</f>
        <v>-62.337000000000003</v>
      </c>
      <c r="K22" s="197"/>
      <c r="L22" s="267" t="s">
        <v>2001</v>
      </c>
      <c r="M22" s="268"/>
      <c r="N22" s="269"/>
      <c r="O22" s="268"/>
      <c r="P22" s="2571"/>
      <c r="Q22" s="251">
        <f>IF( SUM( S22:U22 ) = 0, 0, $S$5 )</f>
        <v>0</v>
      </c>
      <c r="R22" s="2571"/>
      <c r="S22" s="252">
        <f t="shared" ref="S22:U22" si="12" xml:space="preserve"> IF( ISNUMBER( F22 ), 0, 1 )</f>
        <v>0</v>
      </c>
      <c r="T22" s="252">
        <f t="shared" si="12"/>
        <v>0</v>
      </c>
      <c r="U22" s="252">
        <f t="shared" si="12"/>
        <v>0</v>
      </c>
      <c r="V22" s="2571"/>
      <c r="W22" s="2562"/>
      <c r="X22" s="2645" t="s">
        <v>2000</v>
      </c>
      <c r="Y22" s="2646"/>
      <c r="Z22" s="264" t="s">
        <v>2002</v>
      </c>
      <c r="AA22" s="264" t="s">
        <v>2003</v>
      </c>
      <c r="AB22" s="264" t="s">
        <v>2004</v>
      </c>
      <c r="AC22" s="265" t="s">
        <v>2005</v>
      </c>
      <c r="AD22" s="266" t="s">
        <v>2006</v>
      </c>
    </row>
    <row r="23" spans="1:30" ht="16.5" thickTop="1" thickBot="1">
      <c r="A23" s="197"/>
      <c r="B23" s="270"/>
      <c r="C23" s="197"/>
      <c r="D23" s="178"/>
      <c r="E23" s="178"/>
      <c r="F23" s="1793"/>
      <c r="G23" s="1793"/>
      <c r="H23" s="1793"/>
      <c r="I23" s="1793"/>
      <c r="J23" s="1793"/>
      <c r="K23" s="197"/>
      <c r="L23" s="272"/>
      <c r="M23" s="272"/>
      <c r="N23" s="272"/>
      <c r="O23" s="272"/>
      <c r="P23" s="273"/>
      <c r="Q23" s="2562"/>
      <c r="R23" s="273"/>
      <c r="S23" s="2574"/>
      <c r="T23" s="2575"/>
      <c r="U23" s="2575"/>
      <c r="V23" s="273"/>
      <c r="W23" s="2562"/>
      <c r="X23" s="270"/>
      <c r="Y23" s="197"/>
      <c r="Z23" s="271"/>
      <c r="AA23" s="271"/>
      <c r="AB23" s="271"/>
      <c r="AC23" s="271"/>
      <c r="AD23" s="271"/>
    </row>
    <row r="24" spans="1:30" ht="16.5" thickTop="1" thickBot="1">
      <c r="A24" s="197"/>
      <c r="B24" s="2635" t="s">
        <v>2007</v>
      </c>
      <c r="C24" s="2636"/>
      <c r="D24" s="235"/>
      <c r="E24" s="235"/>
      <c r="F24" s="1794"/>
      <c r="G24" s="1794"/>
      <c r="H24" s="1794"/>
      <c r="I24" s="1794"/>
      <c r="J24" s="1794"/>
      <c r="K24" s="106"/>
      <c r="L24" s="272"/>
      <c r="M24" s="272"/>
      <c r="N24" s="272"/>
      <c r="O24" s="272"/>
      <c r="P24" s="273"/>
      <c r="Q24" s="2562"/>
      <c r="R24" s="273"/>
      <c r="S24" s="237"/>
      <c r="T24" s="237"/>
      <c r="U24" s="237"/>
      <c r="V24" s="273"/>
      <c r="W24" s="2562"/>
      <c r="X24" s="2635" t="s">
        <v>2007</v>
      </c>
      <c r="Y24" s="2636"/>
      <c r="Z24" s="274"/>
      <c r="AA24" s="274"/>
      <c r="AB24" s="274"/>
      <c r="AC24" s="274"/>
      <c r="AD24" s="274"/>
    </row>
    <row r="25" spans="1:30" ht="16" thickTop="1">
      <c r="A25" s="197"/>
      <c r="B25" s="2643" t="s">
        <v>2008</v>
      </c>
      <c r="C25" s="2644"/>
      <c r="D25" s="275" t="s">
        <v>137</v>
      </c>
      <c r="E25" s="275">
        <v>3</v>
      </c>
      <c r="F25" s="245">
        <v>1.4E-2</v>
      </c>
      <c r="G25" s="245">
        <v>0</v>
      </c>
      <c r="H25" s="245">
        <v>0.21</v>
      </c>
      <c r="I25" s="1807">
        <f t="shared" ref="I25:I27" si="13">IFERROR(G25 - H25,0)</f>
        <v>-0.21</v>
      </c>
      <c r="J25" s="1808">
        <f t="shared" ref="J25:J27" si="14">IFERROR(F25 + I25,0)</f>
        <v>-0.19599999999999998</v>
      </c>
      <c r="K25" s="106"/>
      <c r="L25" s="248" t="s">
        <v>2009</v>
      </c>
      <c r="M25" s="249"/>
      <c r="N25" s="250"/>
      <c r="O25" s="249"/>
      <c r="P25" s="273"/>
      <c r="Q25" s="251">
        <f t="shared" ref="Q25:Q26" si="15">IF( SUM( S25:U25 ) = 0, 0, $S$5 )</f>
        <v>0</v>
      </c>
      <c r="R25" s="273"/>
      <c r="S25" s="252">
        <f t="shared" ref="S25:S26" si="16" xml:space="preserve"> IF( ISNUMBER( F25 ), 0, 1 )</f>
        <v>0</v>
      </c>
      <c r="T25" s="252">
        <f t="shared" ref="T25:T26" si="17" xml:space="preserve"> IF( ISNUMBER( G25 ), 0, 1 )</f>
        <v>0</v>
      </c>
      <c r="U25" s="252">
        <f t="shared" ref="U25:U26" si="18" xml:space="preserve"> IF( ISNUMBER( H25 ), 0, 1 )</f>
        <v>0</v>
      </c>
      <c r="V25" s="273"/>
      <c r="W25" s="2562"/>
      <c r="X25" s="2643" t="s">
        <v>2008</v>
      </c>
      <c r="Y25" s="2644"/>
      <c r="Z25" s="245" t="s">
        <v>2010</v>
      </c>
      <c r="AA25" s="245" t="s">
        <v>2011</v>
      </c>
      <c r="AB25" s="245" t="s">
        <v>2012</v>
      </c>
      <c r="AC25" s="246" t="s">
        <v>2013</v>
      </c>
      <c r="AD25" s="247" t="s">
        <v>2014</v>
      </c>
    </row>
    <row r="26" spans="1:30">
      <c r="A26" s="197"/>
      <c r="B26" s="2647" t="s">
        <v>2015</v>
      </c>
      <c r="C26" s="2648"/>
      <c r="D26" s="276" t="s">
        <v>137</v>
      </c>
      <c r="E26" s="276">
        <v>3</v>
      </c>
      <c r="F26" s="254">
        <v>-1.851</v>
      </c>
      <c r="G26" s="254">
        <v>0</v>
      </c>
      <c r="H26" s="254">
        <v>0</v>
      </c>
      <c r="I26" s="1809">
        <f t="shared" si="13"/>
        <v>0</v>
      </c>
      <c r="J26" s="1810">
        <f t="shared" si="14"/>
        <v>-1.851</v>
      </c>
      <c r="K26" s="106"/>
      <c r="L26" s="257" t="s">
        <v>2016</v>
      </c>
      <c r="M26" s="249"/>
      <c r="N26" s="258"/>
      <c r="O26" s="249"/>
      <c r="P26" s="2571"/>
      <c r="Q26" s="251">
        <f t="shared" si="15"/>
        <v>0</v>
      </c>
      <c r="R26" s="2571"/>
      <c r="S26" s="252">
        <f t="shared" si="16"/>
        <v>0</v>
      </c>
      <c r="T26" s="252">
        <f t="shared" si="17"/>
        <v>0</v>
      </c>
      <c r="U26" s="252">
        <f t="shared" si="18"/>
        <v>0</v>
      </c>
      <c r="V26" s="2571"/>
      <c r="W26" s="2562"/>
      <c r="X26" s="2647" t="s">
        <v>2017</v>
      </c>
      <c r="Y26" s="2648"/>
      <c r="Z26" s="254" t="s">
        <v>2018</v>
      </c>
      <c r="AA26" s="254" t="s">
        <v>2019</v>
      </c>
      <c r="AB26" s="254" t="s">
        <v>2020</v>
      </c>
      <c r="AC26" s="277" t="s">
        <v>2021</v>
      </c>
      <c r="AD26" s="278" t="s">
        <v>2022</v>
      </c>
    </row>
    <row r="27" spans="1:30" ht="16" thickBot="1">
      <c r="A27" s="197"/>
      <c r="B27" s="2645" t="s">
        <v>1979</v>
      </c>
      <c r="C27" s="2646"/>
      <c r="D27" s="263" t="s">
        <v>137</v>
      </c>
      <c r="E27" s="263">
        <v>3</v>
      </c>
      <c r="F27" s="1805">
        <f>IFERROR(SUM( F25:F26 ),0)</f>
        <v>-1.837</v>
      </c>
      <c r="G27" s="1805">
        <f>IFERROR(SUM( G25:G26 ),0)</f>
        <v>0</v>
      </c>
      <c r="H27" s="1805">
        <f>IFERROR(SUM( H25:H26 ),0)</f>
        <v>0.21</v>
      </c>
      <c r="I27" s="1805">
        <f t="shared" si="13"/>
        <v>-0.21</v>
      </c>
      <c r="J27" s="1806">
        <f t="shared" si="14"/>
        <v>-2.0470000000000002</v>
      </c>
      <c r="K27" s="106"/>
      <c r="L27" s="267" t="s">
        <v>2023</v>
      </c>
      <c r="M27" s="268"/>
      <c r="N27" s="269"/>
      <c r="O27" s="268"/>
      <c r="P27" s="2571"/>
      <c r="Q27" s="2562"/>
      <c r="R27" s="2571"/>
      <c r="S27" s="237"/>
      <c r="T27" s="237"/>
      <c r="U27" s="237"/>
      <c r="V27" s="2571"/>
      <c r="W27" s="2562"/>
      <c r="X27" s="2645" t="s">
        <v>1979</v>
      </c>
      <c r="Y27" s="2646"/>
      <c r="Z27" s="279" t="s">
        <v>2024</v>
      </c>
      <c r="AA27" s="279" t="s">
        <v>2025</v>
      </c>
      <c r="AB27" s="279" t="s">
        <v>2026</v>
      </c>
      <c r="AC27" s="279" t="s">
        <v>2027</v>
      </c>
      <c r="AD27" s="280" t="s">
        <v>2028</v>
      </c>
    </row>
    <row r="28" spans="1:30" ht="16.5" thickTop="1" thickBot="1">
      <c r="A28" s="197"/>
      <c r="B28" s="235"/>
      <c r="C28" s="235"/>
      <c r="D28" s="235"/>
      <c r="E28" s="235"/>
      <c r="F28" s="1795"/>
      <c r="G28" s="1794"/>
      <c r="H28" s="1794"/>
      <c r="I28" s="1794"/>
      <c r="J28" s="1794"/>
      <c r="K28" s="106"/>
      <c r="L28" s="272"/>
      <c r="M28" s="272"/>
      <c r="N28" s="272"/>
      <c r="O28" s="272"/>
      <c r="P28" s="273"/>
      <c r="Q28" s="2562"/>
      <c r="R28" s="273"/>
      <c r="S28" s="2574"/>
      <c r="T28" s="2575"/>
      <c r="U28" s="2575"/>
      <c r="V28" s="273"/>
      <c r="W28" s="2562"/>
      <c r="X28" s="235"/>
      <c r="Y28" s="235"/>
      <c r="Z28" s="281"/>
      <c r="AA28" s="274"/>
      <c r="AB28" s="274"/>
      <c r="AC28" s="274"/>
      <c r="AD28" s="274"/>
    </row>
    <row r="29" spans="1:30" ht="16.5" thickTop="1" thickBot="1">
      <c r="A29" s="197"/>
      <c r="B29" s="2635" t="s">
        <v>2029</v>
      </c>
      <c r="C29" s="2636"/>
      <c r="D29" s="235"/>
      <c r="E29" s="235"/>
      <c r="F29" s="1795"/>
      <c r="G29" s="1794"/>
      <c r="H29" s="1794"/>
      <c r="I29" s="1794"/>
      <c r="J29" s="1794"/>
      <c r="K29" s="106"/>
      <c r="L29" s="272"/>
      <c r="M29" s="272"/>
      <c r="N29" s="272"/>
      <c r="O29" s="272"/>
      <c r="P29" s="273"/>
      <c r="Q29" s="2562"/>
      <c r="R29" s="273"/>
      <c r="S29" s="2574"/>
      <c r="T29" s="2575"/>
      <c r="U29" s="2575"/>
      <c r="V29" s="273"/>
      <c r="W29" s="2562"/>
      <c r="X29" s="2635" t="s">
        <v>2029</v>
      </c>
      <c r="Y29" s="2636"/>
      <c r="Z29" s="281"/>
      <c r="AA29" s="274"/>
      <c r="AB29" s="274"/>
      <c r="AC29" s="274"/>
      <c r="AD29" s="274"/>
    </row>
    <row r="30" spans="1:30" ht="16" thickTop="1">
      <c r="A30" s="197"/>
      <c r="B30" s="2639" t="s">
        <v>2030</v>
      </c>
      <c r="C30" s="2640"/>
      <c r="D30" s="283" t="s">
        <v>137</v>
      </c>
      <c r="E30" s="283">
        <v>3</v>
      </c>
      <c r="F30" s="1796"/>
      <c r="G30" s="1797"/>
      <c r="H30" s="2461">
        <v>0</v>
      </c>
      <c r="I30" s="1797"/>
      <c r="J30" s="1798"/>
      <c r="K30" s="106"/>
      <c r="L30" s="288" t="s">
        <v>2031</v>
      </c>
      <c r="M30" s="268"/>
      <c r="N30" s="289"/>
      <c r="O30" s="268"/>
      <c r="P30" s="2571"/>
      <c r="Q30" s="251">
        <f t="shared" ref="Q30:Q32" si="19">IF( SUM( S30:U30 ) = 0, 0, $S$5 )</f>
        <v>0</v>
      </c>
      <c r="R30" s="2571"/>
      <c r="S30" s="2574"/>
      <c r="T30" s="2572"/>
      <c r="U30" s="252">
        <f t="shared" ref="U30:U32" si="20" xml:space="preserve"> IF( ISNUMBER( H30 ), 0, 1 )</f>
        <v>0</v>
      </c>
      <c r="V30" s="2571"/>
      <c r="W30" s="2562"/>
      <c r="X30" s="2639" t="s">
        <v>2030</v>
      </c>
      <c r="Y30" s="2640"/>
      <c r="Z30" s="284"/>
      <c r="AA30" s="285"/>
      <c r="AB30" s="286" t="s">
        <v>2032</v>
      </c>
      <c r="AC30" s="285"/>
      <c r="AD30" s="287"/>
    </row>
    <row r="31" spans="1:30">
      <c r="A31" s="197"/>
      <c r="B31" s="2641" t="s">
        <v>2033</v>
      </c>
      <c r="C31" s="2642"/>
      <c r="D31" s="290" t="s">
        <v>137</v>
      </c>
      <c r="E31" s="290">
        <v>3</v>
      </c>
      <c r="F31" s="1799"/>
      <c r="G31" s="1800"/>
      <c r="H31" s="2462">
        <v>4.7789999999999999</v>
      </c>
      <c r="I31" s="1800"/>
      <c r="J31" s="1801"/>
      <c r="K31" s="106"/>
      <c r="L31" s="295" t="s">
        <v>2034</v>
      </c>
      <c r="M31" s="268"/>
      <c r="N31" s="296"/>
      <c r="O31" s="268"/>
      <c r="P31" s="2571"/>
      <c r="Q31" s="251">
        <f t="shared" si="19"/>
        <v>0</v>
      </c>
      <c r="R31" s="2571"/>
      <c r="S31" s="2574"/>
      <c r="T31" s="237"/>
      <c r="U31" s="252">
        <f t="shared" si="20"/>
        <v>0</v>
      </c>
      <c r="V31" s="2571"/>
      <c r="W31" s="2562"/>
      <c r="X31" s="2641" t="s">
        <v>2033</v>
      </c>
      <c r="Y31" s="2642"/>
      <c r="Z31" s="291"/>
      <c r="AA31" s="292"/>
      <c r="AB31" s="293" t="s">
        <v>2035</v>
      </c>
      <c r="AC31" s="292"/>
      <c r="AD31" s="294"/>
    </row>
    <row r="32" spans="1:30">
      <c r="A32" s="197"/>
      <c r="B32" s="2641" t="s">
        <v>2036</v>
      </c>
      <c r="C32" s="2642"/>
      <c r="D32" s="290" t="s">
        <v>137</v>
      </c>
      <c r="E32" s="290">
        <v>3</v>
      </c>
      <c r="F32" s="1799"/>
      <c r="G32" s="1800"/>
      <c r="H32" s="2462">
        <v>8.8219999999999992</v>
      </c>
      <c r="I32" s="1800"/>
      <c r="J32" s="1801"/>
      <c r="K32" s="106"/>
      <c r="L32" s="295" t="s">
        <v>2037</v>
      </c>
      <c r="M32" s="268"/>
      <c r="N32" s="296"/>
      <c r="O32" s="268"/>
      <c r="P32" s="2571"/>
      <c r="Q32" s="251">
        <f t="shared" si="19"/>
        <v>0</v>
      </c>
      <c r="R32" s="2571"/>
      <c r="S32" s="2574"/>
      <c r="T32" s="237"/>
      <c r="U32" s="252">
        <f t="shared" si="20"/>
        <v>0</v>
      </c>
      <c r="V32" s="2571"/>
      <c r="W32" s="2562"/>
      <c r="X32" s="2641" t="s">
        <v>2036</v>
      </c>
      <c r="Y32" s="2642"/>
      <c r="Z32" s="291"/>
      <c r="AA32" s="292"/>
      <c r="AB32" s="293" t="s">
        <v>2038</v>
      </c>
      <c r="AC32" s="292"/>
      <c r="AD32" s="294"/>
    </row>
    <row r="33" spans="1:30" ht="16" thickBot="1">
      <c r="A33" s="197"/>
      <c r="B33" s="2637" t="s">
        <v>1902</v>
      </c>
      <c r="C33" s="2638"/>
      <c r="D33" s="297" t="s">
        <v>137</v>
      </c>
      <c r="E33" s="297">
        <v>3</v>
      </c>
      <c r="F33" s="1802"/>
      <c r="G33" s="1803"/>
      <c r="H33" s="2463">
        <f>IFERROR(SUM(H30:H32), 0)</f>
        <v>13.600999999999999</v>
      </c>
      <c r="I33" s="1803"/>
      <c r="J33" s="1804"/>
      <c r="K33" s="106"/>
      <c r="L33" s="267" t="s">
        <v>2039</v>
      </c>
      <c r="M33" s="268"/>
      <c r="N33" s="269"/>
      <c r="O33" s="268"/>
      <c r="P33" s="2571"/>
      <c r="Q33" s="251"/>
      <c r="R33" s="2571"/>
      <c r="S33" s="2574"/>
      <c r="T33" s="237"/>
      <c r="U33" s="2572"/>
      <c r="V33" s="2571"/>
      <c r="W33" s="2562"/>
      <c r="X33" s="2637" t="s">
        <v>1902</v>
      </c>
      <c r="Y33" s="2638"/>
      <c r="Z33" s="298"/>
      <c r="AA33" s="299"/>
      <c r="AB33" s="300" t="s">
        <v>2040</v>
      </c>
      <c r="AC33" s="299"/>
      <c r="AD33" s="301"/>
    </row>
    <row r="34" spans="1:30" ht="16" thickTop="1">
      <c r="A34" s="197"/>
      <c r="B34" s="197"/>
      <c r="C34" s="197"/>
      <c r="D34" s="197"/>
      <c r="E34" s="197"/>
      <c r="F34" s="197"/>
      <c r="G34" s="197"/>
      <c r="H34" s="197"/>
      <c r="I34" s="197"/>
      <c r="J34" s="197"/>
      <c r="K34" s="197"/>
      <c r="L34" s="228"/>
      <c r="M34" s="228"/>
      <c r="N34" s="228"/>
      <c r="O34" s="228"/>
      <c r="P34" s="2572"/>
      <c r="Q34" s="2562"/>
      <c r="R34" s="2572"/>
      <c r="S34" s="2574"/>
      <c r="T34" s="2572"/>
      <c r="U34" s="2572"/>
      <c r="V34" s="2572"/>
      <c r="W34" s="2562"/>
      <c r="X34" s="2562"/>
      <c r="Y34" s="2562"/>
      <c r="Z34" s="2562"/>
      <c r="AA34" s="2562"/>
      <c r="AB34" s="2562"/>
      <c r="AC34" s="2562"/>
      <c r="AD34" s="2562"/>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11" priority="15" operator="equal">
      <formula>0</formula>
    </cfRule>
  </conditionalFormatting>
  <conditionalFormatting sqref="Q12:Q15 Q17 Q20 Q22 Q25:Q26 Q30:Q33">
    <cfRule type="cellIs" dxfId="21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topLeftCell="A13" zoomScaleNormal="100" workbookViewId="0">
      <selection activeCell="G26" sqref="G26"/>
    </sheetView>
  </sheetViews>
  <sheetFormatPr defaultColWidth="9" defaultRowHeight="15.5" zeroHeight="1"/>
  <cols>
    <col min="1" max="1" width="1.58203125" style="2206" customWidth="1"/>
    <col min="2" max="2" width="48.58203125" style="2206" bestFit="1" customWidth="1"/>
    <col min="3" max="3" width="7.08203125" style="2206" customWidth="1"/>
    <col min="4" max="4" width="8.08203125" style="2206" customWidth="1"/>
    <col min="5" max="7" width="27.08203125" style="2206" customWidth="1"/>
    <col min="8" max="8" width="1.58203125" style="2206" customWidth="1"/>
    <col min="9" max="9" width="12.5" style="2206" customWidth="1"/>
    <col min="10" max="10" width="1.58203125" style="2206" customWidth="1"/>
    <col min="11" max="11" width="33.58203125" style="2206" customWidth="1"/>
    <col min="12" max="13" width="1.58203125" style="106" customWidth="1"/>
    <col min="14" max="14" width="25.08203125" style="106" customWidth="1"/>
    <col min="15" max="15" width="1.58203125" style="106" customWidth="1"/>
    <col min="16" max="18" width="6.08203125" style="106" hidden="1" customWidth="1"/>
    <col min="19" max="19" width="1.58203125" style="106" hidden="1" customWidth="1"/>
    <col min="20" max="20" width="1.58203125" style="2206" customWidth="1"/>
    <col min="21" max="21" width="48.58203125" style="2206" bestFit="1" customWidth="1"/>
    <col min="22" max="24" width="27.08203125" style="2206" customWidth="1"/>
    <col min="25" max="16384" width="9" style="2206"/>
  </cols>
  <sheetData>
    <row r="1" spans="1:25" s="2258" customFormat="1" ht="22.5">
      <c r="A1" s="2370"/>
      <c r="B1" s="2371" t="s">
        <v>10166</v>
      </c>
      <c r="C1" s="2371"/>
      <c r="D1" s="2371"/>
      <c r="E1" s="2371"/>
      <c r="F1" s="2600"/>
      <c r="G1" s="2600"/>
      <c r="H1" s="2370"/>
      <c r="I1" s="2370"/>
      <c r="J1" s="2370"/>
      <c r="K1" s="2370"/>
      <c r="L1" s="865"/>
      <c r="M1" s="1056"/>
      <c r="N1" s="251"/>
      <c r="O1" s="1056"/>
      <c r="P1" s="106"/>
      <c r="Q1" s="106"/>
      <c r="R1" s="106"/>
      <c r="S1" s="1056"/>
      <c r="T1" s="553"/>
      <c r="U1" s="2371"/>
      <c r="V1" s="2371"/>
      <c r="W1" s="2600"/>
      <c r="X1" s="2600"/>
      <c r="Y1" s="2600"/>
    </row>
    <row r="2" spans="1:25" s="2258" customFormat="1" ht="22.5">
      <c r="A2" s="2370"/>
      <c r="B2" s="2866" t="str">
        <f>SelectCompany!B4</f>
        <v>Yorkshire Water</v>
      </c>
      <c r="C2" s="2866"/>
      <c r="D2" s="2866"/>
      <c r="E2" s="2866"/>
      <c r="F2" s="2600"/>
      <c r="G2" s="2600"/>
      <c r="H2" s="2370"/>
      <c r="I2" s="2370"/>
      <c r="J2" s="2370"/>
      <c r="K2" s="2370"/>
      <c r="L2" s="865"/>
      <c r="M2" s="1056"/>
      <c r="N2" s="251"/>
      <c r="O2" s="1056"/>
      <c r="P2" s="106"/>
      <c r="Q2" s="106"/>
      <c r="R2" s="106"/>
      <c r="S2" s="1056"/>
      <c r="T2" s="553"/>
      <c r="U2" s="2371"/>
      <c r="V2" s="2371"/>
      <c r="W2" s="2600"/>
      <c r="X2" s="2600"/>
      <c r="Y2" s="2600"/>
    </row>
    <row r="3" spans="1:25" s="2259" customFormat="1" ht="19">
      <c r="A3" s="2372"/>
      <c r="B3" s="2781" t="s">
        <v>10167</v>
      </c>
      <c r="C3" s="2781"/>
      <c r="D3" s="2781"/>
      <c r="E3" s="2781"/>
      <c r="F3" s="2781"/>
      <c r="G3" s="2781"/>
      <c r="H3" s="2781"/>
      <c r="I3" s="2781"/>
      <c r="J3" s="2781"/>
      <c r="K3" s="2781"/>
      <c r="L3" s="865"/>
      <c r="M3" s="1056"/>
      <c r="N3" s="554" t="s">
        <v>1889</v>
      </c>
      <c r="O3" s="1056"/>
      <c r="P3" s="106"/>
      <c r="Q3" s="106"/>
      <c r="R3" s="106"/>
      <c r="S3" s="1056"/>
      <c r="T3" s="555"/>
      <c r="U3" s="2781" t="s">
        <v>10167</v>
      </c>
      <c r="V3" s="2781"/>
      <c r="W3" s="2781"/>
      <c r="X3" s="2781"/>
      <c r="Y3" s="2600"/>
    </row>
    <row r="4" spans="1:25" s="2259" customFormat="1" ht="19.5" thickBot="1">
      <c r="A4" s="2372"/>
      <c r="B4" s="2373"/>
      <c r="C4" s="2373"/>
      <c r="D4" s="2373"/>
      <c r="E4" s="2373"/>
      <c r="F4" s="2373"/>
      <c r="G4" s="2373"/>
      <c r="H4" s="2372"/>
      <c r="I4" s="2374"/>
      <c r="J4" s="2372"/>
      <c r="K4" s="2372"/>
      <c r="L4" s="865"/>
      <c r="M4" s="1056"/>
      <c r="N4" s="251"/>
      <c r="O4" s="1056"/>
      <c r="P4" s="106"/>
      <c r="Q4" s="106"/>
      <c r="R4" s="106"/>
      <c r="S4" s="1056"/>
      <c r="T4" s="555"/>
      <c r="U4" s="2373"/>
      <c r="V4" s="2373"/>
      <c r="W4" s="2373"/>
      <c r="X4" s="2373"/>
      <c r="Y4" s="2600"/>
    </row>
    <row r="5" spans="1:25" s="2260" customFormat="1" ht="16.399999999999999" customHeight="1" thickTop="1">
      <c r="A5" s="239"/>
      <c r="B5" s="2686" t="s">
        <v>1891</v>
      </c>
      <c r="C5" s="2867" t="s">
        <v>1892</v>
      </c>
      <c r="D5" s="2867" t="s">
        <v>136</v>
      </c>
      <c r="E5" s="2667" t="s">
        <v>10168</v>
      </c>
      <c r="F5" s="2667"/>
      <c r="G5" s="2669"/>
      <c r="H5" s="239"/>
      <c r="I5" s="2763" t="s">
        <v>1896</v>
      </c>
      <c r="J5" s="239"/>
      <c r="K5" s="2763" t="s">
        <v>1897</v>
      </c>
      <c r="L5" s="865"/>
      <c r="M5" s="1056"/>
      <c r="N5" s="251"/>
      <c r="O5" s="1056"/>
      <c r="P5" s="106"/>
      <c r="Q5" s="106"/>
      <c r="R5" s="106"/>
      <c r="S5" s="1056"/>
      <c r="T5" s="197"/>
      <c r="U5" s="2686" t="s">
        <v>1891</v>
      </c>
      <c r="V5" s="2667" t="s">
        <v>10168</v>
      </c>
      <c r="W5" s="2667"/>
      <c r="X5" s="2669"/>
      <c r="Y5" s="2600"/>
    </row>
    <row r="6" spans="1:25" s="2260" customFormat="1" ht="16" thickBot="1">
      <c r="A6" s="239"/>
      <c r="B6" s="2687"/>
      <c r="C6" s="2868"/>
      <c r="D6" s="2868"/>
      <c r="E6" s="238" t="s">
        <v>10169</v>
      </c>
      <c r="F6" s="238" t="s">
        <v>10170</v>
      </c>
      <c r="G6" s="576" t="s">
        <v>10171</v>
      </c>
      <c r="H6" s="239"/>
      <c r="I6" s="2765"/>
      <c r="J6" s="239"/>
      <c r="K6" s="2765"/>
      <c r="L6" s="2273"/>
      <c r="M6" s="1056"/>
      <c r="N6" s="251"/>
      <c r="O6" s="1056"/>
      <c r="P6" s="2662" t="s">
        <v>1890</v>
      </c>
      <c r="Q6" s="2662"/>
      <c r="R6" s="2662"/>
      <c r="S6" s="1056"/>
      <c r="T6" s="197"/>
      <c r="U6" s="2687"/>
      <c r="V6" s="238" t="s">
        <v>10169</v>
      </c>
      <c r="W6" s="238" t="s">
        <v>10170</v>
      </c>
      <c r="X6" s="576" t="s">
        <v>10171</v>
      </c>
      <c r="Y6" s="2600"/>
    </row>
    <row r="7" spans="1:25" s="2260" customFormat="1" ht="16.5" thickTop="1" thickBot="1">
      <c r="A7" s="239"/>
      <c r="B7" s="852"/>
      <c r="C7" s="852"/>
      <c r="D7" s="852"/>
      <c r="E7" s="852"/>
      <c r="F7" s="853"/>
      <c r="G7" s="853"/>
      <c r="H7" s="239"/>
      <c r="I7" s="239"/>
      <c r="J7" s="239"/>
      <c r="K7" s="239"/>
      <c r="L7" s="926"/>
      <c r="M7" s="1056"/>
      <c r="N7" s="251"/>
      <c r="O7" s="1056"/>
      <c r="P7" s="236" t="s">
        <v>1898</v>
      </c>
      <c r="Q7" s="106"/>
      <c r="R7" s="106"/>
      <c r="S7" s="1056"/>
      <c r="T7" s="197"/>
      <c r="U7" s="852"/>
      <c r="V7" s="852"/>
      <c r="W7" s="853"/>
      <c r="X7" s="853"/>
      <c r="Y7" s="2600"/>
    </row>
    <row r="8" spans="1:25" s="2260" customFormat="1" ht="16.5" thickTop="1" thickBot="1">
      <c r="A8" s="239"/>
      <c r="B8" s="681" t="s">
        <v>10172</v>
      </c>
      <c r="C8" s="2274"/>
      <c r="D8" s="2274"/>
      <c r="E8" s="932"/>
      <c r="F8" s="241"/>
      <c r="G8" s="2377"/>
      <c r="H8" s="239"/>
      <c r="I8" s="239"/>
      <c r="J8" s="239"/>
      <c r="K8" s="239"/>
      <c r="L8" s="926"/>
      <c r="M8" s="2576"/>
      <c r="N8" s="2276"/>
      <c r="O8" s="2576"/>
      <c r="P8" s="106"/>
      <c r="Q8" s="106"/>
      <c r="R8" s="106"/>
      <c r="S8" s="2576"/>
      <c r="T8" s="197"/>
      <c r="U8" s="681" t="s">
        <v>10172</v>
      </c>
      <c r="V8" s="932"/>
      <c r="W8" s="241"/>
      <c r="X8" s="2377"/>
      <c r="Y8" s="2600"/>
    </row>
    <row r="9" spans="1:25" s="2260" customFormat="1" ht="31.5" thickTop="1">
      <c r="A9" s="239"/>
      <c r="B9" s="358" t="s">
        <v>10173</v>
      </c>
      <c r="C9" s="2375" t="s">
        <v>4420</v>
      </c>
      <c r="D9" s="2375" t="s">
        <v>6261</v>
      </c>
      <c r="E9" s="2261" t="s">
        <v>10174</v>
      </c>
      <c r="F9" s="2261" t="s">
        <v>6261</v>
      </c>
      <c r="G9" s="2378" t="s">
        <v>6261</v>
      </c>
      <c r="H9" s="239"/>
      <c r="I9" s="935" t="s">
        <v>10175</v>
      </c>
      <c r="J9" s="239"/>
      <c r="K9" s="935"/>
      <c r="L9" s="926"/>
      <c r="M9" s="2576"/>
      <c r="N9" s="2276"/>
      <c r="O9" s="2576"/>
      <c r="P9" s="252">
        <f xml:space="preserve"> IF( ISNUMBER(E9), 0, 1 )</f>
        <v>1</v>
      </c>
      <c r="Q9" s="252">
        <f t="shared" ref="Q9:R9" si="0" xml:space="preserve"> IF( ISNUMBER(F9), 0, 1 )</f>
        <v>1</v>
      </c>
      <c r="R9" s="252">
        <f t="shared" si="0"/>
        <v>1</v>
      </c>
      <c r="S9" s="2576"/>
      <c r="T9" s="197"/>
      <c r="U9" s="358" t="s">
        <v>10173</v>
      </c>
      <c r="V9" s="2261" t="s">
        <v>10176</v>
      </c>
      <c r="W9" s="2261" t="s">
        <v>10177</v>
      </c>
      <c r="X9" s="2378" t="s">
        <v>10178</v>
      </c>
      <c r="Y9" s="2600"/>
    </row>
    <row r="10" spans="1:25" s="2260" customFormat="1" ht="62.5" thickBot="1">
      <c r="A10" s="239"/>
      <c r="B10" s="368" t="s">
        <v>10179</v>
      </c>
      <c r="C10" s="2272" t="s">
        <v>4420</v>
      </c>
      <c r="D10" s="2272" t="s">
        <v>6261</v>
      </c>
      <c r="E10" s="2277" t="s">
        <v>10180</v>
      </c>
      <c r="F10" s="2277" t="s">
        <v>6261</v>
      </c>
      <c r="G10" s="2379" t="s">
        <v>6261</v>
      </c>
      <c r="H10" s="239"/>
      <c r="I10" s="938" t="s">
        <v>10181</v>
      </c>
      <c r="J10" s="239"/>
      <c r="K10" s="938"/>
      <c r="L10" s="926"/>
      <c r="M10" s="2576"/>
      <c r="N10" s="2276"/>
      <c r="O10" s="2576"/>
      <c r="P10" s="252">
        <f xml:space="preserve"> IF( ISNUMBER(E10), 0, 1 )</f>
        <v>1</v>
      </c>
      <c r="Q10" s="252">
        <f t="shared" ref="Q10" si="1" xml:space="preserve"> IF( ISNUMBER(F10), 0, 1 )</f>
        <v>1</v>
      </c>
      <c r="R10" s="252">
        <f t="shared" ref="R10" si="2" xml:space="preserve"> IF( ISNUMBER(G10), 0, 1 )</f>
        <v>1</v>
      </c>
      <c r="S10" s="2576"/>
      <c r="T10" s="197"/>
      <c r="U10" s="368" t="s">
        <v>10179</v>
      </c>
      <c r="V10" s="2277" t="s">
        <v>10182</v>
      </c>
      <c r="W10" s="2277" t="s">
        <v>10183</v>
      </c>
      <c r="X10" s="2379" t="s">
        <v>10184</v>
      </c>
      <c r="Y10" s="2600"/>
    </row>
    <row r="11" spans="1:25" s="2260" customFormat="1" ht="16.5" thickTop="1" thickBot="1">
      <c r="A11" s="239"/>
      <c r="B11" s="865"/>
      <c r="C11" s="898"/>
      <c r="D11" s="898"/>
      <c r="E11" s="1514"/>
      <c r="F11" s="2380"/>
      <c r="G11" s="2380"/>
      <c r="H11" s="239"/>
      <c r="I11" s="1684"/>
      <c r="J11" s="239"/>
      <c r="K11" s="239"/>
      <c r="L11" s="926"/>
      <c r="M11" s="2576"/>
      <c r="N11" s="2276"/>
      <c r="O11" s="2576"/>
      <c r="P11" s="106"/>
      <c r="Q11" s="106"/>
      <c r="R11" s="106"/>
      <c r="S11" s="2576"/>
      <c r="T11" s="197"/>
      <c r="U11" s="865"/>
      <c r="V11" s="1514"/>
      <c r="W11" s="2380"/>
      <c r="X11" s="2380"/>
      <c r="Y11" s="2600"/>
    </row>
    <row r="12" spans="1:25" s="2260" customFormat="1" ht="16.5" thickTop="1" thickBot="1">
      <c r="A12" s="239"/>
      <c r="B12" s="681" t="s">
        <v>10185</v>
      </c>
      <c r="C12" s="2275"/>
      <c r="D12" s="2275"/>
      <c r="E12" s="1527"/>
      <c r="F12" s="1514"/>
      <c r="G12" s="1514"/>
      <c r="H12" s="239"/>
      <c r="I12" s="1684"/>
      <c r="J12" s="239"/>
      <c r="K12" s="239"/>
      <c r="L12" s="926"/>
      <c r="M12" s="2576"/>
      <c r="N12" s="2276"/>
      <c r="O12" s="2576"/>
      <c r="P12" s="106"/>
      <c r="Q12" s="106"/>
      <c r="R12" s="106"/>
      <c r="S12" s="2576"/>
      <c r="T12" s="197"/>
      <c r="U12" s="681" t="s">
        <v>10185</v>
      </c>
      <c r="V12" s="1527"/>
      <c r="W12" s="1514"/>
      <c r="X12" s="1514"/>
      <c r="Y12" s="2600"/>
    </row>
    <row r="13" spans="1:25" s="2260" customFormat="1" ht="16" thickTop="1">
      <c r="A13" s="239"/>
      <c r="B13" s="358" t="s">
        <v>10186</v>
      </c>
      <c r="C13" s="2375" t="s">
        <v>137</v>
      </c>
      <c r="D13" s="2375">
        <v>3</v>
      </c>
      <c r="E13" s="2261">
        <v>1092</v>
      </c>
      <c r="F13" s="2261" t="s">
        <v>6261</v>
      </c>
      <c r="G13" s="2378" t="s">
        <v>6261</v>
      </c>
      <c r="H13" s="239"/>
      <c r="I13" s="935" t="s">
        <v>10187</v>
      </c>
      <c r="J13" s="239"/>
      <c r="K13" s="519"/>
      <c r="L13" s="926"/>
      <c r="M13" s="2576"/>
      <c r="N13" s="2276"/>
      <c r="O13" s="2576"/>
      <c r="P13" s="252">
        <f xml:space="preserve"> IF( ISNUMBER(E13), 0, 1 )</f>
        <v>0</v>
      </c>
      <c r="Q13" s="252">
        <f t="shared" ref="Q13:Q14" si="3" xml:space="preserve"> IF( ISNUMBER(F13), 0, 1 )</f>
        <v>1</v>
      </c>
      <c r="R13" s="252">
        <f t="shared" ref="R13:R14" si="4" xml:space="preserve"> IF( ISNUMBER(G13), 0, 1 )</f>
        <v>1</v>
      </c>
      <c r="S13" s="2576"/>
      <c r="T13" s="197"/>
      <c r="U13" s="358" t="s">
        <v>10186</v>
      </c>
      <c r="V13" s="2261" t="s">
        <v>10188</v>
      </c>
      <c r="W13" s="2261" t="s">
        <v>10189</v>
      </c>
      <c r="X13" s="2378" t="s">
        <v>10190</v>
      </c>
      <c r="Y13" s="2600"/>
    </row>
    <row r="14" spans="1:25" s="2260" customFormat="1" ht="15.75" customHeight="1">
      <c r="A14" s="239"/>
      <c r="B14" s="365" t="s">
        <v>10191</v>
      </c>
      <c r="C14" s="2376" t="s">
        <v>137</v>
      </c>
      <c r="D14" s="2376">
        <v>3</v>
      </c>
      <c r="E14" s="2265">
        <v>1040.8</v>
      </c>
      <c r="F14" s="2265" t="s">
        <v>6261</v>
      </c>
      <c r="G14" s="2381" t="s">
        <v>6261</v>
      </c>
      <c r="H14" s="239"/>
      <c r="I14" s="936" t="s">
        <v>10192</v>
      </c>
      <c r="J14" s="239"/>
      <c r="K14" s="520"/>
      <c r="L14" s="926"/>
      <c r="M14" s="1056"/>
      <c r="N14" s="2276"/>
      <c r="O14" s="2576"/>
      <c r="P14" s="252">
        <f xml:space="preserve"> IF( ISNUMBER(E14), 0, 1 )</f>
        <v>0</v>
      </c>
      <c r="Q14" s="252">
        <f t="shared" si="3"/>
        <v>1</v>
      </c>
      <c r="R14" s="252">
        <f t="shared" si="4"/>
        <v>1</v>
      </c>
      <c r="S14" s="2576"/>
      <c r="T14" s="197"/>
      <c r="U14" s="365" t="s">
        <v>10191</v>
      </c>
      <c r="V14" s="2265" t="s">
        <v>10193</v>
      </c>
      <c r="W14" s="2265" t="s">
        <v>10194</v>
      </c>
      <c r="X14" s="2381" t="s">
        <v>10195</v>
      </c>
      <c r="Y14" s="2600"/>
    </row>
    <row r="15" spans="1:25" s="2260" customFormat="1" ht="15.75" customHeight="1">
      <c r="A15" s="239"/>
      <c r="B15" s="365" t="s">
        <v>10196</v>
      </c>
      <c r="C15" s="2376" t="s">
        <v>137</v>
      </c>
      <c r="D15" s="2376">
        <v>3</v>
      </c>
      <c r="E15" s="2382">
        <f>E13-E14</f>
        <v>51.200000000000045</v>
      </c>
      <c r="F15" s="2382" t="s">
        <v>6261</v>
      </c>
      <c r="G15" s="2383" t="s">
        <v>6261</v>
      </c>
      <c r="H15" s="239"/>
      <c r="I15" s="936" t="s">
        <v>10197</v>
      </c>
      <c r="J15" s="239"/>
      <c r="K15" s="520"/>
      <c r="L15" s="865"/>
      <c r="M15" s="1056"/>
      <c r="N15" s="2276"/>
      <c r="O15" s="2576"/>
      <c r="P15" s="106"/>
      <c r="Q15" s="106"/>
      <c r="R15" s="106"/>
      <c r="S15" s="2576"/>
      <c r="T15" s="197"/>
      <c r="U15" s="365" t="s">
        <v>10196</v>
      </c>
      <c r="V15" s="2382" t="s">
        <v>10198</v>
      </c>
      <c r="W15" s="2382" t="s">
        <v>10199</v>
      </c>
      <c r="X15" s="2383" t="s">
        <v>10200</v>
      </c>
      <c r="Y15" s="2600"/>
    </row>
    <row r="16" spans="1:25" s="2260" customFormat="1" ht="15.75" customHeight="1">
      <c r="A16" s="239"/>
      <c r="B16" s="365" t="s">
        <v>10201</v>
      </c>
      <c r="C16" s="2376" t="s">
        <v>137</v>
      </c>
      <c r="D16" s="2376">
        <v>3</v>
      </c>
      <c r="E16" s="2265" t="s">
        <v>10202</v>
      </c>
      <c r="F16" s="2265" t="s">
        <v>6261</v>
      </c>
      <c r="G16" s="2381" t="s">
        <v>6261</v>
      </c>
      <c r="H16" s="239"/>
      <c r="I16" s="936" t="s">
        <v>10203</v>
      </c>
      <c r="J16" s="239"/>
      <c r="K16" s="520"/>
      <c r="L16" s="865"/>
      <c r="M16" s="1056"/>
      <c r="N16" s="2276"/>
      <c r="O16" s="2576"/>
      <c r="P16" s="252">
        <f xml:space="preserve"> IF( ISNUMBER(E16), 0, 1 )</f>
        <v>1</v>
      </c>
      <c r="Q16" s="252">
        <f t="shared" ref="Q16:Q17" si="5" xml:space="preserve"> IF( ISNUMBER(F16), 0, 1 )</f>
        <v>1</v>
      </c>
      <c r="R16" s="252">
        <f t="shared" ref="R16:R17" si="6" xml:space="preserve"> IF( ISNUMBER(G16), 0, 1 )</f>
        <v>1</v>
      </c>
      <c r="S16" s="2576"/>
      <c r="T16" s="197"/>
      <c r="U16" s="365" t="s">
        <v>10201</v>
      </c>
      <c r="V16" s="2265" t="s">
        <v>10204</v>
      </c>
      <c r="W16" s="2265" t="s">
        <v>10205</v>
      </c>
      <c r="X16" s="2381" t="s">
        <v>10206</v>
      </c>
      <c r="Y16" s="2600"/>
    </row>
    <row r="17" spans="1:25" s="2260" customFormat="1" ht="16" thickBot="1">
      <c r="A17" s="239"/>
      <c r="B17" s="368" t="s">
        <v>3119</v>
      </c>
      <c r="C17" s="2272" t="s">
        <v>137</v>
      </c>
      <c r="D17" s="2272">
        <v>3</v>
      </c>
      <c r="E17" s="2277">
        <v>0</v>
      </c>
      <c r="F17" s="2277" t="s">
        <v>6261</v>
      </c>
      <c r="G17" s="2379" t="s">
        <v>6261</v>
      </c>
      <c r="H17" s="239"/>
      <c r="I17" s="938" t="s">
        <v>10207</v>
      </c>
      <c r="J17" s="239"/>
      <c r="K17" s="522"/>
      <c r="L17" s="106"/>
      <c r="M17" s="1056"/>
      <c r="N17" s="2276"/>
      <c r="O17" s="2576"/>
      <c r="P17" s="252">
        <f xml:space="preserve"> IF( ISNUMBER(E17), 0, 1 )</f>
        <v>0</v>
      </c>
      <c r="Q17" s="252">
        <f t="shared" si="5"/>
        <v>1</v>
      </c>
      <c r="R17" s="252">
        <f t="shared" si="6"/>
        <v>1</v>
      </c>
      <c r="S17" s="2576"/>
      <c r="T17" s="197"/>
      <c r="U17" s="368" t="s">
        <v>3119</v>
      </c>
      <c r="V17" s="2277" t="s">
        <v>10208</v>
      </c>
      <c r="W17" s="2277" t="s">
        <v>10209</v>
      </c>
      <c r="X17" s="2379" t="s">
        <v>10210</v>
      </c>
      <c r="Y17" s="2600"/>
    </row>
    <row r="18" spans="1:25" s="2260" customFormat="1" ht="16.5" thickTop="1" thickBot="1">
      <c r="A18" s="239"/>
      <c r="B18" s="852"/>
      <c r="C18" s="853"/>
      <c r="D18" s="853"/>
      <c r="E18" s="2384"/>
      <c r="F18" s="1514"/>
      <c r="G18" s="1514"/>
      <c r="H18" s="239"/>
      <c r="I18" s="239"/>
      <c r="J18" s="239"/>
      <c r="K18" s="239"/>
      <c r="L18" s="106"/>
      <c r="M18" s="1056"/>
      <c r="N18" s="2276"/>
      <c r="O18" s="2576"/>
      <c r="P18" s="106"/>
      <c r="Q18" s="106"/>
      <c r="R18" s="106"/>
      <c r="S18" s="2576"/>
      <c r="T18" s="197"/>
      <c r="U18" s="852"/>
      <c r="V18" s="2384"/>
      <c r="W18" s="1514"/>
      <c r="X18" s="1514"/>
      <c r="Y18" s="2600"/>
    </row>
    <row r="19" spans="1:25" s="2260" customFormat="1" ht="32" thickTop="1" thickBot="1">
      <c r="A19" s="239"/>
      <c r="B19" s="681" t="s">
        <v>10211</v>
      </c>
      <c r="C19" s="2275"/>
      <c r="D19" s="2275"/>
      <c r="E19" s="1527"/>
      <c r="F19" s="1514"/>
      <c r="G19" s="1514"/>
      <c r="H19" s="239"/>
      <c r="I19" s="1684"/>
      <c r="J19" s="239"/>
      <c r="K19" s="239"/>
      <c r="L19" s="106"/>
      <c r="M19" s="1056"/>
      <c r="N19" s="2276"/>
      <c r="O19" s="2576"/>
      <c r="P19" s="106"/>
      <c r="Q19" s="106"/>
      <c r="R19" s="106"/>
      <c r="S19" s="2576"/>
      <c r="T19" s="197"/>
      <c r="U19" s="681" t="s">
        <v>10211</v>
      </c>
      <c r="V19" s="1527"/>
      <c r="W19" s="1514"/>
      <c r="X19" s="1514"/>
      <c r="Y19" s="2600"/>
    </row>
    <row r="20" spans="1:25" s="2260" customFormat="1" ht="16" thickTop="1">
      <c r="A20" s="239"/>
      <c r="B20" s="358" t="s">
        <v>10212</v>
      </c>
      <c r="C20" s="2375" t="s">
        <v>4421</v>
      </c>
      <c r="D20" s="2375" t="s">
        <v>6261</v>
      </c>
      <c r="E20" s="2385">
        <v>44286</v>
      </c>
      <c r="F20" s="2385" t="s">
        <v>6261</v>
      </c>
      <c r="G20" s="2386" t="s">
        <v>6261</v>
      </c>
      <c r="H20" s="239"/>
      <c r="I20" s="935" t="s">
        <v>10213</v>
      </c>
      <c r="J20" s="239"/>
      <c r="K20" s="519"/>
      <c r="L20" s="106"/>
      <c r="M20" s="1056"/>
      <c r="N20" s="2276"/>
      <c r="O20" s="2576"/>
      <c r="P20" s="252">
        <f xml:space="preserve"> IF( ISNUMBER(E20), 0, 1 )</f>
        <v>0</v>
      </c>
      <c r="Q20" s="252">
        <f t="shared" ref="Q20:Q22" si="7" xml:space="preserve"> IF( ISNUMBER(F20), 0, 1 )</f>
        <v>1</v>
      </c>
      <c r="R20" s="252">
        <f t="shared" ref="R20:R22" si="8" xml:space="preserve"> IF( ISNUMBER(G20), 0, 1 )</f>
        <v>1</v>
      </c>
      <c r="S20" s="2576"/>
      <c r="T20" s="197"/>
      <c r="U20" s="358" t="s">
        <v>10212</v>
      </c>
      <c r="V20" s="2261" t="s">
        <v>10214</v>
      </c>
      <c r="W20" s="2261" t="s">
        <v>10215</v>
      </c>
      <c r="X20" s="2378" t="s">
        <v>10216</v>
      </c>
      <c r="Y20" s="2600"/>
    </row>
    <row r="21" spans="1:25" s="2260" customFormat="1" ht="15.75" customHeight="1">
      <c r="A21" s="239"/>
      <c r="B21" s="365" t="s">
        <v>10217</v>
      </c>
      <c r="C21" s="2376" t="s">
        <v>137</v>
      </c>
      <c r="D21" s="2376">
        <v>3</v>
      </c>
      <c r="E21" s="2265">
        <v>1563</v>
      </c>
      <c r="F21" s="2265" t="s">
        <v>6261</v>
      </c>
      <c r="G21" s="2381" t="s">
        <v>6261</v>
      </c>
      <c r="H21" s="239"/>
      <c r="I21" s="936" t="s">
        <v>10218</v>
      </c>
      <c r="J21" s="239"/>
      <c r="K21" s="520"/>
      <c r="L21" s="106"/>
      <c r="M21" s="1056"/>
      <c r="N21" s="2276"/>
      <c r="O21" s="2576"/>
      <c r="P21" s="252">
        <f xml:space="preserve"> IF( ISNUMBER(E21), 0, 1 )</f>
        <v>0</v>
      </c>
      <c r="Q21" s="252">
        <f t="shared" si="7"/>
        <v>1</v>
      </c>
      <c r="R21" s="252">
        <f t="shared" si="8"/>
        <v>1</v>
      </c>
      <c r="S21" s="2576"/>
      <c r="T21" s="197"/>
      <c r="U21" s="365" t="s">
        <v>10217</v>
      </c>
      <c r="V21" s="2265" t="s">
        <v>10219</v>
      </c>
      <c r="W21" s="2265" t="s">
        <v>10220</v>
      </c>
      <c r="X21" s="2381" t="s">
        <v>10221</v>
      </c>
      <c r="Y21" s="2600"/>
    </row>
    <row r="22" spans="1:25" s="2260" customFormat="1" ht="15.75" customHeight="1">
      <c r="A22" s="239"/>
      <c r="B22" s="365" t="s">
        <v>10222</v>
      </c>
      <c r="C22" s="2376" t="s">
        <v>137</v>
      </c>
      <c r="D22" s="2376">
        <v>3</v>
      </c>
      <c r="E22" s="2265">
        <v>1521</v>
      </c>
      <c r="F22" s="2265" t="s">
        <v>6261</v>
      </c>
      <c r="G22" s="2381" t="s">
        <v>6261</v>
      </c>
      <c r="H22" s="239"/>
      <c r="I22" s="936" t="s">
        <v>10223</v>
      </c>
      <c r="J22" s="239"/>
      <c r="K22" s="520"/>
      <c r="L22" s="106"/>
      <c r="M22" s="1056"/>
      <c r="N22" s="2276"/>
      <c r="O22" s="2576"/>
      <c r="P22" s="252">
        <f xml:space="preserve"> IF( ISNUMBER(E22), 0, 1 )</f>
        <v>0</v>
      </c>
      <c r="Q22" s="252">
        <f t="shared" si="7"/>
        <v>1</v>
      </c>
      <c r="R22" s="252">
        <f t="shared" si="8"/>
        <v>1</v>
      </c>
      <c r="S22" s="2576"/>
      <c r="T22" s="197"/>
      <c r="U22" s="365" t="s">
        <v>10222</v>
      </c>
      <c r="V22" s="2265" t="s">
        <v>10224</v>
      </c>
      <c r="W22" s="2265" t="s">
        <v>10225</v>
      </c>
      <c r="X22" s="2381" t="s">
        <v>10226</v>
      </c>
      <c r="Y22" s="2600"/>
    </row>
    <row r="23" spans="1:25" s="2260" customFormat="1" ht="15.75" customHeight="1">
      <c r="A23" s="239"/>
      <c r="B23" s="365" t="s">
        <v>10227</v>
      </c>
      <c r="C23" s="2376" t="s">
        <v>137</v>
      </c>
      <c r="D23" s="2376">
        <v>3</v>
      </c>
      <c r="E23" s="2382">
        <f>E21-E22</f>
        <v>42</v>
      </c>
      <c r="F23" s="2382" t="s">
        <v>6261</v>
      </c>
      <c r="G23" s="2383" t="s">
        <v>6261</v>
      </c>
      <c r="H23" s="239"/>
      <c r="I23" s="936" t="s">
        <v>10228</v>
      </c>
      <c r="J23" s="239"/>
      <c r="K23" s="520"/>
      <c r="L23" s="106"/>
      <c r="M23" s="1056"/>
      <c r="N23" s="2276"/>
      <c r="O23" s="2576"/>
      <c r="P23" s="106"/>
      <c r="Q23" s="106"/>
      <c r="R23" s="106"/>
      <c r="S23" s="2576"/>
      <c r="T23" s="197"/>
      <c r="U23" s="365" t="s">
        <v>10227</v>
      </c>
      <c r="V23" s="2382" t="s">
        <v>10229</v>
      </c>
      <c r="W23" s="2382" t="s">
        <v>10230</v>
      </c>
      <c r="X23" s="2383" t="s">
        <v>10231</v>
      </c>
      <c r="Y23" s="2600"/>
    </row>
    <row r="24" spans="1:25" s="2260" customFormat="1" ht="93.5" thickBot="1">
      <c r="A24" s="239"/>
      <c r="B24" s="368" t="s">
        <v>10232</v>
      </c>
      <c r="C24" s="2272" t="s">
        <v>4420</v>
      </c>
      <c r="D24" s="2272" t="s">
        <v>6261</v>
      </c>
      <c r="E24" s="2277" t="s">
        <v>10233</v>
      </c>
      <c r="F24" s="2277" t="s">
        <v>6261</v>
      </c>
      <c r="G24" s="2379" t="s">
        <v>6261</v>
      </c>
      <c r="H24" s="239"/>
      <c r="I24" s="938" t="s">
        <v>10234</v>
      </c>
      <c r="J24" s="239"/>
      <c r="K24" s="522"/>
      <c r="L24" s="106"/>
      <c r="M24" s="1056"/>
      <c r="N24" s="2276"/>
      <c r="O24" s="2576"/>
      <c r="P24" s="252">
        <f xml:space="preserve"> IF( ISNUMBER(E24), 0, 1 )</f>
        <v>1</v>
      </c>
      <c r="Q24" s="252">
        <f t="shared" ref="Q24" si="9" xml:space="preserve"> IF( ISNUMBER(F24), 0, 1 )</f>
        <v>1</v>
      </c>
      <c r="R24" s="252">
        <f t="shared" ref="R24" si="10" xml:space="preserve"> IF( ISNUMBER(G24), 0, 1 )</f>
        <v>1</v>
      </c>
      <c r="S24" s="2576"/>
      <c r="T24" s="197"/>
      <c r="U24" s="368" t="s">
        <v>10232</v>
      </c>
      <c r="V24" s="2277" t="s">
        <v>10235</v>
      </c>
      <c r="W24" s="2277" t="s">
        <v>10236</v>
      </c>
      <c r="X24" s="2379" t="s">
        <v>10237</v>
      </c>
      <c r="Y24" s="2600"/>
    </row>
    <row r="25" spans="1:25" s="2260" customFormat="1" ht="16.5" thickTop="1" thickBot="1">
      <c r="A25" s="239"/>
      <c r="B25" s="852"/>
      <c r="C25" s="853"/>
      <c r="D25" s="853"/>
      <c r="E25" s="2384"/>
      <c r="F25" s="1514"/>
      <c r="G25" s="1514"/>
      <c r="H25" s="239"/>
      <c r="I25" s="239"/>
      <c r="J25" s="239"/>
      <c r="K25" s="239"/>
      <c r="L25" s="106"/>
      <c r="M25" s="1056"/>
      <c r="N25" s="2276"/>
      <c r="O25" s="2576"/>
      <c r="P25" s="106"/>
      <c r="Q25" s="106"/>
      <c r="R25" s="106"/>
      <c r="S25" s="2576"/>
      <c r="T25" s="197"/>
      <c r="U25" s="852"/>
      <c r="V25" s="2384"/>
      <c r="W25" s="1514"/>
      <c r="X25" s="1514"/>
      <c r="Y25" s="2600"/>
    </row>
    <row r="26" spans="1:25" s="2260" customFormat="1" ht="16.5" thickTop="1" thickBot="1">
      <c r="A26" s="239"/>
      <c r="B26" s="681" t="s">
        <v>10238</v>
      </c>
      <c r="C26" s="2275"/>
      <c r="D26" s="2275"/>
      <c r="E26" s="1527"/>
      <c r="F26" s="1514"/>
      <c r="G26" s="1514"/>
      <c r="H26" s="239"/>
      <c r="I26" s="1684"/>
      <c r="J26" s="239"/>
      <c r="K26" s="239"/>
      <c r="L26" s="106"/>
      <c r="M26" s="1056"/>
      <c r="N26" s="2276"/>
      <c r="O26" s="2576"/>
      <c r="P26" s="106"/>
      <c r="Q26" s="106"/>
      <c r="R26" s="106"/>
      <c r="S26" s="2576"/>
      <c r="T26" s="197"/>
      <c r="U26" s="681" t="s">
        <v>10238</v>
      </c>
      <c r="V26" s="1527"/>
      <c r="W26" s="1514"/>
      <c r="X26" s="1514"/>
      <c r="Y26" s="2600"/>
    </row>
    <row r="27" spans="1:25" s="2260" customFormat="1" ht="16" thickTop="1">
      <c r="A27" s="239"/>
      <c r="B27" s="358" t="s">
        <v>10239</v>
      </c>
      <c r="C27" s="2375" t="s">
        <v>4420</v>
      </c>
      <c r="D27" s="2375" t="s">
        <v>6261</v>
      </c>
      <c r="E27" s="2261" t="s">
        <v>10240</v>
      </c>
      <c r="F27" s="2261" t="s">
        <v>6261</v>
      </c>
      <c r="G27" s="2378" t="s">
        <v>6261</v>
      </c>
      <c r="H27" s="239"/>
      <c r="I27" s="935" t="s">
        <v>10241</v>
      </c>
      <c r="J27" s="239"/>
      <c r="K27" s="519"/>
      <c r="L27" s="106"/>
      <c r="M27" s="1056"/>
      <c r="N27" s="2276"/>
      <c r="O27" s="2576"/>
      <c r="P27" s="252">
        <f xml:space="preserve"> IF( ISNUMBER(E27), 0, 1 )</f>
        <v>1</v>
      </c>
      <c r="Q27" s="252">
        <f t="shared" ref="Q27:Q30" si="11" xml:space="preserve"> IF( ISNUMBER(F27), 0, 1 )</f>
        <v>1</v>
      </c>
      <c r="R27" s="252">
        <f t="shared" ref="R27:R30" si="12" xml:space="preserve"> IF( ISNUMBER(G27), 0, 1 )</f>
        <v>1</v>
      </c>
      <c r="S27" s="2576"/>
      <c r="T27" s="197"/>
      <c r="U27" s="358" t="s">
        <v>10239</v>
      </c>
      <c r="V27" s="2261" t="s">
        <v>10242</v>
      </c>
      <c r="W27" s="2261" t="s">
        <v>10243</v>
      </c>
      <c r="X27" s="2378" t="s">
        <v>10244</v>
      </c>
      <c r="Y27" s="2600"/>
    </row>
    <row r="28" spans="1:25" s="2260" customFormat="1" ht="15.75" customHeight="1">
      <c r="A28" s="239"/>
      <c r="B28" s="365" t="s">
        <v>10245</v>
      </c>
      <c r="C28" s="2376" t="s">
        <v>4421</v>
      </c>
      <c r="D28" s="2376" t="s">
        <v>6261</v>
      </c>
      <c r="E28" s="2387" t="s">
        <v>10240</v>
      </c>
      <c r="F28" s="2387" t="s">
        <v>6261</v>
      </c>
      <c r="G28" s="2388" t="s">
        <v>6261</v>
      </c>
      <c r="H28" s="239"/>
      <c r="I28" s="936" t="s">
        <v>10246</v>
      </c>
      <c r="J28" s="239"/>
      <c r="K28" s="520"/>
      <c r="L28" s="106"/>
      <c r="M28" s="1056"/>
      <c r="N28" s="2276"/>
      <c r="O28" s="2576"/>
      <c r="P28" s="252">
        <f xml:space="preserve"> IF( ISNUMBER(E28), 0, 1 )</f>
        <v>1</v>
      </c>
      <c r="Q28" s="252">
        <f t="shared" si="11"/>
        <v>1</v>
      </c>
      <c r="R28" s="252">
        <f t="shared" si="12"/>
        <v>1</v>
      </c>
      <c r="S28" s="2576"/>
      <c r="T28" s="197"/>
      <c r="U28" s="365" t="s">
        <v>10245</v>
      </c>
      <c r="V28" s="2265" t="s">
        <v>10247</v>
      </c>
      <c r="W28" s="2265" t="s">
        <v>10248</v>
      </c>
      <c r="X28" s="2381" t="s">
        <v>10249</v>
      </c>
      <c r="Y28" s="2600"/>
    </row>
    <row r="29" spans="1:25" s="2260" customFormat="1" ht="15.75" customHeight="1">
      <c r="A29" s="239"/>
      <c r="B29" s="365" t="s">
        <v>10250</v>
      </c>
      <c r="C29" s="2376" t="s">
        <v>4420</v>
      </c>
      <c r="D29" s="2376" t="s">
        <v>6261</v>
      </c>
      <c r="E29" s="2265" t="s">
        <v>10240</v>
      </c>
      <c r="F29" s="2265" t="s">
        <v>6261</v>
      </c>
      <c r="G29" s="2381" t="s">
        <v>6261</v>
      </c>
      <c r="H29" s="239"/>
      <c r="I29" s="936" t="s">
        <v>10251</v>
      </c>
      <c r="J29" s="761"/>
      <c r="K29" s="520"/>
      <c r="L29" s="106"/>
      <c r="M29" s="1056"/>
      <c r="N29" s="2276"/>
      <c r="O29" s="2576"/>
      <c r="P29" s="252">
        <f xml:space="preserve"> IF( ISNUMBER(E29), 0, 1 )</f>
        <v>1</v>
      </c>
      <c r="Q29" s="252">
        <f t="shared" si="11"/>
        <v>1</v>
      </c>
      <c r="R29" s="252">
        <f t="shared" si="12"/>
        <v>1</v>
      </c>
      <c r="S29" s="2576"/>
      <c r="T29" s="197"/>
      <c r="U29" s="365" t="s">
        <v>10250</v>
      </c>
      <c r="V29" s="2265" t="s">
        <v>10252</v>
      </c>
      <c r="W29" s="2265" t="s">
        <v>10253</v>
      </c>
      <c r="X29" s="2381" t="s">
        <v>10254</v>
      </c>
      <c r="Y29" s="2600"/>
    </row>
    <row r="30" spans="1:25" s="2260" customFormat="1" ht="16" thickBot="1">
      <c r="A30" s="239"/>
      <c r="B30" s="368" t="s">
        <v>10255</v>
      </c>
      <c r="C30" s="2272" t="s">
        <v>4420</v>
      </c>
      <c r="D30" s="2272" t="s">
        <v>6261</v>
      </c>
      <c r="E30" s="2277" t="s">
        <v>10240</v>
      </c>
      <c r="F30" s="2277" t="s">
        <v>6261</v>
      </c>
      <c r="G30" s="2379" t="s">
        <v>6261</v>
      </c>
      <c r="H30" s="239"/>
      <c r="I30" s="938" t="s">
        <v>10256</v>
      </c>
      <c r="J30" s="761"/>
      <c r="K30" s="522"/>
      <c r="L30" s="106"/>
      <c r="M30" s="1056"/>
      <c r="N30" s="2276"/>
      <c r="O30" s="2576"/>
      <c r="P30" s="252">
        <f xml:space="preserve"> IF( ISNUMBER(E30), 0, 1 )</f>
        <v>1</v>
      </c>
      <c r="Q30" s="252">
        <f t="shared" si="11"/>
        <v>1</v>
      </c>
      <c r="R30" s="252">
        <f t="shared" si="12"/>
        <v>1</v>
      </c>
      <c r="S30" s="2576"/>
      <c r="T30" s="197"/>
      <c r="U30" s="368" t="s">
        <v>10255</v>
      </c>
      <c r="V30" s="2277" t="s">
        <v>10257</v>
      </c>
      <c r="W30" s="2277" t="s">
        <v>10258</v>
      </c>
      <c r="X30" s="2379" t="s">
        <v>10259</v>
      </c>
      <c r="Y30" s="2600"/>
    </row>
    <row r="31" spans="1:25" ht="16" thickTop="1">
      <c r="A31" s="2274"/>
      <c r="B31" s="2274"/>
      <c r="C31" s="2274"/>
      <c r="D31" s="2274"/>
      <c r="E31" s="2274"/>
      <c r="F31" s="2274"/>
      <c r="G31" s="2274"/>
      <c r="H31" s="2274"/>
      <c r="I31" s="2274"/>
      <c r="J31" s="2274"/>
      <c r="K31" s="2274"/>
      <c r="M31" s="1056"/>
      <c r="N31" s="2276"/>
      <c r="O31" s="2576"/>
      <c r="S31" s="2576"/>
      <c r="T31"/>
      <c r="U31" s="2274"/>
      <c r="V31" s="2274"/>
      <c r="W31" s="2274"/>
      <c r="X31" s="2274"/>
      <c r="Y31" s="2600"/>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85" priority="42" operator="equal">
      <formula>0</formula>
    </cfRule>
  </conditionalFormatting>
  <conditionalFormatting sqref="N4:N31">
    <cfRule type="cellIs" dxfId="84" priority="1" operator="equal">
      <formula>0</formula>
    </cfRule>
  </conditionalFormatting>
  <conditionalFormatting sqref="P11:R11">
    <cfRule type="cellIs" dxfId="83" priority="47" operator="equal">
      <formula>0</formula>
    </cfRule>
  </conditionalFormatting>
  <conditionalFormatting sqref="Q9:R14">
    <cfRule type="cellIs" dxfId="82" priority="32" operator="equal">
      <formula>0</formula>
    </cfRule>
  </conditionalFormatting>
  <conditionalFormatting sqref="Q16:R17">
    <cfRule type="cellIs" dxfId="81" priority="26" operator="equal">
      <formula>0</formula>
    </cfRule>
  </conditionalFormatting>
  <conditionalFormatting sqref="Q20:R22">
    <cfRule type="cellIs" dxfId="80" priority="17" operator="equal">
      <formula>0</formula>
    </cfRule>
  </conditionalFormatting>
  <conditionalFormatting sqref="Q24:R24">
    <cfRule type="cellIs" dxfId="79" priority="14" operator="equal">
      <formula>0</formula>
    </cfRule>
  </conditionalFormatting>
  <conditionalFormatting sqref="Q27:R30">
    <cfRule type="cellIs" dxfId="78" priority="2" operator="equal">
      <formula>0</formula>
    </cfRule>
  </conditionalFormatting>
  <dataValidations count="2">
    <dataValidation type="custom" allowBlank="1" showErrorMessage="1" errorTitle="Input Error" error="Please enter a numeric value." sqref="F15:G15 F23:G23 W20:X23 W27:X30 W9:X10 W13:X17" xr:uid="{CF4B7E92-887D-4610-9340-3CD171483ADA}">
      <formula1>ISNUMBER(F9)</formula1>
    </dataValidation>
    <dataValidation allowBlank="1" showErrorMessage="1" errorTitle="Input Error" error="Please enter a numeric value." sqref="F9:G14 F16:G22 F24:G30" xr:uid="{1335BDBC-85AB-402C-BBE0-95ED707EB9DC}"/>
  </dataValidations>
  <pageMargins left="0.7" right="0.7" top="0.75" bottom="0.75" header="0.3" footer="0.3"/>
  <pageSetup paperSize="9" orientation="portrait" r:id="rId1"/>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70" zoomScaleNormal="70" zoomScaleSheetLayoutView="100" workbookViewId="0">
      <pane ySplit="5" topLeftCell="A6" activePane="bottomLeft" state="frozen"/>
      <selection pane="bottomLeft" activeCell="E11" sqref="E11"/>
    </sheetView>
  </sheetViews>
  <sheetFormatPr defaultColWidth="8.58203125" defaultRowHeight="29.9" customHeight="1"/>
  <cols>
    <col min="1" max="1" width="1.58203125" style="219" customWidth="1"/>
    <col min="2" max="2" width="69.08203125" style="219" customWidth="1"/>
    <col min="3" max="3" width="5.58203125" style="219" bestFit="1" customWidth="1"/>
    <col min="4" max="4" width="4.58203125" style="219" bestFit="1" customWidth="1"/>
    <col min="5" max="5" width="15.58203125" style="219" customWidth="1"/>
    <col min="6" max="6" width="1.58203125" style="219" customWidth="1"/>
    <col min="7" max="7" width="12.5" style="219" customWidth="1"/>
    <col min="8" max="8" width="1.58203125" style="219" customWidth="1"/>
    <col min="9" max="9" width="33.58203125" style="219" customWidth="1"/>
    <col min="10" max="11" width="1.58203125" style="219" customWidth="1"/>
    <col min="12" max="12" width="25.08203125" style="219" customWidth="1"/>
    <col min="13" max="13" width="1.58203125" style="219" hidden="1" customWidth="1"/>
    <col min="14" max="14" width="25" style="219" hidden="1" customWidth="1"/>
    <col min="15" max="16" width="1.58203125" style="219" customWidth="1"/>
    <col min="17" max="17" width="40" style="224" customWidth="1"/>
    <col min="18" max="18" width="17.58203125" style="219" bestFit="1" customWidth="1"/>
    <col min="19" max="19" width="1.58203125" style="219" customWidth="1"/>
    <col min="20" max="21" width="14.58203125" style="219" customWidth="1"/>
    <col min="22" max="16384" width="8.58203125" style="219"/>
  </cols>
  <sheetData>
    <row r="1" spans="1:18" ht="29.9" customHeight="1">
      <c r="A1" s="2560"/>
      <c r="B1" s="1119" t="s">
        <v>10260</v>
      </c>
      <c r="C1" s="1119"/>
      <c r="D1" s="1119"/>
      <c r="E1" s="1119"/>
      <c r="F1" s="1119"/>
      <c r="G1" s="229"/>
      <c r="H1" s="2560"/>
      <c r="I1" s="2560"/>
      <c r="J1" s="2560"/>
      <c r="K1" s="2589"/>
      <c r="L1" s="2560"/>
      <c r="M1" s="2589"/>
      <c r="N1" s="2560"/>
      <c r="O1" s="2589"/>
      <c r="P1" s="2560"/>
      <c r="Q1" s="1119" t="s">
        <v>1887</v>
      </c>
      <c r="R1" s="1119"/>
    </row>
    <row r="2" spans="1:18" ht="29.9" customHeight="1">
      <c r="A2" s="2560"/>
      <c r="B2" s="1119" t="str">
        <f>SelectCompany!B4</f>
        <v>Yorkshire Water</v>
      </c>
      <c r="C2" s="491"/>
      <c r="D2" s="491"/>
      <c r="E2" s="491"/>
      <c r="F2" s="491"/>
      <c r="G2" s="229"/>
      <c r="H2" s="2560"/>
      <c r="I2" s="2560"/>
      <c r="J2" s="2560"/>
      <c r="K2" s="2589"/>
      <c r="L2" s="2560"/>
      <c r="M2" s="2589"/>
      <c r="N2" s="2560"/>
      <c r="O2" s="2589"/>
      <c r="P2" s="2560"/>
      <c r="Q2" s="1119"/>
      <c r="R2" s="491"/>
    </row>
    <row r="3" spans="1:18" ht="29.9" customHeight="1">
      <c r="A3" s="2560"/>
      <c r="B3" s="2781" t="s">
        <v>10261</v>
      </c>
      <c r="C3" s="2781"/>
      <c r="D3" s="2781"/>
      <c r="E3" s="2781"/>
      <c r="F3" s="2781"/>
      <c r="G3" s="2781"/>
      <c r="H3" s="2781"/>
      <c r="I3" s="2781"/>
      <c r="J3" s="2560"/>
      <c r="K3" s="2589"/>
      <c r="L3" s="1129" t="s">
        <v>1889</v>
      </c>
      <c r="M3" s="2589"/>
      <c r="N3" s="2560"/>
      <c r="O3" s="2589"/>
      <c r="P3" s="2560"/>
      <c r="Q3" s="2781" t="s">
        <v>10261</v>
      </c>
      <c r="R3" s="2781"/>
    </row>
    <row r="4" spans="1:18" ht="29.9" customHeight="1" thickBot="1">
      <c r="A4" s="2560"/>
      <c r="B4" s="594"/>
      <c r="C4" s="594"/>
      <c r="D4" s="594"/>
      <c r="E4" s="594"/>
      <c r="F4" s="724"/>
      <c r="G4" s="229"/>
      <c r="H4" s="2560"/>
      <c r="I4" s="2560"/>
      <c r="J4" s="2560"/>
      <c r="K4" s="2589"/>
      <c r="L4" s="2560"/>
      <c r="M4" s="2589"/>
      <c r="N4" s="2601" t="s">
        <v>1890</v>
      </c>
      <c r="O4" s="2589"/>
      <c r="P4" s="2560"/>
      <c r="Q4" s="594"/>
      <c r="R4" s="594"/>
    </row>
    <row r="5" spans="1:18" ht="29.9" customHeight="1" thickTop="1" thickBot="1">
      <c r="A5" s="222"/>
      <c r="B5" s="407" t="s">
        <v>1891</v>
      </c>
      <c r="C5" s="408" t="s">
        <v>1892</v>
      </c>
      <c r="D5" s="408" t="s">
        <v>136</v>
      </c>
      <c r="E5" s="409" t="s">
        <v>10262</v>
      </c>
      <c r="F5" s="197"/>
      <c r="G5" s="411" t="s">
        <v>1896</v>
      </c>
      <c r="H5" s="222"/>
      <c r="I5" s="411" t="s">
        <v>1897</v>
      </c>
      <c r="J5" s="222"/>
      <c r="K5" s="2589"/>
      <c r="L5" s="2560"/>
      <c r="M5" s="2589"/>
      <c r="N5" s="236" t="s">
        <v>1898</v>
      </c>
      <c r="O5" s="2589"/>
      <c r="P5" s="2560"/>
      <c r="Q5" s="407" t="s">
        <v>1891</v>
      </c>
      <c r="R5" s="409" t="s">
        <v>10262</v>
      </c>
    </row>
    <row r="6" spans="1:18" ht="29.9" customHeight="1" thickTop="1" thickBot="1">
      <c r="A6" s="222"/>
      <c r="B6" s="322"/>
      <c r="C6" s="322"/>
      <c r="D6" s="322"/>
      <c r="E6" s="768"/>
      <c r="F6" s="197"/>
      <c r="G6" s="229"/>
      <c r="H6" s="222"/>
      <c r="I6" s="222"/>
      <c r="J6" s="222"/>
      <c r="K6" s="2589"/>
      <c r="L6" s="2560"/>
      <c r="M6" s="2589"/>
      <c r="N6" s="2560"/>
      <c r="O6" s="2589"/>
      <c r="P6" s="2560"/>
      <c r="Q6" s="322"/>
      <c r="R6" s="768"/>
    </row>
    <row r="7" spans="1:18" ht="29.9" customHeight="1" thickTop="1" thickBot="1">
      <c r="A7" s="222"/>
      <c r="B7" s="355" t="s">
        <v>10263</v>
      </c>
      <c r="C7" s="444"/>
      <c r="D7" s="444"/>
      <c r="E7" s="756"/>
      <c r="F7" s="106"/>
      <c r="G7" s="840"/>
      <c r="H7" s="222"/>
      <c r="I7" s="222"/>
      <c r="J7" s="222"/>
      <c r="K7" s="2589"/>
      <c r="L7" s="2560"/>
      <c r="M7" s="2589"/>
      <c r="N7" s="2560"/>
      <c r="O7" s="2589"/>
      <c r="P7" s="2560"/>
      <c r="Q7" s="355" t="s">
        <v>10263</v>
      </c>
      <c r="R7" s="756"/>
    </row>
    <row r="8" spans="1:18" ht="29.9" customHeight="1" thickTop="1">
      <c r="A8" s="222"/>
      <c r="B8" s="413" t="s">
        <v>10264</v>
      </c>
      <c r="C8" s="244" t="s">
        <v>1341</v>
      </c>
      <c r="D8" s="244">
        <v>2</v>
      </c>
      <c r="E8" s="1183">
        <v>514.52</v>
      </c>
      <c r="F8" s="106"/>
      <c r="G8" s="248" t="s">
        <v>10265</v>
      </c>
      <c r="H8" s="222"/>
      <c r="I8" s="1120"/>
      <c r="J8" s="222"/>
      <c r="K8" s="2589"/>
      <c r="L8" s="1121">
        <f>IF( SUM( N8:N8 ) = 0, 0, $N$5 )</f>
        <v>0</v>
      </c>
      <c r="M8" s="2589"/>
      <c r="N8" s="252">
        <f xml:space="preserve"> IF( ISNUMBER(E8), 0, 1 )</f>
        <v>0</v>
      </c>
      <c r="O8" s="2589"/>
      <c r="P8" s="2560"/>
      <c r="Q8" s="413" t="s">
        <v>10264</v>
      </c>
      <c r="R8" s="856" t="s">
        <v>10266</v>
      </c>
    </row>
    <row r="9" spans="1:18" ht="29.9" customHeight="1">
      <c r="A9" s="222"/>
      <c r="B9" s="422" t="s">
        <v>10267</v>
      </c>
      <c r="C9" s="253" t="s">
        <v>1341</v>
      </c>
      <c r="D9" s="253">
        <v>2</v>
      </c>
      <c r="E9" s="1123">
        <v>5.33</v>
      </c>
      <c r="F9" s="106"/>
      <c r="G9" s="257" t="s">
        <v>10268</v>
      </c>
      <c r="H9" s="222"/>
      <c r="I9" s="1122"/>
      <c r="J9" s="222"/>
      <c r="K9" s="2589"/>
      <c r="L9" s="1121">
        <f t="shared" ref="L9:L23" si="0">IF( SUM( N9:N9 ) = 0, 0, $N$5 )</f>
        <v>0</v>
      </c>
      <c r="M9" s="2589"/>
      <c r="N9" s="252">
        <f t="shared" ref="N9:N23" si="1" xml:space="preserve"> IF( ISNUMBER(E9), 0, 1 )</f>
        <v>0</v>
      </c>
      <c r="O9" s="2589"/>
      <c r="P9" s="2560"/>
      <c r="Q9" s="422" t="s">
        <v>10267</v>
      </c>
      <c r="R9" s="860" t="s">
        <v>10269</v>
      </c>
    </row>
    <row r="10" spans="1:18" ht="29.9" customHeight="1">
      <c r="A10" s="222"/>
      <c r="B10" s="422" t="s">
        <v>10270</v>
      </c>
      <c r="C10" s="253" t="s">
        <v>1341</v>
      </c>
      <c r="D10" s="253">
        <v>2</v>
      </c>
      <c r="E10" s="1123">
        <v>524.76</v>
      </c>
      <c r="F10" s="106"/>
      <c r="G10" s="257" t="s">
        <v>10271</v>
      </c>
      <c r="H10" s="222"/>
      <c r="I10" s="1122"/>
      <c r="J10" s="222"/>
      <c r="K10" s="2589"/>
      <c r="L10" s="1121">
        <f t="shared" si="0"/>
        <v>0</v>
      </c>
      <c r="M10" s="2589"/>
      <c r="N10" s="252">
        <f t="shared" si="1"/>
        <v>0</v>
      </c>
      <c r="O10" s="2589"/>
      <c r="P10" s="2560"/>
      <c r="Q10" s="422" t="s">
        <v>10270</v>
      </c>
      <c r="R10" s="860" t="s">
        <v>10272</v>
      </c>
    </row>
    <row r="11" spans="1:18" ht="29.9" customHeight="1">
      <c r="A11" s="222"/>
      <c r="B11" s="422" t="s">
        <v>10273</v>
      </c>
      <c r="C11" s="253" t="s">
        <v>1341</v>
      </c>
      <c r="D11" s="253">
        <v>2</v>
      </c>
      <c r="E11" s="1123">
        <v>269.10000000000002</v>
      </c>
      <c r="F11" s="106"/>
      <c r="G11" s="257" t="s">
        <v>10274</v>
      </c>
      <c r="H11" s="222"/>
      <c r="I11" s="1122"/>
      <c r="J11" s="222"/>
      <c r="K11" s="2589"/>
      <c r="L11" s="1121">
        <f t="shared" si="0"/>
        <v>0</v>
      </c>
      <c r="M11" s="2589"/>
      <c r="N11" s="252">
        <f t="shared" si="1"/>
        <v>0</v>
      </c>
      <c r="O11" s="2589"/>
      <c r="P11" s="2560"/>
      <c r="Q11" s="422" t="s">
        <v>10275</v>
      </c>
      <c r="R11" s="1123" t="s">
        <v>10276</v>
      </c>
    </row>
    <row r="12" spans="1:18" ht="29.9" customHeight="1">
      <c r="A12" s="222"/>
      <c r="B12" s="422" t="s">
        <v>10277</v>
      </c>
      <c r="C12" s="253" t="s">
        <v>1341</v>
      </c>
      <c r="D12" s="253">
        <v>2</v>
      </c>
      <c r="E12" s="1123">
        <v>0</v>
      </c>
      <c r="F12" s="106"/>
      <c r="G12" s="257" t="s">
        <v>10278</v>
      </c>
      <c r="H12" s="222"/>
      <c r="I12" s="1122"/>
      <c r="J12" s="222"/>
      <c r="K12" s="2589"/>
      <c r="L12" s="1121">
        <f t="shared" si="0"/>
        <v>0</v>
      </c>
      <c r="M12" s="2589"/>
      <c r="N12" s="252">
        <f t="shared" si="1"/>
        <v>0</v>
      </c>
      <c r="O12" s="2589"/>
      <c r="P12" s="2560"/>
      <c r="Q12" s="422" t="s">
        <v>10277</v>
      </c>
      <c r="R12" s="1123" t="s">
        <v>10279</v>
      </c>
    </row>
    <row r="13" spans="1:18" ht="29.9" customHeight="1">
      <c r="A13" s="222"/>
      <c r="B13" s="422" t="s">
        <v>10280</v>
      </c>
      <c r="C13" s="253" t="s">
        <v>1341</v>
      </c>
      <c r="D13" s="253">
        <v>2</v>
      </c>
      <c r="E13" s="1123">
        <v>0</v>
      </c>
      <c r="F13" s="106"/>
      <c r="G13" s="257" t="s">
        <v>10281</v>
      </c>
      <c r="H13" s="222"/>
      <c r="I13" s="1122"/>
      <c r="J13" s="222"/>
      <c r="K13" s="2589"/>
      <c r="L13" s="1121">
        <f t="shared" si="0"/>
        <v>0</v>
      </c>
      <c r="M13" s="2589"/>
      <c r="N13" s="252">
        <f t="shared" si="1"/>
        <v>0</v>
      </c>
      <c r="O13" s="2589"/>
      <c r="P13" s="2560"/>
      <c r="Q13" s="422" t="s">
        <v>10280</v>
      </c>
      <c r="R13" s="1123" t="s">
        <v>10282</v>
      </c>
    </row>
    <row r="14" spans="1:18" ht="29.9" customHeight="1">
      <c r="A14" s="222"/>
      <c r="B14" s="422" t="s">
        <v>10283</v>
      </c>
      <c r="C14" s="253" t="s">
        <v>1341</v>
      </c>
      <c r="D14" s="253">
        <v>2</v>
      </c>
      <c r="E14" s="1123">
        <v>0</v>
      </c>
      <c r="F14" s="200"/>
      <c r="G14" s="257" t="s">
        <v>10284</v>
      </c>
      <c r="H14" s="222"/>
      <c r="I14" s="1122"/>
      <c r="J14" s="222"/>
      <c r="K14" s="2589"/>
      <c r="L14" s="1121">
        <f t="shared" si="0"/>
        <v>0</v>
      </c>
      <c r="M14" s="2589"/>
      <c r="N14" s="252">
        <f t="shared" si="1"/>
        <v>0</v>
      </c>
      <c r="O14" s="2589"/>
      <c r="P14" s="2560"/>
      <c r="Q14" s="422" t="s">
        <v>10283</v>
      </c>
      <c r="R14" s="1123" t="s">
        <v>10285</v>
      </c>
    </row>
    <row r="15" spans="1:18" ht="29.9" customHeight="1">
      <c r="A15" s="222"/>
      <c r="B15" s="422" t="s">
        <v>10286</v>
      </c>
      <c r="C15" s="253" t="s">
        <v>1341</v>
      </c>
      <c r="D15" s="253">
        <v>2</v>
      </c>
      <c r="E15" s="1123">
        <v>0</v>
      </c>
      <c r="F15" s="200"/>
      <c r="G15" s="257" t="s">
        <v>10287</v>
      </c>
      <c r="H15" s="222"/>
      <c r="I15" s="1122"/>
      <c r="J15" s="222"/>
      <c r="K15" s="2589"/>
      <c r="L15" s="1121">
        <f t="shared" si="0"/>
        <v>0</v>
      </c>
      <c r="M15" s="2589"/>
      <c r="N15" s="252">
        <f t="shared" si="1"/>
        <v>0</v>
      </c>
      <c r="O15" s="2589"/>
      <c r="P15" s="2560"/>
      <c r="Q15" s="422" t="s">
        <v>10286</v>
      </c>
      <c r="R15" s="1123" t="s">
        <v>10288</v>
      </c>
    </row>
    <row r="16" spans="1:18" ht="29.9" customHeight="1">
      <c r="A16" s="222"/>
      <c r="B16" s="422" t="s">
        <v>10289</v>
      </c>
      <c r="C16" s="253" t="s">
        <v>138</v>
      </c>
      <c r="D16" s="253">
        <v>0</v>
      </c>
      <c r="E16" s="1217">
        <v>42</v>
      </c>
      <c r="F16" s="106"/>
      <c r="G16" s="257" t="s">
        <v>10290</v>
      </c>
      <c r="H16" s="222"/>
      <c r="I16" s="1122"/>
      <c r="J16" s="222"/>
      <c r="K16" s="2589"/>
      <c r="L16" s="1121">
        <f t="shared" si="0"/>
        <v>0</v>
      </c>
      <c r="M16" s="2589"/>
      <c r="N16" s="252">
        <f t="shared" si="1"/>
        <v>0</v>
      </c>
      <c r="O16" s="2589"/>
      <c r="P16" s="2560"/>
      <c r="Q16" s="422" t="s">
        <v>10289</v>
      </c>
      <c r="R16" s="860" t="s">
        <v>10291</v>
      </c>
    </row>
    <row r="17" spans="1:21" ht="29.9" customHeight="1">
      <c r="A17" s="222"/>
      <c r="B17" s="422" t="s">
        <v>10292</v>
      </c>
      <c r="C17" s="253" t="s">
        <v>138</v>
      </c>
      <c r="D17" s="253">
        <v>0</v>
      </c>
      <c r="E17" s="1217">
        <v>4</v>
      </c>
      <c r="F17" s="106"/>
      <c r="G17" s="257" t="s">
        <v>10293</v>
      </c>
      <c r="H17" s="222"/>
      <c r="I17" s="1122"/>
      <c r="J17" s="222"/>
      <c r="K17" s="2589"/>
      <c r="L17" s="1121">
        <f t="shared" si="0"/>
        <v>0</v>
      </c>
      <c r="M17" s="2589"/>
      <c r="N17" s="252">
        <f t="shared" si="1"/>
        <v>0</v>
      </c>
      <c r="O17" s="2589"/>
      <c r="P17" s="2560"/>
      <c r="Q17" s="422" t="s">
        <v>10292</v>
      </c>
      <c r="R17" s="860" t="s">
        <v>10294</v>
      </c>
      <c r="S17" s="2560"/>
      <c r="T17" s="2560"/>
      <c r="U17" s="2560"/>
    </row>
    <row r="18" spans="1:21" ht="29.9" customHeight="1">
      <c r="A18" s="222"/>
      <c r="B18" s="422" t="s">
        <v>10295</v>
      </c>
      <c r="C18" s="253" t="s">
        <v>138</v>
      </c>
      <c r="D18" s="253">
        <v>0</v>
      </c>
      <c r="E18" s="1217">
        <v>16</v>
      </c>
      <c r="F18" s="106"/>
      <c r="G18" s="257" t="s">
        <v>10296</v>
      </c>
      <c r="H18" s="222"/>
      <c r="I18" s="1122"/>
      <c r="J18" s="222"/>
      <c r="K18" s="2589"/>
      <c r="L18" s="1121">
        <f t="shared" si="0"/>
        <v>0</v>
      </c>
      <c r="M18" s="2589"/>
      <c r="N18" s="252">
        <f t="shared" si="1"/>
        <v>0</v>
      </c>
      <c r="O18" s="2589"/>
      <c r="P18" s="2560"/>
      <c r="Q18" s="422" t="s">
        <v>10295</v>
      </c>
      <c r="R18" s="860" t="s">
        <v>10297</v>
      </c>
      <c r="S18" s="2560"/>
      <c r="T18" s="2560"/>
      <c r="U18" s="2560"/>
    </row>
    <row r="19" spans="1:21" ht="29.9" customHeight="1">
      <c r="A19" s="222"/>
      <c r="B19" s="422" t="s">
        <v>10298</v>
      </c>
      <c r="C19" s="253" t="s">
        <v>138</v>
      </c>
      <c r="D19" s="253">
        <v>0</v>
      </c>
      <c r="E19" s="1217">
        <v>41</v>
      </c>
      <c r="F19" s="106"/>
      <c r="G19" s="257" t="s">
        <v>10299</v>
      </c>
      <c r="H19" s="222"/>
      <c r="I19" s="1122"/>
      <c r="J19" s="222"/>
      <c r="K19" s="2589"/>
      <c r="L19" s="1121">
        <f t="shared" si="0"/>
        <v>0</v>
      </c>
      <c r="M19" s="2589"/>
      <c r="N19" s="252">
        <f t="shared" si="1"/>
        <v>0</v>
      </c>
      <c r="O19" s="2589"/>
      <c r="P19" s="2560"/>
      <c r="Q19" s="422" t="s">
        <v>10298</v>
      </c>
      <c r="R19" s="860" t="s">
        <v>10300</v>
      </c>
      <c r="S19" s="2575"/>
      <c r="T19" s="2575"/>
      <c r="U19" s="303"/>
    </row>
    <row r="20" spans="1:21" ht="29.9" customHeight="1">
      <c r="A20" s="222"/>
      <c r="B20" s="422" t="s">
        <v>10301</v>
      </c>
      <c r="C20" s="253" t="s">
        <v>138</v>
      </c>
      <c r="D20" s="253">
        <v>0</v>
      </c>
      <c r="E20" s="1217">
        <v>0</v>
      </c>
      <c r="F20" s="106"/>
      <c r="G20" s="257" t="s">
        <v>10302</v>
      </c>
      <c r="H20" s="222"/>
      <c r="I20" s="1122"/>
      <c r="J20" s="222"/>
      <c r="K20" s="2589"/>
      <c r="L20" s="1121">
        <f t="shared" si="0"/>
        <v>0</v>
      </c>
      <c r="M20" s="2589"/>
      <c r="N20" s="252">
        <f t="shared" si="1"/>
        <v>0</v>
      </c>
      <c r="O20" s="2589"/>
      <c r="P20" s="2560"/>
      <c r="Q20" s="422" t="s">
        <v>10301</v>
      </c>
      <c r="R20" s="860" t="s">
        <v>10303</v>
      </c>
      <c r="S20" s="2560"/>
      <c r="T20" s="2560"/>
      <c r="U20" s="2560"/>
    </row>
    <row r="21" spans="1:21" ht="29.9" customHeight="1">
      <c r="A21" s="222"/>
      <c r="B21" s="422" t="s">
        <v>10304</v>
      </c>
      <c r="C21" s="253" t="s">
        <v>138</v>
      </c>
      <c r="D21" s="253">
        <v>0</v>
      </c>
      <c r="E21" s="1217">
        <v>0</v>
      </c>
      <c r="F21" s="106"/>
      <c r="G21" s="257" t="s">
        <v>10305</v>
      </c>
      <c r="H21" s="222"/>
      <c r="I21" s="1122"/>
      <c r="J21" s="222"/>
      <c r="K21" s="2589"/>
      <c r="L21" s="1121">
        <f t="shared" si="0"/>
        <v>0</v>
      </c>
      <c r="M21" s="2589"/>
      <c r="N21" s="252">
        <f t="shared" si="1"/>
        <v>0</v>
      </c>
      <c r="O21" s="2589"/>
      <c r="P21" s="2560"/>
      <c r="Q21" s="422" t="s">
        <v>10304</v>
      </c>
      <c r="R21" s="860" t="s">
        <v>10306</v>
      </c>
      <c r="S21" s="2560"/>
      <c r="T21" s="2560"/>
      <c r="U21" s="2560"/>
    </row>
    <row r="22" spans="1:21" ht="29.9" customHeight="1">
      <c r="A22" s="222"/>
      <c r="B22" s="422" t="s">
        <v>10307</v>
      </c>
      <c r="C22" s="253" t="s">
        <v>138</v>
      </c>
      <c r="D22" s="253">
        <v>0</v>
      </c>
      <c r="E22" s="1217">
        <v>0</v>
      </c>
      <c r="F22" s="200"/>
      <c r="G22" s="257" t="s">
        <v>10308</v>
      </c>
      <c r="H22" s="222"/>
      <c r="I22" s="1122"/>
      <c r="J22" s="222"/>
      <c r="K22" s="2589"/>
      <c r="L22" s="1121">
        <f t="shared" si="0"/>
        <v>0</v>
      </c>
      <c r="M22" s="2589"/>
      <c r="N22" s="252">
        <f t="shared" si="1"/>
        <v>0</v>
      </c>
      <c r="O22" s="2589"/>
      <c r="P22" s="2560"/>
      <c r="Q22" s="422" t="s">
        <v>10307</v>
      </c>
      <c r="R22" s="860" t="s">
        <v>10309</v>
      </c>
      <c r="S22" s="2560"/>
      <c r="T22" s="2560"/>
      <c r="U22" s="2560"/>
    </row>
    <row r="23" spans="1:21" ht="29.9" customHeight="1">
      <c r="A23" s="222"/>
      <c r="B23" s="422" t="s">
        <v>10310</v>
      </c>
      <c r="C23" s="253" t="s">
        <v>138</v>
      </c>
      <c r="D23" s="253">
        <v>0</v>
      </c>
      <c r="E23" s="1217">
        <v>0</v>
      </c>
      <c r="F23" s="106"/>
      <c r="G23" s="257" t="s">
        <v>10311</v>
      </c>
      <c r="H23" s="222"/>
      <c r="I23" s="1122"/>
      <c r="J23" s="222"/>
      <c r="K23" s="2589"/>
      <c r="L23" s="1121">
        <f t="shared" si="0"/>
        <v>0</v>
      </c>
      <c r="M23" s="2589"/>
      <c r="N23" s="252">
        <f t="shared" si="1"/>
        <v>0</v>
      </c>
      <c r="O23" s="2589"/>
      <c r="P23" s="2560"/>
      <c r="Q23" s="422" t="s">
        <v>10310</v>
      </c>
      <c r="R23" s="860" t="s">
        <v>10312</v>
      </c>
      <c r="S23" s="2560"/>
      <c r="T23" s="2560"/>
      <c r="U23" s="2560"/>
    </row>
    <row r="24" spans="1:21" ht="29.9" customHeight="1">
      <c r="A24" s="222"/>
      <c r="B24" s="422" t="s">
        <v>10313</v>
      </c>
      <c r="C24" s="253" t="s">
        <v>138</v>
      </c>
      <c r="D24" s="253">
        <v>0</v>
      </c>
      <c r="E24" s="1219">
        <f>IFERROR(SUM(E16:E23),0)</f>
        <v>103</v>
      </c>
      <c r="F24" s="200"/>
      <c r="G24" s="257" t="s">
        <v>10314</v>
      </c>
      <c r="H24" s="222"/>
      <c r="I24" s="1122"/>
      <c r="J24" s="222"/>
      <c r="K24" s="2589"/>
      <c r="L24" s="2560"/>
      <c r="M24" s="2589"/>
      <c r="N24" s="2560"/>
      <c r="O24" s="2589"/>
      <c r="P24" s="2560"/>
      <c r="Q24" s="422" t="s">
        <v>10313</v>
      </c>
      <c r="R24" s="1124" t="s">
        <v>10315</v>
      </c>
      <c r="S24" s="2560"/>
      <c r="T24" s="2560"/>
      <c r="U24" s="2560"/>
    </row>
    <row r="25" spans="1:21" ht="29.9" customHeight="1">
      <c r="A25" s="222"/>
      <c r="B25" s="422" t="s">
        <v>10316</v>
      </c>
      <c r="C25" s="253" t="s">
        <v>138</v>
      </c>
      <c r="D25" s="253">
        <v>0</v>
      </c>
      <c r="E25" s="1217">
        <v>116</v>
      </c>
      <c r="F25" s="106"/>
      <c r="G25" s="257" t="s">
        <v>10317</v>
      </c>
      <c r="H25" s="222"/>
      <c r="I25" s="1122"/>
      <c r="J25" s="222"/>
      <c r="K25" s="2589"/>
      <c r="L25" s="1121">
        <f t="shared" ref="L25:L37" si="2">IF( SUM( N25:N25 ) = 0, 0, $N$5 )</f>
        <v>0</v>
      </c>
      <c r="M25" s="2589"/>
      <c r="N25" s="252">
        <f t="shared" ref="N25:N37" si="3" xml:space="preserve"> IF( ISNUMBER(E25), 0, 1 )</f>
        <v>0</v>
      </c>
      <c r="O25" s="2589"/>
      <c r="P25" s="2560"/>
      <c r="Q25" s="422" t="s">
        <v>10316</v>
      </c>
      <c r="R25" s="968" t="s">
        <v>10318</v>
      </c>
      <c r="S25" s="2560"/>
      <c r="T25" s="2560"/>
      <c r="U25" s="2560"/>
    </row>
    <row r="26" spans="1:21" ht="29.9" customHeight="1">
      <c r="A26" s="222"/>
      <c r="B26" s="422" t="s">
        <v>10319</v>
      </c>
      <c r="C26" s="253" t="s">
        <v>4299</v>
      </c>
      <c r="D26" s="253">
        <v>0</v>
      </c>
      <c r="E26" s="1217">
        <v>185169</v>
      </c>
      <c r="F26" s="106"/>
      <c r="G26" s="257" t="s">
        <v>10320</v>
      </c>
      <c r="H26" s="222"/>
      <c r="I26" s="1122"/>
      <c r="J26" s="222"/>
      <c r="K26" s="2589"/>
      <c r="L26" s="1121">
        <f t="shared" si="2"/>
        <v>0</v>
      </c>
      <c r="M26" s="2589"/>
      <c r="N26" s="252">
        <f t="shared" si="3"/>
        <v>0</v>
      </c>
      <c r="O26" s="2589"/>
      <c r="P26" s="2560"/>
      <c r="Q26" s="422" t="s">
        <v>10319</v>
      </c>
      <c r="R26" s="860" t="s">
        <v>10321</v>
      </c>
      <c r="S26" s="2560"/>
      <c r="T26" s="2560"/>
      <c r="U26" s="2560"/>
    </row>
    <row r="27" spans="1:21" ht="29.9" customHeight="1">
      <c r="A27" s="222"/>
      <c r="B27" s="422" t="s">
        <v>10322</v>
      </c>
      <c r="C27" s="253" t="s">
        <v>138</v>
      </c>
      <c r="D27" s="253">
        <v>0</v>
      </c>
      <c r="E27" s="1217">
        <v>80</v>
      </c>
      <c r="F27" s="106"/>
      <c r="G27" s="257" t="s">
        <v>10323</v>
      </c>
      <c r="H27" s="222"/>
      <c r="I27" s="1122"/>
      <c r="J27" s="222"/>
      <c r="K27" s="2589"/>
      <c r="L27" s="1121">
        <f t="shared" si="2"/>
        <v>0</v>
      </c>
      <c r="M27" s="2589"/>
      <c r="N27" s="252">
        <f t="shared" si="3"/>
        <v>0</v>
      </c>
      <c r="O27" s="2589"/>
      <c r="P27" s="2560"/>
      <c r="Q27" s="422" t="s">
        <v>10322</v>
      </c>
      <c r="R27" s="860" t="s">
        <v>10324</v>
      </c>
      <c r="S27" s="2560"/>
      <c r="T27" s="2560"/>
      <c r="U27" s="2560"/>
    </row>
    <row r="28" spans="1:21" ht="29.9" customHeight="1">
      <c r="A28" s="222"/>
      <c r="B28" s="422" t="s">
        <v>10325</v>
      </c>
      <c r="C28" s="253" t="s">
        <v>10326</v>
      </c>
      <c r="D28" s="253">
        <v>0</v>
      </c>
      <c r="E28" s="1217">
        <v>12597</v>
      </c>
      <c r="F28" s="106"/>
      <c r="G28" s="257" t="s">
        <v>10327</v>
      </c>
      <c r="H28" s="222"/>
      <c r="I28" s="1122"/>
      <c r="J28" s="222"/>
      <c r="K28" s="2589"/>
      <c r="L28" s="1121">
        <f t="shared" si="2"/>
        <v>0</v>
      </c>
      <c r="M28" s="2589"/>
      <c r="N28" s="252">
        <f t="shared" si="3"/>
        <v>0</v>
      </c>
      <c r="O28" s="2589"/>
      <c r="P28" s="2560"/>
      <c r="Q28" s="422" t="s">
        <v>10325</v>
      </c>
      <c r="R28" s="860" t="s">
        <v>10328</v>
      </c>
      <c r="S28" s="2560"/>
      <c r="T28" s="2560"/>
      <c r="U28" s="2560"/>
    </row>
    <row r="29" spans="1:21" ht="29.9" customHeight="1">
      <c r="A29" s="222"/>
      <c r="B29" s="422" t="s">
        <v>10329</v>
      </c>
      <c r="C29" s="253" t="s">
        <v>1385</v>
      </c>
      <c r="D29" s="253">
        <v>2</v>
      </c>
      <c r="E29" s="1123">
        <v>56.6</v>
      </c>
      <c r="F29" s="106"/>
      <c r="G29" s="257" t="s">
        <v>10330</v>
      </c>
      <c r="H29" s="222"/>
      <c r="I29" s="1122"/>
      <c r="J29" s="222"/>
      <c r="K29" s="2589"/>
      <c r="L29" s="1121">
        <f t="shared" si="2"/>
        <v>0</v>
      </c>
      <c r="M29" s="2589"/>
      <c r="N29" s="252">
        <f t="shared" si="3"/>
        <v>0</v>
      </c>
      <c r="O29" s="2589"/>
      <c r="P29" s="2560"/>
      <c r="Q29" s="422" t="s">
        <v>10329</v>
      </c>
      <c r="R29" s="860" t="s">
        <v>10331</v>
      </c>
      <c r="S29" s="2560"/>
      <c r="T29" s="2560"/>
      <c r="U29" s="2560"/>
    </row>
    <row r="30" spans="1:21" ht="29.9" customHeight="1">
      <c r="A30" s="222"/>
      <c r="B30" s="422" t="s">
        <v>10332</v>
      </c>
      <c r="C30" s="253" t="s">
        <v>10333</v>
      </c>
      <c r="D30" s="253">
        <v>2</v>
      </c>
      <c r="E30" s="1123">
        <v>12.39</v>
      </c>
      <c r="F30" s="106"/>
      <c r="G30" s="257" t="s">
        <v>10334</v>
      </c>
      <c r="H30" s="222"/>
      <c r="I30" s="1122"/>
      <c r="J30" s="222"/>
      <c r="K30" s="2589"/>
      <c r="L30" s="1121">
        <f t="shared" si="2"/>
        <v>0</v>
      </c>
      <c r="M30" s="2589"/>
      <c r="N30" s="252">
        <f t="shared" si="3"/>
        <v>0</v>
      </c>
      <c r="O30" s="2589"/>
      <c r="P30" s="2560"/>
      <c r="Q30" s="422" t="s">
        <v>10332</v>
      </c>
      <c r="R30" s="860" t="s">
        <v>10335</v>
      </c>
      <c r="S30" s="2560"/>
      <c r="T30" s="2560"/>
      <c r="U30" s="2560"/>
    </row>
    <row r="31" spans="1:21" ht="29.9" customHeight="1">
      <c r="A31" s="222"/>
      <c r="B31" s="422" t="s">
        <v>10336</v>
      </c>
      <c r="C31" s="253" t="s">
        <v>1402</v>
      </c>
      <c r="D31" s="253">
        <v>3</v>
      </c>
      <c r="E31" s="2451">
        <v>63465.59</v>
      </c>
      <c r="F31" s="200"/>
      <c r="G31" s="257" t="s">
        <v>10337</v>
      </c>
      <c r="H31" s="222"/>
      <c r="I31" s="1122"/>
      <c r="J31" s="222"/>
      <c r="K31" s="2589"/>
      <c r="L31" s="1121">
        <f t="shared" si="2"/>
        <v>0</v>
      </c>
      <c r="M31" s="2589"/>
      <c r="N31" s="252">
        <f t="shared" si="3"/>
        <v>0</v>
      </c>
      <c r="O31" s="2589"/>
      <c r="P31" s="2560"/>
      <c r="Q31" s="422" t="s">
        <v>10338</v>
      </c>
      <c r="R31" s="860" t="s">
        <v>10339</v>
      </c>
      <c r="S31" s="2560"/>
      <c r="T31" s="2560"/>
      <c r="U31" s="2560"/>
    </row>
    <row r="32" spans="1:21" ht="29.9" customHeight="1">
      <c r="A32" s="222"/>
      <c r="B32" s="422" t="s">
        <v>10340</v>
      </c>
      <c r="C32" s="253" t="s">
        <v>138</v>
      </c>
      <c r="D32" s="253">
        <v>0</v>
      </c>
      <c r="E32" s="1217">
        <v>1</v>
      </c>
      <c r="F32" s="106"/>
      <c r="G32" s="257" t="s">
        <v>10341</v>
      </c>
      <c r="H32" s="222"/>
      <c r="I32" s="1122" t="s">
        <v>10342</v>
      </c>
      <c r="J32" s="222"/>
      <c r="K32" s="2589"/>
      <c r="L32" s="1121">
        <f t="shared" si="2"/>
        <v>0</v>
      </c>
      <c r="M32" s="2589"/>
      <c r="N32" s="252">
        <f t="shared" si="3"/>
        <v>0</v>
      </c>
      <c r="O32" s="2589"/>
      <c r="P32" s="2560"/>
      <c r="Q32" s="422" t="s">
        <v>10340</v>
      </c>
      <c r="R32" s="860" t="s">
        <v>10343</v>
      </c>
      <c r="S32" s="2560"/>
      <c r="T32" s="2560"/>
      <c r="U32" s="2560"/>
    </row>
    <row r="33" spans="1:18" ht="29.9" customHeight="1">
      <c r="A33" s="222"/>
      <c r="B33" s="422" t="s">
        <v>10344</v>
      </c>
      <c r="C33" s="253" t="s">
        <v>1341</v>
      </c>
      <c r="D33" s="253">
        <v>2</v>
      </c>
      <c r="E33" s="1123">
        <v>5.75</v>
      </c>
      <c r="F33" s="106"/>
      <c r="G33" s="257" t="s">
        <v>10345</v>
      </c>
      <c r="H33" s="222"/>
      <c r="I33" s="1122" t="s">
        <v>10342</v>
      </c>
      <c r="J33" s="222"/>
      <c r="K33" s="2589"/>
      <c r="L33" s="1121">
        <f t="shared" si="2"/>
        <v>0</v>
      </c>
      <c r="M33" s="2589"/>
      <c r="N33" s="252">
        <f t="shared" si="3"/>
        <v>0</v>
      </c>
      <c r="O33" s="2589"/>
      <c r="P33" s="2560"/>
      <c r="Q33" s="422" t="s">
        <v>10346</v>
      </c>
      <c r="R33" s="1123" t="s">
        <v>10347</v>
      </c>
    </row>
    <row r="34" spans="1:18" ht="29.9" customHeight="1">
      <c r="A34" s="222"/>
      <c r="B34" s="422" t="s">
        <v>10348</v>
      </c>
      <c r="C34" s="253" t="s">
        <v>138</v>
      </c>
      <c r="D34" s="253">
        <v>0</v>
      </c>
      <c r="E34" s="1217">
        <v>0</v>
      </c>
      <c r="F34" s="106"/>
      <c r="G34" s="257" t="s">
        <v>10349</v>
      </c>
      <c r="H34" s="222"/>
      <c r="I34" s="1122"/>
      <c r="J34" s="222"/>
      <c r="K34" s="2589"/>
      <c r="L34" s="1121">
        <f t="shared" si="2"/>
        <v>0</v>
      </c>
      <c r="M34" s="2589"/>
      <c r="N34" s="252">
        <f t="shared" si="3"/>
        <v>0</v>
      </c>
      <c r="O34" s="2589"/>
      <c r="P34" s="2560"/>
      <c r="Q34" s="422" t="s">
        <v>10348</v>
      </c>
      <c r="R34" s="860" t="s">
        <v>10350</v>
      </c>
    </row>
    <row r="35" spans="1:18" ht="29.9" customHeight="1">
      <c r="A35" s="222"/>
      <c r="B35" s="422" t="s">
        <v>10351</v>
      </c>
      <c r="C35" s="253" t="s">
        <v>1341</v>
      </c>
      <c r="D35" s="253">
        <v>2</v>
      </c>
      <c r="E35" s="1123">
        <v>0</v>
      </c>
      <c r="F35" s="200"/>
      <c r="G35" s="257" t="s">
        <v>10352</v>
      </c>
      <c r="H35" s="222"/>
      <c r="I35" s="1122"/>
      <c r="J35" s="222"/>
      <c r="K35" s="2589"/>
      <c r="L35" s="1121">
        <f t="shared" ref="L35:L36" si="4">IF( SUM( N35:N35 ) = 0, 0, $N$5 )</f>
        <v>0</v>
      </c>
      <c r="M35" s="2589"/>
      <c r="N35" s="252">
        <f t="shared" ref="N35:N36" si="5" xml:space="preserve"> IF( ISNUMBER(E35), 0, 1 )</f>
        <v>0</v>
      </c>
      <c r="O35" s="2589"/>
      <c r="P35" s="2560"/>
      <c r="Q35" s="422" t="s">
        <v>10353</v>
      </c>
      <c r="R35" s="1123" t="s">
        <v>10354</v>
      </c>
    </row>
    <row r="36" spans="1:18" ht="29.9" customHeight="1">
      <c r="A36" s="222"/>
      <c r="B36" s="2190" t="s">
        <v>10355</v>
      </c>
      <c r="C36" s="2191" t="s">
        <v>1341</v>
      </c>
      <c r="D36" s="2191">
        <v>2</v>
      </c>
      <c r="E36" s="2203">
        <v>1654.11</v>
      </c>
      <c r="F36" s="200"/>
      <c r="G36" s="2192" t="s">
        <v>10356</v>
      </c>
      <c r="H36" s="222"/>
      <c r="I36" s="2194"/>
      <c r="J36" s="222"/>
      <c r="K36" s="2589"/>
      <c r="L36" s="1121">
        <f t="shared" si="4"/>
        <v>0</v>
      </c>
      <c r="M36" s="2589"/>
      <c r="N36" s="252">
        <f t="shared" si="5"/>
        <v>0</v>
      </c>
      <c r="O36" s="2589"/>
      <c r="P36" s="2560"/>
      <c r="Q36" s="2190" t="s">
        <v>10355</v>
      </c>
      <c r="R36" s="2203" t="s">
        <v>10357</v>
      </c>
    </row>
    <row r="37" spans="1:18" ht="29.9" customHeight="1" thickBot="1">
      <c r="A37" s="222"/>
      <c r="B37" s="2278" t="s">
        <v>10358</v>
      </c>
      <c r="C37" s="2279" t="s">
        <v>138</v>
      </c>
      <c r="D37" s="2279">
        <v>0</v>
      </c>
      <c r="E37" s="2464">
        <v>31</v>
      </c>
      <c r="F37" s="200"/>
      <c r="G37" s="257" t="s">
        <v>10359</v>
      </c>
      <c r="H37" s="222"/>
      <c r="I37" s="2193"/>
      <c r="J37" s="222"/>
      <c r="K37" s="2589"/>
      <c r="L37" s="1121">
        <f t="shared" si="2"/>
        <v>0</v>
      </c>
      <c r="M37" s="2589"/>
      <c r="N37" s="252">
        <f t="shared" si="3"/>
        <v>0</v>
      </c>
      <c r="O37" s="2589"/>
      <c r="P37" s="2560"/>
      <c r="Q37" s="2278" t="s">
        <v>10358</v>
      </c>
      <c r="R37" s="2202" t="s">
        <v>1339</v>
      </c>
    </row>
    <row r="38" spans="1:18" ht="29.9" customHeight="1" thickTop="1">
      <c r="A38" s="222"/>
      <c r="B38" s="222"/>
      <c r="C38" s="222"/>
      <c r="D38" s="222"/>
      <c r="E38" s="222"/>
      <c r="F38" s="222"/>
      <c r="G38" s="222"/>
      <c r="H38" s="222"/>
      <c r="I38" s="222"/>
      <c r="J38" s="222"/>
      <c r="K38" s="2560"/>
      <c r="L38" s="2560"/>
      <c r="M38" s="2560"/>
      <c r="N38" s="2560"/>
      <c r="O38" s="2560"/>
      <c r="P38" s="2560"/>
      <c r="Q38" s="2595"/>
      <c r="R38" s="2560"/>
    </row>
    <row r="39" spans="1:18" ht="29.9" customHeight="1">
      <c r="A39" s="222"/>
      <c r="B39" s="222"/>
      <c r="C39" s="222"/>
      <c r="D39" s="222"/>
      <c r="E39" s="222"/>
      <c r="F39" s="222"/>
      <c r="G39" s="222"/>
      <c r="H39" s="222"/>
      <c r="I39" s="222"/>
      <c r="J39" s="222"/>
      <c r="K39" s="2560"/>
      <c r="L39" s="2560"/>
      <c r="M39" s="2560"/>
      <c r="N39" s="2560"/>
      <c r="O39" s="2560"/>
      <c r="P39" s="2560"/>
      <c r="Q39" s="2595"/>
      <c r="R39" s="2560"/>
    </row>
    <row r="40" spans="1:18" ht="29.9" customHeight="1">
      <c r="A40" s="222"/>
      <c r="B40" s="222"/>
      <c r="C40" s="222"/>
      <c r="D40" s="222"/>
      <c r="E40" s="222"/>
      <c r="F40" s="222"/>
      <c r="G40" s="222"/>
      <c r="H40" s="222"/>
      <c r="I40" s="222"/>
      <c r="J40" s="222"/>
      <c r="K40" s="2560"/>
      <c r="L40" s="2560"/>
      <c r="M40" s="2560"/>
      <c r="N40" s="2560"/>
      <c r="O40" s="2560"/>
      <c r="P40" s="2560"/>
      <c r="Q40" s="2595"/>
      <c r="R40" s="2560"/>
    </row>
    <row r="41" spans="1:18" ht="29.9" customHeight="1">
      <c r="A41" s="222"/>
      <c r="B41" s="222"/>
      <c r="C41" s="222"/>
      <c r="D41" s="222"/>
      <c r="E41" s="222"/>
      <c r="F41" s="222"/>
      <c r="G41" s="222"/>
      <c r="H41" s="222"/>
      <c r="I41" s="222"/>
      <c r="J41" s="222"/>
      <c r="K41" s="2560"/>
      <c r="L41" s="2560"/>
      <c r="M41" s="2560"/>
      <c r="N41" s="2560"/>
      <c r="O41" s="2560"/>
      <c r="P41" s="2560"/>
      <c r="Q41" s="2595"/>
      <c r="R41" s="2560"/>
    </row>
  </sheetData>
  <sheetProtection formatColumns="0" formatRows="0"/>
  <mergeCells count="2">
    <mergeCell ref="B3:I3"/>
    <mergeCell ref="Q3:R3"/>
  </mergeCells>
  <phoneticPr fontId="38" type="noConversion"/>
  <conditionalFormatting sqref="L8:L23">
    <cfRule type="cellIs" dxfId="77" priority="3" operator="equal">
      <formula>0</formula>
    </cfRule>
  </conditionalFormatting>
  <conditionalFormatting sqref="L25:L37">
    <cfRule type="cellIs" dxfId="76"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66" zoomScaleNormal="66" zoomScaleSheetLayoutView="100" workbookViewId="0">
      <selection activeCell="J36" sqref="J36"/>
    </sheetView>
  </sheetViews>
  <sheetFormatPr defaultColWidth="9" defaultRowHeight="15.5"/>
  <cols>
    <col min="1" max="1" width="1.58203125" style="17" customWidth="1"/>
    <col min="2" max="2" width="45.08203125" style="17" bestFit="1" customWidth="1"/>
    <col min="3" max="3" width="5.5" style="17" bestFit="1" customWidth="1"/>
    <col min="4" max="4" width="4.58203125" style="17" bestFit="1" customWidth="1"/>
    <col min="5" max="5" width="11.58203125" style="17" bestFit="1" customWidth="1"/>
    <col min="6" max="6" width="8.5" style="17" bestFit="1" customWidth="1"/>
    <col min="7" max="7" width="12.08203125" style="17" bestFit="1" customWidth="1"/>
    <col min="8" max="8" width="19.58203125" style="17" bestFit="1" customWidth="1"/>
    <col min="9" max="9" width="17.08203125" style="17" bestFit="1" customWidth="1"/>
    <col min="10" max="10" width="20.58203125" style="17" bestFit="1" customWidth="1"/>
    <col min="11" max="11" width="10.08203125" style="17" customWidth="1"/>
    <col min="12" max="12" width="11.08203125" style="17" customWidth="1"/>
    <col min="13" max="13" width="1.58203125" style="17" customWidth="1"/>
    <col min="14" max="14" width="12.5" style="20" customWidth="1"/>
    <col min="15" max="15" width="1.58203125" style="14" customWidth="1"/>
    <col min="16" max="16" width="34" style="14" customWidth="1"/>
    <col min="17" max="17" width="1.58203125" style="14" customWidth="1"/>
    <col min="18" max="18" width="1.58203125" style="16" customWidth="1"/>
    <col min="19" max="19" width="25" style="16" customWidth="1"/>
    <col min="20" max="20" width="1.58203125" style="16" customWidth="1"/>
    <col min="21" max="22" width="9" style="16" hidden="1" customWidth="1"/>
    <col min="23" max="27" width="9" style="17" hidden="1" customWidth="1"/>
    <col min="28" max="28" width="1.58203125" style="16" hidden="1" customWidth="1"/>
    <col min="29" max="29" width="1.58203125" style="17" customWidth="1"/>
    <col min="30" max="30" width="40" style="21" customWidth="1"/>
    <col min="31" max="36" width="12.5" style="21" customWidth="1"/>
    <col min="37" max="38" width="12.5" style="17" customWidth="1"/>
    <col min="39" max="39" width="1.58203125" style="17" customWidth="1"/>
    <col min="40" max="16384" width="9" style="17"/>
  </cols>
  <sheetData>
    <row r="1" spans="1:42" s="8" customFormat="1" ht="29.25" customHeight="1">
      <c r="A1" s="197"/>
      <c r="B1" s="1119" t="s">
        <v>10360</v>
      </c>
      <c r="C1" s="1119"/>
      <c r="D1" s="1119"/>
      <c r="E1" s="1119"/>
      <c r="F1" s="1119"/>
      <c r="G1" s="1119"/>
      <c r="H1" s="1119"/>
      <c r="I1" s="1119"/>
      <c r="J1" s="1119"/>
      <c r="K1" s="1119"/>
      <c r="L1" s="1119"/>
      <c r="M1" s="1119"/>
      <c r="N1" s="1119"/>
      <c r="O1" s="1127"/>
      <c r="P1" s="1127"/>
      <c r="Q1" s="1127"/>
      <c r="R1" s="2589"/>
      <c r="S1" s="2560"/>
      <c r="T1" s="2589"/>
      <c r="U1" s="2560"/>
      <c r="V1" s="2560"/>
      <c r="W1" s="2560"/>
      <c r="X1" s="2560"/>
      <c r="Y1" s="2560"/>
      <c r="Z1" s="2560"/>
      <c r="AA1" s="2560"/>
      <c r="AB1" s="2589"/>
      <c r="AC1" s="2560"/>
      <c r="AD1" s="1119" t="s">
        <v>1887</v>
      </c>
      <c r="AE1" s="1119"/>
      <c r="AF1" s="1119"/>
      <c r="AG1" s="1119"/>
      <c r="AH1" s="1119"/>
      <c r="AI1" s="1119"/>
      <c r="AJ1" s="1119"/>
      <c r="AK1" s="1119"/>
      <c r="AL1" s="1119"/>
      <c r="AM1" s="1119"/>
      <c r="AN1" s="2560"/>
      <c r="AO1" s="351"/>
      <c r="AP1" s="351"/>
    </row>
    <row r="2" spans="1:42" s="8" customFormat="1" ht="29.25" customHeight="1">
      <c r="A2" s="197"/>
      <c r="B2" s="1119" t="str">
        <f>SelectCompany!B4</f>
        <v>Yorkshire Water</v>
      </c>
      <c r="C2" s="491"/>
      <c r="D2" s="491"/>
      <c r="E2" s="491"/>
      <c r="F2" s="491"/>
      <c r="G2" s="491"/>
      <c r="H2" s="491"/>
      <c r="I2" s="491"/>
      <c r="J2" s="491"/>
      <c r="K2" s="491"/>
      <c r="L2" s="491"/>
      <c r="M2" s="491"/>
      <c r="N2" s="1128"/>
      <c r="O2" s="1127"/>
      <c r="P2" s="1127"/>
      <c r="Q2" s="1127"/>
      <c r="R2" s="2589"/>
      <c r="S2" s="2560"/>
      <c r="T2" s="2589"/>
      <c r="U2" s="2560"/>
      <c r="V2" s="2560"/>
      <c r="W2" s="2560"/>
      <c r="X2" s="2560"/>
      <c r="Y2" s="2560"/>
      <c r="Z2" s="2560"/>
      <c r="AA2" s="2560"/>
      <c r="AB2" s="2589"/>
      <c r="AC2" s="2560"/>
      <c r="AD2" s="1119"/>
      <c r="AE2" s="491"/>
      <c r="AF2" s="491"/>
      <c r="AG2" s="491"/>
      <c r="AH2" s="491"/>
      <c r="AI2" s="491"/>
      <c r="AJ2" s="491"/>
      <c r="AK2" s="491"/>
      <c r="AL2" s="491"/>
      <c r="AM2" s="491"/>
      <c r="AN2" s="2560"/>
      <c r="AO2" s="351"/>
      <c r="AP2" s="351"/>
    </row>
    <row r="3" spans="1:42" ht="45" customHeight="1">
      <c r="A3" s="2562"/>
      <c r="B3" s="2781" t="s">
        <v>10361</v>
      </c>
      <c r="C3" s="2781"/>
      <c r="D3" s="2781"/>
      <c r="E3" s="2781"/>
      <c r="F3" s="2781"/>
      <c r="G3" s="2781"/>
      <c r="H3" s="2781"/>
      <c r="I3" s="2781"/>
      <c r="J3" s="2781"/>
      <c r="K3" s="2781"/>
      <c r="L3" s="2781"/>
      <c r="M3" s="2781"/>
      <c r="N3" s="2781"/>
      <c r="O3" s="2781"/>
      <c r="P3" s="2781"/>
      <c r="Q3" s="2573"/>
      <c r="R3" s="2589"/>
      <c r="S3" s="1129" t="s">
        <v>1889</v>
      </c>
      <c r="T3" s="2589"/>
      <c r="U3" s="2560"/>
      <c r="V3" s="2560"/>
      <c r="W3" s="2560"/>
      <c r="X3" s="2560"/>
      <c r="Y3" s="2560"/>
      <c r="Z3" s="2560"/>
      <c r="AA3" s="2560"/>
      <c r="AB3" s="2589"/>
      <c r="AC3" s="2560"/>
      <c r="AD3" s="2781" t="s">
        <v>10361</v>
      </c>
      <c r="AE3" s="2781"/>
      <c r="AF3" s="2781"/>
      <c r="AG3" s="2781"/>
      <c r="AH3" s="2781"/>
      <c r="AI3" s="2781"/>
      <c r="AJ3" s="2781"/>
      <c r="AK3" s="2781"/>
      <c r="AL3" s="2781"/>
      <c r="AM3" s="2781"/>
      <c r="AN3" s="2560"/>
      <c r="AO3" s="2562"/>
      <c r="AP3" s="2562"/>
    </row>
    <row r="4" spans="1:42" ht="27.75" customHeight="1" thickBot="1">
      <c r="A4" s="2562"/>
      <c r="B4" s="492"/>
      <c r="C4" s="492"/>
      <c r="D4" s="492"/>
      <c r="E4" s="492"/>
      <c r="F4" s="492"/>
      <c r="G4" s="492"/>
      <c r="H4" s="492"/>
      <c r="I4" s="492"/>
      <c r="J4" s="492"/>
      <c r="K4" s="492"/>
      <c r="L4" s="492"/>
      <c r="M4" s="767"/>
      <c r="N4" s="888"/>
      <c r="O4" s="2573"/>
      <c r="P4" s="2573"/>
      <c r="Q4" s="2573"/>
      <c r="R4" s="2589"/>
      <c r="S4" s="2560"/>
      <c r="T4" s="2589"/>
      <c r="U4" s="2869" t="s">
        <v>1890</v>
      </c>
      <c r="V4" s="2869"/>
      <c r="W4" s="2869"/>
      <c r="X4" s="2869"/>
      <c r="Y4" s="2869"/>
      <c r="Z4" s="2869"/>
      <c r="AA4" s="2869"/>
      <c r="AB4" s="2589"/>
      <c r="AC4" s="2560"/>
      <c r="AD4" s="492"/>
      <c r="AE4" s="492"/>
      <c r="AF4" s="492"/>
      <c r="AG4" s="492"/>
      <c r="AH4" s="492"/>
      <c r="AI4" s="492"/>
      <c r="AJ4" s="492"/>
      <c r="AK4" s="492"/>
      <c r="AL4" s="492"/>
      <c r="AM4" s="767"/>
      <c r="AN4" s="2560"/>
      <c r="AO4" s="2562"/>
      <c r="AP4" s="2562"/>
    </row>
    <row r="5" spans="1:42" s="4" customFormat="1" ht="56.25" customHeight="1" thickTop="1" thickBot="1">
      <c r="A5" s="197"/>
      <c r="B5" s="407" t="s">
        <v>1891</v>
      </c>
      <c r="C5" s="408" t="s">
        <v>1892</v>
      </c>
      <c r="D5" s="408" t="s">
        <v>136</v>
      </c>
      <c r="E5" s="408" t="s">
        <v>10362</v>
      </c>
      <c r="F5" s="408" t="s">
        <v>10363</v>
      </c>
      <c r="G5" s="408" t="s">
        <v>10364</v>
      </c>
      <c r="H5" s="408" t="s">
        <v>10365</v>
      </c>
      <c r="I5" s="408" t="s">
        <v>10366</v>
      </c>
      <c r="J5" s="408" t="s">
        <v>10367</v>
      </c>
      <c r="K5" s="408" t="s">
        <v>2410</v>
      </c>
      <c r="L5" s="409" t="s">
        <v>2112</v>
      </c>
      <c r="M5" s="106"/>
      <c r="N5" s="411" t="s">
        <v>1896</v>
      </c>
      <c r="O5" s="865"/>
      <c r="P5" s="411" t="s">
        <v>1897</v>
      </c>
      <c r="Q5" s="865"/>
      <c r="R5" s="2589"/>
      <c r="S5" s="2560"/>
      <c r="T5" s="2589"/>
      <c r="U5" s="236" t="s">
        <v>1898</v>
      </c>
      <c r="V5" s="2560"/>
      <c r="W5" s="2560"/>
      <c r="X5" s="2560"/>
      <c r="Y5" s="2560"/>
      <c r="Z5" s="2560"/>
      <c r="AA5" s="2560"/>
      <c r="AB5" s="2589"/>
      <c r="AC5" s="2560"/>
      <c r="AD5" s="407"/>
      <c r="AE5" s="408" t="s">
        <v>10362</v>
      </c>
      <c r="AF5" s="408" t="s">
        <v>10363</v>
      </c>
      <c r="AG5" s="408" t="s">
        <v>10364</v>
      </c>
      <c r="AH5" s="408" t="s">
        <v>10365</v>
      </c>
      <c r="AI5" s="408" t="s">
        <v>10366</v>
      </c>
      <c r="AJ5" s="408" t="s">
        <v>10367</v>
      </c>
      <c r="AK5" s="408" t="s">
        <v>2410</v>
      </c>
      <c r="AL5" s="409" t="s">
        <v>2112</v>
      </c>
      <c r="AM5" s="106"/>
      <c r="AN5" s="2560"/>
      <c r="AO5" s="197"/>
      <c r="AP5" s="197"/>
    </row>
    <row r="6" spans="1:42" s="4" customFormat="1" ht="15.75" customHeight="1" thickTop="1" thickBot="1">
      <c r="A6" s="197"/>
      <c r="B6" s="106"/>
      <c r="C6" s="106"/>
      <c r="D6" s="106"/>
      <c r="E6" s="313"/>
      <c r="F6" s="313"/>
      <c r="G6" s="313"/>
      <c r="H6" s="313"/>
      <c r="I6" s="313"/>
      <c r="J6" s="313"/>
      <c r="K6" s="313"/>
      <c r="L6" s="313"/>
      <c r="M6" s="106"/>
      <c r="N6" s="313"/>
      <c r="O6" s="865"/>
      <c r="P6" s="865"/>
      <c r="Q6" s="865"/>
      <c r="R6" s="2589"/>
      <c r="S6" s="2560"/>
      <c r="T6" s="2589"/>
      <c r="U6" s="2560"/>
      <c r="V6" s="2560"/>
      <c r="W6" s="2560"/>
      <c r="X6" s="2560"/>
      <c r="Y6" s="2560"/>
      <c r="Z6" s="2560"/>
      <c r="AA6" s="2560"/>
      <c r="AB6" s="2589"/>
      <c r="AC6" s="2560"/>
      <c r="AD6" s="106"/>
      <c r="AE6" s="313"/>
      <c r="AF6" s="313"/>
      <c r="AG6" s="313"/>
      <c r="AH6" s="313"/>
      <c r="AI6" s="313"/>
      <c r="AJ6" s="313"/>
      <c r="AK6" s="313"/>
      <c r="AL6" s="313"/>
      <c r="AM6" s="106"/>
      <c r="AN6" s="2560"/>
      <c r="AO6" s="197"/>
      <c r="AP6" s="197"/>
    </row>
    <row r="7" spans="1:42" s="4" customFormat="1" ht="15.75" customHeight="1" thickTop="1" thickBot="1">
      <c r="A7" s="197"/>
      <c r="B7" s="355"/>
      <c r="C7" s="222"/>
      <c r="D7" s="222"/>
      <c r="E7" s="444"/>
      <c r="F7" s="313"/>
      <c r="G7" s="313"/>
      <c r="H7" s="313"/>
      <c r="I7" s="313"/>
      <c r="J7" s="313"/>
      <c r="K7" s="313"/>
      <c r="L7" s="313"/>
      <c r="M7" s="106"/>
      <c r="N7" s="313"/>
      <c r="O7" s="106"/>
      <c r="P7" s="106"/>
      <c r="Q7" s="106"/>
      <c r="R7" s="2589"/>
      <c r="S7" s="2560"/>
      <c r="T7" s="2589"/>
      <c r="U7" s="2560"/>
      <c r="V7" s="2560"/>
      <c r="W7" s="2560"/>
      <c r="X7" s="2560"/>
      <c r="Y7" s="2560"/>
      <c r="Z7" s="2560"/>
      <c r="AA7" s="2560"/>
      <c r="AB7" s="2589"/>
      <c r="AC7" s="2560"/>
      <c r="AD7" s="355" t="s">
        <v>2828</v>
      </c>
      <c r="AE7" s="444"/>
      <c r="AF7" s="313"/>
      <c r="AG7" s="313"/>
      <c r="AH7" s="313"/>
      <c r="AI7" s="313"/>
      <c r="AJ7" s="313"/>
      <c r="AK7" s="313"/>
      <c r="AL7" s="313"/>
      <c r="AM7" s="106"/>
      <c r="AN7" s="2560"/>
      <c r="AO7" s="197"/>
      <c r="AP7" s="197"/>
    </row>
    <row r="8" spans="1:42" s="15" customFormat="1" ht="15.75" customHeight="1">
      <c r="A8" s="195"/>
      <c r="B8" s="413" t="s">
        <v>2930</v>
      </c>
      <c r="C8" s="244" t="s">
        <v>137</v>
      </c>
      <c r="D8" s="244">
        <v>3</v>
      </c>
      <c r="E8" s="2467">
        <v>0.13632567142523783</v>
      </c>
      <c r="F8" s="2467">
        <v>7.3955133377017913E-3</v>
      </c>
      <c r="G8" s="2467">
        <v>0.3228231536598552</v>
      </c>
      <c r="H8" s="2467">
        <v>4.748094741577205</v>
      </c>
      <c r="I8" s="245">
        <v>0</v>
      </c>
      <c r="J8" s="245">
        <v>0</v>
      </c>
      <c r="K8" s="245">
        <v>0</v>
      </c>
      <c r="L8" s="247">
        <f>IFERROR(SUM(E8:K8),0)</f>
        <v>5.2146390799999995</v>
      </c>
      <c r="M8" s="377"/>
      <c r="N8" s="248" t="s">
        <v>10368</v>
      </c>
      <c r="O8" s="377"/>
      <c r="P8" s="250"/>
      <c r="Q8" s="377"/>
      <c r="R8" s="2589"/>
      <c r="S8" s="1121">
        <f>IF( SUM( U8:AA8 ) = 0, 0, $U$5 )</f>
        <v>0</v>
      </c>
      <c r="T8" s="2589"/>
      <c r="U8" s="252">
        <f xml:space="preserve"> IF( ISNUMBER(E8 ), 0, 1 )</f>
        <v>0</v>
      </c>
      <c r="V8" s="252">
        <f t="shared" ref="V8:V11" si="0" xml:space="preserve"> IF( ISNUMBER(F8 ), 0, 1 )</f>
        <v>0</v>
      </c>
      <c r="W8" s="252">
        <f t="shared" ref="W8:W11" si="1" xml:space="preserve"> IF( ISNUMBER(G8 ), 0, 1 )</f>
        <v>0</v>
      </c>
      <c r="X8" s="252">
        <f t="shared" ref="X8:X11" si="2" xml:space="preserve"> IF( ISNUMBER(H8 ), 0, 1 )</f>
        <v>0</v>
      </c>
      <c r="Y8" s="252">
        <f t="shared" ref="Y8:Y11" si="3" xml:space="preserve"> IF( ISNUMBER(I8 ), 0, 1 )</f>
        <v>0</v>
      </c>
      <c r="Z8" s="252">
        <f t="shared" ref="Z8:Z11" si="4" xml:space="preserve"> IF( ISNUMBER(J8 ), 0, 1 )</f>
        <v>0</v>
      </c>
      <c r="AA8" s="252">
        <f t="shared" ref="AA8:AA11" si="5" xml:space="preserve"> IF( ISNUMBER(K8 ), 0, 1 )</f>
        <v>0</v>
      </c>
      <c r="AB8" s="2589"/>
      <c r="AC8" s="2560"/>
      <c r="AD8" s="413" t="s">
        <v>2930</v>
      </c>
      <c r="AE8" s="245" t="s">
        <v>10369</v>
      </c>
      <c r="AF8" s="245" t="s">
        <v>10370</v>
      </c>
      <c r="AG8" s="245" t="s">
        <v>10371</v>
      </c>
      <c r="AH8" s="245" t="s">
        <v>10372</v>
      </c>
      <c r="AI8" s="245" t="s">
        <v>10373</v>
      </c>
      <c r="AJ8" s="245" t="s">
        <v>10374</v>
      </c>
      <c r="AK8" s="245" t="s">
        <v>10375</v>
      </c>
      <c r="AL8" s="247" t="s">
        <v>10376</v>
      </c>
      <c r="AM8" s="377"/>
      <c r="AN8" s="2560"/>
      <c r="AO8" s="195"/>
      <c r="AP8" s="195"/>
    </row>
    <row r="9" spans="1:42" s="15" customFormat="1" ht="15.75" customHeight="1">
      <c r="A9" s="195"/>
      <c r="B9" s="422" t="s">
        <v>2938</v>
      </c>
      <c r="C9" s="253" t="s">
        <v>137</v>
      </c>
      <c r="D9" s="253">
        <v>3</v>
      </c>
      <c r="E9" s="2468">
        <v>0</v>
      </c>
      <c r="F9" s="2468">
        <v>0</v>
      </c>
      <c r="G9" s="2468">
        <v>0</v>
      </c>
      <c r="H9" s="2468">
        <v>0</v>
      </c>
      <c r="I9" s="254">
        <v>0</v>
      </c>
      <c r="J9" s="254">
        <v>0</v>
      </c>
      <c r="K9" s="254">
        <v>0</v>
      </c>
      <c r="L9" s="256">
        <f>IFERROR(SUM(E9:K9),0)</f>
        <v>0</v>
      </c>
      <c r="M9" s="377"/>
      <c r="N9" s="257" t="s">
        <v>10377</v>
      </c>
      <c r="O9" s="377"/>
      <c r="P9" s="258"/>
      <c r="Q9" s="377"/>
      <c r="R9" s="2589"/>
      <c r="S9" s="1121">
        <f t="shared" ref="S9:S11" si="6">IF( SUM( U9:AA9 ) = 0, 0, $U$5 )</f>
        <v>0</v>
      </c>
      <c r="T9" s="2589"/>
      <c r="U9" s="252">
        <f t="shared" ref="U9:U11" si="7" xml:space="preserve"> IF( ISNUMBER(E9 ), 0, 1 )</f>
        <v>0</v>
      </c>
      <c r="V9" s="252">
        <f t="shared" si="0"/>
        <v>0</v>
      </c>
      <c r="W9" s="252">
        <f t="shared" si="1"/>
        <v>0</v>
      </c>
      <c r="X9" s="252">
        <f t="shared" si="2"/>
        <v>0</v>
      </c>
      <c r="Y9" s="252">
        <f t="shared" si="3"/>
        <v>0</v>
      </c>
      <c r="Z9" s="252">
        <f t="shared" si="4"/>
        <v>0</v>
      </c>
      <c r="AA9" s="252">
        <f t="shared" si="5"/>
        <v>0</v>
      </c>
      <c r="AB9" s="2589"/>
      <c r="AC9" s="2560"/>
      <c r="AD9" s="422" t="s">
        <v>2938</v>
      </c>
      <c r="AE9" s="254" t="s">
        <v>10378</v>
      </c>
      <c r="AF9" s="254" t="s">
        <v>10379</v>
      </c>
      <c r="AG9" s="254" t="s">
        <v>10380</v>
      </c>
      <c r="AH9" s="254" t="s">
        <v>10381</v>
      </c>
      <c r="AI9" s="254" t="s">
        <v>10382</v>
      </c>
      <c r="AJ9" s="254" t="s">
        <v>10383</v>
      </c>
      <c r="AK9" s="254" t="s">
        <v>10384</v>
      </c>
      <c r="AL9" s="256" t="s">
        <v>10385</v>
      </c>
      <c r="AM9" s="377"/>
      <c r="AN9" s="2560"/>
      <c r="AO9" s="195"/>
      <c r="AP9" s="195"/>
    </row>
    <row r="10" spans="1:42" s="15" customFormat="1" ht="15.75" customHeight="1">
      <c r="A10" s="195"/>
      <c r="B10" s="422" t="s">
        <v>2948</v>
      </c>
      <c r="C10" s="253" t="s">
        <v>137</v>
      </c>
      <c r="D10" s="253">
        <v>3</v>
      </c>
      <c r="E10" s="2468">
        <v>4.3323743125088372</v>
      </c>
      <c r="F10" s="2468">
        <v>0</v>
      </c>
      <c r="G10" s="2468">
        <v>3.4766983856828335</v>
      </c>
      <c r="H10" s="2468">
        <v>2.4198159218083273</v>
      </c>
      <c r="I10" s="254">
        <v>0</v>
      </c>
      <c r="J10" s="254">
        <v>0</v>
      </c>
      <c r="K10" s="254">
        <v>0</v>
      </c>
      <c r="L10" s="256">
        <f>IFERROR(SUM(E10:K10),0)</f>
        <v>10.228888619999998</v>
      </c>
      <c r="M10" s="377"/>
      <c r="N10" s="257" t="s">
        <v>10386</v>
      </c>
      <c r="O10" s="377"/>
      <c r="P10" s="258"/>
      <c r="Q10" s="377"/>
      <c r="R10" s="2589"/>
      <c r="S10" s="1121">
        <f t="shared" si="6"/>
        <v>0</v>
      </c>
      <c r="T10" s="2589"/>
      <c r="U10" s="252">
        <f t="shared" si="7"/>
        <v>0</v>
      </c>
      <c r="V10" s="252">
        <f t="shared" si="0"/>
        <v>0</v>
      </c>
      <c r="W10" s="252">
        <f t="shared" si="1"/>
        <v>0</v>
      </c>
      <c r="X10" s="252">
        <f t="shared" si="2"/>
        <v>0</v>
      </c>
      <c r="Y10" s="252">
        <f t="shared" si="3"/>
        <v>0</v>
      </c>
      <c r="Z10" s="252">
        <f t="shared" si="4"/>
        <v>0</v>
      </c>
      <c r="AA10" s="252">
        <f t="shared" si="5"/>
        <v>0</v>
      </c>
      <c r="AB10" s="2589"/>
      <c r="AC10" s="2560"/>
      <c r="AD10" s="422" t="s">
        <v>2948</v>
      </c>
      <c r="AE10" s="254" t="s">
        <v>10387</v>
      </c>
      <c r="AF10" s="254" t="s">
        <v>10388</v>
      </c>
      <c r="AG10" s="254" t="s">
        <v>10389</v>
      </c>
      <c r="AH10" s="254" t="s">
        <v>10390</v>
      </c>
      <c r="AI10" s="254" t="s">
        <v>10391</v>
      </c>
      <c r="AJ10" s="254" t="s">
        <v>10392</v>
      </c>
      <c r="AK10" s="254" t="s">
        <v>10393</v>
      </c>
      <c r="AL10" s="256" t="s">
        <v>10394</v>
      </c>
      <c r="AM10" s="377"/>
      <c r="AN10" s="2560"/>
      <c r="AO10" s="195"/>
      <c r="AP10" s="195"/>
    </row>
    <row r="11" spans="1:42" s="15" customFormat="1" ht="15.75" customHeight="1">
      <c r="A11" s="195"/>
      <c r="B11" s="425" t="s">
        <v>6744</v>
      </c>
      <c r="C11" s="319" t="s">
        <v>137</v>
      </c>
      <c r="D11" s="319">
        <v>3</v>
      </c>
      <c r="E11" s="2469">
        <v>4.0816234199999979</v>
      </c>
      <c r="F11" s="2469">
        <v>0</v>
      </c>
      <c r="G11" s="2469">
        <v>0</v>
      </c>
      <c r="H11" s="2469">
        <v>0</v>
      </c>
      <c r="I11" s="264">
        <v>0</v>
      </c>
      <c r="J11" s="264">
        <v>0</v>
      </c>
      <c r="K11" s="264">
        <v>0</v>
      </c>
      <c r="L11" s="266">
        <f>IFERROR(SUM(E11:K11),0)</f>
        <v>4.0816234199999979</v>
      </c>
      <c r="M11" s="377"/>
      <c r="N11" s="320" t="s">
        <v>10395</v>
      </c>
      <c r="O11" s="377"/>
      <c r="P11" s="269"/>
      <c r="Q11" s="377"/>
      <c r="R11" s="2589"/>
      <c r="S11" s="1121">
        <f t="shared" si="6"/>
        <v>0</v>
      </c>
      <c r="T11" s="2589"/>
      <c r="U11" s="252">
        <f t="shared" si="7"/>
        <v>0</v>
      </c>
      <c r="V11" s="252">
        <f t="shared" si="0"/>
        <v>0</v>
      </c>
      <c r="W11" s="252">
        <f t="shared" si="1"/>
        <v>0</v>
      </c>
      <c r="X11" s="252">
        <f t="shared" si="2"/>
        <v>0</v>
      </c>
      <c r="Y11" s="252">
        <f t="shared" si="3"/>
        <v>0</v>
      </c>
      <c r="Z11" s="252">
        <f t="shared" si="4"/>
        <v>0</v>
      </c>
      <c r="AA11" s="252">
        <f t="shared" si="5"/>
        <v>0</v>
      </c>
      <c r="AB11" s="2589"/>
      <c r="AC11" s="2560"/>
      <c r="AD11" s="425" t="s">
        <v>6744</v>
      </c>
      <c r="AE11" s="264" t="s">
        <v>10396</v>
      </c>
      <c r="AF11" s="264" t="s">
        <v>10397</v>
      </c>
      <c r="AG11" s="264" t="s">
        <v>10398</v>
      </c>
      <c r="AH11" s="264" t="s">
        <v>10399</v>
      </c>
      <c r="AI11" s="264" t="s">
        <v>10400</v>
      </c>
      <c r="AJ11" s="264" t="s">
        <v>10401</v>
      </c>
      <c r="AK11" s="264" t="s">
        <v>10402</v>
      </c>
      <c r="AL11" s="266" t="s">
        <v>10403</v>
      </c>
      <c r="AM11" s="377"/>
      <c r="AN11" s="2560"/>
      <c r="AO11" s="195"/>
      <c r="AP11" s="195"/>
    </row>
    <row r="12" spans="1:42" s="15" customFormat="1" ht="15.75" customHeight="1" thickTop="1" thickBot="1">
      <c r="A12" s="195"/>
      <c r="B12" s="377"/>
      <c r="C12" s="377"/>
      <c r="D12" s="377"/>
      <c r="E12" s="329"/>
      <c r="F12" s="329"/>
      <c r="G12" s="329"/>
      <c r="H12" s="329"/>
      <c r="I12" s="329"/>
      <c r="J12" s="329"/>
      <c r="K12" s="329"/>
      <c r="L12" s="329"/>
      <c r="M12" s="377"/>
      <c r="N12" s="249"/>
      <c r="O12" s="377"/>
      <c r="P12" s="377"/>
      <c r="Q12" s="377"/>
      <c r="R12" s="2589"/>
      <c r="S12" s="2560"/>
      <c r="T12" s="2589"/>
      <c r="U12" s="2560"/>
      <c r="V12" s="2560"/>
      <c r="W12" s="2560"/>
      <c r="X12" s="2560"/>
      <c r="Y12" s="2560"/>
      <c r="Z12" s="2560"/>
      <c r="AA12" s="2560"/>
      <c r="AB12" s="2589"/>
      <c r="AC12" s="2560"/>
      <c r="AD12" s="377"/>
      <c r="AE12" s="329"/>
      <c r="AF12" s="329"/>
      <c r="AG12" s="329"/>
      <c r="AH12" s="329"/>
      <c r="AI12" s="329"/>
      <c r="AJ12" s="329"/>
      <c r="AK12" s="329"/>
      <c r="AL12" s="329"/>
      <c r="AM12" s="377"/>
      <c r="AN12" s="2560"/>
      <c r="AO12" s="195"/>
      <c r="AP12" s="195"/>
    </row>
    <row r="13" spans="1:42" s="15" customFormat="1" ht="15.75" customHeight="1">
      <c r="A13" s="195"/>
      <c r="B13" s="355" t="s">
        <v>2981</v>
      </c>
      <c r="C13" s="222"/>
      <c r="D13" s="222"/>
      <c r="E13" s="281"/>
      <c r="F13" s="329"/>
      <c r="G13" s="329"/>
      <c r="H13" s="329"/>
      <c r="I13" s="329"/>
      <c r="J13" s="329"/>
      <c r="K13" s="329"/>
      <c r="L13" s="329"/>
      <c r="M13" s="106"/>
      <c r="N13" s="313"/>
      <c r="O13" s="377"/>
      <c r="P13" s="377"/>
      <c r="Q13" s="377"/>
      <c r="R13" s="2589"/>
      <c r="S13" s="2560"/>
      <c r="T13" s="2589"/>
      <c r="U13" s="2560"/>
      <c r="V13" s="2560"/>
      <c r="W13" s="2560"/>
      <c r="X13" s="2560"/>
      <c r="Y13" s="2560"/>
      <c r="Z13" s="2560"/>
      <c r="AA13" s="2560"/>
      <c r="AB13" s="2589"/>
      <c r="AC13" s="2560"/>
      <c r="AD13" s="355" t="s">
        <v>2981</v>
      </c>
      <c r="AE13" s="281"/>
      <c r="AF13" s="329"/>
      <c r="AG13" s="329"/>
      <c r="AH13" s="329"/>
      <c r="AI13" s="329"/>
      <c r="AJ13" s="329"/>
      <c r="AK13" s="329"/>
      <c r="AL13" s="329"/>
      <c r="AM13" s="106"/>
      <c r="AN13" s="2560"/>
      <c r="AO13" s="195"/>
      <c r="AP13" s="195"/>
    </row>
    <row r="14" spans="1:42" s="15" customFormat="1" ht="15.75" customHeight="1">
      <c r="A14" s="195"/>
      <c r="B14" s="413" t="s">
        <v>2963</v>
      </c>
      <c r="C14" s="244" t="s">
        <v>137</v>
      </c>
      <c r="D14" s="244">
        <v>3</v>
      </c>
      <c r="E14" s="245">
        <v>0</v>
      </c>
      <c r="F14" s="245">
        <v>0</v>
      </c>
      <c r="G14" s="245">
        <v>0</v>
      </c>
      <c r="H14" s="245">
        <v>0</v>
      </c>
      <c r="I14" s="245">
        <v>0</v>
      </c>
      <c r="J14" s="245">
        <v>0</v>
      </c>
      <c r="K14" s="245">
        <v>0</v>
      </c>
      <c r="L14" s="247">
        <f t="shared" ref="L14:L18" si="8">IFERROR(SUM(E14:K14),0)</f>
        <v>0</v>
      </c>
      <c r="M14" s="377"/>
      <c r="N14" s="248" t="s">
        <v>10404</v>
      </c>
      <c r="O14" s="377"/>
      <c r="P14" s="250"/>
      <c r="Q14" s="377"/>
      <c r="R14" s="2589"/>
      <c r="S14" s="1121">
        <f t="shared" ref="S14:S17" si="9">IF( SUM( U14:AA14 ) = 0, 0, $U$5 )</f>
        <v>0</v>
      </c>
      <c r="T14" s="2589"/>
      <c r="U14" s="252">
        <f t="shared" ref="U14:U17" si="10" xml:space="preserve"> IF( ISNUMBER(E14 ), 0, 1 )</f>
        <v>0</v>
      </c>
      <c r="V14" s="252">
        <f t="shared" ref="V14:V17" si="11" xml:space="preserve"> IF( ISNUMBER(F14 ), 0, 1 )</f>
        <v>0</v>
      </c>
      <c r="W14" s="252">
        <f t="shared" ref="W14:W17" si="12" xml:space="preserve"> IF( ISNUMBER(G14 ), 0, 1 )</f>
        <v>0</v>
      </c>
      <c r="X14" s="252">
        <f t="shared" ref="X14:X17" si="13" xml:space="preserve"> IF( ISNUMBER(H14 ), 0, 1 )</f>
        <v>0</v>
      </c>
      <c r="Y14" s="252">
        <f t="shared" ref="Y14:Y17" si="14" xml:space="preserve"> IF( ISNUMBER(I14 ), 0, 1 )</f>
        <v>0</v>
      </c>
      <c r="Z14" s="252">
        <f t="shared" ref="Z14:Z17" si="15" xml:space="preserve"> IF( ISNUMBER(J14 ), 0, 1 )</f>
        <v>0</v>
      </c>
      <c r="AA14" s="252">
        <f t="shared" ref="AA14:AA17" si="16" xml:space="preserve"> IF( ISNUMBER(K14 ), 0, 1 )</f>
        <v>0</v>
      </c>
      <c r="AB14" s="2589"/>
      <c r="AC14" s="2560"/>
      <c r="AD14" s="413" t="s">
        <v>2963</v>
      </c>
      <c r="AE14" s="245" t="s">
        <v>10405</v>
      </c>
      <c r="AF14" s="245" t="s">
        <v>10406</v>
      </c>
      <c r="AG14" s="245" t="s">
        <v>10407</v>
      </c>
      <c r="AH14" s="245" t="s">
        <v>10408</v>
      </c>
      <c r="AI14" s="245" t="s">
        <v>10409</v>
      </c>
      <c r="AJ14" s="245" t="s">
        <v>10410</v>
      </c>
      <c r="AK14" s="245" t="s">
        <v>10411</v>
      </c>
      <c r="AL14" s="247" t="s">
        <v>10412</v>
      </c>
      <c r="AM14" s="377"/>
      <c r="AN14" s="2560"/>
      <c r="AO14" s="195"/>
      <c r="AP14" s="195"/>
    </row>
    <row r="15" spans="1:42" s="15" customFormat="1" ht="15.75" customHeight="1">
      <c r="A15" s="195"/>
      <c r="B15" s="422" t="s">
        <v>2971</v>
      </c>
      <c r="C15" s="253" t="s">
        <v>137</v>
      </c>
      <c r="D15" s="253">
        <v>3</v>
      </c>
      <c r="E15" s="254">
        <v>0</v>
      </c>
      <c r="F15" s="254">
        <v>0</v>
      </c>
      <c r="G15" s="254">
        <v>0</v>
      </c>
      <c r="H15" s="254">
        <v>0</v>
      </c>
      <c r="I15" s="254">
        <v>0</v>
      </c>
      <c r="J15" s="254">
        <v>0</v>
      </c>
      <c r="K15" s="254">
        <v>0</v>
      </c>
      <c r="L15" s="256">
        <f t="shared" si="8"/>
        <v>0</v>
      </c>
      <c r="M15" s="377"/>
      <c r="N15" s="257" t="s">
        <v>10413</v>
      </c>
      <c r="O15" s="377"/>
      <c r="P15" s="258"/>
      <c r="Q15" s="377"/>
      <c r="R15" s="2589"/>
      <c r="S15" s="1121">
        <f t="shared" si="9"/>
        <v>0</v>
      </c>
      <c r="T15" s="2589"/>
      <c r="U15" s="252">
        <f t="shared" si="10"/>
        <v>0</v>
      </c>
      <c r="V15" s="252">
        <f t="shared" si="11"/>
        <v>0</v>
      </c>
      <c r="W15" s="252">
        <f t="shared" si="12"/>
        <v>0</v>
      </c>
      <c r="X15" s="252">
        <f t="shared" si="13"/>
        <v>0</v>
      </c>
      <c r="Y15" s="252">
        <f t="shared" si="14"/>
        <v>0</v>
      </c>
      <c r="Z15" s="252">
        <f t="shared" si="15"/>
        <v>0</v>
      </c>
      <c r="AA15" s="252">
        <f t="shared" si="16"/>
        <v>0</v>
      </c>
      <c r="AB15" s="2589"/>
      <c r="AC15" s="2560"/>
      <c r="AD15" s="422" t="s">
        <v>2971</v>
      </c>
      <c r="AE15" s="254" t="s">
        <v>10414</v>
      </c>
      <c r="AF15" s="254" t="s">
        <v>10415</v>
      </c>
      <c r="AG15" s="254" t="s">
        <v>10416</v>
      </c>
      <c r="AH15" s="254" t="s">
        <v>10417</v>
      </c>
      <c r="AI15" s="254" t="s">
        <v>10418</v>
      </c>
      <c r="AJ15" s="254" t="s">
        <v>10419</v>
      </c>
      <c r="AK15" s="254" t="s">
        <v>10420</v>
      </c>
      <c r="AL15" s="256" t="s">
        <v>10421</v>
      </c>
      <c r="AM15" s="377"/>
      <c r="AN15" s="2560"/>
      <c r="AO15" s="195"/>
      <c r="AP15" s="195"/>
    </row>
    <row r="16" spans="1:42" s="15" customFormat="1" ht="15.75" customHeight="1">
      <c r="A16" s="195"/>
      <c r="B16" s="422" t="s">
        <v>10422</v>
      </c>
      <c r="C16" s="253" t="s">
        <v>137</v>
      </c>
      <c r="D16" s="253">
        <v>3</v>
      </c>
      <c r="E16" s="254">
        <v>6.4630819957338765</v>
      </c>
      <c r="F16" s="254">
        <v>5.8132499999999998E-3</v>
      </c>
      <c r="G16" s="254">
        <v>5.1865755634792965</v>
      </c>
      <c r="H16" s="254">
        <v>3.6099070830684763</v>
      </c>
      <c r="I16" s="254">
        <v>0</v>
      </c>
      <c r="J16" s="254">
        <v>0</v>
      </c>
      <c r="K16" s="254">
        <v>0</v>
      </c>
      <c r="L16" s="256">
        <f t="shared" si="8"/>
        <v>15.26537789228165</v>
      </c>
      <c r="M16" s="377"/>
      <c r="N16" s="257" t="s">
        <v>10423</v>
      </c>
      <c r="O16" s="377"/>
      <c r="P16" s="258"/>
      <c r="Q16" s="377"/>
      <c r="R16" s="2589"/>
      <c r="S16" s="1121">
        <f t="shared" si="9"/>
        <v>0</v>
      </c>
      <c r="T16" s="2589"/>
      <c r="U16" s="252">
        <f t="shared" si="10"/>
        <v>0</v>
      </c>
      <c r="V16" s="252">
        <f t="shared" si="11"/>
        <v>0</v>
      </c>
      <c r="W16" s="252">
        <f t="shared" si="12"/>
        <v>0</v>
      </c>
      <c r="X16" s="252">
        <f t="shared" si="13"/>
        <v>0</v>
      </c>
      <c r="Y16" s="252">
        <f t="shared" si="14"/>
        <v>0</v>
      </c>
      <c r="Z16" s="252">
        <f t="shared" si="15"/>
        <v>0</v>
      </c>
      <c r="AA16" s="252">
        <f t="shared" si="16"/>
        <v>0</v>
      </c>
      <c r="AB16" s="2589"/>
      <c r="AC16" s="2560"/>
      <c r="AD16" s="422" t="s">
        <v>10424</v>
      </c>
      <c r="AE16" s="254" t="s">
        <v>10425</v>
      </c>
      <c r="AF16" s="254" t="s">
        <v>10426</v>
      </c>
      <c r="AG16" s="254" t="s">
        <v>10427</v>
      </c>
      <c r="AH16" s="254" t="s">
        <v>10428</v>
      </c>
      <c r="AI16" s="254" t="s">
        <v>10429</v>
      </c>
      <c r="AJ16" s="254" t="s">
        <v>10430</v>
      </c>
      <c r="AK16" s="254" t="s">
        <v>10431</v>
      </c>
      <c r="AL16" s="256" t="s">
        <v>10432</v>
      </c>
      <c r="AM16" s="377"/>
      <c r="AN16" s="2560"/>
      <c r="AO16" s="195"/>
      <c r="AP16" s="195"/>
    </row>
    <row r="17" spans="1:42" s="15" customFormat="1" ht="15.75" customHeight="1">
      <c r="A17" s="195"/>
      <c r="B17" s="422" t="s">
        <v>2988</v>
      </c>
      <c r="C17" s="253" t="s">
        <v>137</v>
      </c>
      <c r="D17" s="253">
        <v>3</v>
      </c>
      <c r="E17" s="254">
        <v>3.3547841957548212</v>
      </c>
      <c r="F17" s="254">
        <v>0</v>
      </c>
      <c r="G17" s="254">
        <v>2.6921895377365961</v>
      </c>
      <c r="H17" s="254">
        <v>1.873790126508581</v>
      </c>
      <c r="I17" s="254">
        <v>0</v>
      </c>
      <c r="J17" s="254">
        <v>0</v>
      </c>
      <c r="K17" s="254">
        <v>0</v>
      </c>
      <c r="L17" s="256">
        <f t="shared" si="8"/>
        <v>7.9207638599999983</v>
      </c>
      <c r="M17" s="377"/>
      <c r="N17" s="257" t="s">
        <v>10433</v>
      </c>
      <c r="O17" s="377"/>
      <c r="P17" s="258"/>
      <c r="Q17" s="377"/>
      <c r="R17" s="2589"/>
      <c r="S17" s="1121">
        <f t="shared" si="9"/>
        <v>0</v>
      </c>
      <c r="T17" s="2589"/>
      <c r="U17" s="252">
        <f t="shared" si="10"/>
        <v>0</v>
      </c>
      <c r="V17" s="252">
        <f t="shared" si="11"/>
        <v>0</v>
      </c>
      <c r="W17" s="252">
        <f t="shared" si="12"/>
        <v>0</v>
      </c>
      <c r="X17" s="252">
        <f t="shared" si="13"/>
        <v>0</v>
      </c>
      <c r="Y17" s="252">
        <f t="shared" si="14"/>
        <v>0</v>
      </c>
      <c r="Z17" s="252">
        <f t="shared" si="15"/>
        <v>0</v>
      </c>
      <c r="AA17" s="252">
        <f t="shared" si="16"/>
        <v>0</v>
      </c>
      <c r="AB17" s="2589"/>
      <c r="AC17" s="2560"/>
      <c r="AD17" s="422" t="s">
        <v>2988</v>
      </c>
      <c r="AE17" s="254" t="s">
        <v>10434</v>
      </c>
      <c r="AF17" s="254" t="s">
        <v>10435</v>
      </c>
      <c r="AG17" s="254" t="s">
        <v>10436</v>
      </c>
      <c r="AH17" s="254" t="s">
        <v>10437</v>
      </c>
      <c r="AI17" s="254" t="s">
        <v>10438</v>
      </c>
      <c r="AJ17" s="254" t="s">
        <v>10439</v>
      </c>
      <c r="AK17" s="254" t="s">
        <v>10440</v>
      </c>
      <c r="AL17" s="256" t="s">
        <v>10441</v>
      </c>
      <c r="AM17" s="377"/>
      <c r="AN17" s="2560"/>
      <c r="AO17" s="195"/>
      <c r="AP17" s="195"/>
    </row>
    <row r="18" spans="1:42" s="15" customFormat="1" ht="15.75" customHeight="1" thickBot="1">
      <c r="A18" s="195"/>
      <c r="B18" s="425" t="s">
        <v>10442</v>
      </c>
      <c r="C18" s="319" t="s">
        <v>137</v>
      </c>
      <c r="D18" s="319">
        <v>3</v>
      </c>
      <c r="E18" s="265">
        <f t="shared" ref="E18:K18" si="17">IFERROR(SUM(E8:E11,E14:E17),0)</f>
        <v>18.36818959542277</v>
      </c>
      <c r="F18" s="265">
        <f t="shared" si="17"/>
        <v>1.3208763337701792E-2</v>
      </c>
      <c r="G18" s="265">
        <f t="shared" si="17"/>
        <v>11.67828664055858</v>
      </c>
      <c r="H18" s="265">
        <f t="shared" si="17"/>
        <v>12.65160787296259</v>
      </c>
      <c r="I18" s="265">
        <f t="shared" si="17"/>
        <v>0</v>
      </c>
      <c r="J18" s="265">
        <f t="shared" si="17"/>
        <v>0</v>
      </c>
      <c r="K18" s="265">
        <f t="shared" si="17"/>
        <v>0</v>
      </c>
      <c r="L18" s="266">
        <f t="shared" si="8"/>
        <v>42.711292872281646</v>
      </c>
      <c r="M18" s="377"/>
      <c r="N18" s="320" t="s">
        <v>10443</v>
      </c>
      <c r="O18" s="377"/>
      <c r="P18" s="269"/>
      <c r="Q18" s="377"/>
      <c r="R18" s="2589"/>
      <c r="S18" s="2560"/>
      <c r="T18" s="2589"/>
      <c r="U18" s="2560"/>
      <c r="V18" s="2560"/>
      <c r="W18" s="2560"/>
      <c r="X18" s="2560"/>
      <c r="Y18" s="2560"/>
      <c r="Z18" s="2560"/>
      <c r="AA18" s="2560"/>
      <c r="AB18" s="2589"/>
      <c r="AC18" s="2560"/>
      <c r="AD18" s="425" t="s">
        <v>10442</v>
      </c>
      <c r="AE18" s="265" t="s">
        <v>10444</v>
      </c>
      <c r="AF18" s="265" t="s">
        <v>10445</v>
      </c>
      <c r="AG18" s="265" t="s">
        <v>10446</v>
      </c>
      <c r="AH18" s="265" t="s">
        <v>10447</v>
      </c>
      <c r="AI18" s="265" t="s">
        <v>10448</v>
      </c>
      <c r="AJ18" s="265" t="s">
        <v>10449</v>
      </c>
      <c r="AK18" s="265" t="s">
        <v>10450</v>
      </c>
      <c r="AL18" s="266" t="s">
        <v>10451</v>
      </c>
      <c r="AM18" s="377"/>
      <c r="AN18" s="2560"/>
      <c r="AO18" s="195"/>
      <c r="AP18" s="195"/>
    </row>
    <row r="19" spans="1:42" s="4" customFormat="1" ht="33" customHeight="1" thickTop="1">
      <c r="A19" s="197"/>
      <c r="B19" s="106"/>
      <c r="C19" s="106"/>
      <c r="D19" s="106"/>
      <c r="E19" s="86"/>
      <c r="F19" s="86"/>
      <c r="G19" s="86"/>
      <c r="H19" s="86"/>
      <c r="I19" s="86"/>
      <c r="J19" s="86"/>
      <c r="K19" s="86"/>
      <c r="L19" s="86"/>
      <c r="M19" s="106"/>
      <c r="N19" s="900"/>
      <c r="O19" s="106"/>
      <c r="P19" s="106"/>
      <c r="Q19" s="106"/>
      <c r="R19" s="2560"/>
      <c r="S19" s="2560"/>
      <c r="T19" s="2560"/>
      <c r="U19" s="2560"/>
      <c r="V19" s="2560"/>
      <c r="W19" s="2560"/>
      <c r="X19" s="2560"/>
      <c r="Y19" s="2560"/>
      <c r="Z19" s="2560"/>
      <c r="AA19" s="2560"/>
      <c r="AB19" s="2560"/>
      <c r="AC19" s="2560"/>
      <c r="AD19" s="2572"/>
      <c r="AE19" s="2560"/>
      <c r="AF19" s="2560"/>
      <c r="AG19" s="2560"/>
      <c r="AH19" s="2560"/>
      <c r="AI19" s="2560"/>
      <c r="AJ19" s="2560"/>
      <c r="AK19" s="2560"/>
      <c r="AL19" s="2560"/>
      <c r="AM19" s="2560"/>
      <c r="AN19" s="2560"/>
      <c r="AO19" s="197"/>
      <c r="AP19" s="197"/>
    </row>
    <row r="20" spans="1:42" s="4" customFormat="1" ht="33" customHeight="1">
      <c r="A20" s="197"/>
      <c r="B20" s="197"/>
      <c r="C20" s="197"/>
      <c r="D20" s="197"/>
      <c r="E20" s="197"/>
      <c r="F20" s="197"/>
      <c r="G20" s="197"/>
      <c r="H20" s="197"/>
      <c r="I20" s="197"/>
      <c r="J20" s="197"/>
      <c r="K20" s="197"/>
      <c r="L20" s="197"/>
      <c r="M20" s="197"/>
      <c r="N20" s="197"/>
      <c r="O20" s="918"/>
      <c r="P20" s="918"/>
      <c r="Q20" s="918"/>
      <c r="R20" s="2560"/>
      <c r="S20" s="2560"/>
      <c r="T20" s="2560"/>
      <c r="U20" s="2560"/>
      <c r="V20" s="2560"/>
      <c r="W20" s="2560"/>
      <c r="X20" s="2560"/>
      <c r="Y20" s="2560"/>
      <c r="Z20" s="2560"/>
      <c r="AA20" s="2560"/>
      <c r="AB20" s="2560"/>
      <c r="AC20" s="2560"/>
      <c r="AD20" s="2572"/>
      <c r="AE20" s="2560"/>
      <c r="AF20" s="2560"/>
      <c r="AG20" s="2560"/>
      <c r="AH20" s="2560"/>
      <c r="AI20" s="2560"/>
      <c r="AJ20" s="2560"/>
      <c r="AK20" s="2560"/>
      <c r="AL20" s="2560"/>
      <c r="AM20" s="2560"/>
      <c r="AN20" s="2560"/>
      <c r="AO20" s="197"/>
      <c r="AP20" s="197"/>
    </row>
  </sheetData>
  <sheetProtection formatColumns="0" formatRows="0"/>
  <mergeCells count="3">
    <mergeCell ref="B3:P3"/>
    <mergeCell ref="AD3:AM3"/>
    <mergeCell ref="U4:AA4"/>
  </mergeCells>
  <conditionalFormatting sqref="S8:S11">
    <cfRule type="cellIs" dxfId="75" priority="2" operator="equal">
      <formula>0</formula>
    </cfRule>
  </conditionalFormatting>
  <conditionalFormatting sqref="S14:S17">
    <cfRule type="cellIs" dxfId="74" priority="1" operator="equal">
      <formula>0</formula>
    </cfRule>
  </conditionalFormatting>
  <dataValidations count="1">
    <dataValidation type="custom" allowBlank="1" showErrorMessage="1" errorTitle="Input Error" error="Please input a numeric value, in units of £m's." sqref="E14:K17 E8:K11"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zoomScale="85" zoomScaleNormal="85" zoomScaleSheetLayoutView="100" workbookViewId="0">
      <selection activeCell="C30" sqref="C30"/>
    </sheetView>
  </sheetViews>
  <sheetFormatPr defaultColWidth="9" defaultRowHeight="14.5"/>
  <cols>
    <col min="1" max="1" width="1.58203125" style="16" customWidth="1"/>
    <col min="2" max="2" width="61.08203125" style="18" customWidth="1"/>
    <col min="3" max="3" width="15.08203125" style="16" customWidth="1"/>
    <col min="4" max="4" width="16.08203125" style="16" customWidth="1"/>
    <col min="5" max="5" width="16.58203125" style="16" customWidth="1"/>
    <col min="6" max="6" width="16.08203125" style="16" bestFit="1" customWidth="1"/>
    <col min="7" max="7" width="1.58203125" style="16" customWidth="1"/>
    <col min="8" max="8" width="12.5" style="16" customWidth="1"/>
    <col min="9" max="9" width="1.58203125" style="16" customWidth="1"/>
    <col min="10" max="10" width="33.58203125" style="16" customWidth="1"/>
    <col min="11" max="12" width="1.58203125" style="16" customWidth="1"/>
    <col min="13" max="13" width="25" style="16" customWidth="1"/>
    <col min="14" max="14" width="1.58203125" style="16" customWidth="1"/>
    <col min="15" max="18" width="9.08203125" style="16" hidden="1" customWidth="1"/>
    <col min="19" max="19" width="1.58203125" style="16" hidden="1" customWidth="1"/>
    <col min="20" max="20" width="1.58203125" style="16" customWidth="1"/>
    <col min="21" max="21" width="71.08203125" style="16" bestFit="1" customWidth="1"/>
    <col min="22" max="22" width="22.58203125" style="16" bestFit="1" customWidth="1"/>
    <col min="23" max="25" width="15" style="16" customWidth="1"/>
    <col min="26" max="26" width="1.58203125" style="16" customWidth="1"/>
    <col min="27" max="16384" width="9" style="16"/>
  </cols>
  <sheetData>
    <row r="1" spans="1:33" ht="30.75" customHeight="1">
      <c r="A1" s="2560"/>
      <c r="B1" s="1119" t="s">
        <v>10452</v>
      </c>
      <c r="C1" s="1119"/>
      <c r="D1" s="1119"/>
      <c r="E1" s="1119"/>
      <c r="F1" s="1119"/>
      <c r="G1" s="106"/>
      <c r="H1" s="527"/>
      <c r="I1" s="2560"/>
      <c r="J1" s="2560"/>
      <c r="K1" s="2560"/>
      <c r="L1" s="2589"/>
      <c r="M1" s="2560"/>
      <c r="N1" s="2589"/>
      <c r="O1" s="2560"/>
      <c r="P1" s="2560"/>
      <c r="Q1" s="2560"/>
      <c r="R1" s="2560"/>
      <c r="S1" s="2589"/>
      <c r="T1" s="2560"/>
      <c r="U1" s="1119" t="s">
        <v>1887</v>
      </c>
      <c r="V1" s="1119"/>
      <c r="W1" s="1119"/>
      <c r="X1" s="1119"/>
      <c r="Y1" s="1119"/>
      <c r="Z1" s="106"/>
      <c r="AA1" s="2560"/>
      <c r="AB1" s="2560"/>
      <c r="AC1" s="2560"/>
      <c r="AD1" s="2560"/>
      <c r="AE1" s="2560"/>
      <c r="AF1" s="2560"/>
      <c r="AG1" s="2560"/>
    </row>
    <row r="2" spans="1:33" ht="30.75" customHeight="1">
      <c r="A2" s="2560"/>
      <c r="B2" s="1119" t="str">
        <f>SelectCompany!B4</f>
        <v>Yorkshire Water</v>
      </c>
      <c r="C2" s="491"/>
      <c r="D2" s="491"/>
      <c r="E2" s="491"/>
      <c r="F2" s="491"/>
      <c r="G2" s="106"/>
      <c r="H2" s="527"/>
      <c r="I2" s="2560"/>
      <c r="J2" s="2560"/>
      <c r="K2" s="2560"/>
      <c r="L2" s="2589"/>
      <c r="M2" s="2560"/>
      <c r="N2" s="2589"/>
      <c r="O2" s="2560"/>
      <c r="P2" s="2560"/>
      <c r="Q2" s="2560"/>
      <c r="R2" s="2560"/>
      <c r="S2" s="2589"/>
      <c r="T2" s="2560"/>
      <c r="U2" s="1119"/>
      <c r="V2" s="491"/>
      <c r="W2" s="491"/>
      <c r="X2" s="491"/>
      <c r="Y2" s="491"/>
      <c r="Z2" s="106"/>
      <c r="AA2" s="2560"/>
      <c r="AB2" s="2560"/>
      <c r="AC2" s="2560"/>
      <c r="AD2" s="2560"/>
      <c r="AE2" s="2560"/>
      <c r="AF2" s="2560"/>
      <c r="AG2" s="2560"/>
    </row>
    <row r="3" spans="1:33" ht="45" customHeight="1">
      <c r="A3" s="2560"/>
      <c r="B3" s="2781" t="s">
        <v>10453</v>
      </c>
      <c r="C3" s="2781"/>
      <c r="D3" s="2781"/>
      <c r="E3" s="2781"/>
      <c r="F3" s="2781"/>
      <c r="G3" s="2781"/>
      <c r="H3" s="2781"/>
      <c r="I3" s="2781"/>
      <c r="J3" s="2781"/>
      <c r="K3" s="2560"/>
      <c r="L3" s="2589"/>
      <c r="M3" s="1129" t="s">
        <v>1889</v>
      </c>
      <c r="N3" s="2589"/>
      <c r="O3" s="2560"/>
      <c r="P3" s="2560"/>
      <c r="Q3" s="2560"/>
      <c r="R3" s="2560"/>
      <c r="S3" s="2589"/>
      <c r="T3" s="2560"/>
      <c r="U3" s="2781" t="s">
        <v>10453</v>
      </c>
      <c r="V3" s="2781"/>
      <c r="W3" s="2781"/>
      <c r="X3" s="2781"/>
      <c r="Y3" s="2781"/>
      <c r="Z3" s="2781"/>
      <c r="AA3" s="1130"/>
      <c r="AB3" s="1130"/>
      <c r="AC3" s="2560"/>
      <c r="AD3" s="2560"/>
      <c r="AE3" s="2560"/>
      <c r="AF3" s="2560"/>
      <c r="AG3" s="2560"/>
    </row>
    <row r="4" spans="1:33" ht="23" thickBot="1">
      <c r="A4" s="2560"/>
      <c r="B4" s="594"/>
      <c r="C4" s="594"/>
      <c r="D4" s="594"/>
      <c r="E4" s="594"/>
      <c r="F4" s="594"/>
      <c r="G4" s="724"/>
      <c r="H4" s="228"/>
      <c r="I4" s="2560"/>
      <c r="J4" s="2560"/>
      <c r="K4" s="2560"/>
      <c r="L4" s="2589"/>
      <c r="M4" s="2560"/>
      <c r="N4" s="2589"/>
      <c r="O4" s="2869" t="s">
        <v>1890</v>
      </c>
      <c r="P4" s="2869"/>
      <c r="Q4" s="2869"/>
      <c r="R4" s="2869"/>
      <c r="S4" s="2589"/>
      <c r="T4" s="2560"/>
      <c r="U4" s="594"/>
      <c r="V4" s="594"/>
      <c r="W4" s="594"/>
      <c r="X4" s="594"/>
      <c r="Y4" s="594"/>
      <c r="Z4" s="724"/>
      <c r="AA4" s="2560"/>
      <c r="AB4" s="2560"/>
      <c r="AC4" s="2560"/>
      <c r="AD4" s="2560"/>
      <c r="AE4" s="2560"/>
      <c r="AF4" s="2560"/>
      <c r="AG4" s="2560"/>
    </row>
    <row r="5" spans="1:33" ht="47.5" thickTop="1" thickBot="1">
      <c r="A5" s="222"/>
      <c r="B5" s="407" t="s">
        <v>1891</v>
      </c>
      <c r="C5" s="408" t="s">
        <v>1892</v>
      </c>
      <c r="D5" s="408" t="s">
        <v>136</v>
      </c>
      <c r="E5" s="409" t="s">
        <v>10262</v>
      </c>
      <c r="F5" s="222"/>
      <c r="G5" s="635"/>
      <c r="H5" s="411" t="s">
        <v>1896</v>
      </c>
      <c r="I5" s="222"/>
      <c r="J5" s="411" t="s">
        <v>1897</v>
      </c>
      <c r="K5" s="222"/>
      <c r="L5" s="2589"/>
      <c r="M5" s="2560"/>
      <c r="N5" s="2589"/>
      <c r="O5" s="236" t="s">
        <v>1898</v>
      </c>
      <c r="P5" s="236"/>
      <c r="Q5" s="236"/>
      <c r="R5" s="236"/>
      <c r="S5" s="2589"/>
      <c r="T5" s="2560"/>
      <c r="U5" s="407" t="s">
        <v>1891</v>
      </c>
      <c r="V5" s="409" t="s">
        <v>10262</v>
      </c>
      <c r="W5" s="444"/>
      <c r="X5" s="444"/>
      <c r="Y5" s="222"/>
      <c r="Z5" s="635"/>
      <c r="AA5" s="222"/>
      <c r="AB5" s="2560"/>
      <c r="AC5" s="2560"/>
      <c r="AD5" s="2560"/>
      <c r="AE5" s="2560"/>
      <c r="AF5" s="2560"/>
      <c r="AG5" s="2560"/>
    </row>
    <row r="6" spans="1:33" ht="15.75" customHeight="1" thickTop="1" thickBot="1">
      <c r="A6" s="222"/>
      <c r="B6" s="678"/>
      <c r="C6" s="678"/>
      <c r="D6" s="678"/>
      <c r="E6" s="678"/>
      <c r="F6" s="222"/>
      <c r="G6" s="635"/>
      <c r="H6" s="228"/>
      <c r="I6" s="222"/>
      <c r="J6" s="222"/>
      <c r="K6" s="222"/>
      <c r="L6" s="2589"/>
      <c r="M6" s="2560"/>
      <c r="N6" s="2589"/>
      <c r="O6" s="2560"/>
      <c r="P6" s="2560"/>
      <c r="Q6" s="2560"/>
      <c r="R6" s="2560"/>
      <c r="S6" s="2589"/>
      <c r="T6" s="2560"/>
      <c r="U6" s="678"/>
      <c r="V6" s="678"/>
      <c r="W6" s="678"/>
      <c r="X6" s="678"/>
      <c r="Y6" s="222"/>
      <c r="Z6" s="635"/>
      <c r="AA6" s="222"/>
      <c r="AB6" s="2560"/>
      <c r="AC6" s="2560"/>
      <c r="AD6" s="2560"/>
      <c r="AE6" s="2560"/>
      <c r="AF6" s="2560"/>
      <c r="AG6" s="2560"/>
    </row>
    <row r="7" spans="1:33" ht="15.75" customHeight="1" thickTop="1" thickBot="1">
      <c r="A7" s="222"/>
      <c r="B7" s="355" t="s">
        <v>10454</v>
      </c>
      <c r="C7" s="444"/>
      <c r="D7" s="444"/>
      <c r="E7" s="444"/>
      <c r="F7" s="222"/>
      <c r="G7" s="1131"/>
      <c r="H7" s="527"/>
      <c r="I7" s="222"/>
      <c r="J7" s="222"/>
      <c r="K7" s="222"/>
      <c r="L7" s="2589"/>
      <c r="M7" s="2560"/>
      <c r="N7" s="2589"/>
      <c r="O7" s="2560"/>
      <c r="P7" s="2560"/>
      <c r="Q7" s="2560"/>
      <c r="R7" s="2560"/>
      <c r="S7" s="2589"/>
      <c r="T7" s="2560"/>
      <c r="U7" s="33" t="s">
        <v>10454</v>
      </c>
      <c r="V7" s="444"/>
      <c r="W7" s="444"/>
      <c r="X7" s="444"/>
      <c r="Y7" s="222"/>
      <c r="Z7" s="1131"/>
      <c r="AA7" s="222"/>
      <c r="AB7" s="2560"/>
      <c r="AC7" s="2560"/>
      <c r="AD7" s="2560"/>
      <c r="AE7" s="2560"/>
      <c r="AF7" s="2560"/>
      <c r="AG7" s="2560"/>
    </row>
    <row r="8" spans="1:33" ht="15.75" customHeight="1" thickTop="1">
      <c r="A8" s="222"/>
      <c r="B8" s="726" t="s">
        <v>10455</v>
      </c>
      <c r="C8" s="685" t="s">
        <v>138</v>
      </c>
      <c r="D8" s="685">
        <v>0</v>
      </c>
      <c r="E8" s="1588">
        <v>11</v>
      </c>
      <c r="F8" s="1132"/>
      <c r="G8" s="351"/>
      <c r="H8" s="729" t="s">
        <v>10456</v>
      </c>
      <c r="I8" s="222"/>
      <c r="J8" s="1120"/>
      <c r="K8" s="222"/>
      <c r="L8" s="2589"/>
      <c r="M8" s="1121">
        <f>IF( SUM( O8:R8 ) = 0, 0, $O$5 )</f>
        <v>0</v>
      </c>
      <c r="N8" s="2589"/>
      <c r="O8" s="2560"/>
      <c r="P8" s="2560"/>
      <c r="Q8" s="252">
        <f xml:space="preserve"> IF( ISNUMBER(E8 ), 0, 1 )</f>
        <v>0</v>
      </c>
      <c r="R8" s="2560"/>
      <c r="S8" s="2589"/>
      <c r="T8" s="2560"/>
      <c r="U8" s="1448" t="s">
        <v>10455</v>
      </c>
      <c r="V8" s="1449" t="s">
        <v>10457</v>
      </c>
      <c r="W8" s="768"/>
      <c r="X8" s="768"/>
      <c r="Y8" s="222"/>
      <c r="Z8" s="351"/>
      <c r="AA8" s="222"/>
      <c r="AB8" s="2560"/>
      <c r="AC8" s="2560"/>
      <c r="AD8" s="2560"/>
      <c r="AE8" s="2560"/>
      <c r="AF8" s="2560"/>
      <c r="AG8" s="2560"/>
    </row>
    <row r="9" spans="1:33" ht="15.75" customHeight="1">
      <c r="A9" s="222"/>
      <c r="B9" s="730" t="s">
        <v>10458</v>
      </c>
      <c r="C9" s="731" t="s">
        <v>4299</v>
      </c>
      <c r="D9" s="731">
        <v>0</v>
      </c>
      <c r="E9" s="1589">
        <v>2153</v>
      </c>
      <c r="F9" s="1133"/>
      <c r="G9" s="351"/>
      <c r="H9" s="734" t="s">
        <v>10459</v>
      </c>
      <c r="I9" s="222"/>
      <c r="J9" s="1122"/>
      <c r="K9" s="222"/>
      <c r="L9" s="2589"/>
      <c r="M9" s="1121">
        <f t="shared" ref="M9:M19" si="0">IF( SUM( O9:R9 ) = 0, 0, $O$5 )</f>
        <v>0</v>
      </c>
      <c r="N9" s="2589"/>
      <c r="O9" s="2560"/>
      <c r="P9" s="2560"/>
      <c r="Q9" s="252">
        <f t="shared" ref="Q9:Q19" si="1" xml:space="preserve"> IF( ISNUMBER(E9 ), 0, 1 )</f>
        <v>0</v>
      </c>
      <c r="R9" s="2560"/>
      <c r="S9" s="2589"/>
      <c r="T9" s="2560"/>
      <c r="U9" s="1450" t="s">
        <v>10458</v>
      </c>
      <c r="V9" s="1451" t="s">
        <v>10460</v>
      </c>
      <c r="W9" s="768"/>
      <c r="X9" s="768"/>
      <c r="Y9" s="222"/>
      <c r="Z9" s="351"/>
      <c r="AA9" s="222"/>
      <c r="AB9" s="2560"/>
      <c r="AC9" s="2560"/>
      <c r="AD9" s="2560"/>
      <c r="AE9" s="2560"/>
      <c r="AF9" s="2560"/>
      <c r="AG9" s="2560"/>
    </row>
    <row r="10" spans="1:33" ht="15.75" customHeight="1">
      <c r="A10" s="222"/>
      <c r="B10" s="730" t="s">
        <v>10461</v>
      </c>
      <c r="C10" s="731" t="s">
        <v>138</v>
      </c>
      <c r="D10" s="731">
        <v>0</v>
      </c>
      <c r="E10" s="1589">
        <v>38</v>
      </c>
      <c r="F10" s="1133"/>
      <c r="G10" s="197"/>
      <c r="H10" s="734" t="s">
        <v>10462</v>
      </c>
      <c r="I10" s="222"/>
      <c r="J10" s="1122"/>
      <c r="K10" s="222"/>
      <c r="L10" s="2589"/>
      <c r="M10" s="1121">
        <f t="shared" si="0"/>
        <v>0</v>
      </c>
      <c r="N10" s="2589"/>
      <c r="O10" s="2560"/>
      <c r="P10" s="2560"/>
      <c r="Q10" s="252">
        <f t="shared" si="1"/>
        <v>0</v>
      </c>
      <c r="R10" s="2560"/>
      <c r="S10" s="2589"/>
      <c r="T10" s="2560"/>
      <c r="U10" s="1450" t="s">
        <v>10461</v>
      </c>
      <c r="V10" s="1451" t="s">
        <v>10463</v>
      </c>
      <c r="W10" s="768"/>
      <c r="X10" s="768"/>
      <c r="Y10" s="222"/>
      <c r="Z10" s="197"/>
      <c r="AA10" s="222"/>
      <c r="AB10" s="2560"/>
      <c r="AC10" s="2560"/>
      <c r="AD10" s="2560"/>
      <c r="AE10" s="2560"/>
      <c r="AF10" s="2560"/>
      <c r="AG10" s="2560"/>
    </row>
    <row r="11" spans="1:33" ht="31">
      <c r="A11" s="222"/>
      <c r="B11" s="730" t="s">
        <v>10464</v>
      </c>
      <c r="C11" s="731" t="s">
        <v>10326</v>
      </c>
      <c r="D11" s="731">
        <v>0</v>
      </c>
      <c r="E11" s="1589">
        <v>27950</v>
      </c>
      <c r="F11" s="1133"/>
      <c r="G11" s="197"/>
      <c r="H11" s="734" t="s">
        <v>10465</v>
      </c>
      <c r="I11" s="222"/>
      <c r="J11" s="1122"/>
      <c r="K11" s="222"/>
      <c r="L11" s="2589"/>
      <c r="M11" s="1121">
        <f t="shared" si="0"/>
        <v>0</v>
      </c>
      <c r="N11" s="2589"/>
      <c r="O11" s="2560"/>
      <c r="P11" s="2560"/>
      <c r="Q11" s="252">
        <f t="shared" si="1"/>
        <v>0</v>
      </c>
      <c r="R11" s="2560"/>
      <c r="S11" s="2589"/>
      <c r="T11" s="2560"/>
      <c r="U11" s="1450" t="s">
        <v>10464</v>
      </c>
      <c r="V11" s="1451" t="s">
        <v>10466</v>
      </c>
      <c r="W11" s="768"/>
      <c r="X11" s="768"/>
      <c r="Y11" s="222"/>
      <c r="Z11" s="197"/>
      <c r="AA11" s="222"/>
      <c r="AB11" s="2560"/>
      <c r="AC11" s="2560"/>
      <c r="AD11" s="2560"/>
      <c r="AE11" s="2560"/>
      <c r="AF11" s="2560"/>
      <c r="AG11" s="2560"/>
    </row>
    <row r="12" spans="1:33" ht="15.75" customHeight="1">
      <c r="A12" s="222"/>
      <c r="B12" s="730" t="s">
        <v>10467</v>
      </c>
      <c r="C12" s="731" t="s">
        <v>1385</v>
      </c>
      <c r="D12" s="731">
        <v>2</v>
      </c>
      <c r="E12" s="1134">
        <v>1412.92</v>
      </c>
      <c r="F12" s="1133"/>
      <c r="G12" s="197"/>
      <c r="H12" s="734" t="s">
        <v>10468</v>
      </c>
      <c r="I12" s="222"/>
      <c r="J12" s="1122"/>
      <c r="K12" s="222"/>
      <c r="L12" s="2589"/>
      <c r="M12" s="1121">
        <f t="shared" si="0"/>
        <v>0</v>
      </c>
      <c r="N12" s="2589"/>
      <c r="O12" s="2560"/>
      <c r="P12" s="2560"/>
      <c r="Q12" s="252">
        <f t="shared" si="1"/>
        <v>0</v>
      </c>
      <c r="R12" s="2560"/>
      <c r="S12" s="2589"/>
      <c r="T12" s="2560"/>
      <c r="U12" s="1450" t="s">
        <v>10467</v>
      </c>
      <c r="V12" s="1451" t="s">
        <v>10469</v>
      </c>
      <c r="W12" s="768"/>
      <c r="X12" s="768"/>
      <c r="Y12" s="222"/>
      <c r="Z12" s="197"/>
      <c r="AA12" s="222"/>
      <c r="AB12" s="2560"/>
      <c r="AC12" s="2560"/>
      <c r="AD12" s="2560"/>
      <c r="AE12" s="2560"/>
      <c r="AF12" s="2560"/>
      <c r="AG12" s="2560"/>
    </row>
    <row r="13" spans="1:33" ht="15.75" customHeight="1">
      <c r="A13" s="222"/>
      <c r="B13" s="730" t="s">
        <v>10470</v>
      </c>
      <c r="C13" s="731" t="s">
        <v>10333</v>
      </c>
      <c r="D13" s="731">
        <v>2</v>
      </c>
      <c r="E13" s="1134">
        <v>24.44</v>
      </c>
      <c r="F13" s="1133"/>
      <c r="G13" s="197"/>
      <c r="H13" s="734" t="s">
        <v>10471</v>
      </c>
      <c r="I13" s="222"/>
      <c r="J13" s="1122"/>
      <c r="K13" s="222"/>
      <c r="L13" s="2589"/>
      <c r="M13" s="1121">
        <f t="shared" si="0"/>
        <v>0</v>
      </c>
      <c r="N13" s="2589"/>
      <c r="O13" s="2560"/>
      <c r="P13" s="2560"/>
      <c r="Q13" s="252">
        <f t="shared" si="1"/>
        <v>0</v>
      </c>
      <c r="R13" s="2560"/>
      <c r="S13" s="2589"/>
      <c r="T13" s="2560"/>
      <c r="U13" s="1450" t="s">
        <v>10472</v>
      </c>
      <c r="V13" s="1451" t="s">
        <v>10473</v>
      </c>
      <c r="W13" s="768"/>
      <c r="X13" s="768"/>
      <c r="Y13" s="222"/>
      <c r="Z13" s="197"/>
      <c r="AA13" s="222"/>
      <c r="AB13" s="2560"/>
      <c r="AC13" s="2560"/>
      <c r="AD13" s="2560"/>
      <c r="AE13" s="2560"/>
      <c r="AF13" s="2560"/>
      <c r="AG13" s="2560"/>
    </row>
    <row r="14" spans="1:33" ht="15.75" customHeight="1">
      <c r="A14" s="222"/>
      <c r="B14" s="730" t="s">
        <v>10474</v>
      </c>
      <c r="C14" s="731" t="s">
        <v>1402</v>
      </c>
      <c r="D14" s="731">
        <v>3</v>
      </c>
      <c r="E14" s="775">
        <v>44628.326000000001</v>
      </c>
      <c r="F14" s="1133"/>
      <c r="G14" s="197"/>
      <c r="H14" s="734" t="s">
        <v>10475</v>
      </c>
      <c r="I14" s="222"/>
      <c r="J14" s="1122"/>
      <c r="K14" s="222"/>
      <c r="L14" s="2589"/>
      <c r="M14" s="1121">
        <f t="shared" si="0"/>
        <v>0</v>
      </c>
      <c r="N14" s="2589"/>
      <c r="O14" s="2560"/>
      <c r="P14" s="2560"/>
      <c r="Q14" s="252">
        <f t="shared" si="1"/>
        <v>0</v>
      </c>
      <c r="R14" s="2560"/>
      <c r="S14" s="2589"/>
      <c r="T14" s="2560"/>
      <c r="U14" s="1450" t="s">
        <v>10476</v>
      </c>
      <c r="V14" s="1451" t="s">
        <v>10477</v>
      </c>
      <c r="W14" s="768"/>
      <c r="X14" s="768"/>
      <c r="Y14" s="222"/>
      <c r="Z14" s="197"/>
      <c r="AA14" s="222"/>
      <c r="AB14" s="2560"/>
      <c r="AC14" s="2560"/>
      <c r="AD14" s="2560"/>
      <c r="AE14" s="2560"/>
      <c r="AF14" s="2560"/>
      <c r="AG14" s="2560"/>
    </row>
    <row r="15" spans="1:33" ht="15.75" customHeight="1">
      <c r="A15" s="222"/>
      <c r="B15" s="730" t="s">
        <v>10478</v>
      </c>
      <c r="C15" s="731" t="s">
        <v>138</v>
      </c>
      <c r="D15" s="731">
        <v>0</v>
      </c>
      <c r="E15" s="1589">
        <v>1</v>
      </c>
      <c r="F15" s="1133"/>
      <c r="G15" s="197"/>
      <c r="H15" s="734" t="s">
        <v>10479</v>
      </c>
      <c r="I15" s="222"/>
      <c r="J15" s="1122" t="s">
        <v>10480</v>
      </c>
      <c r="K15" s="222"/>
      <c r="L15" s="2589"/>
      <c r="M15" s="1121">
        <f t="shared" si="0"/>
        <v>0</v>
      </c>
      <c r="N15" s="2589"/>
      <c r="O15" s="2560"/>
      <c r="P15" s="2560"/>
      <c r="Q15" s="252">
        <f t="shared" si="1"/>
        <v>0</v>
      </c>
      <c r="R15" s="2560"/>
      <c r="S15" s="2589"/>
      <c r="T15" s="2560"/>
      <c r="U15" s="1450" t="s">
        <v>10478</v>
      </c>
      <c r="V15" s="1451" t="s">
        <v>10481</v>
      </c>
      <c r="W15" s="768"/>
      <c r="X15" s="768"/>
      <c r="Y15" s="222"/>
      <c r="Z15" s="197"/>
      <c r="AA15" s="222"/>
      <c r="AB15" s="2560"/>
      <c r="AC15" s="2560"/>
      <c r="AD15" s="2560"/>
      <c r="AE15" s="2560"/>
      <c r="AF15" s="2560"/>
      <c r="AG15" s="2560"/>
    </row>
    <row r="16" spans="1:33" ht="15.75" customHeight="1">
      <c r="A16" s="222"/>
      <c r="B16" s="730" t="s">
        <v>10482</v>
      </c>
      <c r="C16" s="731" t="s">
        <v>1341</v>
      </c>
      <c r="D16" s="731">
        <v>2</v>
      </c>
      <c r="E16" s="1134">
        <v>43.069287671232907</v>
      </c>
      <c r="F16" s="1133"/>
      <c r="G16" s="197"/>
      <c r="H16" s="734" t="s">
        <v>10483</v>
      </c>
      <c r="I16" s="222"/>
      <c r="J16" s="1122"/>
      <c r="K16" s="222"/>
      <c r="L16" s="2589"/>
      <c r="M16" s="1121">
        <f t="shared" si="0"/>
        <v>0</v>
      </c>
      <c r="N16" s="2589"/>
      <c r="O16" s="2560"/>
      <c r="P16" s="2560"/>
      <c r="Q16" s="252">
        <f t="shared" si="1"/>
        <v>0</v>
      </c>
      <c r="R16" s="2560"/>
      <c r="S16" s="2589"/>
      <c r="T16" s="2560"/>
      <c r="U16" s="1450" t="s">
        <v>10484</v>
      </c>
      <c r="V16" s="1451" t="s">
        <v>10485</v>
      </c>
      <c r="W16" s="768"/>
      <c r="X16" s="768"/>
      <c r="Y16" s="222"/>
      <c r="Z16" s="197"/>
      <c r="AA16" s="222"/>
      <c r="AB16" s="2560"/>
      <c r="AC16" s="2560"/>
      <c r="AD16" s="2560"/>
      <c r="AE16" s="2560"/>
      <c r="AF16" s="2560"/>
      <c r="AG16" s="2560"/>
    </row>
    <row r="17" spans="1:33" ht="15.75" customHeight="1">
      <c r="A17" s="222"/>
      <c r="B17" s="730" t="s">
        <v>10486</v>
      </c>
      <c r="C17" s="731" t="s">
        <v>138</v>
      </c>
      <c r="D17" s="731">
        <v>0</v>
      </c>
      <c r="E17" s="1589">
        <v>1</v>
      </c>
      <c r="F17" s="1133"/>
      <c r="G17" s="197"/>
      <c r="H17" s="734" t="s">
        <v>10487</v>
      </c>
      <c r="I17" s="222"/>
      <c r="J17" s="1122" t="s">
        <v>10342</v>
      </c>
      <c r="K17" s="222"/>
      <c r="L17" s="2589"/>
      <c r="M17" s="1121">
        <f t="shared" si="0"/>
        <v>0</v>
      </c>
      <c r="N17" s="2589"/>
      <c r="O17" s="2560"/>
      <c r="P17" s="2560"/>
      <c r="Q17" s="252">
        <f t="shared" si="1"/>
        <v>0</v>
      </c>
      <c r="R17" s="2560"/>
      <c r="S17" s="2589"/>
      <c r="T17" s="2560"/>
      <c r="U17" s="1450" t="s">
        <v>10486</v>
      </c>
      <c r="V17" s="1451" t="s">
        <v>10488</v>
      </c>
      <c r="W17" s="768"/>
      <c r="X17" s="768"/>
      <c r="Y17" s="222"/>
      <c r="Z17" s="197"/>
      <c r="AA17" s="222"/>
      <c r="AB17" s="2560"/>
      <c r="AC17" s="2560"/>
      <c r="AD17" s="2560"/>
      <c r="AE17" s="2560"/>
      <c r="AF17" s="2560"/>
      <c r="AG17" s="2560"/>
    </row>
    <row r="18" spans="1:33" ht="15.75" customHeight="1">
      <c r="A18" s="222"/>
      <c r="B18" s="730" t="s">
        <v>10489</v>
      </c>
      <c r="C18" s="731" t="s">
        <v>1341</v>
      </c>
      <c r="D18" s="731">
        <v>2</v>
      </c>
      <c r="E18" s="1134">
        <v>2.5</v>
      </c>
      <c r="F18" s="1133"/>
      <c r="G18" s="197"/>
      <c r="H18" s="734" t="s">
        <v>10490</v>
      </c>
      <c r="I18" s="222"/>
      <c r="J18" s="1122"/>
      <c r="K18" s="222"/>
      <c r="L18" s="2589"/>
      <c r="M18" s="1121">
        <f t="shared" si="0"/>
        <v>0</v>
      </c>
      <c r="N18" s="2589"/>
      <c r="O18" s="2560"/>
      <c r="P18" s="2560"/>
      <c r="Q18" s="252">
        <f t="shared" si="1"/>
        <v>0</v>
      </c>
      <c r="R18" s="2560"/>
      <c r="S18" s="2589"/>
      <c r="T18" s="2560"/>
      <c r="U18" s="1450" t="s">
        <v>10491</v>
      </c>
      <c r="V18" s="1451" t="s">
        <v>10492</v>
      </c>
      <c r="W18" s="768"/>
      <c r="X18" s="768"/>
      <c r="Y18" s="222"/>
      <c r="Z18" s="197"/>
      <c r="AA18" s="222"/>
      <c r="AB18" s="2560"/>
      <c r="AC18" s="2560"/>
      <c r="AD18" s="2560"/>
      <c r="AE18" s="2560"/>
      <c r="AF18" s="2560"/>
      <c r="AG18" s="2560"/>
    </row>
    <row r="19" spans="1:33" ht="33" customHeight="1" thickBot="1">
      <c r="A19" s="222"/>
      <c r="B19" s="765" t="s">
        <v>10493</v>
      </c>
      <c r="C19" s="741" t="s">
        <v>1385</v>
      </c>
      <c r="D19" s="741">
        <v>2</v>
      </c>
      <c r="E19" s="1144">
        <v>0</v>
      </c>
      <c r="F19" s="1136"/>
      <c r="G19" s="197"/>
      <c r="H19" s="744" t="s">
        <v>10494</v>
      </c>
      <c r="I19" s="222"/>
      <c r="J19" s="1126"/>
      <c r="K19" s="222"/>
      <c r="L19" s="2589"/>
      <c r="M19" s="1121">
        <f t="shared" si="0"/>
        <v>0</v>
      </c>
      <c r="N19" s="2589"/>
      <c r="O19" s="2560"/>
      <c r="P19" s="2560"/>
      <c r="Q19" s="252">
        <f t="shared" si="1"/>
        <v>0</v>
      </c>
      <c r="R19" s="2560"/>
      <c r="S19" s="2589"/>
      <c r="T19" s="2560"/>
      <c r="U19" s="1452" t="s">
        <v>10493</v>
      </c>
      <c r="V19" s="1453" t="s">
        <v>10495</v>
      </c>
      <c r="W19" s="768"/>
      <c r="X19" s="768"/>
      <c r="Y19" s="222"/>
      <c r="Z19" s="197"/>
      <c r="AA19" s="222"/>
      <c r="AB19" s="2560"/>
      <c r="AC19" s="2560"/>
      <c r="AD19" s="2560"/>
      <c r="AE19" s="2560"/>
      <c r="AF19" s="2560"/>
      <c r="AG19" s="2560"/>
    </row>
    <row r="20" spans="1:33" ht="15.75" customHeight="1" thickTop="1" thickBot="1">
      <c r="A20" s="222"/>
      <c r="B20" s="327"/>
      <c r="C20" s="327"/>
      <c r="D20" s="327"/>
      <c r="E20" s="83"/>
      <c r="F20" s="83"/>
      <c r="G20" s="106"/>
      <c r="H20" s="1137"/>
      <c r="I20" s="222"/>
      <c r="J20" s="222"/>
      <c r="K20" s="222"/>
      <c r="L20" s="2589"/>
      <c r="M20" s="2560"/>
      <c r="N20" s="2589"/>
      <c r="O20" s="2560"/>
      <c r="P20" s="2560"/>
      <c r="Q20" s="2560"/>
      <c r="R20" s="2560"/>
      <c r="S20" s="2589"/>
      <c r="T20" s="2560"/>
      <c r="U20" s="327"/>
      <c r="V20" s="327"/>
      <c r="W20" s="327"/>
      <c r="X20" s="83"/>
      <c r="Y20" s="83"/>
      <c r="Z20" s="106"/>
      <c r="AA20" s="222"/>
      <c r="AB20" s="2560"/>
      <c r="AC20" s="2560"/>
      <c r="AD20" s="2560"/>
      <c r="AE20" s="2560"/>
      <c r="AF20" s="2560"/>
      <c r="AG20" s="2560"/>
    </row>
    <row r="21" spans="1:33" ht="15.75" customHeight="1" thickTop="1">
      <c r="A21" s="222"/>
      <c r="B21" s="2686" t="s">
        <v>10496</v>
      </c>
      <c r="C21" s="2667" t="s">
        <v>10497</v>
      </c>
      <c r="D21" s="2667"/>
      <c r="E21" s="2667" t="s">
        <v>10498</v>
      </c>
      <c r="F21" s="2669"/>
      <c r="G21" s="222"/>
      <c r="H21" s="222"/>
      <c r="I21" s="222"/>
      <c r="J21" s="222"/>
      <c r="K21" s="222"/>
      <c r="L21" s="2589"/>
      <c r="M21" s="2560"/>
      <c r="N21" s="2589"/>
      <c r="O21" s="2560"/>
      <c r="P21" s="2560"/>
      <c r="Q21" s="2560"/>
      <c r="R21" s="2560"/>
      <c r="S21" s="2589"/>
      <c r="T21" s="2560"/>
      <c r="U21" s="2686" t="s">
        <v>10496</v>
      </c>
      <c r="V21" s="2667" t="s">
        <v>10497</v>
      </c>
      <c r="W21" s="2667"/>
      <c r="X21" s="2667" t="s">
        <v>10498</v>
      </c>
      <c r="Y21" s="2669"/>
      <c r="Z21" s="222"/>
      <c r="AA21" s="222"/>
      <c r="AB21" s="2560"/>
      <c r="AC21" s="2560"/>
      <c r="AD21" s="2560"/>
      <c r="AE21" s="2560"/>
      <c r="AF21" s="2560"/>
      <c r="AG21" s="2560"/>
    </row>
    <row r="22" spans="1:33" ht="15.75" customHeight="1">
      <c r="A22" s="222"/>
      <c r="B22" s="2769"/>
      <c r="C22" s="389" t="s">
        <v>10499</v>
      </c>
      <c r="D22" s="389" t="s">
        <v>10500</v>
      </c>
      <c r="E22" s="389" t="s">
        <v>10499</v>
      </c>
      <c r="F22" s="390" t="s">
        <v>10500</v>
      </c>
      <c r="G22" s="222"/>
      <c r="H22" s="222"/>
      <c r="I22" s="222"/>
      <c r="J22" s="222"/>
      <c r="K22" s="222"/>
      <c r="L22" s="2589"/>
      <c r="M22" s="2560"/>
      <c r="N22" s="2589"/>
      <c r="O22" s="2560"/>
      <c r="P22" s="2560"/>
      <c r="Q22" s="2560"/>
      <c r="R22" s="2560"/>
      <c r="S22" s="2589"/>
      <c r="T22" s="2560"/>
      <c r="U22" s="2769"/>
      <c r="V22" s="389" t="s">
        <v>10499</v>
      </c>
      <c r="W22" s="389" t="s">
        <v>10500</v>
      </c>
      <c r="X22" s="389" t="s">
        <v>10499</v>
      </c>
      <c r="Y22" s="390" t="s">
        <v>10500</v>
      </c>
      <c r="Z22" s="222"/>
      <c r="AA22" s="222"/>
      <c r="AB22" s="2560"/>
      <c r="AC22" s="2560"/>
      <c r="AD22" s="2560"/>
      <c r="AE22" s="2560"/>
      <c r="AF22" s="2560"/>
      <c r="AG22" s="2560"/>
    </row>
    <row r="23" spans="1:33" ht="15.75" customHeight="1">
      <c r="A23" s="222"/>
      <c r="B23" s="391" t="s">
        <v>1892</v>
      </c>
      <c r="C23" s="389" t="s">
        <v>1341</v>
      </c>
      <c r="D23" s="389" t="s">
        <v>138</v>
      </c>
      <c r="E23" s="389" t="s">
        <v>1341</v>
      </c>
      <c r="F23" s="390" t="s">
        <v>138</v>
      </c>
      <c r="G23" s="222"/>
      <c r="H23" s="222"/>
      <c r="I23" s="222"/>
      <c r="J23" s="222"/>
      <c r="K23" s="222"/>
      <c r="L23" s="2589"/>
      <c r="M23" s="2560"/>
      <c r="N23" s="2589"/>
      <c r="O23" s="2560"/>
      <c r="P23" s="2560"/>
      <c r="Q23" s="2560"/>
      <c r="R23" s="2560"/>
      <c r="S23" s="2589"/>
      <c r="T23" s="2560"/>
      <c r="U23" s="391" t="s">
        <v>1892</v>
      </c>
      <c r="V23" s="389" t="s">
        <v>1341</v>
      </c>
      <c r="W23" s="389" t="s">
        <v>138</v>
      </c>
      <c r="X23" s="389" t="s">
        <v>1341</v>
      </c>
      <c r="Y23" s="390" t="s">
        <v>138</v>
      </c>
      <c r="Z23" s="222"/>
      <c r="AA23" s="222"/>
      <c r="AB23" s="2560"/>
      <c r="AC23" s="2560"/>
      <c r="AD23" s="2560"/>
      <c r="AE23" s="2560"/>
      <c r="AF23" s="2560"/>
      <c r="AG23" s="2560"/>
    </row>
    <row r="24" spans="1:33" ht="15.75" customHeight="1" thickBot="1">
      <c r="A24" s="222"/>
      <c r="B24" s="1138" t="s">
        <v>136</v>
      </c>
      <c r="C24" s="1139">
        <v>2</v>
      </c>
      <c r="D24" s="1139">
        <v>0</v>
      </c>
      <c r="E24" s="1139">
        <v>2</v>
      </c>
      <c r="F24" s="1140">
        <v>0</v>
      </c>
      <c r="G24" s="222"/>
      <c r="H24" s="222"/>
      <c r="I24" s="222"/>
      <c r="J24" s="222"/>
      <c r="K24" s="222"/>
      <c r="L24" s="2589"/>
      <c r="M24" s="2560"/>
      <c r="N24" s="2589"/>
      <c r="O24" s="2560"/>
      <c r="P24" s="2560"/>
      <c r="Q24" s="2560"/>
      <c r="R24" s="2560"/>
      <c r="S24" s="2589"/>
      <c r="T24" s="2560"/>
      <c r="U24" s="1138" t="s">
        <v>136</v>
      </c>
      <c r="V24" s="1139">
        <v>2</v>
      </c>
      <c r="W24" s="1139">
        <v>0</v>
      </c>
      <c r="X24" s="1139">
        <v>2</v>
      </c>
      <c r="Y24" s="1140">
        <v>0</v>
      </c>
      <c r="Z24" s="222"/>
      <c r="AA24" s="222"/>
      <c r="AB24" s="2560"/>
      <c r="AC24" s="2560"/>
      <c r="AD24" s="2560"/>
      <c r="AE24" s="2560"/>
      <c r="AF24" s="2560"/>
      <c r="AG24" s="2560"/>
    </row>
    <row r="25" spans="1:33" ht="15.75" customHeight="1" thickTop="1">
      <c r="A25" s="222"/>
      <c r="B25" s="726" t="s">
        <v>10501</v>
      </c>
      <c r="C25" s="1141">
        <v>0</v>
      </c>
      <c r="D25" s="1588">
        <v>0</v>
      </c>
      <c r="E25" s="1141">
        <v>3.73</v>
      </c>
      <c r="F25" s="1592">
        <v>1</v>
      </c>
      <c r="G25" s="197"/>
      <c r="H25" s="729" t="s">
        <v>10502</v>
      </c>
      <c r="I25" s="222"/>
      <c r="J25" s="1120"/>
      <c r="K25" s="222"/>
      <c r="L25" s="2589"/>
      <c r="M25" s="1121">
        <f t="shared" ref="M25:M31" si="2">IF( SUM( O25:R25 ) = 0, 0, $O$5 )</f>
        <v>0</v>
      </c>
      <c r="N25" s="2589"/>
      <c r="O25" s="252">
        <f t="shared" ref="O25:O31" si="3" xml:space="preserve"> IF( ISNUMBER(C25 ), 0, 1 )</f>
        <v>0</v>
      </c>
      <c r="P25" s="252">
        <f t="shared" ref="P25:P31" si="4" xml:space="preserve"> IF( ISNUMBER(D25 ), 0, 1 )</f>
        <v>0</v>
      </c>
      <c r="Q25" s="252">
        <f t="shared" ref="Q25:Q31" si="5" xml:space="preserve"> IF( ISNUMBER(E25 ), 0, 1 )</f>
        <v>0</v>
      </c>
      <c r="R25" s="252">
        <f t="shared" ref="R25:R31" si="6" xml:space="preserve"> IF( ISNUMBER(F25 ), 0, 1 )</f>
        <v>0</v>
      </c>
      <c r="S25" s="2589"/>
      <c r="T25" s="2560"/>
      <c r="U25" s="726" t="s">
        <v>10501</v>
      </c>
      <c r="V25" s="1141" t="s">
        <v>10503</v>
      </c>
      <c r="W25" s="757" t="s">
        <v>10504</v>
      </c>
      <c r="X25" s="1141" t="s">
        <v>10505</v>
      </c>
      <c r="Y25" s="1142" t="s">
        <v>10506</v>
      </c>
      <c r="Z25" s="197"/>
      <c r="AA25" s="222"/>
      <c r="AB25" s="2560"/>
      <c r="AC25" s="2560"/>
      <c r="AD25" s="2560"/>
      <c r="AE25" s="2560"/>
      <c r="AF25" s="2560"/>
      <c r="AG25" s="2560"/>
    </row>
    <row r="26" spans="1:33" ht="15.75" customHeight="1">
      <c r="A26" s="222"/>
      <c r="B26" s="730" t="s">
        <v>10507</v>
      </c>
      <c r="C26" s="1134">
        <v>0</v>
      </c>
      <c r="D26" s="1589">
        <v>0</v>
      </c>
      <c r="E26" s="1134">
        <v>0</v>
      </c>
      <c r="F26" s="1593">
        <v>0</v>
      </c>
      <c r="G26" s="197"/>
      <c r="H26" s="734" t="s">
        <v>10508</v>
      </c>
      <c r="I26" s="222"/>
      <c r="J26" s="1122"/>
      <c r="K26" s="222"/>
      <c r="L26" s="2589"/>
      <c r="M26" s="1121">
        <f t="shared" si="2"/>
        <v>0</v>
      </c>
      <c r="N26" s="2589"/>
      <c r="O26" s="252">
        <f t="shared" si="3"/>
        <v>0</v>
      </c>
      <c r="P26" s="252">
        <f t="shared" si="4"/>
        <v>0</v>
      </c>
      <c r="Q26" s="252">
        <f t="shared" si="5"/>
        <v>0</v>
      </c>
      <c r="R26" s="252">
        <f t="shared" si="6"/>
        <v>0</v>
      </c>
      <c r="S26" s="2589"/>
      <c r="T26" s="2560"/>
      <c r="U26" s="730" t="s">
        <v>10507</v>
      </c>
      <c r="V26" s="1134" t="s">
        <v>10509</v>
      </c>
      <c r="W26" s="738" t="s">
        <v>10510</v>
      </c>
      <c r="X26" s="1134" t="s">
        <v>10511</v>
      </c>
      <c r="Y26" s="1143" t="s">
        <v>10512</v>
      </c>
      <c r="Z26" s="197"/>
      <c r="AA26" s="222"/>
      <c r="AB26" s="2560"/>
      <c r="AC26" s="2560"/>
      <c r="AD26" s="2560"/>
      <c r="AE26" s="2560"/>
      <c r="AF26" s="2560"/>
      <c r="AG26" s="2560"/>
    </row>
    <row r="27" spans="1:33" ht="15.75" customHeight="1">
      <c r="A27" s="222"/>
      <c r="B27" s="730" t="s">
        <v>10513</v>
      </c>
      <c r="C27" s="1134">
        <v>0</v>
      </c>
      <c r="D27" s="1589">
        <v>0</v>
      </c>
      <c r="E27" s="1134">
        <v>50.38</v>
      </c>
      <c r="F27" s="1593">
        <v>13</v>
      </c>
      <c r="G27" s="197"/>
      <c r="H27" s="734" t="s">
        <v>10514</v>
      </c>
      <c r="I27" s="222"/>
      <c r="J27" s="1122"/>
      <c r="K27" s="222"/>
      <c r="L27" s="2589"/>
      <c r="M27" s="1121">
        <f t="shared" si="2"/>
        <v>0</v>
      </c>
      <c r="N27" s="2589"/>
      <c r="O27" s="252">
        <f t="shared" si="3"/>
        <v>0</v>
      </c>
      <c r="P27" s="252">
        <f t="shared" si="4"/>
        <v>0</v>
      </c>
      <c r="Q27" s="252">
        <f t="shared" si="5"/>
        <v>0</v>
      </c>
      <c r="R27" s="252">
        <f t="shared" si="6"/>
        <v>0</v>
      </c>
      <c r="S27" s="2589"/>
      <c r="T27" s="2560"/>
      <c r="U27" s="730" t="s">
        <v>10513</v>
      </c>
      <c r="V27" s="1134" t="s">
        <v>10515</v>
      </c>
      <c r="W27" s="738" t="s">
        <v>10516</v>
      </c>
      <c r="X27" s="1134" t="s">
        <v>10517</v>
      </c>
      <c r="Y27" s="1143" t="s">
        <v>10518</v>
      </c>
      <c r="Z27" s="197"/>
      <c r="AA27" s="222"/>
      <c r="AB27" s="2560"/>
      <c r="AC27" s="2560"/>
      <c r="AD27" s="2560"/>
      <c r="AE27" s="2560"/>
      <c r="AF27" s="2560"/>
      <c r="AG27" s="2560"/>
    </row>
    <row r="28" spans="1:33" ht="15.75" customHeight="1">
      <c r="A28" s="222"/>
      <c r="B28" s="730" t="s">
        <v>10519</v>
      </c>
      <c r="C28" s="1134">
        <v>395.85500000000002</v>
      </c>
      <c r="D28" s="1589">
        <v>12</v>
      </c>
      <c r="E28" s="1134">
        <v>0.42</v>
      </c>
      <c r="F28" s="1593">
        <v>1</v>
      </c>
      <c r="G28" s="197"/>
      <c r="H28" s="734" t="s">
        <v>10520</v>
      </c>
      <c r="I28" s="222"/>
      <c r="J28" s="1122"/>
      <c r="K28" s="222"/>
      <c r="L28" s="2589"/>
      <c r="M28" s="1121">
        <f t="shared" si="2"/>
        <v>0</v>
      </c>
      <c r="N28" s="2589"/>
      <c r="O28" s="252">
        <f t="shared" si="3"/>
        <v>0</v>
      </c>
      <c r="P28" s="252">
        <f t="shared" si="4"/>
        <v>0</v>
      </c>
      <c r="Q28" s="252">
        <f t="shared" si="5"/>
        <v>0</v>
      </c>
      <c r="R28" s="252">
        <f t="shared" si="6"/>
        <v>0</v>
      </c>
      <c r="S28" s="2589"/>
      <c r="T28" s="2560"/>
      <c r="U28" s="730" t="s">
        <v>10519</v>
      </c>
      <c r="V28" s="1134" t="s">
        <v>10521</v>
      </c>
      <c r="W28" s="738" t="s">
        <v>10522</v>
      </c>
      <c r="X28" s="1134" t="s">
        <v>10523</v>
      </c>
      <c r="Y28" s="1143" t="s">
        <v>10524</v>
      </c>
      <c r="Z28" s="197"/>
      <c r="AA28" s="222"/>
      <c r="AB28" s="2560"/>
      <c r="AC28" s="2560"/>
      <c r="AD28" s="2560"/>
      <c r="AE28" s="2560"/>
      <c r="AF28" s="2560"/>
      <c r="AG28" s="2560"/>
    </row>
    <row r="29" spans="1:33" ht="15.75" customHeight="1">
      <c r="A29" s="222"/>
      <c r="B29" s="730" t="s">
        <v>10525</v>
      </c>
      <c r="C29" s="1134">
        <v>210.02</v>
      </c>
      <c r="D29" s="1589">
        <v>8</v>
      </c>
      <c r="E29" s="1134">
        <v>123.52</v>
      </c>
      <c r="F29" s="1593">
        <v>7</v>
      </c>
      <c r="G29" s="197"/>
      <c r="H29" s="734" t="s">
        <v>10526</v>
      </c>
      <c r="I29" s="222"/>
      <c r="J29" s="1122"/>
      <c r="K29" s="222"/>
      <c r="L29" s="2589"/>
      <c r="M29" s="1121">
        <f t="shared" si="2"/>
        <v>0</v>
      </c>
      <c r="N29" s="2589"/>
      <c r="O29" s="252">
        <f t="shared" si="3"/>
        <v>0</v>
      </c>
      <c r="P29" s="252">
        <f t="shared" si="4"/>
        <v>0</v>
      </c>
      <c r="Q29" s="252">
        <f t="shared" si="5"/>
        <v>0</v>
      </c>
      <c r="R29" s="252">
        <f t="shared" si="6"/>
        <v>0</v>
      </c>
      <c r="S29" s="2589"/>
      <c r="T29" s="2560"/>
      <c r="U29" s="730" t="s">
        <v>10525</v>
      </c>
      <c r="V29" s="1134" t="s">
        <v>10527</v>
      </c>
      <c r="W29" s="738" t="s">
        <v>10528</v>
      </c>
      <c r="X29" s="1134" t="s">
        <v>10529</v>
      </c>
      <c r="Y29" s="1143" t="s">
        <v>10530</v>
      </c>
      <c r="Z29" s="197"/>
      <c r="AA29" s="222"/>
      <c r="AB29" s="2560"/>
      <c r="AC29" s="2560"/>
      <c r="AD29" s="2560"/>
      <c r="AE29" s="2560"/>
      <c r="AF29" s="2560"/>
      <c r="AG29" s="2560"/>
    </row>
    <row r="30" spans="1:33" ht="15.75" customHeight="1">
      <c r="A30" s="222"/>
      <c r="B30" s="730" t="s">
        <v>10531</v>
      </c>
      <c r="C30" s="1134">
        <v>409.88099999999997</v>
      </c>
      <c r="D30" s="1589">
        <v>7</v>
      </c>
      <c r="E30" s="1134">
        <v>71.38</v>
      </c>
      <c r="F30" s="1593">
        <v>1</v>
      </c>
      <c r="G30" s="197"/>
      <c r="H30" s="734" t="s">
        <v>10532</v>
      </c>
      <c r="I30" s="222"/>
      <c r="J30" s="1122"/>
      <c r="K30" s="222"/>
      <c r="L30" s="2589"/>
      <c r="M30" s="1121">
        <f t="shared" si="2"/>
        <v>0</v>
      </c>
      <c r="N30" s="2589"/>
      <c r="O30" s="252">
        <f t="shared" si="3"/>
        <v>0</v>
      </c>
      <c r="P30" s="252">
        <f t="shared" si="4"/>
        <v>0</v>
      </c>
      <c r="Q30" s="252">
        <f t="shared" si="5"/>
        <v>0</v>
      </c>
      <c r="R30" s="252">
        <f t="shared" si="6"/>
        <v>0</v>
      </c>
      <c r="S30" s="2589"/>
      <c r="T30" s="2560"/>
      <c r="U30" s="730" t="s">
        <v>10531</v>
      </c>
      <c r="V30" s="1134" t="s">
        <v>10533</v>
      </c>
      <c r="W30" s="738" t="s">
        <v>10534</v>
      </c>
      <c r="X30" s="1134" t="s">
        <v>10535</v>
      </c>
      <c r="Y30" s="1143" t="s">
        <v>10536</v>
      </c>
      <c r="Z30" s="197"/>
      <c r="AA30" s="222"/>
      <c r="AB30" s="2560"/>
      <c r="AC30" s="2560"/>
      <c r="AD30" s="2560"/>
      <c r="AE30" s="2560"/>
      <c r="AF30" s="2560"/>
      <c r="AG30" s="2560"/>
    </row>
    <row r="31" spans="1:33" ht="15.75" customHeight="1" thickBot="1">
      <c r="A31" s="222"/>
      <c r="B31" s="765" t="s">
        <v>10537</v>
      </c>
      <c r="C31" s="1144">
        <v>0</v>
      </c>
      <c r="D31" s="1591">
        <v>0</v>
      </c>
      <c r="E31" s="1144">
        <v>0</v>
      </c>
      <c r="F31" s="1594">
        <v>0</v>
      </c>
      <c r="G31" s="197"/>
      <c r="H31" s="744" t="s">
        <v>10538</v>
      </c>
      <c r="I31" s="222"/>
      <c r="J31" s="1126"/>
      <c r="K31" s="222"/>
      <c r="L31" s="2589"/>
      <c r="M31" s="1121">
        <f t="shared" si="2"/>
        <v>0</v>
      </c>
      <c r="N31" s="2589"/>
      <c r="O31" s="252">
        <f t="shared" si="3"/>
        <v>0</v>
      </c>
      <c r="P31" s="252">
        <f t="shared" si="4"/>
        <v>0</v>
      </c>
      <c r="Q31" s="252">
        <f t="shared" si="5"/>
        <v>0</v>
      </c>
      <c r="R31" s="252">
        <f t="shared" si="6"/>
        <v>0</v>
      </c>
      <c r="S31" s="2589"/>
      <c r="T31" s="2560"/>
      <c r="U31" s="765" t="s">
        <v>10537</v>
      </c>
      <c r="V31" s="1144" t="s">
        <v>10539</v>
      </c>
      <c r="W31" s="1135" t="s">
        <v>10540</v>
      </c>
      <c r="X31" s="1144" t="s">
        <v>10541</v>
      </c>
      <c r="Y31" s="1145" t="s">
        <v>10542</v>
      </c>
      <c r="Z31" s="197"/>
      <c r="AA31" s="222"/>
      <c r="AB31" s="2560"/>
      <c r="AC31" s="2560"/>
      <c r="AD31" s="2560"/>
      <c r="AE31" s="2560"/>
      <c r="AF31" s="2560"/>
      <c r="AG31" s="2560"/>
    </row>
    <row r="32" spans="1:33" ht="15.75" customHeight="1" thickTop="1" thickBot="1">
      <c r="A32" s="222"/>
      <c r="B32" s="954"/>
      <c r="C32" s="222"/>
      <c r="D32" s="222"/>
      <c r="E32" s="222"/>
      <c r="F32" s="222"/>
      <c r="G32" s="106"/>
      <c r="H32" s="222"/>
      <c r="I32" s="222"/>
      <c r="J32" s="222"/>
      <c r="K32" s="222"/>
      <c r="L32" s="2589"/>
      <c r="M32" s="2560"/>
      <c r="N32" s="2589"/>
      <c r="O32" s="2560"/>
      <c r="P32" s="2560"/>
      <c r="Q32" s="2560"/>
      <c r="R32" s="2560"/>
      <c r="S32" s="2589"/>
      <c r="T32" s="2560"/>
      <c r="U32" s="222"/>
      <c r="V32" s="222"/>
      <c r="W32" s="222"/>
      <c r="X32" s="222"/>
      <c r="Y32" s="222"/>
      <c r="Z32" s="106"/>
      <c r="AA32" s="222"/>
      <c r="AB32" s="2560"/>
      <c r="AC32" s="2560"/>
      <c r="AD32" s="2560"/>
      <c r="AE32" s="2560"/>
      <c r="AF32" s="2560"/>
      <c r="AG32" s="2560"/>
    </row>
    <row r="33" spans="1:33" ht="15.75" customHeight="1" thickTop="1">
      <c r="A33" s="222"/>
      <c r="B33" s="1146" t="s">
        <v>10543</v>
      </c>
      <c r="C33" s="574" t="s">
        <v>10544</v>
      </c>
      <c r="D33" s="575" t="s">
        <v>10500</v>
      </c>
      <c r="E33" s="444"/>
      <c r="F33" s="444"/>
      <c r="G33" s="106"/>
      <c r="H33" s="222"/>
      <c r="I33" s="222"/>
      <c r="J33" s="222"/>
      <c r="K33" s="222"/>
      <c r="L33" s="2589"/>
      <c r="M33" s="2560"/>
      <c r="N33" s="2589"/>
      <c r="O33" s="2560"/>
      <c r="P33" s="2560"/>
      <c r="Q33" s="2560"/>
      <c r="R33" s="2560"/>
      <c r="S33" s="2589"/>
      <c r="T33" s="2560"/>
      <c r="U33" s="1146" t="s">
        <v>10543</v>
      </c>
      <c r="V33" s="574" t="s">
        <v>10545</v>
      </c>
      <c r="W33" s="575" t="s">
        <v>10546</v>
      </c>
      <c r="X33" s="444"/>
      <c r="Y33" s="444"/>
      <c r="Z33" s="106"/>
      <c r="AA33" s="222"/>
      <c r="AB33" s="2560"/>
      <c r="AC33" s="2560"/>
      <c r="AD33" s="2560"/>
      <c r="AE33" s="2560"/>
      <c r="AF33" s="2560"/>
      <c r="AG33" s="2560"/>
    </row>
    <row r="34" spans="1:33" ht="15.75" customHeight="1">
      <c r="A34" s="222"/>
      <c r="B34" s="391" t="s">
        <v>1892</v>
      </c>
      <c r="C34" s="389" t="s">
        <v>10547</v>
      </c>
      <c r="D34" s="390" t="s">
        <v>138</v>
      </c>
      <c r="E34" s="444"/>
      <c r="F34" s="444"/>
      <c r="G34" s="106"/>
      <c r="H34" s="222"/>
      <c r="I34" s="222"/>
      <c r="J34" s="222"/>
      <c r="K34" s="222"/>
      <c r="L34" s="2589"/>
      <c r="M34" s="2560"/>
      <c r="N34" s="2589"/>
      <c r="O34" s="2560"/>
      <c r="P34" s="2560"/>
      <c r="Q34" s="2560"/>
      <c r="R34" s="2560"/>
      <c r="S34" s="2589"/>
      <c r="T34" s="2560"/>
      <c r="U34" s="391" t="s">
        <v>1892</v>
      </c>
      <c r="V34" s="389" t="s">
        <v>10547</v>
      </c>
      <c r="W34" s="390" t="s">
        <v>138</v>
      </c>
      <c r="X34" s="444"/>
      <c r="Y34" s="444"/>
      <c r="Z34" s="106"/>
      <c r="AA34" s="222"/>
      <c r="AB34" s="2560"/>
      <c r="AC34" s="2560"/>
      <c r="AD34" s="2560"/>
      <c r="AE34" s="2560"/>
      <c r="AF34" s="2560"/>
      <c r="AG34" s="2560"/>
    </row>
    <row r="35" spans="1:33" ht="15.75" customHeight="1" thickBot="1">
      <c r="A35" s="222"/>
      <c r="B35" s="1138" t="s">
        <v>136</v>
      </c>
      <c r="C35" s="1139">
        <v>1</v>
      </c>
      <c r="D35" s="1140">
        <v>0</v>
      </c>
      <c r="E35" s="444"/>
      <c r="F35" s="444"/>
      <c r="G35" s="106"/>
      <c r="H35" s="222"/>
      <c r="I35" s="222"/>
      <c r="J35" s="222"/>
      <c r="K35" s="222"/>
      <c r="L35" s="2589"/>
      <c r="M35" s="2560"/>
      <c r="N35" s="2589"/>
      <c r="O35" s="2560"/>
      <c r="P35" s="2560"/>
      <c r="Q35" s="2560"/>
      <c r="R35" s="2560"/>
      <c r="S35" s="2589"/>
      <c r="T35" s="2560"/>
      <c r="U35" s="1138" t="s">
        <v>136</v>
      </c>
      <c r="V35" s="1139">
        <v>1</v>
      </c>
      <c r="W35" s="1140">
        <v>0</v>
      </c>
      <c r="X35" s="444"/>
      <c r="Y35" s="444"/>
      <c r="Z35" s="106"/>
      <c r="AA35" s="222"/>
      <c r="AB35" s="2560"/>
      <c r="AC35" s="2560"/>
      <c r="AD35" s="2560"/>
      <c r="AE35" s="2560"/>
      <c r="AF35" s="2560"/>
      <c r="AG35" s="2560"/>
    </row>
    <row r="36" spans="1:33" ht="15.75" customHeight="1" thickTop="1">
      <c r="A36" s="222"/>
      <c r="B36" s="726" t="s">
        <v>10548</v>
      </c>
      <c r="C36" s="1455">
        <v>0.3</v>
      </c>
      <c r="D36" s="1588">
        <v>7</v>
      </c>
      <c r="E36" s="1147"/>
      <c r="F36" s="1148"/>
      <c r="G36" s="197"/>
      <c r="H36" s="729" t="s">
        <v>10549</v>
      </c>
      <c r="I36" s="222"/>
      <c r="J36" s="1120"/>
      <c r="K36" s="222"/>
      <c r="L36" s="2589"/>
      <c r="M36" s="1121">
        <f t="shared" ref="M36:M43" si="7">IF( SUM( O36:R36 ) = 0, 0, $O$5 )</f>
        <v>0</v>
      </c>
      <c r="N36" s="2589"/>
      <c r="O36" s="252">
        <f t="shared" ref="O36:O43" si="8" xml:space="preserve"> IF( ISNUMBER(C36 ), 0, 1 )</f>
        <v>0</v>
      </c>
      <c r="P36" s="252">
        <f t="shared" ref="P36:P43" si="9" xml:space="preserve"> IF( ISNUMBER(D36 ), 0, 1 )</f>
        <v>0</v>
      </c>
      <c r="Q36" s="2560"/>
      <c r="R36" s="2560"/>
      <c r="S36" s="2589"/>
      <c r="T36" s="2560"/>
      <c r="U36" s="1448" t="s">
        <v>10548</v>
      </c>
      <c r="V36" s="1454" t="s">
        <v>10550</v>
      </c>
      <c r="W36" s="1449" t="s">
        <v>10551</v>
      </c>
      <c r="X36" s="768"/>
      <c r="Y36" s="768"/>
      <c r="Z36" s="197"/>
      <c r="AA36" s="222"/>
      <c r="AB36" s="2560"/>
      <c r="AC36" s="2560"/>
      <c r="AD36" s="2560"/>
      <c r="AE36" s="2560"/>
      <c r="AF36" s="2560"/>
      <c r="AG36" s="2560"/>
    </row>
    <row r="37" spans="1:33" ht="15.75" customHeight="1">
      <c r="A37" s="222"/>
      <c r="B37" s="730" t="s">
        <v>10552</v>
      </c>
      <c r="C37" s="1456">
        <v>0.8</v>
      </c>
      <c r="D37" s="1589">
        <v>3</v>
      </c>
      <c r="E37" s="1149"/>
      <c r="F37" s="1150"/>
      <c r="G37" s="197"/>
      <c r="H37" s="734" t="s">
        <v>10553</v>
      </c>
      <c r="I37" s="222"/>
      <c r="J37" s="1122"/>
      <c r="K37" s="222"/>
      <c r="L37" s="2589"/>
      <c r="M37" s="1121">
        <f t="shared" si="7"/>
        <v>0</v>
      </c>
      <c r="N37" s="2589"/>
      <c r="O37" s="252">
        <f t="shared" si="8"/>
        <v>0</v>
      </c>
      <c r="P37" s="252">
        <f t="shared" si="9"/>
        <v>0</v>
      </c>
      <c r="Q37" s="2560"/>
      <c r="R37" s="2560"/>
      <c r="S37" s="2589"/>
      <c r="T37" s="2560"/>
      <c r="U37" s="1450" t="s">
        <v>10552</v>
      </c>
      <c r="V37" s="1447" t="s">
        <v>10554</v>
      </c>
      <c r="W37" s="1451" t="s">
        <v>10555</v>
      </c>
      <c r="X37" s="768"/>
      <c r="Y37" s="768"/>
      <c r="Z37" s="197"/>
      <c r="AA37" s="222"/>
      <c r="AB37" s="2560"/>
      <c r="AC37" s="2560"/>
      <c r="AD37" s="2560"/>
      <c r="AE37" s="2560"/>
      <c r="AF37" s="2560"/>
      <c r="AG37" s="2560"/>
    </row>
    <row r="38" spans="1:33" ht="15.75" customHeight="1">
      <c r="A38" s="222"/>
      <c r="B38" s="730" t="s">
        <v>10556</v>
      </c>
      <c r="C38" s="1456">
        <v>4.4000000000000004</v>
      </c>
      <c r="D38" s="1589">
        <v>9</v>
      </c>
      <c r="E38" s="1149"/>
      <c r="F38" s="1150"/>
      <c r="G38" s="197"/>
      <c r="H38" s="734" t="s">
        <v>10557</v>
      </c>
      <c r="I38" s="222"/>
      <c r="J38" s="1122"/>
      <c r="K38" s="222"/>
      <c r="L38" s="2589"/>
      <c r="M38" s="1121">
        <f t="shared" si="7"/>
        <v>0</v>
      </c>
      <c r="N38" s="2589"/>
      <c r="O38" s="252">
        <f t="shared" si="8"/>
        <v>0</v>
      </c>
      <c r="P38" s="252">
        <f t="shared" si="9"/>
        <v>0</v>
      </c>
      <c r="Q38" s="2560"/>
      <c r="R38" s="2560"/>
      <c r="S38" s="2589"/>
      <c r="T38" s="2560"/>
      <c r="U38" s="1450" t="s">
        <v>10556</v>
      </c>
      <c r="V38" s="1447" t="s">
        <v>10558</v>
      </c>
      <c r="W38" s="1451" t="s">
        <v>10559</v>
      </c>
      <c r="X38" s="768"/>
      <c r="Y38" s="768"/>
      <c r="Z38" s="197"/>
      <c r="AA38" s="222"/>
      <c r="AB38" s="2560"/>
      <c r="AC38" s="2560"/>
      <c r="AD38" s="2560"/>
      <c r="AE38" s="2560"/>
      <c r="AF38" s="2560"/>
      <c r="AG38" s="2560"/>
    </row>
    <row r="39" spans="1:33" ht="15.75" customHeight="1">
      <c r="A39" s="222"/>
      <c r="B39" s="730" t="s">
        <v>10560</v>
      </c>
      <c r="C39" s="1456">
        <v>5.9</v>
      </c>
      <c r="D39" s="1589">
        <v>6</v>
      </c>
      <c r="E39" s="1149"/>
      <c r="F39" s="1150"/>
      <c r="G39" s="197"/>
      <c r="H39" s="734" t="s">
        <v>10561</v>
      </c>
      <c r="I39" s="222"/>
      <c r="J39" s="1122"/>
      <c r="K39" s="222"/>
      <c r="L39" s="2589"/>
      <c r="M39" s="1121">
        <f t="shared" si="7"/>
        <v>0</v>
      </c>
      <c r="N39" s="2589"/>
      <c r="O39" s="252">
        <f t="shared" si="8"/>
        <v>0</v>
      </c>
      <c r="P39" s="252">
        <f t="shared" si="9"/>
        <v>0</v>
      </c>
      <c r="Q39" s="2560"/>
      <c r="R39" s="2560"/>
      <c r="S39" s="2589"/>
      <c r="T39" s="2560"/>
      <c r="U39" s="1450" t="s">
        <v>10560</v>
      </c>
      <c r="V39" s="1447" t="s">
        <v>10562</v>
      </c>
      <c r="W39" s="1451" t="s">
        <v>10563</v>
      </c>
      <c r="X39" s="768"/>
      <c r="Y39" s="768"/>
      <c r="Z39" s="197"/>
      <c r="AA39" s="222"/>
      <c r="AB39" s="2560"/>
      <c r="AC39" s="2560"/>
      <c r="AD39" s="2560"/>
      <c r="AE39" s="2560"/>
      <c r="AF39" s="2560"/>
      <c r="AG39" s="2560"/>
    </row>
    <row r="40" spans="1:33" ht="15.75" customHeight="1">
      <c r="A40" s="222"/>
      <c r="B40" s="730" t="s">
        <v>10564</v>
      </c>
      <c r="C40" s="1456">
        <v>21.4</v>
      </c>
      <c r="D40" s="1589">
        <v>12</v>
      </c>
      <c r="E40" s="1149"/>
      <c r="F40" s="1150"/>
      <c r="G40" s="197"/>
      <c r="H40" s="734" t="s">
        <v>10565</v>
      </c>
      <c r="I40" s="222"/>
      <c r="J40" s="1122"/>
      <c r="K40" s="222"/>
      <c r="L40" s="2589"/>
      <c r="M40" s="1121">
        <f t="shared" si="7"/>
        <v>0</v>
      </c>
      <c r="N40" s="2589"/>
      <c r="O40" s="252">
        <f t="shared" si="8"/>
        <v>0</v>
      </c>
      <c r="P40" s="252">
        <f t="shared" si="9"/>
        <v>0</v>
      </c>
      <c r="Q40" s="2560"/>
      <c r="R40" s="2560"/>
      <c r="S40" s="2589"/>
      <c r="T40" s="2560"/>
      <c r="U40" s="1450" t="s">
        <v>10564</v>
      </c>
      <c r="V40" s="1447" t="s">
        <v>10566</v>
      </c>
      <c r="W40" s="1451" t="s">
        <v>10567</v>
      </c>
      <c r="X40" s="768"/>
      <c r="Y40" s="768"/>
      <c r="Z40" s="197"/>
      <c r="AA40" s="222"/>
      <c r="AB40" s="2560"/>
      <c r="AC40" s="2560"/>
      <c r="AD40" s="2560"/>
      <c r="AE40" s="2560"/>
      <c r="AF40" s="2560"/>
      <c r="AG40" s="2560"/>
    </row>
    <row r="41" spans="1:33" ht="15.75" customHeight="1">
      <c r="A41" s="222"/>
      <c r="B41" s="730" t="s">
        <v>10568</v>
      </c>
      <c r="C41" s="1456">
        <v>31.5</v>
      </c>
      <c r="D41" s="1589">
        <v>9</v>
      </c>
      <c r="E41" s="1149"/>
      <c r="F41" s="1150"/>
      <c r="G41" s="197"/>
      <c r="H41" s="734" t="s">
        <v>10569</v>
      </c>
      <c r="I41" s="222"/>
      <c r="J41" s="1122"/>
      <c r="K41" s="222"/>
      <c r="L41" s="2589"/>
      <c r="M41" s="1121">
        <f t="shared" si="7"/>
        <v>0</v>
      </c>
      <c r="N41" s="2589"/>
      <c r="O41" s="252">
        <f t="shared" si="8"/>
        <v>0</v>
      </c>
      <c r="P41" s="252">
        <f t="shared" si="9"/>
        <v>0</v>
      </c>
      <c r="Q41" s="2560"/>
      <c r="R41" s="2560"/>
      <c r="S41" s="2589"/>
      <c r="T41" s="2560"/>
      <c r="U41" s="1450" t="s">
        <v>10568</v>
      </c>
      <c r="V41" s="1447" t="s">
        <v>10570</v>
      </c>
      <c r="W41" s="1451" t="s">
        <v>10571</v>
      </c>
      <c r="X41" s="768"/>
      <c r="Y41" s="768"/>
      <c r="Z41" s="197"/>
      <c r="AA41" s="222"/>
      <c r="AB41" s="2560"/>
      <c r="AC41" s="2560"/>
      <c r="AD41" s="2560"/>
      <c r="AE41" s="2560"/>
      <c r="AF41" s="2560"/>
      <c r="AG41" s="2560"/>
    </row>
    <row r="42" spans="1:33" ht="15.75" customHeight="1">
      <c r="A42" s="222"/>
      <c r="B42" s="730" t="s">
        <v>10572</v>
      </c>
      <c r="C42" s="1456">
        <v>11.2</v>
      </c>
      <c r="D42" s="1589">
        <v>2</v>
      </c>
      <c r="E42" s="1149"/>
      <c r="F42" s="1150"/>
      <c r="G42" s="197"/>
      <c r="H42" s="734" t="s">
        <v>10573</v>
      </c>
      <c r="I42" s="222"/>
      <c r="J42" s="1122"/>
      <c r="K42" s="222"/>
      <c r="L42" s="2589"/>
      <c r="M42" s="1121">
        <f t="shared" si="7"/>
        <v>0</v>
      </c>
      <c r="N42" s="2589"/>
      <c r="O42" s="252">
        <f t="shared" si="8"/>
        <v>0</v>
      </c>
      <c r="P42" s="252">
        <f t="shared" si="9"/>
        <v>0</v>
      </c>
      <c r="Q42" s="2560"/>
      <c r="R42" s="2560"/>
      <c r="S42" s="2589"/>
      <c r="T42" s="2560"/>
      <c r="U42" s="1450" t="s">
        <v>10572</v>
      </c>
      <c r="V42" s="1447" t="s">
        <v>10574</v>
      </c>
      <c r="W42" s="1451" t="s">
        <v>10575</v>
      </c>
      <c r="X42" s="768"/>
      <c r="Y42" s="768"/>
      <c r="Z42" s="197"/>
      <c r="AA42" s="222"/>
      <c r="AB42" s="2560"/>
      <c r="AC42" s="2560"/>
      <c r="AD42" s="2560"/>
      <c r="AE42" s="2560"/>
      <c r="AF42" s="2560"/>
      <c r="AG42" s="2560"/>
    </row>
    <row r="43" spans="1:33" ht="15.75" customHeight="1" thickBot="1">
      <c r="A43" s="222"/>
      <c r="B43" s="765" t="s">
        <v>10576</v>
      </c>
      <c r="C43" s="1590">
        <v>24.5</v>
      </c>
      <c r="D43" s="1591">
        <v>2</v>
      </c>
      <c r="E43" s="1151"/>
      <c r="F43" s="1152"/>
      <c r="G43" s="197"/>
      <c r="H43" s="744" t="s">
        <v>10577</v>
      </c>
      <c r="I43" s="222"/>
      <c r="J43" s="1126"/>
      <c r="K43" s="222"/>
      <c r="L43" s="2589"/>
      <c r="M43" s="1121">
        <f t="shared" si="7"/>
        <v>0</v>
      </c>
      <c r="N43" s="2589"/>
      <c r="O43" s="252">
        <f t="shared" si="8"/>
        <v>0</v>
      </c>
      <c r="P43" s="252">
        <f t="shared" si="9"/>
        <v>0</v>
      </c>
      <c r="Q43" s="2560"/>
      <c r="R43" s="2560"/>
      <c r="S43" s="2589"/>
      <c r="T43" s="2560"/>
      <c r="U43" s="1452" t="s">
        <v>10576</v>
      </c>
      <c r="V43" s="2389" t="s">
        <v>10578</v>
      </c>
      <c r="W43" s="2205" t="s">
        <v>10579</v>
      </c>
      <c r="X43" s="768"/>
      <c r="Y43" s="768"/>
      <c r="Z43" s="197"/>
      <c r="AA43" s="222"/>
      <c r="AB43" s="2560"/>
      <c r="AC43" s="2560"/>
      <c r="AD43" s="2560"/>
      <c r="AE43" s="2560"/>
      <c r="AF43" s="2560"/>
      <c r="AG43" s="2560"/>
    </row>
    <row r="44" spans="1:33" ht="15.75" customHeight="1" thickTop="1" thickBot="1">
      <c r="A44" s="222"/>
      <c r="B44" s="954"/>
      <c r="C44" s="222"/>
      <c r="D44" s="222"/>
      <c r="E44" s="222"/>
      <c r="F44" s="222"/>
      <c r="G44" s="106"/>
      <c r="H44" s="222"/>
      <c r="I44" s="222"/>
      <c r="J44" s="222"/>
      <c r="K44" s="222"/>
      <c r="L44" s="2589"/>
      <c r="M44" s="2560"/>
      <c r="N44" s="2589"/>
      <c r="O44" s="2560"/>
      <c r="P44" s="2560"/>
      <c r="Q44" s="2560"/>
      <c r="R44" s="2560"/>
      <c r="S44" s="2589"/>
      <c r="T44" s="2560"/>
      <c r="U44" s="222"/>
      <c r="V44" s="222"/>
      <c r="W44" s="222"/>
      <c r="X44" s="222"/>
      <c r="Y44" s="222"/>
      <c r="Z44" s="106"/>
      <c r="AA44" s="222"/>
      <c r="AB44" s="2560"/>
      <c r="AC44" s="2560"/>
      <c r="AD44" s="2560"/>
      <c r="AE44" s="2560"/>
      <c r="AF44" s="2560"/>
      <c r="AG44" s="2560"/>
    </row>
    <row r="45" spans="1:33" ht="15.75" customHeight="1" thickTop="1" thickBot="1">
      <c r="A45" s="222"/>
      <c r="B45" s="1153" t="s">
        <v>10580</v>
      </c>
      <c r="C45" s="408" t="s">
        <v>1892</v>
      </c>
      <c r="D45" s="408" t="s">
        <v>136</v>
      </c>
      <c r="E45" s="409" t="s">
        <v>10262</v>
      </c>
      <c r="F45" s="222"/>
      <c r="G45" s="106"/>
      <c r="H45" s="222"/>
      <c r="I45" s="222"/>
      <c r="J45" s="222"/>
      <c r="K45" s="222"/>
      <c r="L45" s="2589"/>
      <c r="M45" s="2560"/>
      <c r="N45" s="2589"/>
      <c r="O45" s="2560"/>
      <c r="P45" s="2560"/>
      <c r="Q45" s="2560"/>
      <c r="R45" s="2560"/>
      <c r="S45" s="2589"/>
      <c r="T45" s="2560"/>
      <c r="U45" s="407" t="s">
        <v>10580</v>
      </c>
      <c r="V45" s="409" t="s">
        <v>10262</v>
      </c>
      <c r="W45" s="444"/>
      <c r="X45" s="444"/>
      <c r="Y45" s="222"/>
      <c r="Z45" s="106"/>
      <c r="AA45" s="222"/>
      <c r="AB45" s="2560"/>
      <c r="AC45" s="2560"/>
      <c r="AD45" s="2560"/>
      <c r="AE45" s="2560"/>
      <c r="AF45" s="2560"/>
      <c r="AG45" s="2560"/>
    </row>
    <row r="46" spans="1:33" ht="15.75" customHeight="1" thickTop="1">
      <c r="A46" s="222"/>
      <c r="B46" s="2280" t="s">
        <v>10581</v>
      </c>
      <c r="C46" s="685" t="s">
        <v>1341</v>
      </c>
      <c r="D46" s="685">
        <v>2</v>
      </c>
      <c r="E46" s="1141">
        <v>1427.39</v>
      </c>
      <c r="F46" s="1132"/>
      <c r="G46" s="197"/>
      <c r="H46" s="2390" t="s">
        <v>10582</v>
      </c>
      <c r="I46" s="222"/>
      <c r="J46" s="2204"/>
      <c r="K46" s="222"/>
      <c r="L46" s="2589"/>
      <c r="M46" s="1121">
        <f>IF( SUM( O46:R46 ) = 0, 0, $O$5 )</f>
        <v>0</v>
      </c>
      <c r="N46" s="2589"/>
      <c r="O46" s="2560"/>
      <c r="P46" s="2560"/>
      <c r="Q46" s="252">
        <f xml:space="preserve"> IF( ISNUMBER(E46 ), 0, 1 )</f>
        <v>0</v>
      </c>
      <c r="R46" s="2560"/>
      <c r="S46" s="2589"/>
      <c r="T46" s="2560"/>
      <c r="U46" s="2280" t="s">
        <v>10583</v>
      </c>
      <c r="V46" s="2391" t="s">
        <v>1340</v>
      </c>
      <c r="W46" s="768"/>
      <c r="X46" s="768"/>
      <c r="Y46" s="222"/>
      <c r="Z46" s="197"/>
      <c r="AA46" s="222"/>
      <c r="AB46" s="2560"/>
      <c r="AC46" s="2560"/>
      <c r="AD46" s="2560"/>
      <c r="AE46" s="2560"/>
      <c r="AF46" s="2560"/>
      <c r="AG46" s="2560"/>
    </row>
    <row r="47" spans="1:33" ht="40.5" customHeight="1">
      <c r="A47" s="222"/>
      <c r="B47" s="2240" t="s">
        <v>10584</v>
      </c>
      <c r="C47" s="731" t="s">
        <v>1341</v>
      </c>
      <c r="D47" s="731">
        <v>2</v>
      </c>
      <c r="E47" s="1134">
        <v>0</v>
      </c>
      <c r="F47" s="1133"/>
      <c r="G47" s="197"/>
      <c r="H47" s="2392" t="s">
        <v>10585</v>
      </c>
      <c r="I47" s="222"/>
      <c r="J47" s="2195"/>
      <c r="K47" s="222"/>
      <c r="L47" s="2589"/>
      <c r="M47" s="1121">
        <f t="shared" ref="M47:M48" si="10">IF( SUM( O47:R47 ) = 0, 0, $O$5 )</f>
        <v>0</v>
      </c>
      <c r="N47" s="2589"/>
      <c r="O47" s="2560"/>
      <c r="P47" s="2560"/>
      <c r="Q47" s="252"/>
      <c r="R47" s="2560"/>
      <c r="S47" s="2589"/>
      <c r="T47" s="2560"/>
      <c r="U47" s="2240" t="s">
        <v>10586</v>
      </c>
      <c r="V47" s="2281" t="s">
        <v>10587</v>
      </c>
      <c r="W47" s="768"/>
      <c r="X47" s="768"/>
      <c r="Y47" s="222"/>
      <c r="Z47" s="197"/>
      <c r="AA47" s="222"/>
      <c r="AB47" s="2560"/>
      <c r="AC47" s="2560"/>
      <c r="AD47" s="2560"/>
      <c r="AE47" s="2560"/>
      <c r="AF47" s="2560"/>
      <c r="AG47" s="2560"/>
    </row>
    <row r="48" spans="1:33" ht="40.5" customHeight="1">
      <c r="A48" s="222"/>
      <c r="B48" s="2240" t="s">
        <v>10588</v>
      </c>
      <c r="C48" s="731" t="s">
        <v>1341</v>
      </c>
      <c r="D48" s="731">
        <v>2</v>
      </c>
      <c r="E48" s="1134">
        <v>0</v>
      </c>
      <c r="F48" s="1133"/>
      <c r="G48" s="197"/>
      <c r="H48" s="2392" t="s">
        <v>10589</v>
      </c>
      <c r="I48" s="222"/>
      <c r="J48" s="2195"/>
      <c r="K48" s="222"/>
      <c r="L48" s="2589"/>
      <c r="M48" s="1121">
        <f t="shared" si="10"/>
        <v>0</v>
      </c>
      <c r="N48" s="2589"/>
      <c r="O48" s="2560"/>
      <c r="P48" s="2560"/>
      <c r="Q48" s="252"/>
      <c r="R48" s="2560"/>
      <c r="S48" s="2589"/>
      <c r="T48" s="2560"/>
      <c r="U48" s="2240" t="s">
        <v>10590</v>
      </c>
      <c r="V48" s="2281" t="s">
        <v>10591</v>
      </c>
      <c r="W48" s="768"/>
      <c r="X48" s="768"/>
      <c r="Y48" s="222"/>
      <c r="Z48" s="197"/>
      <c r="AA48" s="222"/>
      <c r="AB48" s="2560"/>
      <c r="AC48" s="2560"/>
      <c r="AD48" s="2560"/>
      <c r="AE48" s="2560"/>
      <c r="AF48" s="2560"/>
      <c r="AG48" s="2560"/>
    </row>
    <row r="49" spans="1:33" ht="15.75" customHeight="1">
      <c r="A49" s="222"/>
      <c r="B49" s="730" t="s">
        <v>10592</v>
      </c>
      <c r="C49" s="731" t="s">
        <v>1341</v>
      </c>
      <c r="D49" s="731">
        <v>2</v>
      </c>
      <c r="E49" s="1134">
        <v>0</v>
      </c>
      <c r="F49" s="1133"/>
      <c r="G49" s="197"/>
      <c r="H49" s="2392" t="s">
        <v>10593</v>
      </c>
      <c r="I49" s="222"/>
      <c r="J49" s="2186"/>
      <c r="K49" s="222"/>
      <c r="L49" s="2589"/>
      <c r="M49" s="1121">
        <f t="shared" ref="M49:M57" si="11">IF( SUM( O49:R49 ) = 0, 0, $O$5 )</f>
        <v>0</v>
      </c>
      <c r="N49" s="2589"/>
      <c r="O49" s="2560"/>
      <c r="P49" s="2560"/>
      <c r="Q49" s="252">
        <f xml:space="preserve"> IF( ISNUMBER(E49 ), 0, 1 )</f>
        <v>0</v>
      </c>
      <c r="R49" s="2560"/>
      <c r="S49" s="2589"/>
      <c r="T49" s="2560"/>
      <c r="U49" s="730" t="s">
        <v>10592</v>
      </c>
      <c r="V49" s="2393" t="s">
        <v>10594</v>
      </c>
      <c r="W49" s="768"/>
      <c r="X49" s="768"/>
      <c r="Y49" s="222"/>
      <c r="Z49" s="197"/>
      <c r="AA49" s="222"/>
      <c r="AB49" s="2560"/>
      <c r="AC49" s="2560"/>
      <c r="AD49" s="2560"/>
      <c r="AE49" s="2560"/>
      <c r="AF49" s="2560"/>
      <c r="AG49" s="2560"/>
    </row>
    <row r="50" spans="1:33" ht="32.25" customHeight="1">
      <c r="A50" s="222"/>
      <c r="B50" s="730" t="s">
        <v>10595</v>
      </c>
      <c r="C50" s="731" t="s">
        <v>138</v>
      </c>
      <c r="D50" s="731">
        <v>0</v>
      </c>
      <c r="E50" s="1589">
        <v>1</v>
      </c>
      <c r="F50" s="1133"/>
      <c r="G50" s="197"/>
      <c r="H50" s="2392" t="s">
        <v>10596</v>
      </c>
      <c r="I50" s="222"/>
      <c r="J50" s="2602" t="s">
        <v>10597</v>
      </c>
      <c r="K50" s="222"/>
      <c r="L50" s="2589"/>
      <c r="M50" s="1121">
        <f t="shared" si="11"/>
        <v>0</v>
      </c>
      <c r="N50" s="2589"/>
      <c r="O50" s="2560"/>
      <c r="P50" s="2560"/>
      <c r="Q50" s="252">
        <f t="shared" ref="Q50:Q57" si="12" xml:space="preserve"> IF( ISNUMBER(E50 ), 0, 1 )</f>
        <v>0</v>
      </c>
      <c r="R50" s="2560"/>
      <c r="S50" s="2589"/>
      <c r="T50" s="2560"/>
      <c r="U50" s="730" t="s">
        <v>10595</v>
      </c>
      <c r="V50" s="2393" t="s">
        <v>10598</v>
      </c>
      <c r="W50" s="768"/>
      <c r="X50" s="768"/>
      <c r="Y50" s="222"/>
      <c r="Z50" s="197"/>
      <c r="AA50" s="222"/>
      <c r="AB50" s="2560"/>
      <c r="AC50" s="2560"/>
      <c r="AD50" s="2560"/>
      <c r="AE50" s="2560"/>
      <c r="AF50" s="2560"/>
      <c r="AG50" s="2560"/>
    </row>
    <row r="51" spans="1:33" ht="15.75" customHeight="1">
      <c r="A51" s="222"/>
      <c r="B51" s="730" t="s">
        <v>10599</v>
      </c>
      <c r="C51" s="731" t="s">
        <v>10600</v>
      </c>
      <c r="D51" s="731">
        <v>3</v>
      </c>
      <c r="E51" s="775">
        <v>5414.7920000000004</v>
      </c>
      <c r="F51" s="1133"/>
      <c r="G51" s="197"/>
      <c r="H51" s="2392" t="s">
        <v>10601</v>
      </c>
      <c r="I51" s="222"/>
      <c r="J51" s="1122"/>
      <c r="K51" s="222"/>
      <c r="L51" s="2589"/>
      <c r="M51" s="1121">
        <f t="shared" si="11"/>
        <v>0</v>
      </c>
      <c r="N51" s="2589"/>
      <c r="O51" s="2560"/>
      <c r="P51" s="2560"/>
      <c r="Q51" s="252">
        <f t="shared" si="12"/>
        <v>0</v>
      </c>
      <c r="R51" s="2560"/>
      <c r="S51" s="2589"/>
      <c r="T51" s="2560"/>
      <c r="U51" s="730" t="s">
        <v>10599</v>
      </c>
      <c r="V51" s="2393" t="s">
        <v>10602</v>
      </c>
      <c r="W51" s="768"/>
      <c r="X51" s="768"/>
      <c r="Y51" s="222"/>
      <c r="Z51" s="197"/>
      <c r="AA51" s="222"/>
      <c r="AB51" s="2560"/>
      <c r="AC51" s="2560"/>
      <c r="AD51" s="2560"/>
      <c r="AE51" s="2560"/>
      <c r="AF51" s="2560"/>
      <c r="AG51" s="2560"/>
    </row>
    <row r="52" spans="1:33" ht="15.75" customHeight="1">
      <c r="A52" s="222"/>
      <c r="B52" s="730" t="s">
        <v>10603</v>
      </c>
      <c r="C52" s="731" t="s">
        <v>10333</v>
      </c>
      <c r="D52" s="731">
        <v>2</v>
      </c>
      <c r="E52" s="1134">
        <v>13.94</v>
      </c>
      <c r="F52" s="1133"/>
      <c r="G52" s="197"/>
      <c r="H52" s="2392" t="s">
        <v>10604</v>
      </c>
      <c r="I52" s="222"/>
      <c r="J52" s="1122"/>
      <c r="K52" s="222"/>
      <c r="L52" s="2589"/>
      <c r="M52" s="1121">
        <f t="shared" si="11"/>
        <v>0</v>
      </c>
      <c r="N52" s="2589"/>
      <c r="O52" s="2560"/>
      <c r="P52" s="2560"/>
      <c r="Q52" s="252">
        <f t="shared" si="12"/>
        <v>0</v>
      </c>
      <c r="R52" s="2560"/>
      <c r="S52" s="2589"/>
      <c r="T52" s="2560"/>
      <c r="U52" s="730" t="s">
        <v>10603</v>
      </c>
      <c r="V52" s="2393" t="s">
        <v>10605</v>
      </c>
      <c r="W52" s="768"/>
      <c r="X52" s="768"/>
      <c r="Y52" s="222"/>
      <c r="Z52" s="197"/>
      <c r="AA52" s="222"/>
      <c r="AB52" s="2560"/>
      <c r="AC52" s="2560"/>
      <c r="AD52" s="2560"/>
      <c r="AE52" s="2560"/>
      <c r="AF52" s="2560"/>
      <c r="AG52" s="2560"/>
    </row>
    <row r="53" spans="1:33" ht="15.75" customHeight="1">
      <c r="A53" s="222"/>
      <c r="B53" s="730" t="s">
        <v>10606</v>
      </c>
      <c r="C53" s="731" t="s">
        <v>1402</v>
      </c>
      <c r="D53" s="731">
        <v>3</v>
      </c>
      <c r="E53" s="775">
        <v>81376.725999999995</v>
      </c>
      <c r="F53" s="1133"/>
      <c r="G53" s="197"/>
      <c r="H53" s="2392" t="s">
        <v>10607</v>
      </c>
      <c r="I53" s="222"/>
      <c r="J53" s="1122"/>
      <c r="K53" s="222"/>
      <c r="L53" s="2589"/>
      <c r="M53" s="1121">
        <f t="shared" si="11"/>
        <v>0</v>
      </c>
      <c r="N53" s="2589"/>
      <c r="O53" s="2560"/>
      <c r="P53" s="2560"/>
      <c r="Q53" s="252">
        <f t="shared" si="12"/>
        <v>0</v>
      </c>
      <c r="R53" s="2560"/>
      <c r="S53" s="2589"/>
      <c r="T53" s="2560"/>
      <c r="U53" s="730" t="s">
        <v>10608</v>
      </c>
      <c r="V53" s="2393" t="s">
        <v>10609</v>
      </c>
      <c r="W53" s="768"/>
      <c r="X53" s="768"/>
      <c r="Y53" s="222"/>
      <c r="Z53" s="197"/>
      <c r="AA53" s="222"/>
      <c r="AB53" s="2560"/>
      <c r="AC53" s="2560"/>
      <c r="AD53" s="2560"/>
      <c r="AE53" s="2560"/>
      <c r="AF53" s="2560"/>
      <c r="AG53" s="2560"/>
    </row>
    <row r="54" spans="1:33" ht="15.75" customHeight="1">
      <c r="A54" s="222"/>
      <c r="B54" s="730" t="s">
        <v>10610</v>
      </c>
      <c r="C54" s="731" t="s">
        <v>138</v>
      </c>
      <c r="D54" s="731">
        <v>0</v>
      </c>
      <c r="E54" s="1589">
        <v>0</v>
      </c>
      <c r="F54" s="1133"/>
      <c r="G54" s="197"/>
      <c r="H54" s="2392" t="s">
        <v>10611</v>
      </c>
      <c r="I54" s="222"/>
      <c r="J54" s="1122"/>
      <c r="K54" s="222"/>
      <c r="L54" s="2589"/>
      <c r="M54" s="1121">
        <f t="shared" si="11"/>
        <v>0</v>
      </c>
      <c r="N54" s="2589"/>
      <c r="O54" s="2560"/>
      <c r="P54" s="2560"/>
      <c r="Q54" s="252">
        <f t="shared" si="12"/>
        <v>0</v>
      </c>
      <c r="R54" s="2560"/>
      <c r="S54" s="2589"/>
      <c r="T54" s="2560"/>
      <c r="U54" s="730" t="s">
        <v>10610</v>
      </c>
      <c r="V54" s="2393" t="s">
        <v>10612</v>
      </c>
      <c r="W54" s="768"/>
      <c r="X54" s="768"/>
      <c r="Y54" s="222"/>
      <c r="Z54" s="197"/>
      <c r="AA54" s="222"/>
      <c r="AB54" s="2560"/>
      <c r="AC54" s="2560"/>
      <c r="AD54" s="2560"/>
      <c r="AE54" s="2560"/>
      <c r="AF54" s="2560"/>
      <c r="AG54" s="2560"/>
    </row>
    <row r="55" spans="1:33" ht="15.75" customHeight="1">
      <c r="A55" s="222"/>
      <c r="B55" s="730" t="s">
        <v>10613</v>
      </c>
      <c r="C55" s="731" t="s">
        <v>1341</v>
      </c>
      <c r="D55" s="731">
        <v>2</v>
      </c>
      <c r="E55" s="1134">
        <v>0</v>
      </c>
      <c r="F55" s="1133"/>
      <c r="G55" s="197"/>
      <c r="H55" s="2392" t="s">
        <v>10614</v>
      </c>
      <c r="I55" s="222"/>
      <c r="J55" s="1122"/>
      <c r="K55" s="222"/>
      <c r="L55" s="2589"/>
      <c r="M55" s="1121">
        <f t="shared" si="11"/>
        <v>0</v>
      </c>
      <c r="N55" s="2589"/>
      <c r="O55" s="2560"/>
      <c r="P55" s="2560"/>
      <c r="Q55" s="252">
        <f t="shared" si="12"/>
        <v>0</v>
      </c>
      <c r="R55" s="2560"/>
      <c r="S55" s="2589"/>
      <c r="T55" s="2560"/>
      <c r="U55" s="730" t="s">
        <v>10615</v>
      </c>
      <c r="V55" s="2393" t="s">
        <v>10616</v>
      </c>
      <c r="W55" s="768"/>
      <c r="X55" s="768"/>
      <c r="Y55" s="222"/>
      <c r="Z55" s="197"/>
      <c r="AA55" s="222"/>
      <c r="AB55" s="2560"/>
      <c r="AC55" s="2560"/>
      <c r="AD55" s="2560"/>
      <c r="AE55" s="2560"/>
      <c r="AF55" s="2560"/>
      <c r="AG55" s="2560"/>
    </row>
    <row r="56" spans="1:33" ht="15.75" customHeight="1">
      <c r="A56" s="222"/>
      <c r="B56" s="730" t="s">
        <v>10617</v>
      </c>
      <c r="C56" s="731" t="s">
        <v>138</v>
      </c>
      <c r="D56" s="731">
        <v>0</v>
      </c>
      <c r="E56" s="1589">
        <v>0</v>
      </c>
      <c r="F56" s="1133"/>
      <c r="G56" s="197"/>
      <c r="H56" s="2392" t="s">
        <v>10618</v>
      </c>
      <c r="I56" s="222"/>
      <c r="J56" s="1122"/>
      <c r="K56" s="222"/>
      <c r="L56" s="2589"/>
      <c r="M56" s="1121">
        <f t="shared" si="11"/>
        <v>0</v>
      </c>
      <c r="N56" s="2589"/>
      <c r="O56" s="2560"/>
      <c r="P56" s="2560"/>
      <c r="Q56" s="252">
        <f t="shared" si="12"/>
        <v>0</v>
      </c>
      <c r="R56" s="2560"/>
      <c r="S56" s="2589"/>
      <c r="T56" s="2560"/>
      <c r="U56" s="730" t="s">
        <v>10617</v>
      </c>
      <c r="V56" s="2393" t="s">
        <v>10619</v>
      </c>
      <c r="W56" s="768"/>
      <c r="X56" s="768"/>
      <c r="Y56" s="222"/>
      <c r="Z56" s="197"/>
      <c r="AA56" s="222"/>
      <c r="AB56" s="2560"/>
      <c r="AC56" s="2560"/>
      <c r="AD56" s="2560"/>
      <c r="AE56" s="2560"/>
      <c r="AF56" s="2560"/>
      <c r="AG56" s="2560"/>
    </row>
    <row r="57" spans="1:33" ht="15.75" customHeight="1" thickBot="1">
      <c r="A57" s="222"/>
      <c r="B57" s="765" t="s">
        <v>10620</v>
      </c>
      <c r="C57" s="741" t="s">
        <v>1341</v>
      </c>
      <c r="D57" s="741">
        <v>2</v>
      </c>
      <c r="E57" s="1144">
        <v>0</v>
      </c>
      <c r="F57" s="1136"/>
      <c r="G57" s="197"/>
      <c r="H57" s="2296" t="s">
        <v>10621</v>
      </c>
      <c r="I57" s="222"/>
      <c r="J57" s="1126"/>
      <c r="K57" s="222"/>
      <c r="L57" s="2589"/>
      <c r="M57" s="1121">
        <f t="shared" si="11"/>
        <v>0</v>
      </c>
      <c r="N57" s="2589"/>
      <c r="O57" s="2560"/>
      <c r="P57" s="2560"/>
      <c r="Q57" s="252">
        <f t="shared" si="12"/>
        <v>0</v>
      </c>
      <c r="R57" s="2560"/>
      <c r="S57" s="2589"/>
      <c r="T57" s="2560"/>
      <c r="U57" s="765" t="s">
        <v>10622</v>
      </c>
      <c r="V57" s="2394" t="s">
        <v>10623</v>
      </c>
      <c r="W57" s="768"/>
      <c r="X57" s="768"/>
      <c r="Y57" s="222"/>
      <c r="Z57" s="197"/>
      <c r="AA57" s="222"/>
      <c r="AB57" s="2560"/>
      <c r="AC57" s="2560"/>
      <c r="AD57" s="2560"/>
      <c r="AE57" s="2560"/>
      <c r="AF57" s="2560"/>
      <c r="AG57" s="2560"/>
    </row>
    <row r="58" spans="1:33" ht="33" customHeight="1" thickTop="1">
      <c r="A58" s="222"/>
      <c r="B58" s="954"/>
      <c r="C58" s="222"/>
      <c r="D58" s="222"/>
      <c r="E58" s="222"/>
      <c r="F58" s="222"/>
      <c r="G58" s="106"/>
      <c r="H58" s="222"/>
      <c r="I58" s="222"/>
      <c r="J58" s="222"/>
      <c r="K58" s="222"/>
      <c r="L58" s="2560"/>
      <c r="M58" s="2560"/>
      <c r="N58" s="2560"/>
      <c r="O58" s="2560"/>
      <c r="P58" s="2560"/>
      <c r="Q58" s="2560"/>
      <c r="R58" s="2560"/>
      <c r="S58" s="2560"/>
      <c r="T58" s="2560"/>
      <c r="U58" s="222"/>
      <c r="V58" s="222"/>
      <c r="W58" s="222"/>
      <c r="X58" s="222"/>
      <c r="Y58" s="222"/>
      <c r="Z58" s="222"/>
      <c r="AA58" s="222"/>
      <c r="AB58" s="2560"/>
      <c r="AC58" s="2560"/>
      <c r="AD58" s="2560"/>
      <c r="AE58" s="2560"/>
      <c r="AF58" s="2560"/>
      <c r="AG58" s="2560"/>
    </row>
    <row r="59" spans="1:33" ht="33" customHeight="1">
      <c r="A59" s="222"/>
      <c r="B59" s="954"/>
      <c r="C59" s="222"/>
      <c r="D59" s="222"/>
      <c r="E59" s="222"/>
      <c r="F59" s="222"/>
      <c r="G59" s="222"/>
      <c r="H59" s="222"/>
      <c r="I59" s="222"/>
      <c r="J59" s="222"/>
      <c r="K59" s="222"/>
      <c r="L59" s="2560"/>
      <c r="M59" s="2560"/>
      <c r="N59" s="2560"/>
      <c r="O59" s="2560"/>
      <c r="P59" s="2560"/>
      <c r="Q59" s="2560"/>
      <c r="R59" s="2560"/>
      <c r="S59" s="2560"/>
      <c r="T59" s="2560"/>
      <c r="U59" s="222"/>
      <c r="V59" s="222"/>
      <c r="W59" s="222"/>
      <c r="X59" s="222"/>
      <c r="Y59" s="222"/>
      <c r="Z59" s="222"/>
      <c r="AA59" s="222"/>
      <c r="AB59" s="2560"/>
      <c r="AC59" s="2560"/>
      <c r="AD59" s="2560"/>
      <c r="AE59" s="2560"/>
      <c r="AF59" s="2560"/>
      <c r="AG59" s="2560"/>
    </row>
    <row r="60" spans="1:33" ht="33" customHeight="1">
      <c r="A60" s="222"/>
      <c r="B60" s="954"/>
      <c r="C60" s="222"/>
      <c r="D60" s="222"/>
      <c r="E60" s="222"/>
      <c r="F60" s="222"/>
      <c r="G60" s="222"/>
      <c r="H60" s="222"/>
      <c r="I60" s="222"/>
      <c r="J60" s="222"/>
      <c r="K60" s="222"/>
      <c r="L60" s="2560"/>
      <c r="M60" s="2560"/>
      <c r="N60" s="2560"/>
      <c r="O60" s="2560"/>
      <c r="P60" s="2560"/>
      <c r="Q60" s="2560"/>
      <c r="R60" s="2560"/>
      <c r="S60" s="2560"/>
      <c r="T60" s="2560"/>
      <c r="U60" s="222"/>
      <c r="V60" s="222"/>
      <c r="W60" s="222"/>
      <c r="X60" s="222"/>
      <c r="Y60" s="222"/>
      <c r="Z60" s="222"/>
      <c r="AA60" s="222"/>
      <c r="AB60" s="2560"/>
      <c r="AC60" s="2560"/>
      <c r="AD60" s="2560"/>
      <c r="AE60" s="2560"/>
      <c r="AF60" s="2560"/>
      <c r="AG60" s="2560"/>
    </row>
    <row r="61" spans="1:33" ht="33" customHeight="1">
      <c r="A61" s="222"/>
      <c r="B61" s="954"/>
      <c r="C61" s="222"/>
      <c r="D61" s="222"/>
      <c r="E61" s="222"/>
      <c r="F61" s="222"/>
      <c r="G61" s="222"/>
      <c r="H61" s="222"/>
      <c r="I61" s="222"/>
      <c r="J61" s="222"/>
      <c r="K61" s="222"/>
      <c r="L61" s="2560"/>
      <c r="M61" s="2560"/>
      <c r="N61" s="2560"/>
      <c r="O61" s="2560"/>
      <c r="P61" s="2560"/>
      <c r="Q61" s="2560"/>
      <c r="R61" s="2560"/>
      <c r="S61" s="2560"/>
      <c r="T61" s="2560"/>
      <c r="U61" s="222"/>
      <c r="V61" s="222"/>
      <c r="W61" s="222"/>
      <c r="X61" s="222"/>
      <c r="Y61" s="222"/>
      <c r="Z61" s="222"/>
      <c r="AA61" s="222"/>
      <c r="AB61" s="2560"/>
      <c r="AC61" s="2560"/>
      <c r="AD61" s="2560"/>
      <c r="AE61" s="2560"/>
      <c r="AF61" s="2560"/>
      <c r="AG61" s="2560"/>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3" priority="9" operator="equal">
      <formula>0</formula>
    </cfRule>
  </conditionalFormatting>
  <conditionalFormatting sqref="M25:M31">
    <cfRule type="cellIs" dxfId="72" priority="3" operator="equal">
      <formula>0</formula>
    </cfRule>
  </conditionalFormatting>
  <conditionalFormatting sqref="M36:M43">
    <cfRule type="cellIs" dxfId="71" priority="2" operator="equal">
      <formula>0</formula>
    </cfRule>
  </conditionalFormatting>
  <conditionalFormatting sqref="M46:M57">
    <cfRule type="cellIs" dxfId="70" priority="1" operator="equal">
      <formula>0</formula>
    </cfRule>
  </conditionalFormatting>
  <dataValidations count="1">
    <dataValidation type="custom" allowBlank="1" showErrorMessage="1" errorTitle="Input Error" error="Please input a numeric value" sqref="E8:E19 C25:F31 C36:D43 E46:E50 E52: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13" zoomScale="74" zoomScaleNormal="70" zoomScaleSheetLayoutView="100" workbookViewId="0">
      <selection activeCell="I71" sqref="I71"/>
    </sheetView>
  </sheetViews>
  <sheetFormatPr defaultColWidth="0" defaultRowHeight="14.5" zeroHeight="1"/>
  <cols>
    <col min="1" max="1" width="1.58203125" style="16" customWidth="1"/>
    <col min="2" max="2" width="81.08203125" style="16" customWidth="1"/>
    <col min="3" max="3" width="11.58203125" style="16" customWidth="1"/>
    <col min="4" max="4" width="4.58203125" style="16" customWidth="1"/>
    <col min="5" max="5" width="15" style="16" customWidth="1"/>
    <col min="6" max="6" width="1.58203125" style="16" customWidth="1"/>
    <col min="7" max="7" width="12.5" style="16" customWidth="1"/>
    <col min="8" max="8" width="1.58203125" style="16" customWidth="1"/>
    <col min="9" max="9" width="33.58203125" style="16" customWidth="1"/>
    <col min="10" max="11" width="1.58203125" style="16" customWidth="1"/>
    <col min="12" max="12" width="25" style="16" customWidth="1"/>
    <col min="13" max="13" width="1.58203125" style="16" customWidth="1"/>
    <col min="14" max="14" width="25" style="16" hidden="1" customWidth="1"/>
    <col min="15" max="15" width="1.58203125" style="16" hidden="1" customWidth="1"/>
    <col min="16" max="16" width="1.58203125" style="16" customWidth="1"/>
    <col min="17" max="17" width="77.5" style="16" bestFit="1" customWidth="1"/>
    <col min="18" max="18" width="23.082031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560"/>
      <c r="B1" s="1119" t="s">
        <v>10624</v>
      </c>
      <c r="C1" s="1119"/>
      <c r="D1" s="1119"/>
      <c r="E1" s="1119"/>
      <c r="F1" s="106"/>
      <c r="G1" s="1154"/>
      <c r="H1" s="2560"/>
      <c r="I1" s="2560"/>
      <c r="J1" s="2560"/>
      <c r="K1" s="2589"/>
      <c r="L1" s="2560"/>
      <c r="M1" s="2589"/>
      <c r="N1" s="2560"/>
      <c r="O1" s="2589"/>
      <c r="P1" s="2560"/>
      <c r="Q1" s="1119" t="s">
        <v>1887</v>
      </c>
      <c r="R1" s="1119"/>
    </row>
    <row r="2" spans="1:18" ht="30.75" customHeight="1">
      <c r="A2" s="2560"/>
      <c r="B2" s="1119" t="str">
        <f>SelectCompany!B4</f>
        <v>Yorkshire Water</v>
      </c>
      <c r="C2" s="491"/>
      <c r="D2" s="491"/>
      <c r="E2" s="491"/>
      <c r="F2" s="106"/>
      <c r="G2" s="1154"/>
      <c r="H2" s="2560"/>
      <c r="I2" s="2560"/>
      <c r="J2" s="2560"/>
      <c r="K2" s="2589"/>
      <c r="L2" s="2560"/>
      <c r="M2" s="2589"/>
      <c r="N2" s="2560"/>
      <c r="O2" s="2589"/>
      <c r="P2" s="2560"/>
      <c r="Q2" s="1119"/>
      <c r="R2" s="491"/>
    </row>
    <row r="3" spans="1:18" ht="37.5" customHeight="1">
      <c r="A3" s="2560"/>
      <c r="B3" s="2781" t="s">
        <v>10625</v>
      </c>
      <c r="C3" s="2781"/>
      <c r="D3" s="2781"/>
      <c r="E3" s="2781"/>
      <c r="F3" s="2781"/>
      <c r="G3" s="2781"/>
      <c r="H3" s="2781"/>
      <c r="I3" s="2781"/>
      <c r="J3" s="2560"/>
      <c r="K3" s="2589"/>
      <c r="L3" s="1129" t="s">
        <v>1889</v>
      </c>
      <c r="M3" s="2589"/>
      <c r="N3" s="2560"/>
      <c r="O3" s="2589"/>
      <c r="P3" s="2560"/>
      <c r="Q3" s="2781" t="s">
        <v>10626</v>
      </c>
      <c r="R3" s="2781"/>
    </row>
    <row r="4" spans="1:18" ht="11.25" customHeight="1" thickBot="1">
      <c r="A4" s="2560"/>
      <c r="B4" s="594"/>
      <c r="C4" s="594"/>
      <c r="D4" s="594"/>
      <c r="E4" s="594"/>
      <c r="F4" s="724"/>
      <c r="G4" s="229"/>
      <c r="H4" s="2560"/>
      <c r="I4" s="2560"/>
      <c r="J4" s="2560"/>
      <c r="K4" s="2589"/>
      <c r="L4" s="2560"/>
      <c r="M4" s="2589"/>
      <c r="N4" s="2603" t="s">
        <v>1890</v>
      </c>
      <c r="O4" s="2589"/>
      <c r="P4" s="2560"/>
      <c r="Q4" s="594"/>
      <c r="R4" s="594"/>
    </row>
    <row r="5" spans="1:18" ht="72.75" customHeight="1" thickTop="1" thickBot="1">
      <c r="A5" s="222"/>
      <c r="B5" s="407" t="s">
        <v>1891</v>
      </c>
      <c r="C5" s="408" t="s">
        <v>1892</v>
      </c>
      <c r="D5" s="408" t="s">
        <v>136</v>
      </c>
      <c r="E5" s="409" t="s">
        <v>10262</v>
      </c>
      <c r="F5" s="635"/>
      <c r="G5" s="411" t="s">
        <v>1896</v>
      </c>
      <c r="H5" s="222"/>
      <c r="I5" s="411" t="s">
        <v>1897</v>
      </c>
      <c r="J5" s="222"/>
      <c r="K5" s="2589"/>
      <c r="L5" s="2560"/>
      <c r="M5" s="2589"/>
      <c r="N5" s="236" t="s">
        <v>1898</v>
      </c>
      <c r="O5" s="2589"/>
      <c r="P5" s="2560"/>
      <c r="Q5" s="407" t="s">
        <v>1891</v>
      </c>
      <c r="R5" s="409" t="s">
        <v>10262</v>
      </c>
    </row>
    <row r="6" spans="1:18" ht="15.75" customHeight="1" thickTop="1" thickBot="1">
      <c r="A6" s="222"/>
      <c r="B6" s="678"/>
      <c r="C6" s="678"/>
      <c r="D6" s="678"/>
      <c r="E6" s="678"/>
      <c r="F6" s="635"/>
      <c r="G6" s="229"/>
      <c r="H6" s="222"/>
      <c r="I6" s="222"/>
      <c r="J6" s="222"/>
      <c r="K6" s="2589"/>
      <c r="L6" s="2560"/>
      <c r="M6" s="2589"/>
      <c r="N6" s="2560"/>
      <c r="O6" s="2589"/>
      <c r="P6" s="2560"/>
      <c r="Q6" s="678"/>
      <c r="R6" s="678"/>
    </row>
    <row r="7" spans="1:18" ht="15.75" customHeight="1" thickTop="1" thickBot="1">
      <c r="A7" s="222"/>
      <c r="B7" s="355" t="s">
        <v>10627</v>
      </c>
      <c r="C7" s="444"/>
      <c r="D7" s="444"/>
      <c r="E7" s="444"/>
      <c r="F7" s="1131"/>
      <c r="G7" s="527"/>
      <c r="H7" s="222"/>
      <c r="I7" s="222"/>
      <c r="J7" s="222"/>
      <c r="K7" s="2589"/>
      <c r="L7" s="2560"/>
      <c r="M7" s="2589"/>
      <c r="N7" s="2560"/>
      <c r="O7" s="2589"/>
      <c r="P7" s="2560"/>
      <c r="Q7" s="355" t="s">
        <v>10627</v>
      </c>
      <c r="R7" s="444"/>
    </row>
    <row r="8" spans="1:18" ht="15.75" customHeight="1" thickTop="1">
      <c r="A8" s="222"/>
      <c r="B8" s="413" t="s">
        <v>10628</v>
      </c>
      <c r="C8" s="244" t="s">
        <v>10326</v>
      </c>
      <c r="D8" s="244">
        <v>0</v>
      </c>
      <c r="E8" s="1595">
        <v>73822</v>
      </c>
      <c r="F8" s="106"/>
      <c r="G8" s="688" t="s">
        <v>10629</v>
      </c>
      <c r="H8" s="222"/>
      <c r="I8" s="1120"/>
      <c r="J8" s="222"/>
      <c r="K8" s="2589"/>
      <c r="L8" s="1121">
        <f t="shared" ref="L8:L37" si="0">IF( SUM( N8:N8 ) = 0, 0, $N$5 )</f>
        <v>0</v>
      </c>
      <c r="M8" s="2589"/>
      <c r="N8" s="237">
        <f t="shared" ref="N8:N37" si="1" xml:space="preserve"> IF( ISNUMBER(E8 ), 0, 1 )</f>
        <v>0</v>
      </c>
      <c r="O8" s="2589"/>
      <c r="P8" s="2560"/>
      <c r="Q8" s="413" t="s">
        <v>10628</v>
      </c>
      <c r="R8" s="1595" t="s">
        <v>10630</v>
      </c>
    </row>
    <row r="9" spans="1:18" ht="15.75" customHeight="1">
      <c r="A9" s="222"/>
      <c r="B9" s="422" t="s">
        <v>10631</v>
      </c>
      <c r="C9" s="253" t="s">
        <v>4299</v>
      </c>
      <c r="D9" s="253">
        <v>1</v>
      </c>
      <c r="E9" s="1158">
        <v>2845.8</v>
      </c>
      <c r="F9" s="106"/>
      <c r="G9" s="692" t="s">
        <v>10632</v>
      </c>
      <c r="H9" s="222"/>
      <c r="I9" s="1122"/>
      <c r="J9" s="222"/>
      <c r="K9" s="2589"/>
      <c r="L9" s="1121">
        <f t="shared" si="0"/>
        <v>0</v>
      </c>
      <c r="M9" s="2589"/>
      <c r="N9" s="237">
        <f t="shared" si="1"/>
        <v>0</v>
      </c>
      <c r="O9" s="2589"/>
      <c r="P9" s="2560"/>
      <c r="Q9" s="422" t="s">
        <v>10631</v>
      </c>
      <c r="R9" s="1158" t="s">
        <v>10633</v>
      </c>
    </row>
    <row r="10" spans="1:18" ht="15.75" customHeight="1">
      <c r="A10" s="222"/>
      <c r="B10" s="422" t="s">
        <v>10634</v>
      </c>
      <c r="C10" s="253" t="s">
        <v>4299</v>
      </c>
      <c r="D10" s="253">
        <v>1</v>
      </c>
      <c r="E10" s="1158">
        <v>28.9</v>
      </c>
      <c r="F10" s="106"/>
      <c r="G10" s="692" t="s">
        <v>10635</v>
      </c>
      <c r="H10" s="222"/>
      <c r="I10" s="1122"/>
      <c r="J10" s="222"/>
      <c r="K10" s="2589"/>
      <c r="L10" s="1121">
        <f t="shared" si="0"/>
        <v>0</v>
      </c>
      <c r="M10" s="2589"/>
      <c r="N10" s="237">
        <f t="shared" si="1"/>
        <v>0</v>
      </c>
      <c r="O10" s="2589"/>
      <c r="P10" s="2560"/>
      <c r="Q10" s="422" t="s">
        <v>10634</v>
      </c>
      <c r="R10" s="1158" t="s">
        <v>10636</v>
      </c>
    </row>
    <row r="11" spans="1:18" ht="15.75" customHeight="1">
      <c r="A11" s="222"/>
      <c r="B11" s="422" t="s">
        <v>10637</v>
      </c>
      <c r="C11" s="253" t="s">
        <v>1341</v>
      </c>
      <c r="D11" s="253">
        <v>2</v>
      </c>
      <c r="E11" s="1123">
        <v>0</v>
      </c>
      <c r="F11" s="106"/>
      <c r="G11" s="700" t="s">
        <v>10638</v>
      </c>
      <c r="H11" s="222"/>
      <c r="I11" s="1122"/>
      <c r="J11" s="222"/>
      <c r="K11" s="2589"/>
      <c r="L11" s="1121">
        <f t="shared" si="0"/>
        <v>0</v>
      </c>
      <c r="M11" s="2589"/>
      <c r="N11" s="237">
        <f t="shared" si="1"/>
        <v>0</v>
      </c>
      <c r="O11" s="2589"/>
      <c r="P11" s="2560"/>
      <c r="Q11" s="422" t="s">
        <v>10637</v>
      </c>
      <c r="R11" s="1123" t="s">
        <v>10639</v>
      </c>
    </row>
    <row r="12" spans="1:18" ht="15.75" customHeight="1">
      <c r="A12" s="222"/>
      <c r="B12" s="422" t="s">
        <v>10640</v>
      </c>
      <c r="C12" s="253" t="s">
        <v>1341</v>
      </c>
      <c r="D12" s="253">
        <v>2</v>
      </c>
      <c r="E12" s="1123">
        <v>1047.5</v>
      </c>
      <c r="F12" s="106"/>
      <c r="G12" s="700" t="s">
        <v>10641</v>
      </c>
      <c r="H12" s="222"/>
      <c r="I12" s="1122"/>
      <c r="J12" s="222"/>
      <c r="K12" s="2589"/>
      <c r="L12" s="1121">
        <f t="shared" si="0"/>
        <v>0</v>
      </c>
      <c r="M12" s="2589"/>
      <c r="N12" s="237">
        <f t="shared" si="1"/>
        <v>0</v>
      </c>
      <c r="O12" s="2589"/>
      <c r="P12" s="2560"/>
      <c r="Q12" s="422" t="s">
        <v>10640</v>
      </c>
      <c r="R12" s="1123" t="s">
        <v>10642</v>
      </c>
    </row>
    <row r="13" spans="1:18" ht="15.75" customHeight="1">
      <c r="A13" s="222"/>
      <c r="B13" s="422" t="s">
        <v>10643</v>
      </c>
      <c r="C13" s="253" t="s">
        <v>1341</v>
      </c>
      <c r="D13" s="253">
        <v>2</v>
      </c>
      <c r="E13" s="1123">
        <v>340.57</v>
      </c>
      <c r="F13" s="106"/>
      <c r="G13" s="700" t="s">
        <v>10644</v>
      </c>
      <c r="H13" s="222"/>
      <c r="I13" s="1122"/>
      <c r="J13" s="222"/>
      <c r="K13" s="2589"/>
      <c r="L13" s="1121">
        <f t="shared" si="0"/>
        <v>0</v>
      </c>
      <c r="M13" s="2589"/>
      <c r="N13" s="237">
        <f t="shared" si="1"/>
        <v>0</v>
      </c>
      <c r="O13" s="2589"/>
      <c r="P13" s="2560"/>
      <c r="Q13" s="422" t="s">
        <v>10643</v>
      </c>
      <c r="R13" s="1123" t="s">
        <v>10645</v>
      </c>
    </row>
    <row r="14" spans="1:18" ht="15.75" customHeight="1">
      <c r="A14" s="222"/>
      <c r="B14" s="422" t="s">
        <v>10646</v>
      </c>
      <c r="C14" s="253" t="s">
        <v>1341</v>
      </c>
      <c r="D14" s="253">
        <v>2</v>
      </c>
      <c r="E14" s="1123">
        <v>268.54000000000002</v>
      </c>
      <c r="F14" s="106"/>
      <c r="G14" s="700" t="s">
        <v>10647</v>
      </c>
      <c r="H14" s="222"/>
      <c r="I14" s="1122"/>
      <c r="J14" s="222"/>
      <c r="K14" s="2589"/>
      <c r="L14" s="1121">
        <f t="shared" si="0"/>
        <v>0</v>
      </c>
      <c r="M14" s="2589"/>
      <c r="N14" s="237">
        <f t="shared" si="1"/>
        <v>0</v>
      </c>
      <c r="O14" s="2589"/>
      <c r="P14" s="2560"/>
      <c r="Q14" s="422" t="s">
        <v>10646</v>
      </c>
      <c r="R14" s="1123" t="s">
        <v>10648</v>
      </c>
    </row>
    <row r="15" spans="1:18" ht="15.75" customHeight="1">
      <c r="A15" s="222"/>
      <c r="B15" s="422" t="s">
        <v>10649</v>
      </c>
      <c r="C15" s="253" t="s">
        <v>10650</v>
      </c>
      <c r="D15" s="253">
        <v>3</v>
      </c>
      <c r="E15" s="1155">
        <v>0.48899999999999999</v>
      </c>
      <c r="F15" s="106"/>
      <c r="G15" s="700" t="s">
        <v>10651</v>
      </c>
      <c r="H15" s="222"/>
      <c r="I15" s="1122"/>
      <c r="J15" s="222"/>
      <c r="K15" s="2589"/>
      <c r="L15" s="1121">
        <f t="shared" si="0"/>
        <v>0</v>
      </c>
      <c r="M15" s="2589"/>
      <c r="N15" s="237">
        <f t="shared" si="1"/>
        <v>0</v>
      </c>
      <c r="O15" s="2589"/>
      <c r="P15" s="2560"/>
      <c r="Q15" s="422" t="s">
        <v>10649</v>
      </c>
      <c r="R15" s="1155" t="s">
        <v>10652</v>
      </c>
    </row>
    <row r="16" spans="1:18" ht="15.75" customHeight="1">
      <c r="A16" s="222"/>
      <c r="B16" s="422" t="s">
        <v>10653</v>
      </c>
      <c r="C16" s="253" t="s">
        <v>10650</v>
      </c>
      <c r="D16" s="253">
        <v>3</v>
      </c>
      <c r="E16" s="1155">
        <v>0.28999999999999998</v>
      </c>
      <c r="F16" s="106"/>
      <c r="G16" s="700" t="s">
        <v>10654</v>
      </c>
      <c r="H16" s="222"/>
      <c r="I16" s="1122"/>
      <c r="J16" s="222"/>
      <c r="K16" s="2589"/>
      <c r="L16" s="1121">
        <f t="shared" si="0"/>
        <v>0</v>
      </c>
      <c r="M16" s="2589"/>
      <c r="N16" s="237">
        <f t="shared" si="1"/>
        <v>0</v>
      </c>
      <c r="O16" s="2589"/>
      <c r="P16" s="2560"/>
      <c r="Q16" s="422" t="s">
        <v>10653</v>
      </c>
      <c r="R16" s="1155" t="s">
        <v>10655</v>
      </c>
    </row>
    <row r="17" spans="1:18" ht="15.75" customHeight="1">
      <c r="A17" s="222"/>
      <c r="B17" s="422" t="s">
        <v>10656</v>
      </c>
      <c r="C17" s="253" t="s">
        <v>10650</v>
      </c>
      <c r="D17" s="253">
        <v>3</v>
      </c>
      <c r="E17" s="1155">
        <v>2.5000000000000001E-2</v>
      </c>
      <c r="F17" s="106"/>
      <c r="G17" s="700" t="s">
        <v>10657</v>
      </c>
      <c r="H17" s="222"/>
      <c r="I17" s="1122"/>
      <c r="J17" s="222"/>
      <c r="K17" s="2589"/>
      <c r="L17" s="1121">
        <f t="shared" si="0"/>
        <v>0</v>
      </c>
      <c r="M17" s="2589"/>
      <c r="N17" s="237">
        <f t="shared" si="1"/>
        <v>0</v>
      </c>
      <c r="O17" s="2589"/>
      <c r="P17" s="2560"/>
      <c r="Q17" s="422" t="s">
        <v>10656</v>
      </c>
      <c r="R17" s="1155" t="s">
        <v>10658</v>
      </c>
    </row>
    <row r="18" spans="1:18" ht="32.25" customHeight="1">
      <c r="A18" s="222"/>
      <c r="B18" s="422" t="s">
        <v>10659</v>
      </c>
      <c r="C18" s="253" t="s">
        <v>10650</v>
      </c>
      <c r="D18" s="253">
        <v>3</v>
      </c>
      <c r="E18" s="1155">
        <v>0.19600000000000001</v>
      </c>
      <c r="F18" s="106"/>
      <c r="G18" s="700" t="s">
        <v>10660</v>
      </c>
      <c r="H18" s="222"/>
      <c r="I18" s="1122"/>
      <c r="J18" s="222"/>
      <c r="K18" s="2589"/>
      <c r="L18" s="1121">
        <f t="shared" si="0"/>
        <v>0</v>
      </c>
      <c r="M18" s="2589"/>
      <c r="N18" s="237">
        <f t="shared" si="1"/>
        <v>0</v>
      </c>
      <c r="O18" s="2589"/>
      <c r="P18" s="2560"/>
      <c r="Q18" s="422" t="s">
        <v>10659</v>
      </c>
      <c r="R18" s="1155" t="s">
        <v>10661</v>
      </c>
    </row>
    <row r="19" spans="1:18" ht="32.25" customHeight="1">
      <c r="A19" s="222"/>
      <c r="B19" s="422" t="s">
        <v>10662</v>
      </c>
      <c r="C19" s="253" t="s">
        <v>10650</v>
      </c>
      <c r="D19" s="253">
        <v>3</v>
      </c>
      <c r="E19" s="1155">
        <v>0</v>
      </c>
      <c r="F19" s="106"/>
      <c r="G19" s="700" t="s">
        <v>10663</v>
      </c>
      <c r="H19" s="222"/>
      <c r="I19" s="1122"/>
      <c r="J19" s="222"/>
      <c r="K19" s="2589"/>
      <c r="L19" s="1121">
        <f t="shared" si="0"/>
        <v>0</v>
      </c>
      <c r="M19" s="2589"/>
      <c r="N19" s="237">
        <f t="shared" si="1"/>
        <v>0</v>
      </c>
      <c r="O19" s="2589"/>
      <c r="P19" s="2560"/>
      <c r="Q19" s="422" t="s">
        <v>10662</v>
      </c>
      <c r="R19" s="1155" t="s">
        <v>10664</v>
      </c>
    </row>
    <row r="20" spans="1:18" ht="32.25" customHeight="1">
      <c r="A20" s="222"/>
      <c r="B20" s="422" t="s">
        <v>10665</v>
      </c>
      <c r="C20" s="253" t="s">
        <v>10650</v>
      </c>
      <c r="D20" s="253">
        <v>3</v>
      </c>
      <c r="E20" s="1155">
        <v>0</v>
      </c>
      <c r="F20" s="106"/>
      <c r="G20" s="700" t="s">
        <v>10666</v>
      </c>
      <c r="H20" s="222"/>
      <c r="I20" s="1122"/>
      <c r="J20" s="222"/>
      <c r="K20" s="2589"/>
      <c r="L20" s="1121">
        <f t="shared" si="0"/>
        <v>0</v>
      </c>
      <c r="M20" s="2589"/>
      <c r="N20" s="237">
        <f t="shared" si="1"/>
        <v>0</v>
      </c>
      <c r="O20" s="2589"/>
      <c r="P20" s="2560"/>
      <c r="Q20" s="422" t="s">
        <v>10665</v>
      </c>
      <c r="R20" s="1155" t="s">
        <v>10667</v>
      </c>
    </row>
    <row r="21" spans="1:18" ht="15.75" customHeight="1">
      <c r="A21" s="222"/>
      <c r="B21" s="422" t="s">
        <v>10668</v>
      </c>
      <c r="C21" s="253" t="s">
        <v>10650</v>
      </c>
      <c r="D21" s="253">
        <v>3</v>
      </c>
      <c r="E21" s="1155">
        <v>0</v>
      </c>
      <c r="F21" s="106"/>
      <c r="G21" s="700" t="s">
        <v>10669</v>
      </c>
      <c r="H21" s="222"/>
      <c r="I21" s="1122"/>
      <c r="J21" s="222"/>
      <c r="K21" s="2589"/>
      <c r="L21" s="1121">
        <f t="shared" si="0"/>
        <v>0</v>
      </c>
      <c r="M21" s="2589"/>
      <c r="N21" s="237">
        <f t="shared" si="1"/>
        <v>0</v>
      </c>
      <c r="O21" s="2589"/>
      <c r="P21" s="2560"/>
      <c r="Q21" s="422" t="s">
        <v>10668</v>
      </c>
      <c r="R21" s="1155" t="s">
        <v>10670</v>
      </c>
    </row>
    <row r="22" spans="1:18" ht="15.75" customHeight="1">
      <c r="A22" s="222"/>
      <c r="B22" s="422" t="s">
        <v>10671</v>
      </c>
      <c r="C22" s="253" t="s">
        <v>10650</v>
      </c>
      <c r="D22" s="253">
        <v>3</v>
      </c>
      <c r="E22" s="1155">
        <v>0</v>
      </c>
      <c r="F22" s="106"/>
      <c r="G22" s="700" t="s">
        <v>10672</v>
      </c>
      <c r="H22" s="222"/>
      <c r="I22" s="1122"/>
      <c r="J22" s="222"/>
      <c r="K22" s="2589"/>
      <c r="L22" s="1121">
        <f t="shared" si="0"/>
        <v>0</v>
      </c>
      <c r="M22" s="2589"/>
      <c r="N22" s="237">
        <f t="shared" si="1"/>
        <v>0</v>
      </c>
      <c r="O22" s="2589"/>
      <c r="P22" s="2560"/>
      <c r="Q22" s="422" t="s">
        <v>10671</v>
      </c>
      <c r="R22" s="1155" t="s">
        <v>10673</v>
      </c>
    </row>
    <row r="23" spans="1:18" s="5" customFormat="1" ht="32.25" customHeight="1">
      <c r="A23" s="222"/>
      <c r="B23" s="422" t="s">
        <v>10674</v>
      </c>
      <c r="C23" s="253" t="s">
        <v>138</v>
      </c>
      <c r="D23" s="253">
        <v>0</v>
      </c>
      <c r="E23" s="1217">
        <v>502</v>
      </c>
      <c r="F23" s="106"/>
      <c r="G23" s="700" t="s">
        <v>10675</v>
      </c>
      <c r="H23" s="222"/>
      <c r="I23" s="1122"/>
      <c r="J23" s="222"/>
      <c r="K23" s="2589"/>
      <c r="L23" s="1121">
        <f t="shared" si="0"/>
        <v>0</v>
      </c>
      <c r="M23" s="2589"/>
      <c r="N23" s="237">
        <f t="shared" si="1"/>
        <v>0</v>
      </c>
      <c r="O23" s="2589"/>
      <c r="P23" s="646"/>
      <c r="Q23" s="422" t="s">
        <v>10674</v>
      </c>
      <c r="R23" s="1217" t="s">
        <v>10676</v>
      </c>
    </row>
    <row r="24" spans="1:18" s="5" customFormat="1" ht="32.25" customHeight="1">
      <c r="A24" s="222"/>
      <c r="B24" s="422" t="s">
        <v>10677</v>
      </c>
      <c r="C24" s="253" t="s">
        <v>138</v>
      </c>
      <c r="D24" s="253">
        <v>0</v>
      </c>
      <c r="E24" s="1217">
        <v>23</v>
      </c>
      <c r="F24" s="106"/>
      <c r="G24" s="700" t="s">
        <v>10678</v>
      </c>
      <c r="H24" s="222"/>
      <c r="I24" s="1122"/>
      <c r="J24" s="222"/>
      <c r="K24" s="2589"/>
      <c r="L24" s="1121">
        <f t="shared" si="0"/>
        <v>0</v>
      </c>
      <c r="M24" s="2589"/>
      <c r="N24" s="237">
        <f t="shared" si="1"/>
        <v>0</v>
      </c>
      <c r="O24" s="2589"/>
      <c r="P24" s="646"/>
      <c r="Q24" s="422" t="s">
        <v>10677</v>
      </c>
      <c r="R24" s="1217" t="s">
        <v>10679</v>
      </c>
    </row>
    <row r="25" spans="1:18" s="5" customFormat="1" ht="32.25" customHeight="1">
      <c r="A25" s="222"/>
      <c r="B25" s="422" t="s">
        <v>10680</v>
      </c>
      <c r="C25" s="253" t="s">
        <v>138</v>
      </c>
      <c r="D25" s="253">
        <v>0</v>
      </c>
      <c r="E25" s="1217">
        <v>58</v>
      </c>
      <c r="F25" s="106"/>
      <c r="G25" s="700" t="s">
        <v>10681</v>
      </c>
      <c r="H25" s="222"/>
      <c r="I25" s="1122"/>
      <c r="J25" s="222"/>
      <c r="K25" s="2589"/>
      <c r="L25" s="1121">
        <f t="shared" si="0"/>
        <v>0</v>
      </c>
      <c r="M25" s="2589"/>
      <c r="N25" s="237">
        <f t="shared" si="1"/>
        <v>0</v>
      </c>
      <c r="O25" s="2589"/>
      <c r="P25" s="646"/>
      <c r="Q25" s="422" t="s">
        <v>10680</v>
      </c>
      <c r="R25" s="1217" t="s">
        <v>10682</v>
      </c>
    </row>
    <row r="26" spans="1:18" s="5" customFormat="1" ht="32.25" customHeight="1">
      <c r="A26" s="222"/>
      <c r="B26" s="422" t="s">
        <v>10683</v>
      </c>
      <c r="C26" s="253" t="s">
        <v>138</v>
      </c>
      <c r="D26" s="253">
        <v>0</v>
      </c>
      <c r="E26" s="1217">
        <v>421</v>
      </c>
      <c r="F26" s="106"/>
      <c r="G26" s="700" t="s">
        <v>10684</v>
      </c>
      <c r="H26" s="222"/>
      <c r="I26" s="1122"/>
      <c r="J26" s="222"/>
      <c r="K26" s="2589"/>
      <c r="L26" s="1121">
        <f t="shared" si="0"/>
        <v>0</v>
      </c>
      <c r="M26" s="2589"/>
      <c r="N26" s="237">
        <f t="shared" si="1"/>
        <v>0</v>
      </c>
      <c r="O26" s="2589"/>
      <c r="P26" s="646"/>
      <c r="Q26" s="422" t="s">
        <v>10683</v>
      </c>
      <c r="R26" s="1217" t="s">
        <v>10685</v>
      </c>
    </row>
    <row r="27" spans="1:18" s="5" customFormat="1" ht="32.25" customHeight="1">
      <c r="A27" s="222"/>
      <c r="B27" s="422" t="s">
        <v>10686</v>
      </c>
      <c r="C27" s="253" t="s">
        <v>138</v>
      </c>
      <c r="D27" s="253">
        <v>0</v>
      </c>
      <c r="E27" s="1217">
        <v>0</v>
      </c>
      <c r="F27" s="106"/>
      <c r="G27" s="700" t="s">
        <v>10687</v>
      </c>
      <c r="H27" s="222"/>
      <c r="I27" s="1122"/>
      <c r="J27" s="222"/>
      <c r="K27" s="2589"/>
      <c r="L27" s="1121">
        <f t="shared" si="0"/>
        <v>0</v>
      </c>
      <c r="M27" s="2589"/>
      <c r="N27" s="237">
        <f t="shared" si="1"/>
        <v>0</v>
      </c>
      <c r="O27" s="2589"/>
      <c r="P27" s="646"/>
      <c r="Q27" s="422" t="s">
        <v>10686</v>
      </c>
      <c r="R27" s="1217" t="s">
        <v>10688</v>
      </c>
    </row>
    <row r="28" spans="1:18" ht="15.75" customHeight="1">
      <c r="A28" s="222"/>
      <c r="B28" s="422" t="s">
        <v>10689</v>
      </c>
      <c r="C28" s="253" t="s">
        <v>138</v>
      </c>
      <c r="D28" s="253">
        <v>0</v>
      </c>
      <c r="E28" s="1217">
        <v>395</v>
      </c>
      <c r="F28" s="106"/>
      <c r="G28" s="700" t="s">
        <v>10690</v>
      </c>
      <c r="H28" s="222"/>
      <c r="I28" s="1122"/>
      <c r="J28" s="222"/>
      <c r="K28" s="2589"/>
      <c r="L28" s="1121">
        <f t="shared" si="0"/>
        <v>0</v>
      </c>
      <c r="M28" s="2589"/>
      <c r="N28" s="237">
        <f t="shared" si="1"/>
        <v>0</v>
      </c>
      <c r="O28" s="2589"/>
      <c r="P28" s="2560"/>
      <c r="Q28" s="422" t="s">
        <v>10689</v>
      </c>
      <c r="R28" s="1217" t="s">
        <v>10691</v>
      </c>
    </row>
    <row r="29" spans="1:18" ht="15.75" customHeight="1">
      <c r="A29" s="222"/>
      <c r="B29" s="422" t="s">
        <v>10692</v>
      </c>
      <c r="C29" s="253" t="s">
        <v>138</v>
      </c>
      <c r="D29" s="253">
        <v>0</v>
      </c>
      <c r="E29" s="1217">
        <v>27</v>
      </c>
      <c r="F29" s="106"/>
      <c r="G29" s="700" t="s">
        <v>10693</v>
      </c>
      <c r="H29" s="222"/>
      <c r="I29" s="1122"/>
      <c r="J29" s="222"/>
      <c r="K29" s="2589"/>
      <c r="L29" s="1121">
        <f t="shared" si="0"/>
        <v>0</v>
      </c>
      <c r="M29" s="2589"/>
      <c r="N29" s="237">
        <f t="shared" si="1"/>
        <v>0</v>
      </c>
      <c r="O29" s="2589"/>
      <c r="P29" s="2560"/>
      <c r="Q29" s="422" t="s">
        <v>10692</v>
      </c>
      <c r="R29" s="1217" t="s">
        <v>10694</v>
      </c>
    </row>
    <row r="30" spans="1:18" ht="15.75" customHeight="1">
      <c r="A30" s="222"/>
      <c r="B30" s="422" t="s">
        <v>10695</v>
      </c>
      <c r="C30" s="253" t="s">
        <v>1402</v>
      </c>
      <c r="D30" s="253">
        <v>3</v>
      </c>
      <c r="E30" s="2451">
        <v>126059.726</v>
      </c>
      <c r="F30" s="768"/>
      <c r="G30" s="700" t="s">
        <v>10696</v>
      </c>
      <c r="H30" s="197"/>
      <c r="I30" s="739"/>
      <c r="J30" s="197"/>
      <c r="K30" s="2589"/>
      <c r="L30" s="1121">
        <f t="shared" si="0"/>
        <v>0</v>
      </c>
      <c r="M30" s="2589"/>
      <c r="N30" s="237">
        <f t="shared" si="1"/>
        <v>0</v>
      </c>
      <c r="O30" s="2589"/>
      <c r="P30" s="2560"/>
      <c r="Q30" s="422" t="s">
        <v>10695</v>
      </c>
      <c r="R30" s="1155" t="s">
        <v>10697</v>
      </c>
    </row>
    <row r="31" spans="1:18" ht="15.75" customHeight="1">
      <c r="A31" s="222"/>
      <c r="B31" s="422" t="s">
        <v>10698</v>
      </c>
      <c r="C31" s="253" t="s">
        <v>10333</v>
      </c>
      <c r="D31" s="253">
        <v>2</v>
      </c>
      <c r="E31" s="1123">
        <v>65.73</v>
      </c>
      <c r="F31" s="106"/>
      <c r="G31" s="700" t="s">
        <v>10699</v>
      </c>
      <c r="H31" s="222"/>
      <c r="I31" s="1122"/>
      <c r="J31" s="222"/>
      <c r="K31" s="2589"/>
      <c r="L31" s="1121">
        <f t="shared" si="0"/>
        <v>0</v>
      </c>
      <c r="M31" s="2589"/>
      <c r="N31" s="237">
        <f t="shared" si="1"/>
        <v>0</v>
      </c>
      <c r="O31" s="2589"/>
      <c r="P31" s="2560"/>
      <c r="Q31" s="422" t="s">
        <v>10698</v>
      </c>
      <c r="R31" s="1123" t="s">
        <v>10700</v>
      </c>
    </row>
    <row r="32" spans="1:18" ht="15.75" customHeight="1">
      <c r="A32" s="222"/>
      <c r="B32" s="422" t="s">
        <v>10701</v>
      </c>
      <c r="C32" s="253" t="s">
        <v>138</v>
      </c>
      <c r="D32" s="253">
        <v>0</v>
      </c>
      <c r="E32" s="1217">
        <v>0</v>
      </c>
      <c r="F32" s="106"/>
      <c r="G32" s="700" t="s">
        <v>10702</v>
      </c>
      <c r="H32" s="222"/>
      <c r="I32" s="1122"/>
      <c r="J32" s="222"/>
      <c r="K32" s="2589"/>
      <c r="L32" s="1121">
        <f t="shared" si="0"/>
        <v>0</v>
      </c>
      <c r="M32" s="2589"/>
      <c r="N32" s="237">
        <f t="shared" si="1"/>
        <v>0</v>
      </c>
      <c r="O32" s="2589"/>
      <c r="P32" s="2560"/>
      <c r="Q32" s="422" t="s">
        <v>10701</v>
      </c>
      <c r="R32" s="1217" t="s">
        <v>10703</v>
      </c>
    </row>
    <row r="33" spans="1:19" ht="15.75" customHeight="1">
      <c r="A33" s="222"/>
      <c r="B33" s="422" t="s">
        <v>10704</v>
      </c>
      <c r="C33" s="253" t="s">
        <v>1341</v>
      </c>
      <c r="D33" s="253">
        <v>2</v>
      </c>
      <c r="E33" s="1123">
        <v>0</v>
      </c>
      <c r="F33" s="106"/>
      <c r="G33" s="700" t="s">
        <v>10705</v>
      </c>
      <c r="H33" s="222"/>
      <c r="I33" s="1122"/>
      <c r="J33" s="222"/>
      <c r="K33" s="2589"/>
      <c r="L33" s="1121">
        <f t="shared" si="0"/>
        <v>0</v>
      </c>
      <c r="M33" s="2589"/>
      <c r="N33" s="237">
        <f t="shared" si="1"/>
        <v>0</v>
      </c>
      <c r="O33" s="2589"/>
      <c r="P33" s="2560"/>
      <c r="Q33" s="422" t="s">
        <v>10704</v>
      </c>
      <c r="R33" s="1123" t="s">
        <v>10706</v>
      </c>
    </row>
    <row r="34" spans="1:19" ht="15.75" customHeight="1">
      <c r="A34" s="222"/>
      <c r="B34" s="422" t="s">
        <v>10707</v>
      </c>
      <c r="C34" s="253" t="s">
        <v>138</v>
      </c>
      <c r="D34" s="253">
        <v>0</v>
      </c>
      <c r="E34" s="1217">
        <v>5</v>
      </c>
      <c r="F34" s="106"/>
      <c r="G34" s="700" t="s">
        <v>10708</v>
      </c>
      <c r="H34" s="222"/>
      <c r="I34" s="1122"/>
      <c r="J34" s="222"/>
      <c r="K34" s="2589"/>
      <c r="L34" s="1121">
        <f t="shared" si="0"/>
        <v>0</v>
      </c>
      <c r="M34" s="2589"/>
      <c r="N34" s="237">
        <f t="shared" si="1"/>
        <v>0</v>
      </c>
      <c r="O34" s="2589"/>
      <c r="P34" s="2560"/>
      <c r="Q34" s="422" t="s">
        <v>10707</v>
      </c>
      <c r="R34" s="1123" t="s">
        <v>10709</v>
      </c>
    </row>
    <row r="35" spans="1:19" ht="15.75" customHeight="1">
      <c r="A35" s="222"/>
      <c r="B35" s="422" t="s">
        <v>10710</v>
      </c>
      <c r="C35" s="253" t="s">
        <v>1341</v>
      </c>
      <c r="D35" s="253">
        <v>2</v>
      </c>
      <c r="E35" s="1123">
        <v>1.0302097124932308</v>
      </c>
      <c r="F35" s="106"/>
      <c r="G35" s="700" t="s">
        <v>10711</v>
      </c>
      <c r="H35" s="222"/>
      <c r="I35" s="1122"/>
      <c r="J35" s="222"/>
      <c r="K35" s="2589"/>
      <c r="L35" s="1121">
        <f t="shared" si="0"/>
        <v>0</v>
      </c>
      <c r="M35" s="2589"/>
      <c r="N35" s="237">
        <f t="shared" si="1"/>
        <v>0</v>
      </c>
      <c r="O35" s="2589"/>
      <c r="P35" s="2560"/>
      <c r="Q35" s="422" t="s">
        <v>10710</v>
      </c>
      <c r="R35" s="1123" t="s">
        <v>10712</v>
      </c>
    </row>
    <row r="36" spans="1:19" ht="15.75" customHeight="1">
      <c r="A36" s="222"/>
      <c r="B36" s="2240" t="s">
        <v>10713</v>
      </c>
      <c r="C36" s="2233" t="s">
        <v>1341</v>
      </c>
      <c r="D36" s="2233">
        <v>2</v>
      </c>
      <c r="E36" s="1123">
        <v>1425.63</v>
      </c>
      <c r="F36" s="106"/>
      <c r="G36" s="700" t="s">
        <v>10714</v>
      </c>
      <c r="H36" s="222"/>
      <c r="I36" s="1122"/>
      <c r="J36" s="222"/>
      <c r="K36" s="2589"/>
      <c r="L36" s="1121">
        <f t="shared" si="0"/>
        <v>0</v>
      </c>
      <c r="M36" s="2589"/>
      <c r="N36" s="237">
        <f t="shared" si="1"/>
        <v>0</v>
      </c>
      <c r="O36" s="2589"/>
      <c r="P36" s="2560"/>
      <c r="Q36" s="2240" t="s">
        <v>10713</v>
      </c>
      <c r="R36" s="1123" t="s">
        <v>1342</v>
      </c>
    </row>
    <row r="37" spans="1:19" ht="15.75" customHeight="1" thickBot="1">
      <c r="A37" s="222"/>
      <c r="B37" s="2285" t="s">
        <v>10715</v>
      </c>
      <c r="C37" s="2287" t="s">
        <v>1344</v>
      </c>
      <c r="D37" s="2287">
        <v>2</v>
      </c>
      <c r="E37" s="2458">
        <f>IFERROR(E36 / E48,0)</f>
        <v>1.1283003039128785</v>
      </c>
      <c r="F37" s="106"/>
      <c r="G37" s="2293" t="s">
        <v>10716</v>
      </c>
      <c r="H37" s="222"/>
      <c r="I37" s="1126"/>
      <c r="J37" s="222"/>
      <c r="K37" s="2589"/>
      <c r="L37" s="1121">
        <f t="shared" si="0"/>
        <v>0</v>
      </c>
      <c r="M37" s="2589"/>
      <c r="N37" s="237">
        <f t="shared" si="1"/>
        <v>0</v>
      </c>
      <c r="O37" s="2589"/>
      <c r="P37" s="2560"/>
      <c r="Q37" s="2285" t="s">
        <v>10715</v>
      </c>
      <c r="R37" s="1125" t="s">
        <v>1343</v>
      </c>
    </row>
    <row r="38" spans="1:19" ht="16.5" thickTop="1" thickBot="1">
      <c r="A38" s="222"/>
      <c r="B38" s="222"/>
      <c r="C38" s="222"/>
      <c r="D38" s="222"/>
      <c r="E38" s="222"/>
      <c r="F38" s="222"/>
      <c r="G38" s="398"/>
      <c r="H38" s="222"/>
      <c r="I38" s="222"/>
      <c r="J38" s="222"/>
      <c r="K38" s="2589"/>
      <c r="L38" s="2560"/>
      <c r="M38" s="2589"/>
      <c r="N38" s="2560"/>
      <c r="O38" s="2589"/>
      <c r="P38" s="2560"/>
      <c r="Q38" s="222"/>
      <c r="R38" s="222"/>
    </row>
    <row r="39" spans="1:19" s="2196" customFormat="1" ht="16.5" thickTop="1" thickBot="1">
      <c r="A39" s="222"/>
      <c r="B39" s="2292" t="s">
        <v>10717</v>
      </c>
      <c r="C39" s="2286"/>
      <c r="D39" s="2286"/>
      <c r="E39" s="222"/>
      <c r="F39" s="222"/>
      <c r="G39" s="398"/>
      <c r="H39" s="222"/>
      <c r="I39" s="222"/>
      <c r="J39" s="222"/>
      <c r="K39" s="2589"/>
      <c r="L39" s="2560"/>
      <c r="M39" s="2589"/>
      <c r="N39" s="237">
        <f t="shared" ref="N39:N48" si="2" xml:space="preserve"> IF( ISNUMBER(E39 ), 0, 1 )</f>
        <v>1</v>
      </c>
      <c r="O39" s="2589"/>
      <c r="P39" s="2560"/>
      <c r="Q39" s="2292" t="s">
        <v>10717</v>
      </c>
      <c r="R39" s="222"/>
      <c r="S39" s="16"/>
    </row>
    <row r="40" spans="1:19" s="2196" customFormat="1" ht="16" thickTop="1">
      <c r="A40" s="222"/>
      <c r="B40" s="2280" t="s">
        <v>10718</v>
      </c>
      <c r="C40" s="244" t="s">
        <v>1341</v>
      </c>
      <c r="D40" s="244">
        <v>2</v>
      </c>
      <c r="E40" s="1183">
        <v>311.68</v>
      </c>
      <c r="F40" s="222"/>
      <c r="G40" s="2289" t="s">
        <v>10719</v>
      </c>
      <c r="H40" s="222"/>
      <c r="I40" s="935"/>
      <c r="J40" s="222"/>
      <c r="K40" s="2589"/>
      <c r="L40" s="1121">
        <f t="shared" ref="L40:L48" si="3">IF( SUM( N40:N40 ) = 0, 0, $N$5 )</f>
        <v>0</v>
      </c>
      <c r="M40" s="2589"/>
      <c r="N40" s="237">
        <f t="shared" si="2"/>
        <v>0</v>
      </c>
      <c r="O40" s="2589"/>
      <c r="P40" s="2560"/>
      <c r="Q40" s="413" t="s">
        <v>10720</v>
      </c>
      <c r="R40" s="1595" t="s">
        <v>1345</v>
      </c>
      <c r="S40" s="16"/>
    </row>
    <row r="41" spans="1:19" s="2196" customFormat="1" ht="15.5">
      <c r="A41" s="16"/>
      <c r="B41" s="2240" t="s">
        <v>10721</v>
      </c>
      <c r="C41" s="253" t="s">
        <v>1341</v>
      </c>
      <c r="D41" s="253">
        <v>2</v>
      </c>
      <c r="E41" s="1123">
        <v>359.07</v>
      </c>
      <c r="F41" s="16"/>
      <c r="G41" s="2294" t="s">
        <v>10722</v>
      </c>
      <c r="H41" s="16"/>
      <c r="I41" s="1122"/>
      <c r="J41" s="16"/>
      <c r="K41" s="2589"/>
      <c r="L41" s="1121">
        <f t="shared" si="3"/>
        <v>0</v>
      </c>
      <c r="M41" s="2589"/>
      <c r="N41" s="237">
        <f t="shared" si="2"/>
        <v>0</v>
      </c>
      <c r="O41" s="2589"/>
      <c r="P41" s="16"/>
      <c r="Q41" s="422" t="s">
        <v>10723</v>
      </c>
      <c r="R41" s="1158" t="s">
        <v>1346</v>
      </c>
      <c r="S41" s="16"/>
    </row>
    <row r="42" spans="1:19" s="2196" customFormat="1" ht="15.5">
      <c r="A42" s="16"/>
      <c r="B42" s="2240" t="s">
        <v>10724</v>
      </c>
      <c r="C42" s="253" t="s">
        <v>1341</v>
      </c>
      <c r="D42" s="253">
        <v>2</v>
      </c>
      <c r="E42" s="1123">
        <v>266.17</v>
      </c>
      <c r="F42" s="16"/>
      <c r="G42" s="2294" t="s">
        <v>10725</v>
      </c>
      <c r="H42" s="16"/>
      <c r="I42" s="1122"/>
      <c r="J42" s="16"/>
      <c r="K42" s="2589"/>
      <c r="L42" s="1121">
        <f t="shared" si="3"/>
        <v>0</v>
      </c>
      <c r="M42" s="2589"/>
      <c r="N42" s="237">
        <f t="shared" si="2"/>
        <v>0</v>
      </c>
      <c r="O42" s="2589"/>
      <c r="P42" s="16"/>
      <c r="Q42" s="422" t="s">
        <v>10726</v>
      </c>
      <c r="R42" s="1158" t="s">
        <v>1347</v>
      </c>
      <c r="S42" s="16"/>
    </row>
    <row r="43" spans="1:19" s="2196" customFormat="1" ht="15.5">
      <c r="A43" s="16"/>
      <c r="B43" s="2240" t="s">
        <v>10727</v>
      </c>
      <c r="C43" s="253" t="s">
        <v>1341</v>
      </c>
      <c r="D43" s="253">
        <v>2</v>
      </c>
      <c r="E43" s="1123">
        <v>11.12</v>
      </c>
      <c r="F43" s="16"/>
      <c r="G43" s="2294" t="s">
        <v>10728</v>
      </c>
      <c r="H43" s="16"/>
      <c r="I43" s="739"/>
      <c r="J43" s="16"/>
      <c r="K43" s="2589"/>
      <c r="L43" s="1121">
        <f t="shared" si="3"/>
        <v>0</v>
      </c>
      <c r="M43" s="2589"/>
      <c r="N43" s="237">
        <f t="shared" si="2"/>
        <v>0</v>
      </c>
      <c r="O43" s="2589"/>
      <c r="P43" s="16"/>
      <c r="Q43" s="422" t="s">
        <v>10729</v>
      </c>
      <c r="R43" s="1123" t="s">
        <v>1348</v>
      </c>
      <c r="S43" s="16"/>
    </row>
    <row r="44" spans="1:19" s="2196" customFormat="1" ht="15.5">
      <c r="A44" s="16"/>
      <c r="B44" s="422" t="s">
        <v>10730</v>
      </c>
      <c r="C44" s="253" t="s">
        <v>1341</v>
      </c>
      <c r="D44" s="253">
        <v>2</v>
      </c>
      <c r="E44" s="1123">
        <v>282.77999999999997</v>
      </c>
      <c r="F44" s="106"/>
      <c r="G44" s="2294" t="s">
        <v>10731</v>
      </c>
      <c r="H44" s="222"/>
      <c r="I44" s="1122"/>
      <c r="J44" s="222"/>
      <c r="K44" s="2589"/>
      <c r="L44" s="1121">
        <f t="shared" si="3"/>
        <v>0</v>
      </c>
      <c r="M44" s="2589"/>
      <c r="N44" s="237">
        <f t="shared" si="2"/>
        <v>0</v>
      </c>
      <c r="O44" s="2589"/>
      <c r="P44" s="2560"/>
      <c r="Q44" s="422" t="s">
        <v>10730</v>
      </c>
      <c r="R44" s="1123" t="s">
        <v>10732</v>
      </c>
      <c r="S44" s="16"/>
    </row>
    <row r="45" spans="1:19" s="2196" customFormat="1" ht="15.5">
      <c r="A45" s="16"/>
      <c r="B45" s="422" t="s">
        <v>10733</v>
      </c>
      <c r="C45" s="253" t="s">
        <v>1341</v>
      </c>
      <c r="D45" s="253">
        <v>2</v>
      </c>
      <c r="E45" s="1123">
        <v>2.2799999999999998</v>
      </c>
      <c r="F45" s="16"/>
      <c r="G45" s="2294" t="s">
        <v>10734</v>
      </c>
      <c r="H45" s="16"/>
      <c r="I45" s="1122"/>
      <c r="J45" s="16"/>
      <c r="K45" s="2589"/>
      <c r="L45" s="1121">
        <f t="shared" si="3"/>
        <v>0</v>
      </c>
      <c r="M45" s="2589"/>
      <c r="N45" s="237">
        <f t="shared" si="2"/>
        <v>0</v>
      </c>
      <c r="O45" s="2589"/>
      <c r="P45" s="16"/>
      <c r="Q45" s="422" t="s">
        <v>10733</v>
      </c>
      <c r="R45" s="1123" t="s">
        <v>1349</v>
      </c>
      <c r="S45" s="16"/>
    </row>
    <row r="46" spans="1:19" s="2196" customFormat="1" ht="15.5">
      <c r="A46" s="16"/>
      <c r="B46" s="422" t="s">
        <v>10735</v>
      </c>
      <c r="C46" s="253" t="s">
        <v>1341</v>
      </c>
      <c r="D46" s="253">
        <v>2</v>
      </c>
      <c r="E46" s="1123">
        <v>27.69</v>
      </c>
      <c r="F46" s="106"/>
      <c r="G46" s="2294" t="s">
        <v>10736</v>
      </c>
      <c r="H46" s="222"/>
      <c r="I46" s="1122"/>
      <c r="J46" s="222"/>
      <c r="K46" s="2589"/>
      <c r="L46" s="1121">
        <f t="shared" si="3"/>
        <v>0</v>
      </c>
      <c r="M46" s="2589"/>
      <c r="N46" s="237">
        <f t="shared" si="2"/>
        <v>0</v>
      </c>
      <c r="O46" s="2589"/>
      <c r="P46" s="2560"/>
      <c r="Q46" s="422" t="s">
        <v>10735</v>
      </c>
      <c r="R46" s="1123" t="s">
        <v>1350</v>
      </c>
      <c r="S46" s="16"/>
    </row>
    <row r="47" spans="1:19" s="2196" customFormat="1" ht="15.5">
      <c r="A47" s="16"/>
      <c r="B47" s="422" t="s">
        <v>10737</v>
      </c>
      <c r="C47" s="253" t="s">
        <v>1341</v>
      </c>
      <c r="D47" s="253">
        <v>2</v>
      </c>
      <c r="E47" s="1123">
        <v>1260.78</v>
      </c>
      <c r="F47" s="106"/>
      <c r="G47" s="2294" t="s">
        <v>10738</v>
      </c>
      <c r="H47" s="222"/>
      <c r="I47" s="1122"/>
      <c r="J47" s="222"/>
      <c r="K47" s="2589"/>
      <c r="L47" s="1121">
        <f t="shared" si="3"/>
        <v>0</v>
      </c>
      <c r="M47" s="2589"/>
      <c r="N47" s="237">
        <f t="shared" si="2"/>
        <v>0</v>
      </c>
      <c r="O47" s="2589"/>
      <c r="P47" s="2560"/>
      <c r="Q47" s="422" t="s">
        <v>10737</v>
      </c>
      <c r="R47" s="1155" t="s">
        <v>1351</v>
      </c>
      <c r="S47" s="16"/>
    </row>
    <row r="48" spans="1:19" s="2196" customFormat="1" ht="16" thickBot="1">
      <c r="A48" s="16"/>
      <c r="B48" s="425" t="s">
        <v>10739</v>
      </c>
      <c r="C48" s="319" t="s">
        <v>1341</v>
      </c>
      <c r="D48" s="319">
        <v>2</v>
      </c>
      <c r="E48" s="1125">
        <v>1263.52</v>
      </c>
      <c r="F48" s="16"/>
      <c r="G48" s="2293" t="s">
        <v>10740</v>
      </c>
      <c r="H48" s="16"/>
      <c r="I48" s="1126"/>
      <c r="J48" s="16"/>
      <c r="K48" s="2589"/>
      <c r="L48" s="1121">
        <f t="shared" si="3"/>
        <v>0</v>
      </c>
      <c r="M48" s="2589"/>
      <c r="N48" s="237">
        <f t="shared" si="2"/>
        <v>0</v>
      </c>
      <c r="O48" s="2589"/>
      <c r="P48" s="16"/>
      <c r="Q48" s="425" t="s">
        <v>10739</v>
      </c>
      <c r="R48" s="2291" t="s">
        <v>1352</v>
      </c>
      <c r="S48" s="16"/>
    </row>
    <row r="49" spans="1:19" s="2196" customFormat="1" ht="15.5" thickTop="1" thickBot="1">
      <c r="A49" s="16"/>
      <c r="B49" s="2288"/>
      <c r="C49" s="2288"/>
      <c r="D49" s="2288"/>
      <c r="E49" s="16"/>
      <c r="F49" s="16"/>
      <c r="G49" s="2295"/>
      <c r="H49" s="16"/>
      <c r="I49" s="16"/>
      <c r="J49" s="16"/>
      <c r="K49" s="2589"/>
      <c r="L49" s="16"/>
      <c r="M49" s="2589"/>
      <c r="N49" s="16"/>
      <c r="O49" s="2589"/>
      <c r="P49" s="16"/>
      <c r="Q49" s="2288"/>
      <c r="R49" s="16"/>
      <c r="S49" s="16"/>
    </row>
    <row r="50" spans="1:19" s="2196" customFormat="1" ht="16.5" thickTop="1" thickBot="1">
      <c r="A50" s="16"/>
      <c r="B50" s="2292" t="s">
        <v>10741</v>
      </c>
      <c r="C50" s="2286"/>
      <c r="D50" s="2286"/>
      <c r="E50" s="222"/>
      <c r="F50" s="222"/>
      <c r="G50" s="398"/>
      <c r="H50" s="222"/>
      <c r="I50" s="222"/>
      <c r="J50" s="222"/>
      <c r="K50" s="2589"/>
      <c r="L50" s="2560"/>
      <c r="M50" s="2589"/>
      <c r="N50" s="2560"/>
      <c r="O50" s="2589"/>
      <c r="P50" s="2560"/>
      <c r="Q50" s="2292" t="s">
        <v>10741</v>
      </c>
      <c r="R50" s="222"/>
      <c r="S50" s="16"/>
    </row>
    <row r="51" spans="1:19" s="2196" customFormat="1" ht="16" thickTop="1">
      <c r="A51" s="16"/>
      <c r="B51" s="2280" t="s">
        <v>10718</v>
      </c>
      <c r="C51" s="244" t="s">
        <v>1341</v>
      </c>
      <c r="D51" s="244">
        <v>2</v>
      </c>
      <c r="E51" s="1183">
        <v>0</v>
      </c>
      <c r="F51" s="222"/>
      <c r="G51" s="2289" t="s">
        <v>10742</v>
      </c>
      <c r="H51" s="222"/>
      <c r="I51" s="935"/>
      <c r="J51" s="222"/>
      <c r="K51" s="2589"/>
      <c r="L51" s="1121">
        <f>IF( SUM( N51:N51 ) = 0, 0, $N$5 )</f>
        <v>0</v>
      </c>
      <c r="M51" s="2589"/>
      <c r="N51" s="237">
        <f t="shared" ref="N51:N59" si="4" xml:space="preserve"> IF( ISNUMBER(E51 ), 0, 1 )</f>
        <v>0</v>
      </c>
      <c r="O51" s="2589"/>
      <c r="P51" s="2560"/>
      <c r="Q51" s="413" t="s">
        <v>10720</v>
      </c>
      <c r="R51" s="1595" t="s">
        <v>1353</v>
      </c>
      <c r="S51" s="16"/>
    </row>
    <row r="52" spans="1:19" s="2196" customFormat="1" ht="15.5">
      <c r="A52" s="16"/>
      <c r="B52" s="2240" t="s">
        <v>10721</v>
      </c>
      <c r="C52" s="253" t="s">
        <v>1341</v>
      </c>
      <c r="D52" s="253">
        <v>2</v>
      </c>
      <c r="E52" s="1123">
        <v>0</v>
      </c>
      <c r="F52" s="16"/>
      <c r="G52" s="2294" t="s">
        <v>10743</v>
      </c>
      <c r="H52" s="16"/>
      <c r="I52" s="1122"/>
      <c r="J52" s="16"/>
      <c r="K52" s="2589"/>
      <c r="L52" s="1121">
        <f t="shared" ref="L52:L59" si="5">IF( SUM( N52:N52 ) = 0, 0, $N$5 )</f>
        <v>0</v>
      </c>
      <c r="M52" s="2589"/>
      <c r="N52" s="237">
        <f t="shared" si="4"/>
        <v>0</v>
      </c>
      <c r="O52" s="2589"/>
      <c r="P52" s="16"/>
      <c r="Q52" s="422" t="s">
        <v>10723</v>
      </c>
      <c r="R52" s="1158" t="s">
        <v>1354</v>
      </c>
      <c r="S52" s="16"/>
    </row>
    <row r="53" spans="1:19" s="2196" customFormat="1" ht="15.5">
      <c r="A53" s="16"/>
      <c r="B53" s="2240" t="s">
        <v>10724</v>
      </c>
      <c r="C53" s="253" t="s">
        <v>1341</v>
      </c>
      <c r="D53" s="253">
        <v>2</v>
      </c>
      <c r="E53" s="1123">
        <v>0</v>
      </c>
      <c r="F53" s="16"/>
      <c r="G53" s="2294" t="s">
        <v>10744</v>
      </c>
      <c r="H53" s="16"/>
      <c r="I53" s="1122"/>
      <c r="J53" s="16"/>
      <c r="K53" s="2589"/>
      <c r="L53" s="1121">
        <f t="shared" si="5"/>
        <v>0</v>
      </c>
      <c r="M53" s="2589"/>
      <c r="N53" s="237">
        <f t="shared" si="4"/>
        <v>0</v>
      </c>
      <c r="O53" s="2589"/>
      <c r="P53" s="16"/>
      <c r="Q53" s="422" t="s">
        <v>10726</v>
      </c>
      <c r="R53" s="1158" t="s">
        <v>1355</v>
      </c>
      <c r="S53" s="16"/>
    </row>
    <row r="54" spans="1:19" s="2196" customFormat="1" ht="15.5">
      <c r="A54" s="16"/>
      <c r="B54" s="2240" t="s">
        <v>10727</v>
      </c>
      <c r="C54" s="253" t="s">
        <v>1341</v>
      </c>
      <c r="D54" s="253">
        <v>2</v>
      </c>
      <c r="E54" s="1123">
        <v>0</v>
      </c>
      <c r="F54" s="16"/>
      <c r="G54" s="2294" t="s">
        <v>10745</v>
      </c>
      <c r="H54" s="16"/>
      <c r="I54" s="739"/>
      <c r="J54" s="16"/>
      <c r="K54" s="2589"/>
      <c r="L54" s="1121">
        <f t="shared" si="5"/>
        <v>0</v>
      </c>
      <c r="M54" s="2589"/>
      <c r="N54" s="237">
        <f t="shared" si="4"/>
        <v>0</v>
      </c>
      <c r="O54" s="2589"/>
      <c r="P54" s="16"/>
      <c r="Q54" s="422" t="s">
        <v>10729</v>
      </c>
      <c r="R54" s="1123" t="s">
        <v>1356</v>
      </c>
      <c r="S54" s="16"/>
    </row>
    <row r="55" spans="1:19" s="2196" customFormat="1" ht="15.5">
      <c r="A55" s="16"/>
      <c r="B55" s="422" t="s">
        <v>10730</v>
      </c>
      <c r="C55" s="253" t="s">
        <v>1341</v>
      </c>
      <c r="D55" s="253">
        <v>2</v>
      </c>
      <c r="E55" s="1123">
        <v>0</v>
      </c>
      <c r="F55" s="106"/>
      <c r="G55" s="2294" t="s">
        <v>10746</v>
      </c>
      <c r="H55" s="222"/>
      <c r="I55" s="1122"/>
      <c r="J55" s="222"/>
      <c r="K55" s="2589"/>
      <c r="L55" s="1121">
        <f t="shared" si="5"/>
        <v>0</v>
      </c>
      <c r="M55" s="2589"/>
      <c r="N55" s="237">
        <f t="shared" si="4"/>
        <v>0</v>
      </c>
      <c r="O55" s="2589"/>
      <c r="P55" s="2560"/>
      <c r="Q55" s="422" t="s">
        <v>10730</v>
      </c>
      <c r="R55" s="1123" t="s">
        <v>1357</v>
      </c>
      <c r="S55" s="16"/>
    </row>
    <row r="56" spans="1:19" s="2196" customFormat="1" ht="15.5">
      <c r="A56" s="16"/>
      <c r="B56" s="422" t="s">
        <v>10733</v>
      </c>
      <c r="C56" s="253" t="s">
        <v>1341</v>
      </c>
      <c r="D56" s="253">
        <v>2</v>
      </c>
      <c r="E56" s="1123">
        <v>0</v>
      </c>
      <c r="F56" s="16"/>
      <c r="G56" s="2294" t="s">
        <v>10747</v>
      </c>
      <c r="H56" s="16"/>
      <c r="I56" s="1122"/>
      <c r="J56" s="16"/>
      <c r="K56" s="2589"/>
      <c r="L56" s="1121">
        <f t="shared" si="5"/>
        <v>0</v>
      </c>
      <c r="M56" s="2589"/>
      <c r="N56" s="237">
        <f t="shared" si="4"/>
        <v>0</v>
      </c>
      <c r="O56" s="2589"/>
      <c r="P56" s="16"/>
      <c r="Q56" s="422" t="s">
        <v>10733</v>
      </c>
      <c r="R56" s="1123" t="s">
        <v>1358</v>
      </c>
      <c r="S56" s="16"/>
    </row>
    <row r="57" spans="1:19" s="2196" customFormat="1" ht="15.5">
      <c r="A57" s="16"/>
      <c r="B57" s="422" t="s">
        <v>10735</v>
      </c>
      <c r="C57" s="253" t="s">
        <v>1341</v>
      </c>
      <c r="D57" s="253">
        <v>2</v>
      </c>
      <c r="E57" s="1123">
        <v>0</v>
      </c>
      <c r="F57" s="106"/>
      <c r="G57" s="2294" t="s">
        <v>10748</v>
      </c>
      <c r="H57" s="222"/>
      <c r="I57" s="1122"/>
      <c r="J57" s="222"/>
      <c r="K57" s="2589"/>
      <c r="L57" s="1121">
        <f t="shared" si="5"/>
        <v>0</v>
      </c>
      <c r="M57" s="2589"/>
      <c r="N57" s="237">
        <f t="shared" si="4"/>
        <v>0</v>
      </c>
      <c r="O57" s="2589"/>
      <c r="P57" s="2560"/>
      <c r="Q57" s="422" t="s">
        <v>10735</v>
      </c>
      <c r="R57" s="1123" t="s">
        <v>1359</v>
      </c>
      <c r="S57" s="16"/>
    </row>
    <row r="58" spans="1:19" s="2196" customFormat="1" ht="15.5">
      <c r="A58" s="16"/>
      <c r="B58" s="422" t="s">
        <v>10737</v>
      </c>
      <c r="C58" s="253" t="s">
        <v>1341</v>
      </c>
      <c r="D58" s="253">
        <v>2</v>
      </c>
      <c r="E58" s="1123">
        <v>0</v>
      </c>
      <c r="F58" s="106"/>
      <c r="G58" s="2294" t="s">
        <v>10749</v>
      </c>
      <c r="H58" s="222"/>
      <c r="I58" s="1122"/>
      <c r="J58" s="222"/>
      <c r="K58" s="2589"/>
      <c r="L58" s="1121">
        <f t="shared" si="5"/>
        <v>0</v>
      </c>
      <c r="M58" s="2589"/>
      <c r="N58" s="237">
        <f t="shared" si="4"/>
        <v>0</v>
      </c>
      <c r="O58" s="2589"/>
      <c r="P58" s="2560"/>
      <c r="Q58" s="422" t="s">
        <v>10737</v>
      </c>
      <c r="R58" s="1155" t="s">
        <v>1360</v>
      </c>
      <c r="S58" s="16"/>
    </row>
    <row r="59" spans="1:19" s="2196" customFormat="1" ht="16" thickBot="1">
      <c r="A59" s="16"/>
      <c r="B59" s="425" t="s">
        <v>10739</v>
      </c>
      <c r="C59" s="319" t="s">
        <v>1341</v>
      </c>
      <c r="D59" s="319">
        <v>2</v>
      </c>
      <c r="E59" s="1125">
        <v>0</v>
      </c>
      <c r="F59" s="16"/>
      <c r="G59" s="2293" t="s">
        <v>10750</v>
      </c>
      <c r="H59" s="16"/>
      <c r="I59" s="1126"/>
      <c r="J59" s="16"/>
      <c r="K59" s="2589"/>
      <c r="L59" s="1121">
        <f t="shared" si="5"/>
        <v>0</v>
      </c>
      <c r="M59" s="2589"/>
      <c r="N59" s="237">
        <f t="shared" si="4"/>
        <v>0</v>
      </c>
      <c r="O59" s="2589"/>
      <c r="P59" s="16"/>
      <c r="Q59" s="425" t="s">
        <v>10739</v>
      </c>
      <c r="R59" s="2291" t="s">
        <v>1361</v>
      </c>
      <c r="S59" s="16"/>
    </row>
    <row r="60" spans="1:19" s="2196" customFormat="1" ht="15.5" thickTop="1" thickBot="1">
      <c r="A60" s="16"/>
      <c r="B60" s="2288"/>
      <c r="C60" s="2288"/>
      <c r="D60" s="2288"/>
      <c r="E60" s="16"/>
      <c r="F60" s="16"/>
      <c r="G60" s="2295"/>
      <c r="H60" s="16"/>
      <c r="I60" s="16"/>
      <c r="J60" s="16"/>
      <c r="K60" s="2589"/>
      <c r="L60" s="16"/>
      <c r="M60" s="2589"/>
      <c r="N60" s="16"/>
      <c r="O60" s="2589"/>
      <c r="P60" s="16"/>
      <c r="Q60" s="2288"/>
      <c r="R60" s="16"/>
      <c r="S60" s="16"/>
    </row>
    <row r="61" spans="1:19" s="2196" customFormat="1" ht="16.5" thickTop="1" thickBot="1">
      <c r="A61" s="16"/>
      <c r="B61" s="2292" t="s">
        <v>10751</v>
      </c>
      <c r="C61" s="2286"/>
      <c r="D61" s="2286"/>
      <c r="E61" s="222"/>
      <c r="F61" s="222"/>
      <c r="G61" s="398"/>
      <c r="H61" s="222"/>
      <c r="I61" s="222"/>
      <c r="J61" s="222"/>
      <c r="K61" s="2589"/>
      <c r="L61" s="16"/>
      <c r="M61" s="2589"/>
      <c r="N61" s="2560"/>
      <c r="O61" s="2589"/>
      <c r="P61" s="2560"/>
      <c r="Q61" s="2292" t="s">
        <v>10751</v>
      </c>
      <c r="R61" s="222"/>
      <c r="S61" s="16"/>
    </row>
    <row r="62" spans="1:19" s="2196" customFormat="1" ht="16" thickTop="1">
      <c r="A62" s="16"/>
      <c r="B62" s="2280" t="s">
        <v>10718</v>
      </c>
      <c r="C62" s="244" t="s">
        <v>1341</v>
      </c>
      <c r="D62" s="244">
        <v>2</v>
      </c>
      <c r="E62" s="1183">
        <v>0</v>
      </c>
      <c r="F62" s="222"/>
      <c r="G62" s="2289" t="s">
        <v>10752</v>
      </c>
      <c r="H62" s="222"/>
      <c r="I62" s="935"/>
      <c r="J62" s="222"/>
      <c r="K62" s="2589"/>
      <c r="L62" s="1121">
        <f>IF( SUM( N62:N62 ) = 0, 0, $N$5 )</f>
        <v>0</v>
      </c>
      <c r="M62" s="2589"/>
      <c r="N62" s="237">
        <f t="shared" ref="N62:N70" si="6" xml:space="preserve"> IF( ISNUMBER(E62 ), 0, 1 )</f>
        <v>0</v>
      </c>
      <c r="O62" s="2589"/>
      <c r="P62" s="2560"/>
      <c r="Q62" s="413" t="s">
        <v>10720</v>
      </c>
      <c r="R62" s="1595" t="s">
        <v>1362</v>
      </c>
      <c r="S62" s="16"/>
    </row>
    <row r="63" spans="1:19" s="2196" customFormat="1" ht="15.5">
      <c r="A63" s="16"/>
      <c r="B63" s="2240" t="s">
        <v>10721</v>
      </c>
      <c r="C63" s="253" t="s">
        <v>1341</v>
      </c>
      <c r="D63" s="253">
        <v>2</v>
      </c>
      <c r="E63" s="1123">
        <v>0</v>
      </c>
      <c r="F63" s="16"/>
      <c r="G63" s="2294" t="s">
        <v>10753</v>
      </c>
      <c r="H63" s="16"/>
      <c r="I63" s="1122"/>
      <c r="J63" s="16"/>
      <c r="K63" s="2589"/>
      <c r="L63" s="1121">
        <f t="shared" ref="L63:L70" si="7">IF( SUM( N63:N63 ) = 0, 0, $N$5 )</f>
        <v>0</v>
      </c>
      <c r="M63" s="2589"/>
      <c r="N63" s="237">
        <f t="shared" si="6"/>
        <v>0</v>
      </c>
      <c r="O63" s="2589"/>
      <c r="P63" s="16"/>
      <c r="Q63" s="422" t="s">
        <v>10723</v>
      </c>
      <c r="R63" s="1158" t="s">
        <v>1363</v>
      </c>
      <c r="S63" s="16"/>
    </row>
    <row r="64" spans="1:19" s="2196" customFormat="1" ht="15.5">
      <c r="A64" s="16"/>
      <c r="B64" s="2240" t="s">
        <v>10724</v>
      </c>
      <c r="C64" s="253" t="s">
        <v>1341</v>
      </c>
      <c r="D64" s="253">
        <v>2</v>
      </c>
      <c r="E64" s="1123">
        <v>0</v>
      </c>
      <c r="F64" s="16"/>
      <c r="G64" s="2294" t="s">
        <v>10754</v>
      </c>
      <c r="H64" s="16"/>
      <c r="I64" s="1122"/>
      <c r="J64" s="16"/>
      <c r="K64" s="2589"/>
      <c r="L64" s="1121">
        <f t="shared" si="7"/>
        <v>0</v>
      </c>
      <c r="M64" s="2589"/>
      <c r="N64" s="237">
        <f t="shared" si="6"/>
        <v>0</v>
      </c>
      <c r="O64" s="2589"/>
      <c r="P64" s="16"/>
      <c r="Q64" s="422" t="s">
        <v>10726</v>
      </c>
      <c r="R64" s="1158" t="s">
        <v>1364</v>
      </c>
      <c r="S64" s="16"/>
    </row>
    <row r="65" spans="1:19" s="2196" customFormat="1" ht="15.5">
      <c r="A65" s="16"/>
      <c r="B65" s="2240" t="s">
        <v>10727</v>
      </c>
      <c r="C65" s="253" t="s">
        <v>1341</v>
      </c>
      <c r="D65" s="253">
        <v>2</v>
      </c>
      <c r="E65" s="1123">
        <v>0</v>
      </c>
      <c r="F65" s="16"/>
      <c r="G65" s="2294" t="s">
        <v>10755</v>
      </c>
      <c r="H65" s="16"/>
      <c r="I65" s="739"/>
      <c r="J65" s="16"/>
      <c r="K65" s="2589"/>
      <c r="L65" s="1121">
        <f t="shared" si="7"/>
        <v>0</v>
      </c>
      <c r="M65" s="2589"/>
      <c r="N65" s="237">
        <f t="shared" si="6"/>
        <v>0</v>
      </c>
      <c r="O65" s="2589"/>
      <c r="P65" s="16"/>
      <c r="Q65" s="422" t="s">
        <v>10729</v>
      </c>
      <c r="R65" s="1123" t="s">
        <v>1365</v>
      </c>
      <c r="S65" s="16"/>
    </row>
    <row r="66" spans="1:19" s="2196" customFormat="1" ht="15.5">
      <c r="A66" s="16"/>
      <c r="B66" s="422" t="s">
        <v>10730</v>
      </c>
      <c r="C66" s="253" t="s">
        <v>1341</v>
      </c>
      <c r="D66" s="253">
        <v>2</v>
      </c>
      <c r="E66" s="1123">
        <v>0</v>
      </c>
      <c r="F66" s="106"/>
      <c r="G66" s="2294" t="s">
        <v>10756</v>
      </c>
      <c r="H66" s="222"/>
      <c r="I66" s="1122"/>
      <c r="J66" s="222"/>
      <c r="K66" s="2589"/>
      <c r="L66" s="1121">
        <f t="shared" si="7"/>
        <v>0</v>
      </c>
      <c r="M66" s="2589"/>
      <c r="N66" s="237">
        <f t="shared" si="6"/>
        <v>0</v>
      </c>
      <c r="O66" s="2589"/>
      <c r="P66" s="2560"/>
      <c r="Q66" s="422" t="s">
        <v>10730</v>
      </c>
      <c r="R66" s="1123" t="s">
        <v>1366</v>
      </c>
      <c r="S66" s="16"/>
    </row>
    <row r="67" spans="1:19" s="2196" customFormat="1" ht="15.5">
      <c r="A67" s="16"/>
      <c r="B67" s="422" t="s">
        <v>10733</v>
      </c>
      <c r="C67" s="253" t="s">
        <v>1341</v>
      </c>
      <c r="D67" s="253">
        <v>2</v>
      </c>
      <c r="E67" s="1123">
        <v>0</v>
      </c>
      <c r="F67" s="16"/>
      <c r="G67" s="2294" t="s">
        <v>10757</v>
      </c>
      <c r="H67" s="16"/>
      <c r="I67" s="1122"/>
      <c r="J67" s="16"/>
      <c r="K67" s="2589"/>
      <c r="L67" s="1121">
        <f t="shared" si="7"/>
        <v>0</v>
      </c>
      <c r="M67" s="2589"/>
      <c r="N67" s="237">
        <f t="shared" si="6"/>
        <v>0</v>
      </c>
      <c r="O67" s="2589"/>
      <c r="P67" s="16"/>
      <c r="Q67" s="422" t="s">
        <v>10733</v>
      </c>
      <c r="R67" s="1123" t="s">
        <v>1367</v>
      </c>
      <c r="S67" s="16"/>
    </row>
    <row r="68" spans="1:19" s="2196" customFormat="1" ht="15.5">
      <c r="A68" s="16"/>
      <c r="B68" s="422" t="s">
        <v>10735</v>
      </c>
      <c r="C68" s="253" t="s">
        <v>1341</v>
      </c>
      <c r="D68" s="253">
        <v>2</v>
      </c>
      <c r="E68" s="1123">
        <v>0</v>
      </c>
      <c r="F68" s="106"/>
      <c r="G68" s="2294" t="s">
        <v>10758</v>
      </c>
      <c r="H68" s="222"/>
      <c r="I68" s="1122"/>
      <c r="J68" s="222"/>
      <c r="K68" s="2589"/>
      <c r="L68" s="1121">
        <f t="shared" si="7"/>
        <v>0</v>
      </c>
      <c r="M68" s="2589"/>
      <c r="N68" s="237">
        <f t="shared" si="6"/>
        <v>0</v>
      </c>
      <c r="O68" s="2589"/>
      <c r="P68" s="2560"/>
      <c r="Q68" s="422" t="s">
        <v>10735</v>
      </c>
      <c r="R68" s="1123" t="s">
        <v>1368</v>
      </c>
      <c r="S68" s="16"/>
    </row>
    <row r="69" spans="1:19" s="2196" customFormat="1" ht="15.5">
      <c r="A69" s="16"/>
      <c r="B69" s="422" t="s">
        <v>10737</v>
      </c>
      <c r="C69" s="253" t="s">
        <v>1341</v>
      </c>
      <c r="D69" s="253">
        <v>2</v>
      </c>
      <c r="E69" s="1123">
        <v>0</v>
      </c>
      <c r="F69" s="106"/>
      <c r="G69" s="2294" t="s">
        <v>10759</v>
      </c>
      <c r="H69" s="222"/>
      <c r="I69" s="1122"/>
      <c r="J69" s="222"/>
      <c r="K69" s="2589"/>
      <c r="L69" s="1121">
        <f t="shared" si="7"/>
        <v>0</v>
      </c>
      <c r="M69" s="2589"/>
      <c r="N69" s="237">
        <f t="shared" si="6"/>
        <v>0</v>
      </c>
      <c r="O69" s="2589"/>
      <c r="P69" s="2560"/>
      <c r="Q69" s="422" t="s">
        <v>10737</v>
      </c>
      <c r="R69" s="1155" t="s">
        <v>1369</v>
      </c>
      <c r="S69" s="16"/>
    </row>
    <row r="70" spans="1:19" s="2196" customFormat="1" ht="16" thickBot="1">
      <c r="A70" s="16"/>
      <c r="B70" s="425" t="s">
        <v>10739</v>
      </c>
      <c r="C70" s="319" t="s">
        <v>1341</v>
      </c>
      <c r="D70" s="319">
        <v>2</v>
      </c>
      <c r="E70" s="1125">
        <v>0</v>
      </c>
      <c r="F70" s="16"/>
      <c r="G70" s="2293" t="s">
        <v>10760</v>
      </c>
      <c r="H70" s="16"/>
      <c r="I70" s="1126"/>
      <c r="J70" s="16"/>
      <c r="K70" s="2589"/>
      <c r="L70" s="1121">
        <f t="shared" si="7"/>
        <v>0</v>
      </c>
      <c r="M70" s="2589"/>
      <c r="N70" s="237">
        <f t="shared" si="6"/>
        <v>0</v>
      </c>
      <c r="O70" s="2589"/>
      <c r="P70" s="16"/>
      <c r="Q70" s="425" t="s">
        <v>10739</v>
      </c>
      <c r="R70" s="2291" t="s">
        <v>1370</v>
      </c>
      <c r="S70" s="16"/>
    </row>
    <row r="71" spans="1:19" s="2196" customFormat="1" ht="15.5" thickTop="1" thickBot="1">
      <c r="A71" s="16"/>
      <c r="B71" s="2288"/>
      <c r="C71" s="2288"/>
      <c r="D71" s="2288"/>
      <c r="E71" s="16"/>
      <c r="F71" s="16"/>
      <c r="G71" s="2295"/>
      <c r="H71" s="16"/>
      <c r="I71" s="16"/>
      <c r="J71" s="16"/>
      <c r="K71" s="2589"/>
      <c r="L71" s="16"/>
      <c r="M71" s="2589"/>
      <c r="N71" s="16"/>
      <c r="O71" s="2589"/>
      <c r="P71" s="16"/>
      <c r="Q71" s="2288"/>
      <c r="R71" s="16"/>
      <c r="S71" s="16"/>
    </row>
    <row r="72" spans="1:19" s="2196" customFormat="1" ht="16.5" thickTop="1" thickBot="1">
      <c r="A72" s="16"/>
      <c r="B72" s="2292" t="s">
        <v>10761</v>
      </c>
      <c r="C72" s="2290"/>
      <c r="D72" s="2290"/>
      <c r="E72" s="16"/>
      <c r="F72" s="16"/>
      <c r="G72" s="2295"/>
      <c r="H72" s="16"/>
      <c r="I72" s="16"/>
      <c r="J72" s="16"/>
      <c r="K72" s="2589"/>
      <c r="L72" s="16"/>
      <c r="M72" s="2589"/>
      <c r="N72" s="16"/>
      <c r="O72" s="2589"/>
      <c r="P72" s="16"/>
      <c r="Q72" s="2292" t="s">
        <v>10761</v>
      </c>
      <c r="R72" s="16"/>
      <c r="S72" s="16"/>
    </row>
    <row r="73" spans="1:19" s="2196" customFormat="1" ht="16" thickTop="1">
      <c r="A73" s="16"/>
      <c r="B73" s="413" t="s">
        <v>10762</v>
      </c>
      <c r="C73" s="244" t="s">
        <v>1372</v>
      </c>
      <c r="D73" s="244">
        <v>2</v>
      </c>
      <c r="E73" s="1183">
        <v>36.21</v>
      </c>
      <c r="F73" s="16"/>
      <c r="G73" s="2289" t="s">
        <v>10763</v>
      </c>
      <c r="H73" s="16"/>
      <c r="I73" s="935"/>
      <c r="J73" s="16"/>
      <c r="K73" s="2589"/>
      <c r="L73" s="1121">
        <f>IF( SUM( N73:N73 ) = 0, 0, $N$5 )</f>
        <v>0</v>
      </c>
      <c r="M73" s="2589"/>
      <c r="N73" s="237">
        <f t="shared" ref="N73:N82" si="8" xml:space="preserve"> IF( ISNUMBER(E73 ), 0, 1 )</f>
        <v>0</v>
      </c>
      <c r="O73" s="2589"/>
      <c r="P73" s="16"/>
      <c r="Q73" s="413" t="s">
        <v>10762</v>
      </c>
      <c r="R73" s="1595" t="s">
        <v>10764</v>
      </c>
      <c r="S73" s="16"/>
    </row>
    <row r="74" spans="1:19" s="2196" customFormat="1" ht="15.5">
      <c r="A74" s="16"/>
      <c r="B74" s="422" t="s">
        <v>10765</v>
      </c>
      <c r="C74" s="253" t="s">
        <v>1372</v>
      </c>
      <c r="D74" s="253">
        <v>2</v>
      </c>
      <c r="E74" s="1123">
        <v>172.81</v>
      </c>
      <c r="F74" s="16"/>
      <c r="G74" s="2294" t="s">
        <v>10766</v>
      </c>
      <c r="H74" s="16"/>
      <c r="I74" s="1122"/>
      <c r="J74" s="16"/>
      <c r="K74" s="2589"/>
      <c r="L74" s="1121">
        <f t="shared" ref="L74:L82" si="9">IF( SUM( N74:N74 ) = 0, 0, $N$5 )</f>
        <v>0</v>
      </c>
      <c r="M74" s="2589"/>
      <c r="N74" s="237">
        <f t="shared" si="8"/>
        <v>0</v>
      </c>
      <c r="O74" s="2589"/>
      <c r="P74" s="16"/>
      <c r="Q74" s="422">
        <v>87</v>
      </c>
      <c r="R74" s="1158" t="s">
        <v>10767</v>
      </c>
      <c r="S74" s="16"/>
    </row>
    <row r="75" spans="1:19" s="2196" customFormat="1" ht="15.5">
      <c r="A75" s="16"/>
      <c r="B75" s="2240" t="s">
        <v>10768</v>
      </c>
      <c r="C75" s="253" t="s">
        <v>1372</v>
      </c>
      <c r="D75" s="253">
        <v>2</v>
      </c>
      <c r="E75" s="1123">
        <v>28.89</v>
      </c>
      <c r="F75" s="16"/>
      <c r="G75" s="2294" t="s">
        <v>10769</v>
      </c>
      <c r="H75" s="16"/>
      <c r="I75" s="1122"/>
      <c r="J75" s="16"/>
      <c r="K75" s="2589"/>
      <c r="L75" s="1121">
        <f t="shared" si="9"/>
        <v>0</v>
      </c>
      <c r="M75" s="2589"/>
      <c r="N75" s="237">
        <f t="shared" si="8"/>
        <v>0</v>
      </c>
      <c r="O75" s="2589"/>
      <c r="P75" s="16"/>
      <c r="Q75" s="422" t="s">
        <v>10770</v>
      </c>
      <c r="R75" s="1158" t="s">
        <v>10771</v>
      </c>
      <c r="S75" s="16"/>
    </row>
    <row r="76" spans="1:19" s="2196" customFormat="1" ht="15.5">
      <c r="A76" s="16"/>
      <c r="B76" s="2240" t="s">
        <v>10772</v>
      </c>
      <c r="C76" s="253" t="s">
        <v>1372</v>
      </c>
      <c r="D76" s="253">
        <v>2</v>
      </c>
      <c r="E76" s="1123">
        <v>37.31</v>
      </c>
      <c r="F76" s="16"/>
      <c r="G76" s="2294" t="s">
        <v>10773</v>
      </c>
      <c r="H76" s="16"/>
      <c r="I76" s="1122"/>
      <c r="J76" s="16"/>
      <c r="K76" s="2589"/>
      <c r="L76" s="1121">
        <f t="shared" si="9"/>
        <v>0</v>
      </c>
      <c r="M76" s="2589"/>
      <c r="N76" s="237">
        <f t="shared" si="8"/>
        <v>0</v>
      </c>
      <c r="O76" s="2589"/>
      <c r="P76" s="16"/>
      <c r="Q76" s="422" t="s">
        <v>10774</v>
      </c>
      <c r="R76" s="1123" t="s">
        <v>10775</v>
      </c>
      <c r="S76" s="16"/>
    </row>
    <row r="77" spans="1:19" s="2196" customFormat="1" ht="15.5">
      <c r="A77" s="16"/>
      <c r="B77" s="2240" t="s">
        <v>10776</v>
      </c>
      <c r="C77" s="253" t="s">
        <v>1372</v>
      </c>
      <c r="D77" s="253">
        <v>2</v>
      </c>
      <c r="E77" s="1123">
        <v>2.38</v>
      </c>
      <c r="F77" s="16"/>
      <c r="G77" s="2294" t="s">
        <v>10777</v>
      </c>
      <c r="H77" s="16"/>
      <c r="I77" s="1122"/>
      <c r="J77" s="16"/>
      <c r="K77" s="2589"/>
      <c r="L77" s="1121">
        <f t="shared" si="9"/>
        <v>0</v>
      </c>
      <c r="M77" s="2589"/>
      <c r="N77" s="237">
        <f t="shared" si="8"/>
        <v>0</v>
      </c>
      <c r="O77" s="2589"/>
      <c r="P77" s="16"/>
      <c r="Q77" s="422" t="s">
        <v>10778</v>
      </c>
      <c r="R77" s="1123" t="s">
        <v>10779</v>
      </c>
      <c r="S77" s="16"/>
    </row>
    <row r="78" spans="1:19" s="2196" customFormat="1" ht="31">
      <c r="A78" s="16"/>
      <c r="B78" s="2240" t="s">
        <v>10780</v>
      </c>
      <c r="C78" s="253" t="s">
        <v>1372</v>
      </c>
      <c r="D78" s="253">
        <v>2</v>
      </c>
      <c r="E78" s="1123">
        <v>0.65</v>
      </c>
      <c r="F78" s="16"/>
      <c r="G78" s="2294" t="s">
        <v>10781</v>
      </c>
      <c r="H78" s="16"/>
      <c r="I78" s="2185"/>
      <c r="J78" s="16"/>
      <c r="K78" s="2589"/>
      <c r="L78" s="1121">
        <f t="shared" si="9"/>
        <v>0</v>
      </c>
      <c r="M78" s="2589"/>
      <c r="N78" s="237">
        <f t="shared" si="8"/>
        <v>0</v>
      </c>
      <c r="O78" s="2589"/>
      <c r="P78" s="16"/>
      <c r="Q78" s="422" t="s">
        <v>10782</v>
      </c>
      <c r="R78" s="1123" t="s">
        <v>10783</v>
      </c>
      <c r="S78" s="16"/>
    </row>
    <row r="79" spans="1:19" s="2196" customFormat="1" ht="15.5">
      <c r="A79" s="16"/>
      <c r="B79" s="2240" t="s">
        <v>10784</v>
      </c>
      <c r="C79" s="253" t="s">
        <v>1372</v>
      </c>
      <c r="D79" s="253">
        <v>2</v>
      </c>
      <c r="E79" s="1123">
        <v>1.81</v>
      </c>
      <c r="F79" s="16"/>
      <c r="G79" s="2294" t="s">
        <v>10785</v>
      </c>
      <c r="H79" s="16"/>
      <c r="I79" s="2185"/>
      <c r="J79" s="16"/>
      <c r="K79" s="2589"/>
      <c r="L79" s="1121">
        <f t="shared" si="9"/>
        <v>0</v>
      </c>
      <c r="M79" s="2589"/>
      <c r="N79" s="237">
        <f t="shared" si="8"/>
        <v>0</v>
      </c>
      <c r="O79" s="2589"/>
      <c r="P79" s="16"/>
      <c r="Q79" s="422" t="s">
        <v>10784</v>
      </c>
      <c r="R79" s="1123" t="s">
        <v>1371</v>
      </c>
      <c r="S79" s="16"/>
    </row>
    <row r="80" spans="1:19" s="2196" customFormat="1" ht="15.5">
      <c r="A80" s="16"/>
      <c r="B80" s="2240" t="s">
        <v>10786</v>
      </c>
      <c r="C80" s="253" t="s">
        <v>1372</v>
      </c>
      <c r="D80" s="253">
        <v>2</v>
      </c>
      <c r="E80" s="1123">
        <v>1.69</v>
      </c>
      <c r="F80" s="16"/>
      <c r="G80" s="2294" t="s">
        <v>10787</v>
      </c>
      <c r="H80" s="16"/>
      <c r="I80" s="2185"/>
      <c r="J80" s="16"/>
      <c r="K80" s="2589"/>
      <c r="L80" s="1121">
        <f t="shared" si="9"/>
        <v>0</v>
      </c>
      <c r="M80" s="2589"/>
      <c r="N80" s="237">
        <f t="shared" si="8"/>
        <v>0</v>
      </c>
      <c r="O80" s="2589"/>
      <c r="P80" s="16"/>
      <c r="Q80" s="422" t="s">
        <v>10786</v>
      </c>
      <c r="R80" s="1155" t="s">
        <v>1373</v>
      </c>
      <c r="S80" s="16"/>
    </row>
    <row r="81" spans="1:19" s="2196" customFormat="1" ht="15.5">
      <c r="A81" s="16"/>
      <c r="B81" s="2240" t="s">
        <v>10788</v>
      </c>
      <c r="C81" s="253" t="s">
        <v>1372</v>
      </c>
      <c r="D81" s="253">
        <v>2</v>
      </c>
      <c r="E81" s="1123">
        <v>0.74</v>
      </c>
      <c r="F81" s="16"/>
      <c r="G81" s="2294" t="s">
        <v>10789</v>
      </c>
      <c r="H81" s="16"/>
      <c r="I81" s="2185"/>
      <c r="J81" s="16"/>
      <c r="K81" s="2589"/>
      <c r="L81" s="1121">
        <f t="shared" si="9"/>
        <v>0</v>
      </c>
      <c r="M81" s="2589"/>
      <c r="N81" s="237">
        <f t="shared" si="8"/>
        <v>0</v>
      </c>
      <c r="O81" s="2589"/>
      <c r="P81" s="16"/>
      <c r="Q81" s="422" t="s">
        <v>10788</v>
      </c>
      <c r="R81" s="1155" t="s">
        <v>1374</v>
      </c>
      <c r="S81" s="16"/>
    </row>
    <row r="82" spans="1:19" s="2196" customFormat="1" ht="16" thickBot="1">
      <c r="A82" s="16"/>
      <c r="B82" s="2285" t="s">
        <v>10790</v>
      </c>
      <c r="C82" s="319" t="s">
        <v>1372</v>
      </c>
      <c r="D82" s="319">
        <v>2</v>
      </c>
      <c r="E82" s="1125">
        <v>0.28999999999999998</v>
      </c>
      <c r="F82" s="16"/>
      <c r="G82" s="2293" t="s">
        <v>10791</v>
      </c>
      <c r="H82" s="16"/>
      <c r="I82" s="1126"/>
      <c r="J82" s="16"/>
      <c r="K82" s="2589"/>
      <c r="L82" s="1121">
        <f t="shared" si="9"/>
        <v>0</v>
      </c>
      <c r="M82" s="2589"/>
      <c r="N82" s="237">
        <f t="shared" si="8"/>
        <v>0</v>
      </c>
      <c r="O82" s="2589"/>
      <c r="P82" s="16"/>
      <c r="Q82" s="425" t="s">
        <v>10790</v>
      </c>
      <c r="R82" s="1220" t="s">
        <v>1375</v>
      </c>
      <c r="S82" s="16"/>
    </row>
    <row r="83" spans="1:19" ht="15.5" thickTop="1" thickBot="1">
      <c r="G83" s="2295"/>
      <c r="K83" s="2589"/>
      <c r="M83" s="2589"/>
      <c r="O83" s="2589"/>
    </row>
    <row r="84" spans="1:19" s="2196" customFormat="1" ht="16.5" thickTop="1" thickBot="1">
      <c r="A84" s="16"/>
      <c r="B84" s="2292" t="s">
        <v>10792</v>
      </c>
      <c r="C84" s="2290"/>
      <c r="D84" s="2290"/>
      <c r="E84" s="16"/>
      <c r="F84" s="16"/>
      <c r="G84" s="2295"/>
      <c r="H84" s="16"/>
      <c r="I84" s="16"/>
      <c r="J84" s="16"/>
      <c r="K84" s="2589"/>
      <c r="L84" s="16"/>
      <c r="M84" s="2589"/>
      <c r="N84" s="16"/>
      <c r="O84" s="2589"/>
      <c r="P84" s="16"/>
      <c r="Q84" s="2292" t="s">
        <v>10792</v>
      </c>
      <c r="R84" s="16"/>
      <c r="S84" s="16"/>
    </row>
    <row r="85" spans="1:19" s="2196" customFormat="1" ht="16" thickTop="1">
      <c r="A85" s="16"/>
      <c r="B85" s="413" t="s">
        <v>10762</v>
      </c>
      <c r="C85" s="244" t="s">
        <v>1372</v>
      </c>
      <c r="D85" s="244">
        <v>2</v>
      </c>
      <c r="E85" s="1183">
        <v>0</v>
      </c>
      <c r="F85" s="16"/>
      <c r="G85" s="2289" t="s">
        <v>10793</v>
      </c>
      <c r="H85" s="16"/>
      <c r="I85" s="935"/>
      <c r="J85" s="16"/>
      <c r="K85" s="2589"/>
      <c r="L85" s="1121">
        <f>IF( SUM( N85:N85 ) = 0, 0, $N$5 )</f>
        <v>0</v>
      </c>
      <c r="M85" s="2589"/>
      <c r="N85" s="237">
        <f t="shared" ref="N85:N94" si="10" xml:space="preserve"> IF( ISNUMBER(E85 ), 0, 1 )</f>
        <v>0</v>
      </c>
      <c r="O85" s="2589"/>
      <c r="P85" s="16"/>
      <c r="Q85" s="413" t="s">
        <v>10762</v>
      </c>
      <c r="R85" s="1595" t="s">
        <v>10794</v>
      </c>
      <c r="S85" s="16"/>
    </row>
    <row r="86" spans="1:19" s="2196" customFormat="1" ht="15.5">
      <c r="A86" s="16"/>
      <c r="B86" s="422" t="s">
        <v>10795</v>
      </c>
      <c r="C86" s="253" t="s">
        <v>1372</v>
      </c>
      <c r="D86" s="253">
        <v>2</v>
      </c>
      <c r="E86" s="1123">
        <v>0</v>
      </c>
      <c r="F86" s="16"/>
      <c r="G86" s="2294" t="s">
        <v>10796</v>
      </c>
      <c r="H86" s="16"/>
      <c r="I86" s="1122"/>
      <c r="J86" s="16"/>
      <c r="K86" s="2589"/>
      <c r="L86" s="1121">
        <f t="shared" ref="L86:L94" si="11">IF( SUM( N86:N86 ) = 0, 0, $N$5 )</f>
        <v>0</v>
      </c>
      <c r="M86" s="2589"/>
      <c r="N86" s="237">
        <f t="shared" si="10"/>
        <v>0</v>
      </c>
      <c r="O86" s="2589"/>
      <c r="P86" s="16"/>
      <c r="Q86" s="422" t="s">
        <v>10795</v>
      </c>
      <c r="R86" s="1158" t="s">
        <v>10797</v>
      </c>
      <c r="S86" s="16"/>
    </row>
    <row r="87" spans="1:19" s="2196" customFormat="1" ht="15.5">
      <c r="A87" s="16"/>
      <c r="B87" s="2240" t="s">
        <v>10768</v>
      </c>
      <c r="C87" s="253" t="s">
        <v>1372</v>
      </c>
      <c r="D87" s="253">
        <v>2</v>
      </c>
      <c r="E87" s="1123">
        <v>0</v>
      </c>
      <c r="F87" s="16"/>
      <c r="G87" s="2294" t="s">
        <v>10798</v>
      </c>
      <c r="H87" s="16"/>
      <c r="I87" s="1122"/>
      <c r="J87" s="16"/>
      <c r="K87" s="2589"/>
      <c r="L87" s="1121">
        <f t="shared" si="11"/>
        <v>0</v>
      </c>
      <c r="M87" s="2589"/>
      <c r="N87" s="237">
        <f t="shared" si="10"/>
        <v>0</v>
      </c>
      <c r="O87" s="2589"/>
      <c r="P87" s="16"/>
      <c r="Q87" s="422" t="s">
        <v>10770</v>
      </c>
      <c r="R87" s="1158" t="s">
        <v>10799</v>
      </c>
      <c r="S87" s="16"/>
    </row>
    <row r="88" spans="1:19" s="2196" customFormat="1" ht="15.5">
      <c r="A88" s="16"/>
      <c r="B88" s="2240" t="s">
        <v>10772</v>
      </c>
      <c r="C88" s="253" t="s">
        <v>1372</v>
      </c>
      <c r="D88" s="253">
        <v>2</v>
      </c>
      <c r="E88" s="1123">
        <v>0</v>
      </c>
      <c r="F88" s="16"/>
      <c r="G88" s="2294" t="s">
        <v>10800</v>
      </c>
      <c r="H88" s="16"/>
      <c r="I88" s="1122"/>
      <c r="J88" s="16"/>
      <c r="K88" s="2589"/>
      <c r="L88" s="1121">
        <f t="shared" si="11"/>
        <v>0</v>
      </c>
      <c r="M88" s="2589"/>
      <c r="N88" s="237">
        <f t="shared" si="10"/>
        <v>0</v>
      </c>
      <c r="O88" s="2589"/>
      <c r="P88" s="16"/>
      <c r="Q88" s="422" t="s">
        <v>10774</v>
      </c>
      <c r="R88" s="1123" t="s">
        <v>10801</v>
      </c>
      <c r="S88" s="16"/>
    </row>
    <row r="89" spans="1:19" s="2196" customFormat="1" ht="15.5">
      <c r="A89" s="16"/>
      <c r="B89" s="2240" t="s">
        <v>10776</v>
      </c>
      <c r="C89" s="253" t="s">
        <v>1372</v>
      </c>
      <c r="D89" s="253">
        <v>2</v>
      </c>
      <c r="E89" s="1123">
        <v>0</v>
      </c>
      <c r="F89" s="16"/>
      <c r="G89" s="2294" t="s">
        <v>10802</v>
      </c>
      <c r="H89" s="16"/>
      <c r="I89" s="1122"/>
      <c r="J89" s="16"/>
      <c r="K89" s="2589"/>
      <c r="L89" s="1121">
        <f t="shared" si="11"/>
        <v>0</v>
      </c>
      <c r="M89" s="2589"/>
      <c r="N89" s="237">
        <f t="shared" si="10"/>
        <v>0</v>
      </c>
      <c r="O89" s="2589"/>
      <c r="P89" s="16"/>
      <c r="Q89" s="422" t="s">
        <v>10778</v>
      </c>
      <c r="R89" s="1123" t="s">
        <v>10803</v>
      </c>
      <c r="S89" s="16"/>
    </row>
    <row r="90" spans="1:19" s="2196" customFormat="1" ht="31">
      <c r="A90" s="16"/>
      <c r="B90" s="2240" t="s">
        <v>10780</v>
      </c>
      <c r="C90" s="253" t="s">
        <v>1372</v>
      </c>
      <c r="D90" s="253">
        <v>2</v>
      </c>
      <c r="E90" s="1123">
        <v>0</v>
      </c>
      <c r="F90" s="16"/>
      <c r="G90" s="2294" t="s">
        <v>10804</v>
      </c>
      <c r="H90" s="16"/>
      <c r="I90" s="2185"/>
      <c r="J90" s="16"/>
      <c r="K90" s="2589"/>
      <c r="L90" s="1121">
        <f t="shared" si="11"/>
        <v>0</v>
      </c>
      <c r="M90" s="2589"/>
      <c r="N90" s="237">
        <f t="shared" si="10"/>
        <v>0</v>
      </c>
      <c r="O90" s="2589"/>
      <c r="P90" s="16"/>
      <c r="Q90" s="422" t="s">
        <v>10782</v>
      </c>
      <c r="R90" s="1123" t="s">
        <v>10805</v>
      </c>
      <c r="S90" s="16"/>
    </row>
    <row r="91" spans="1:19" s="2196" customFormat="1" ht="15.5">
      <c r="A91" s="16"/>
      <c r="B91" s="2240" t="s">
        <v>10784</v>
      </c>
      <c r="C91" s="253" t="s">
        <v>1372</v>
      </c>
      <c r="D91" s="253">
        <v>2</v>
      </c>
      <c r="E91" s="1123">
        <v>0</v>
      </c>
      <c r="F91" s="16"/>
      <c r="G91" s="2294" t="s">
        <v>10806</v>
      </c>
      <c r="H91" s="16"/>
      <c r="I91" s="2185"/>
      <c r="J91" s="16"/>
      <c r="K91" s="2589"/>
      <c r="L91" s="1121">
        <f t="shared" si="11"/>
        <v>0</v>
      </c>
      <c r="M91" s="2589"/>
      <c r="N91" s="237">
        <f t="shared" si="10"/>
        <v>0</v>
      </c>
      <c r="O91" s="2589"/>
      <c r="P91" s="16"/>
      <c r="Q91" s="422" t="s">
        <v>10784</v>
      </c>
      <c r="R91" s="1123" t="s">
        <v>1376</v>
      </c>
      <c r="S91" s="16"/>
    </row>
    <row r="92" spans="1:19" s="2196" customFormat="1" ht="15.5">
      <c r="A92" s="16"/>
      <c r="B92" s="2240" t="s">
        <v>10786</v>
      </c>
      <c r="C92" s="253" t="s">
        <v>1372</v>
      </c>
      <c r="D92" s="253">
        <v>2</v>
      </c>
      <c r="E92" s="1123">
        <v>0</v>
      </c>
      <c r="F92" s="16"/>
      <c r="G92" s="2294" t="s">
        <v>10807</v>
      </c>
      <c r="H92" s="16"/>
      <c r="I92" s="2185"/>
      <c r="J92" s="16"/>
      <c r="K92" s="2589"/>
      <c r="L92" s="1121">
        <f t="shared" si="11"/>
        <v>0</v>
      </c>
      <c r="M92" s="2589"/>
      <c r="N92" s="237">
        <f t="shared" si="10"/>
        <v>0</v>
      </c>
      <c r="O92" s="2589"/>
      <c r="P92" s="16"/>
      <c r="Q92" s="422" t="s">
        <v>10786</v>
      </c>
      <c r="R92" s="1155" t="s">
        <v>1377</v>
      </c>
      <c r="S92" s="16"/>
    </row>
    <row r="93" spans="1:19" s="2196" customFormat="1" ht="15.5">
      <c r="A93" s="16"/>
      <c r="B93" s="2240" t="s">
        <v>10788</v>
      </c>
      <c r="C93" s="253" t="s">
        <v>1372</v>
      </c>
      <c r="D93" s="253">
        <v>2</v>
      </c>
      <c r="E93" s="1123">
        <v>0</v>
      </c>
      <c r="F93" s="16"/>
      <c r="G93" s="2294" t="s">
        <v>10808</v>
      </c>
      <c r="H93" s="16"/>
      <c r="I93" s="2185"/>
      <c r="J93" s="16"/>
      <c r="K93" s="2589"/>
      <c r="L93" s="1121">
        <f t="shared" si="11"/>
        <v>0</v>
      </c>
      <c r="M93" s="2589"/>
      <c r="N93" s="237">
        <f t="shared" si="10"/>
        <v>0</v>
      </c>
      <c r="O93" s="2589"/>
      <c r="P93" s="16"/>
      <c r="Q93" s="422" t="s">
        <v>10788</v>
      </c>
      <c r="R93" s="1155" t="s">
        <v>1378</v>
      </c>
      <c r="S93" s="16"/>
    </row>
    <row r="94" spans="1:19" s="2196" customFormat="1" ht="16" thickBot="1">
      <c r="A94" s="16"/>
      <c r="B94" s="2285" t="s">
        <v>10790</v>
      </c>
      <c r="C94" s="319" t="s">
        <v>1372</v>
      </c>
      <c r="D94" s="319">
        <v>2</v>
      </c>
      <c r="E94" s="1125">
        <v>0</v>
      </c>
      <c r="F94" s="16"/>
      <c r="G94" s="2293" t="s">
        <v>10809</v>
      </c>
      <c r="H94" s="16"/>
      <c r="I94" s="1126"/>
      <c r="J94" s="16"/>
      <c r="K94" s="2589"/>
      <c r="L94" s="1121">
        <f t="shared" si="11"/>
        <v>0</v>
      </c>
      <c r="M94" s="2589"/>
      <c r="N94" s="237">
        <f t="shared" si="10"/>
        <v>0</v>
      </c>
      <c r="O94" s="2589"/>
      <c r="P94" s="16"/>
      <c r="Q94" s="425" t="s">
        <v>10790</v>
      </c>
      <c r="R94" s="1220" t="s">
        <v>1379</v>
      </c>
      <c r="S94" s="16"/>
    </row>
    <row r="95" spans="1:19" ht="15.5" thickTop="1" thickBot="1">
      <c r="G95" s="2295"/>
      <c r="K95" s="2589"/>
      <c r="M95" s="2589"/>
      <c r="O95" s="2589"/>
    </row>
    <row r="96" spans="1:19" s="2196" customFormat="1" ht="16.5" thickTop="1" thickBot="1">
      <c r="A96" s="16"/>
      <c r="B96" s="2292" t="s">
        <v>10810</v>
      </c>
      <c r="C96" s="2290"/>
      <c r="D96" s="2290"/>
      <c r="E96" s="16"/>
      <c r="F96" s="16"/>
      <c r="G96" s="2295"/>
      <c r="H96" s="16"/>
      <c r="I96" s="16"/>
      <c r="J96" s="16"/>
      <c r="K96" s="2589"/>
      <c r="L96" s="16"/>
      <c r="M96" s="2589"/>
      <c r="N96" s="16"/>
      <c r="O96" s="2589"/>
      <c r="P96" s="16"/>
      <c r="Q96" s="2292" t="s">
        <v>10810</v>
      </c>
      <c r="R96" s="16"/>
      <c r="S96" s="16"/>
    </row>
    <row r="97" spans="1:19" s="2196" customFormat="1" ht="16" thickTop="1">
      <c r="A97" s="16"/>
      <c r="B97" s="413" t="s">
        <v>10762</v>
      </c>
      <c r="C97" s="244" t="s">
        <v>1372</v>
      </c>
      <c r="D97" s="244">
        <v>2</v>
      </c>
      <c r="E97" s="1183">
        <v>0</v>
      </c>
      <c r="F97" s="16"/>
      <c r="G97" s="2289" t="s">
        <v>10811</v>
      </c>
      <c r="H97" s="16"/>
      <c r="I97" s="935"/>
      <c r="J97" s="16"/>
      <c r="K97" s="2589"/>
      <c r="L97" s="1121">
        <f>IF( SUM( N97:N97 ) = 0, 0, $N$5 )</f>
        <v>0</v>
      </c>
      <c r="M97" s="2589"/>
      <c r="N97" s="237">
        <f t="shared" ref="N97:N106" si="12" xml:space="preserve"> IF( ISNUMBER(E97 ), 0, 1 )</f>
        <v>0</v>
      </c>
      <c r="O97" s="2589"/>
      <c r="P97" s="16"/>
      <c r="Q97" s="413" t="s">
        <v>10762</v>
      </c>
      <c r="R97" s="1595" t="s">
        <v>10812</v>
      </c>
      <c r="S97" s="16"/>
    </row>
    <row r="98" spans="1:19" s="2196" customFormat="1" ht="15.5">
      <c r="A98" s="16"/>
      <c r="B98" s="422" t="s">
        <v>10795</v>
      </c>
      <c r="C98" s="253" t="s">
        <v>1372</v>
      </c>
      <c r="D98" s="253">
        <v>2</v>
      </c>
      <c r="E98" s="1123">
        <v>0</v>
      </c>
      <c r="F98" s="16"/>
      <c r="G98" s="2294" t="s">
        <v>10813</v>
      </c>
      <c r="H98" s="16"/>
      <c r="I98" s="1122"/>
      <c r="J98" s="16"/>
      <c r="K98" s="2589"/>
      <c r="L98" s="1121">
        <f t="shared" ref="L98:L106" si="13">IF( SUM( N98:N98 ) = 0, 0, $N$5 )</f>
        <v>0</v>
      </c>
      <c r="M98" s="2589"/>
      <c r="N98" s="237">
        <f t="shared" si="12"/>
        <v>0</v>
      </c>
      <c r="O98" s="2589"/>
      <c r="P98" s="16"/>
      <c r="Q98" s="422" t="s">
        <v>10795</v>
      </c>
      <c r="R98" s="1158" t="s">
        <v>10814</v>
      </c>
      <c r="S98" s="16"/>
    </row>
    <row r="99" spans="1:19" s="2196" customFormat="1" ht="15.5">
      <c r="A99" s="16"/>
      <c r="B99" s="2240" t="s">
        <v>10768</v>
      </c>
      <c r="C99" s="253" t="s">
        <v>1372</v>
      </c>
      <c r="D99" s="253">
        <v>2</v>
      </c>
      <c r="E99" s="1123">
        <v>0</v>
      </c>
      <c r="F99" s="16"/>
      <c r="G99" s="2294" t="s">
        <v>10815</v>
      </c>
      <c r="H99" s="16"/>
      <c r="I99" s="1122"/>
      <c r="J99" s="16"/>
      <c r="K99" s="2589"/>
      <c r="L99" s="1121">
        <f t="shared" si="13"/>
        <v>0</v>
      </c>
      <c r="M99" s="2589"/>
      <c r="N99" s="237">
        <f t="shared" si="12"/>
        <v>0</v>
      </c>
      <c r="O99" s="2589"/>
      <c r="P99" s="16"/>
      <c r="Q99" s="422" t="s">
        <v>10770</v>
      </c>
      <c r="R99" s="1158" t="s">
        <v>10816</v>
      </c>
      <c r="S99" s="16"/>
    </row>
    <row r="100" spans="1:19" s="2196" customFormat="1" ht="15.5">
      <c r="A100" s="16"/>
      <c r="B100" s="2240" t="s">
        <v>10772</v>
      </c>
      <c r="C100" s="253" t="s">
        <v>1372</v>
      </c>
      <c r="D100" s="253">
        <v>2</v>
      </c>
      <c r="E100" s="1123">
        <v>0</v>
      </c>
      <c r="F100" s="16"/>
      <c r="G100" s="2294" t="s">
        <v>10817</v>
      </c>
      <c r="H100" s="16"/>
      <c r="I100" s="1122"/>
      <c r="J100" s="16"/>
      <c r="K100" s="2589"/>
      <c r="L100" s="1121">
        <f t="shared" si="13"/>
        <v>0</v>
      </c>
      <c r="M100" s="2589"/>
      <c r="N100" s="237">
        <f t="shared" si="12"/>
        <v>0</v>
      </c>
      <c r="O100" s="2589"/>
      <c r="P100" s="16"/>
      <c r="Q100" s="422" t="s">
        <v>10774</v>
      </c>
      <c r="R100" s="1123" t="s">
        <v>10818</v>
      </c>
      <c r="S100" s="16"/>
    </row>
    <row r="101" spans="1:19" s="2196" customFormat="1" ht="15.5">
      <c r="A101" s="16"/>
      <c r="B101" s="2240" t="s">
        <v>10776</v>
      </c>
      <c r="C101" s="253" t="s">
        <v>1372</v>
      </c>
      <c r="D101" s="253">
        <v>2</v>
      </c>
      <c r="E101" s="1123">
        <v>0</v>
      </c>
      <c r="F101" s="16"/>
      <c r="G101" s="2294" t="s">
        <v>10819</v>
      </c>
      <c r="H101" s="16"/>
      <c r="I101" s="1122"/>
      <c r="J101" s="16"/>
      <c r="K101" s="2589"/>
      <c r="L101" s="1121">
        <f t="shared" si="13"/>
        <v>0</v>
      </c>
      <c r="M101" s="2589"/>
      <c r="N101" s="237">
        <f t="shared" si="12"/>
        <v>0</v>
      </c>
      <c r="O101" s="2589"/>
      <c r="P101" s="16"/>
      <c r="Q101" s="422" t="s">
        <v>10778</v>
      </c>
      <c r="R101" s="1123" t="s">
        <v>10820</v>
      </c>
      <c r="S101" s="16"/>
    </row>
    <row r="102" spans="1:19" s="2196" customFormat="1" ht="31">
      <c r="A102" s="16"/>
      <c r="B102" s="2240" t="s">
        <v>10780</v>
      </c>
      <c r="C102" s="253" t="s">
        <v>1372</v>
      </c>
      <c r="D102" s="253">
        <v>2</v>
      </c>
      <c r="E102" s="1123">
        <v>0</v>
      </c>
      <c r="F102" s="16"/>
      <c r="G102" s="2294" t="s">
        <v>10821</v>
      </c>
      <c r="H102" s="16"/>
      <c r="I102" s="2185"/>
      <c r="J102" s="16"/>
      <c r="K102" s="2589"/>
      <c r="L102" s="1121">
        <f t="shared" si="13"/>
        <v>0</v>
      </c>
      <c r="M102" s="2589"/>
      <c r="N102" s="237">
        <f t="shared" si="12"/>
        <v>0</v>
      </c>
      <c r="O102" s="2589"/>
      <c r="P102" s="16"/>
      <c r="Q102" s="422" t="s">
        <v>10782</v>
      </c>
      <c r="R102" s="1123" t="s">
        <v>10822</v>
      </c>
      <c r="S102" s="16"/>
    </row>
    <row r="103" spans="1:19" s="2196" customFormat="1" ht="15.5">
      <c r="A103" s="16"/>
      <c r="B103" s="2240" t="s">
        <v>10784</v>
      </c>
      <c r="C103" s="253" t="s">
        <v>1372</v>
      </c>
      <c r="D103" s="253">
        <v>2</v>
      </c>
      <c r="E103" s="1123">
        <v>0</v>
      </c>
      <c r="F103" s="16"/>
      <c r="G103" s="2294" t="s">
        <v>10823</v>
      </c>
      <c r="H103" s="16"/>
      <c r="I103" s="2185"/>
      <c r="J103" s="16"/>
      <c r="K103" s="2589"/>
      <c r="L103" s="1121">
        <f t="shared" si="13"/>
        <v>0</v>
      </c>
      <c r="M103" s="2589"/>
      <c r="N103" s="237">
        <f t="shared" si="12"/>
        <v>0</v>
      </c>
      <c r="O103" s="2589"/>
      <c r="P103" s="16"/>
      <c r="Q103" s="422" t="s">
        <v>10784</v>
      </c>
      <c r="R103" s="1123" t="s">
        <v>1380</v>
      </c>
      <c r="S103" s="16"/>
    </row>
    <row r="104" spans="1:19" s="2196" customFormat="1" ht="15.5">
      <c r="A104" s="16"/>
      <c r="B104" s="2240" t="s">
        <v>10786</v>
      </c>
      <c r="C104" s="253" t="s">
        <v>1372</v>
      </c>
      <c r="D104" s="253">
        <v>2</v>
      </c>
      <c r="E104" s="1123">
        <v>0</v>
      </c>
      <c r="F104" s="16"/>
      <c r="G104" s="2294" t="s">
        <v>10824</v>
      </c>
      <c r="H104" s="16"/>
      <c r="I104" s="2185"/>
      <c r="J104" s="16"/>
      <c r="K104" s="2589"/>
      <c r="L104" s="1121">
        <f t="shared" si="13"/>
        <v>0</v>
      </c>
      <c r="M104" s="2589"/>
      <c r="N104" s="237">
        <f t="shared" si="12"/>
        <v>0</v>
      </c>
      <c r="O104" s="2589"/>
      <c r="P104" s="16"/>
      <c r="Q104" s="422" t="s">
        <v>10786</v>
      </c>
      <c r="R104" s="1155" t="s">
        <v>1381</v>
      </c>
      <c r="S104" s="16"/>
    </row>
    <row r="105" spans="1:19" s="2196" customFormat="1" ht="15.5">
      <c r="A105" s="16"/>
      <c r="B105" s="2240" t="s">
        <v>10788</v>
      </c>
      <c r="C105" s="253" t="s">
        <v>1372</v>
      </c>
      <c r="D105" s="253">
        <v>2</v>
      </c>
      <c r="E105" s="1123">
        <v>0</v>
      </c>
      <c r="F105" s="16"/>
      <c r="G105" s="2294" t="s">
        <v>10825</v>
      </c>
      <c r="H105" s="16"/>
      <c r="I105" s="2185"/>
      <c r="J105" s="16"/>
      <c r="K105" s="2589"/>
      <c r="L105" s="1121">
        <f t="shared" si="13"/>
        <v>0</v>
      </c>
      <c r="M105" s="2589"/>
      <c r="N105" s="237">
        <f t="shared" si="12"/>
        <v>0</v>
      </c>
      <c r="O105" s="2589"/>
      <c r="P105" s="16"/>
      <c r="Q105" s="422" t="s">
        <v>10788</v>
      </c>
      <c r="R105" s="1155" t="s">
        <v>1382</v>
      </c>
      <c r="S105" s="16"/>
    </row>
    <row r="106" spans="1:19" s="2196" customFormat="1" ht="16" thickBot="1">
      <c r="A106" s="16"/>
      <c r="B106" s="2285" t="s">
        <v>10790</v>
      </c>
      <c r="C106" s="319" t="s">
        <v>1372</v>
      </c>
      <c r="D106" s="319">
        <v>2</v>
      </c>
      <c r="E106" s="1125">
        <v>0</v>
      </c>
      <c r="F106" s="16"/>
      <c r="G106" s="2293" t="s">
        <v>10826</v>
      </c>
      <c r="H106" s="16"/>
      <c r="I106" s="1126"/>
      <c r="J106" s="16"/>
      <c r="K106" s="2589"/>
      <c r="L106" s="1121">
        <f t="shared" si="13"/>
        <v>0</v>
      </c>
      <c r="M106" s="2589"/>
      <c r="N106" s="237">
        <f t="shared" si="12"/>
        <v>0</v>
      </c>
      <c r="O106" s="2589"/>
      <c r="P106" s="16"/>
      <c r="Q106" s="425" t="s">
        <v>10790</v>
      </c>
      <c r="R106" s="1220" t="s">
        <v>1383</v>
      </c>
      <c r="S106" s="16"/>
    </row>
    <row r="107" spans="1:19" ht="15" thickTop="1"/>
  </sheetData>
  <sheetProtection formatColumns="0" formatRows="0"/>
  <mergeCells count="2">
    <mergeCell ref="B3:I3"/>
    <mergeCell ref="Q3:R3"/>
  </mergeCells>
  <phoneticPr fontId="38" type="noConversion"/>
  <conditionalFormatting sqref="L8:L37">
    <cfRule type="cellIs" dxfId="69" priority="19" operator="equal">
      <formula>0</formula>
    </cfRule>
  </conditionalFormatting>
  <conditionalFormatting sqref="L40:L48">
    <cfRule type="cellIs" dxfId="68" priority="6" operator="equal">
      <formula>0</formula>
    </cfRule>
  </conditionalFormatting>
  <conditionalFormatting sqref="L51:L59">
    <cfRule type="cellIs" dxfId="67" priority="5" operator="equal">
      <formula>0</formula>
    </cfRule>
  </conditionalFormatting>
  <conditionalFormatting sqref="L62:L70">
    <cfRule type="cellIs" dxfId="66" priority="4" operator="equal">
      <formula>0</formula>
    </cfRule>
  </conditionalFormatting>
  <conditionalFormatting sqref="L73:L82">
    <cfRule type="cellIs" dxfId="65" priority="3" operator="equal">
      <formula>0</formula>
    </cfRule>
  </conditionalFormatting>
  <conditionalFormatting sqref="L85:L94">
    <cfRule type="cellIs" dxfId="64" priority="2" operator="equal">
      <formula>0</formula>
    </cfRule>
  </conditionalFormatting>
  <conditionalFormatting sqref="L97:L106">
    <cfRule type="cellIs" dxfId="63" priority="1" operator="equal">
      <formula>0</formula>
    </cfRule>
  </conditionalFormatting>
  <dataValidations count="1">
    <dataValidation type="custom" allowBlank="1" showErrorMessage="1" errorTitle="Input Error" error="Please enter a numeric value." sqref="E8:E37 E51:E59 E40:E48 E62:E70 E85:E94 E97:E106 E73:E82"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A13" zoomScaleNormal="100" zoomScaleSheetLayoutView="100" workbookViewId="0">
      <selection activeCell="E30" sqref="E30"/>
    </sheetView>
  </sheetViews>
  <sheetFormatPr defaultColWidth="9" defaultRowHeight="14.5"/>
  <cols>
    <col min="1" max="1" width="1.58203125" style="16" customWidth="1"/>
    <col min="2" max="2" width="77.58203125" style="16" customWidth="1"/>
    <col min="3" max="3" width="7" style="16" customWidth="1"/>
    <col min="4" max="4" width="5.08203125" style="16" customWidth="1"/>
    <col min="5" max="5" width="12.5" style="16" customWidth="1"/>
    <col min="6" max="6" width="1.58203125" style="16" customWidth="1"/>
    <col min="7" max="7" width="12.5" style="16" customWidth="1"/>
    <col min="8" max="8" width="1.08203125" style="16" customWidth="1"/>
    <col min="9" max="9" width="33.58203125" style="16" customWidth="1"/>
    <col min="10" max="11" width="1.58203125" style="16" customWidth="1"/>
    <col min="12" max="12" width="25" style="16" customWidth="1"/>
    <col min="13" max="13" width="1.58203125" style="16" customWidth="1"/>
    <col min="14" max="14" width="24.58203125" style="16" hidden="1" customWidth="1"/>
    <col min="15" max="15" width="1.58203125" style="16" hidden="1" customWidth="1"/>
    <col min="16" max="16" width="1.58203125" style="16" customWidth="1"/>
    <col min="17" max="17" width="52.5" style="16" customWidth="1"/>
    <col min="18" max="18" width="20.58203125" style="16" bestFit="1" customWidth="1"/>
    <col min="19" max="19" width="1.58203125" style="16" customWidth="1"/>
    <col min="20" max="16384" width="9" style="16"/>
  </cols>
  <sheetData>
    <row r="1" spans="1:22" ht="30.75" customHeight="1">
      <c r="A1" s="2560"/>
      <c r="B1" s="1119" t="s">
        <v>10827</v>
      </c>
      <c r="C1" s="1119"/>
      <c r="D1" s="1119"/>
      <c r="E1" s="1119"/>
      <c r="F1" s="1119"/>
      <c r="G1" s="229"/>
      <c r="H1" s="2560"/>
      <c r="I1" s="2560"/>
      <c r="J1" s="2560"/>
      <c r="K1" s="2589"/>
      <c r="L1" s="2560"/>
      <c r="M1" s="2589"/>
      <c r="N1" s="2560"/>
      <c r="O1" s="2589"/>
      <c r="P1" s="2560"/>
      <c r="Q1" s="1119" t="s">
        <v>1887</v>
      </c>
      <c r="R1" s="1119"/>
      <c r="S1" s="1119"/>
      <c r="T1" s="2560"/>
      <c r="U1" s="2560"/>
      <c r="V1" s="2560"/>
    </row>
    <row r="2" spans="1:22" ht="30.75" customHeight="1">
      <c r="A2" s="2560"/>
      <c r="B2" s="1119" t="str">
        <f>SelectCompany!B4</f>
        <v>Yorkshire Water</v>
      </c>
      <c r="C2" s="491"/>
      <c r="D2" s="491"/>
      <c r="E2" s="491"/>
      <c r="F2" s="491"/>
      <c r="G2" s="229"/>
      <c r="H2" s="2560"/>
      <c r="I2" s="2560"/>
      <c r="J2" s="2560"/>
      <c r="K2" s="2589"/>
      <c r="L2" s="2560"/>
      <c r="M2" s="2589"/>
      <c r="N2" s="2560"/>
      <c r="O2" s="2589"/>
      <c r="P2" s="2560"/>
      <c r="Q2" s="1119"/>
      <c r="R2" s="491"/>
      <c r="S2" s="491"/>
      <c r="T2" s="2560"/>
      <c r="U2" s="2560"/>
      <c r="V2" s="2560"/>
    </row>
    <row r="3" spans="1:22" ht="45" customHeight="1">
      <c r="A3" s="2560"/>
      <c r="B3" s="2781" t="s">
        <v>10828</v>
      </c>
      <c r="C3" s="2781"/>
      <c r="D3" s="2781"/>
      <c r="E3" s="2781"/>
      <c r="F3" s="2781"/>
      <c r="G3" s="2781"/>
      <c r="H3" s="2781"/>
      <c r="I3" s="2781"/>
      <c r="J3" s="2560"/>
      <c r="K3" s="2589"/>
      <c r="L3" s="1129" t="s">
        <v>1889</v>
      </c>
      <c r="M3" s="2589"/>
      <c r="N3" s="2560"/>
      <c r="O3" s="2589"/>
      <c r="P3" s="2560"/>
      <c r="Q3" s="2781" t="s">
        <v>10828</v>
      </c>
      <c r="R3" s="2781"/>
      <c r="S3" s="2781"/>
      <c r="T3" s="2560"/>
      <c r="U3" s="2560"/>
      <c r="V3" s="2560"/>
    </row>
    <row r="4" spans="1:22" ht="15.75" customHeight="1" thickBot="1">
      <c r="A4" s="2560"/>
      <c r="B4" s="594"/>
      <c r="C4" s="594"/>
      <c r="D4" s="594"/>
      <c r="E4" s="594"/>
      <c r="F4" s="724"/>
      <c r="G4" s="229"/>
      <c r="H4" s="2560"/>
      <c r="I4" s="2560"/>
      <c r="J4" s="2560"/>
      <c r="K4" s="2589"/>
      <c r="L4" s="2560"/>
      <c r="M4" s="2589"/>
      <c r="N4" s="2603" t="s">
        <v>1890</v>
      </c>
      <c r="O4" s="2589"/>
      <c r="P4" s="2560"/>
      <c r="Q4" s="594"/>
      <c r="R4" s="594"/>
      <c r="S4" s="724"/>
      <c r="T4" s="2560"/>
      <c r="U4" s="2560"/>
      <c r="V4" s="2560"/>
    </row>
    <row r="5" spans="1:22" ht="47.5" thickTop="1" thickBot="1">
      <c r="A5" s="222"/>
      <c r="B5" s="407" t="s">
        <v>1891</v>
      </c>
      <c r="C5" s="408" t="s">
        <v>1892</v>
      </c>
      <c r="D5" s="408" t="s">
        <v>136</v>
      </c>
      <c r="E5" s="409" t="s">
        <v>10262</v>
      </c>
      <c r="F5" s="635"/>
      <c r="G5" s="411" t="s">
        <v>1896</v>
      </c>
      <c r="H5" s="222"/>
      <c r="I5" s="411" t="s">
        <v>1897</v>
      </c>
      <c r="J5" s="222"/>
      <c r="K5" s="2589"/>
      <c r="L5" s="1518"/>
      <c r="M5" s="2589"/>
      <c r="N5" s="236" t="s">
        <v>1898</v>
      </c>
      <c r="O5" s="2589"/>
      <c r="P5" s="2560"/>
      <c r="Q5" s="407" t="s">
        <v>1891</v>
      </c>
      <c r="R5" s="409" t="s">
        <v>10262</v>
      </c>
      <c r="S5" s="724"/>
      <c r="T5" s="2560"/>
      <c r="U5" s="2560"/>
      <c r="V5" s="2560"/>
    </row>
    <row r="6" spans="1:22" ht="15.75" customHeight="1" thickTop="1" thickBot="1">
      <c r="A6" s="222"/>
      <c r="B6" s="377"/>
      <c r="C6" s="377"/>
      <c r="D6" s="377"/>
      <c r="E6" s="313"/>
      <c r="F6" s="106"/>
      <c r="G6" s="840"/>
      <c r="H6" s="222"/>
      <c r="I6" s="222"/>
      <c r="J6" s="222"/>
      <c r="K6" s="2589"/>
      <c r="L6" s="2560"/>
      <c r="M6" s="2589"/>
      <c r="N6" s="2560"/>
      <c r="O6" s="2589"/>
      <c r="P6" s="2560"/>
      <c r="Q6" s="377"/>
      <c r="R6" s="313"/>
      <c r="S6" s="106"/>
      <c r="T6" s="2560"/>
      <c r="U6" s="2560"/>
      <c r="V6" s="2560"/>
    </row>
    <row r="7" spans="1:22" ht="15.75" customHeight="1" thickTop="1" thickBot="1">
      <c r="A7" s="222"/>
      <c r="B7" s="355" t="s">
        <v>10829</v>
      </c>
      <c r="C7" s="444"/>
      <c r="D7" s="444"/>
      <c r="E7" s="444"/>
      <c r="F7" s="1131"/>
      <c r="G7" s="527"/>
      <c r="H7" s="222"/>
      <c r="I7" s="222"/>
      <c r="J7" s="222"/>
      <c r="K7" s="2589"/>
      <c r="L7" s="2560"/>
      <c r="M7" s="2589"/>
      <c r="N7" s="2560"/>
      <c r="O7" s="2589"/>
      <c r="P7" s="2560"/>
      <c r="Q7" s="355" t="s">
        <v>10829</v>
      </c>
      <c r="R7" s="444"/>
      <c r="S7" s="1131"/>
      <c r="T7" s="2560"/>
      <c r="U7" s="2560"/>
      <c r="V7" s="2560"/>
    </row>
    <row r="8" spans="1:22" ht="15.75" customHeight="1" thickTop="1">
      <c r="A8" s="222"/>
      <c r="B8" s="413" t="s">
        <v>10830</v>
      </c>
      <c r="C8" s="244" t="s">
        <v>1385</v>
      </c>
      <c r="D8" s="244">
        <v>1</v>
      </c>
      <c r="E8" s="1157">
        <v>32267.4</v>
      </c>
      <c r="F8" s="1131"/>
      <c r="G8" s="248" t="s">
        <v>10831</v>
      </c>
      <c r="H8" s="222"/>
      <c r="I8" s="1120"/>
      <c r="J8" s="222"/>
      <c r="K8" s="2589"/>
      <c r="L8" s="1121">
        <f>IF( SUM( N8:N8 ) = 0, 0, $N$5 )</f>
        <v>0</v>
      </c>
      <c r="M8" s="2589"/>
      <c r="N8" s="252">
        <f xml:space="preserve"> IF( ISNUMBER(E8 ), 0, 1 )</f>
        <v>0</v>
      </c>
      <c r="O8" s="2589"/>
      <c r="P8" s="2560"/>
      <c r="Q8" s="413" t="s">
        <v>10830</v>
      </c>
      <c r="R8" s="1157" t="s">
        <v>10832</v>
      </c>
      <c r="S8" s="1131"/>
      <c r="T8" s="2560"/>
      <c r="U8" s="2560"/>
      <c r="V8" s="2560"/>
    </row>
    <row r="9" spans="1:22" ht="15.75" customHeight="1">
      <c r="A9" s="222"/>
      <c r="B9" s="422" t="s">
        <v>10833</v>
      </c>
      <c r="C9" s="253" t="s">
        <v>1385</v>
      </c>
      <c r="D9" s="253">
        <v>1</v>
      </c>
      <c r="E9" s="1158">
        <v>6.7</v>
      </c>
      <c r="F9" s="1131"/>
      <c r="G9" s="257" t="s">
        <v>10834</v>
      </c>
      <c r="H9" s="222"/>
      <c r="I9" s="1122"/>
      <c r="J9" s="222"/>
      <c r="K9" s="2589"/>
      <c r="L9" s="1121">
        <f t="shared" ref="L9:L15" si="0">IF( SUM( N9:N9 ) = 0, 0, $N$5 )</f>
        <v>0</v>
      </c>
      <c r="M9" s="2589"/>
      <c r="N9" s="252">
        <f t="shared" ref="N9:N15" si="1" xml:space="preserve"> IF( ISNUMBER(E9 ), 0, 1 )</f>
        <v>0</v>
      </c>
      <c r="O9" s="2589"/>
      <c r="P9" s="2560"/>
      <c r="Q9" s="422" t="s">
        <v>10833</v>
      </c>
      <c r="R9" s="1158" t="s">
        <v>10835</v>
      </c>
      <c r="S9" s="1131"/>
      <c r="T9" s="2560"/>
      <c r="U9" s="2560"/>
      <c r="V9" s="2560"/>
    </row>
    <row r="10" spans="1:22" ht="15.75" customHeight="1">
      <c r="A10" s="222"/>
      <c r="B10" s="422" t="s">
        <v>10836</v>
      </c>
      <c r="C10" s="253" t="s">
        <v>1385</v>
      </c>
      <c r="D10" s="253">
        <v>1</v>
      </c>
      <c r="E10" s="1158">
        <v>18</v>
      </c>
      <c r="F10" s="106"/>
      <c r="G10" s="257" t="s">
        <v>10837</v>
      </c>
      <c r="H10" s="222"/>
      <c r="I10" s="1159"/>
      <c r="J10" s="222"/>
      <c r="K10" s="2589"/>
      <c r="L10" s="1121">
        <f t="shared" si="0"/>
        <v>0</v>
      </c>
      <c r="M10" s="2589"/>
      <c r="N10" s="252">
        <f t="shared" si="1"/>
        <v>0</v>
      </c>
      <c r="O10" s="2589"/>
      <c r="P10" s="2560"/>
      <c r="Q10" s="422" t="s">
        <v>10836</v>
      </c>
      <c r="R10" s="860" t="s">
        <v>10838</v>
      </c>
      <c r="S10" s="106"/>
      <c r="T10" s="2560"/>
      <c r="U10" s="2560"/>
      <c r="V10" s="2560"/>
    </row>
    <row r="11" spans="1:22" ht="15.75" customHeight="1">
      <c r="A11" s="222"/>
      <c r="B11" s="422" t="s">
        <v>10839</v>
      </c>
      <c r="C11" s="253" t="s">
        <v>1385</v>
      </c>
      <c r="D11" s="253">
        <v>1</v>
      </c>
      <c r="E11" s="1158">
        <v>105.55</v>
      </c>
      <c r="F11" s="106"/>
      <c r="G11" s="257" t="s">
        <v>10840</v>
      </c>
      <c r="H11" s="222"/>
      <c r="I11" s="1159" t="s">
        <v>10841</v>
      </c>
      <c r="J11" s="222"/>
      <c r="K11" s="2589"/>
      <c r="L11" s="1121">
        <f t="shared" si="0"/>
        <v>0</v>
      </c>
      <c r="M11" s="2589"/>
      <c r="N11" s="252">
        <f t="shared" si="1"/>
        <v>0</v>
      </c>
      <c r="O11" s="2589"/>
      <c r="P11" s="2560"/>
      <c r="Q11" s="422" t="s">
        <v>10839</v>
      </c>
      <c r="R11" s="860" t="s">
        <v>10842</v>
      </c>
      <c r="S11" s="106"/>
      <c r="T11" s="2560"/>
      <c r="U11" s="2560"/>
      <c r="V11" s="2560"/>
    </row>
    <row r="12" spans="1:22" ht="15.75" customHeight="1">
      <c r="A12" s="222"/>
      <c r="B12" s="422" t="s">
        <v>10843</v>
      </c>
      <c r="C12" s="253" t="s">
        <v>1385</v>
      </c>
      <c r="D12" s="253">
        <v>1</v>
      </c>
      <c r="E12" s="1158">
        <v>29896.2</v>
      </c>
      <c r="F12" s="106"/>
      <c r="G12" s="257" t="s">
        <v>10844</v>
      </c>
      <c r="H12" s="222"/>
      <c r="I12" s="1122"/>
      <c r="J12" s="222"/>
      <c r="K12" s="2589"/>
      <c r="L12" s="1121">
        <f t="shared" si="0"/>
        <v>0</v>
      </c>
      <c r="M12" s="2589"/>
      <c r="N12" s="252">
        <f t="shared" si="1"/>
        <v>0</v>
      </c>
      <c r="O12" s="2589"/>
      <c r="P12" s="2560"/>
      <c r="Q12" s="422" t="s">
        <v>10843</v>
      </c>
      <c r="R12" s="860" t="s">
        <v>10845</v>
      </c>
      <c r="S12" s="106"/>
      <c r="T12" s="2560"/>
      <c r="U12" s="2560"/>
      <c r="V12" s="2560"/>
    </row>
    <row r="13" spans="1:22" ht="15.75" customHeight="1">
      <c r="A13" s="222"/>
      <c r="B13" s="422" t="s">
        <v>10846</v>
      </c>
      <c r="C13" s="253" t="s">
        <v>1385</v>
      </c>
      <c r="D13" s="253">
        <v>1</v>
      </c>
      <c r="E13" s="1158">
        <v>1008.1</v>
      </c>
      <c r="F13" s="106"/>
      <c r="G13" s="257" t="s">
        <v>10847</v>
      </c>
      <c r="H13" s="222"/>
      <c r="I13" s="1122"/>
      <c r="J13" s="222"/>
      <c r="K13" s="2589"/>
      <c r="L13" s="1121">
        <f t="shared" si="0"/>
        <v>0</v>
      </c>
      <c r="M13" s="2589"/>
      <c r="N13" s="252">
        <f t="shared" si="1"/>
        <v>0</v>
      </c>
      <c r="O13" s="2589"/>
      <c r="P13" s="2560"/>
      <c r="Q13" s="422" t="s">
        <v>10848</v>
      </c>
      <c r="R13" s="860" t="s">
        <v>10849</v>
      </c>
      <c r="S13" s="106"/>
      <c r="T13" s="2560"/>
      <c r="U13" s="2560"/>
      <c r="V13" s="2560"/>
    </row>
    <row r="14" spans="1:22" ht="15.75" customHeight="1">
      <c r="A14" s="222"/>
      <c r="B14" s="422" t="s">
        <v>10850</v>
      </c>
      <c r="C14" s="253" t="s">
        <v>1385</v>
      </c>
      <c r="D14" s="253">
        <v>1</v>
      </c>
      <c r="E14" s="1158">
        <v>846.7</v>
      </c>
      <c r="F14" s="106"/>
      <c r="G14" s="257" t="s">
        <v>10851</v>
      </c>
      <c r="H14" s="222"/>
      <c r="I14" s="1122"/>
      <c r="J14" s="222"/>
      <c r="K14" s="2589"/>
      <c r="L14" s="1121">
        <f t="shared" si="0"/>
        <v>0</v>
      </c>
      <c r="M14" s="2589"/>
      <c r="N14" s="252">
        <f t="shared" si="1"/>
        <v>0</v>
      </c>
      <c r="O14" s="2589"/>
      <c r="P14" s="2560"/>
      <c r="Q14" s="422" t="s">
        <v>10852</v>
      </c>
      <c r="R14" s="860" t="s">
        <v>10853</v>
      </c>
      <c r="S14" s="106"/>
      <c r="T14" s="2560"/>
      <c r="U14" s="2560"/>
      <c r="V14" s="2560"/>
    </row>
    <row r="15" spans="1:22" ht="15.75" customHeight="1" thickBot="1">
      <c r="A15" s="222"/>
      <c r="B15" s="425" t="s">
        <v>10854</v>
      </c>
      <c r="C15" s="319" t="s">
        <v>1385</v>
      </c>
      <c r="D15" s="319">
        <v>1</v>
      </c>
      <c r="E15" s="1160">
        <v>516.4</v>
      </c>
      <c r="F15" s="106"/>
      <c r="G15" s="257" t="s">
        <v>10855</v>
      </c>
      <c r="H15" s="222"/>
      <c r="I15" s="1126"/>
      <c r="J15" s="222"/>
      <c r="K15" s="2589"/>
      <c r="L15" s="1121">
        <f t="shared" si="0"/>
        <v>0</v>
      </c>
      <c r="M15" s="2589"/>
      <c r="N15" s="252">
        <f t="shared" si="1"/>
        <v>0</v>
      </c>
      <c r="O15" s="2589"/>
      <c r="P15" s="2560"/>
      <c r="Q15" s="425" t="s">
        <v>10856</v>
      </c>
      <c r="R15" s="1156" t="s">
        <v>10857</v>
      </c>
      <c r="S15" s="106"/>
      <c r="T15" s="2560"/>
      <c r="U15" s="2560"/>
      <c r="V15" s="2560"/>
    </row>
    <row r="16" spans="1:22" ht="15.75" customHeight="1" thickTop="1" thickBot="1">
      <c r="A16" s="222"/>
      <c r="B16" s="222"/>
      <c r="C16" s="222"/>
      <c r="D16" s="222"/>
      <c r="E16" s="222"/>
      <c r="F16" s="222"/>
      <c r="G16" s="222"/>
      <c r="H16" s="222"/>
      <c r="I16" s="222"/>
      <c r="J16" s="222"/>
      <c r="K16" s="2589"/>
      <c r="L16" s="2560"/>
      <c r="M16" s="2589"/>
      <c r="N16" s="2560"/>
      <c r="O16" s="2589"/>
      <c r="P16" s="2560"/>
      <c r="Q16" s="222"/>
      <c r="R16" s="222"/>
      <c r="S16" s="2560"/>
      <c r="T16" s="2560"/>
      <c r="U16" s="2560"/>
      <c r="V16" s="2560"/>
    </row>
    <row r="17" spans="1:22" ht="15.75" customHeight="1" thickTop="1" thickBot="1">
      <c r="A17" s="222"/>
      <c r="B17" s="355" t="s">
        <v>10858</v>
      </c>
      <c r="C17" s="444"/>
      <c r="D17" s="444"/>
      <c r="E17" s="444"/>
      <c r="F17" s="1131"/>
      <c r="G17" s="527"/>
      <c r="H17" s="222"/>
      <c r="I17" s="222"/>
      <c r="J17" s="222"/>
      <c r="K17" s="2589"/>
      <c r="L17" s="2560"/>
      <c r="M17" s="2589"/>
      <c r="N17" s="2560"/>
      <c r="O17" s="2589"/>
      <c r="P17" s="2560"/>
      <c r="Q17" s="355" t="s">
        <v>10858</v>
      </c>
      <c r="R17" s="444"/>
      <c r="S17" s="1131"/>
      <c r="T17" s="2560"/>
      <c r="U17" s="2560"/>
      <c r="V17" s="2560"/>
    </row>
    <row r="18" spans="1:22" ht="15.75" customHeight="1" thickTop="1">
      <c r="A18" s="222"/>
      <c r="B18" s="413" t="s">
        <v>10859</v>
      </c>
      <c r="C18" s="244" t="s">
        <v>1385</v>
      </c>
      <c r="D18" s="244">
        <v>1</v>
      </c>
      <c r="E18" s="1157">
        <v>344.3</v>
      </c>
      <c r="F18" s="106"/>
      <c r="G18" s="248" t="s">
        <v>10860</v>
      </c>
      <c r="H18" s="222"/>
      <c r="I18" s="1120"/>
      <c r="J18" s="222"/>
      <c r="K18" s="2589"/>
      <c r="L18" s="1121">
        <f t="shared" ref="L18:L24" si="2">IF( SUM( N18:N18 ) = 0, 0, $N$5 )</f>
        <v>0</v>
      </c>
      <c r="M18" s="2589"/>
      <c r="N18" s="252">
        <f t="shared" ref="N18:N26" si="3" xml:space="preserve"> IF( ISNUMBER(E18 ), 0, 1 )</f>
        <v>0</v>
      </c>
      <c r="O18" s="2589"/>
      <c r="P18" s="2560"/>
      <c r="Q18" s="413" t="s">
        <v>10859</v>
      </c>
      <c r="R18" s="1157" t="s">
        <v>10861</v>
      </c>
      <c r="S18" s="106"/>
      <c r="T18" s="2560"/>
      <c r="U18" s="2560"/>
      <c r="V18" s="2560"/>
    </row>
    <row r="19" spans="1:22" ht="15.75" customHeight="1">
      <c r="A19" s="222"/>
      <c r="B19" s="422" t="s">
        <v>10862</v>
      </c>
      <c r="C19" s="253" t="s">
        <v>1385</v>
      </c>
      <c r="D19" s="253">
        <v>1</v>
      </c>
      <c r="E19" s="1158">
        <v>1870.3</v>
      </c>
      <c r="F19" s="106"/>
      <c r="G19" s="257" t="s">
        <v>10863</v>
      </c>
      <c r="H19" s="222"/>
      <c r="I19" s="1122"/>
      <c r="J19" s="222"/>
      <c r="K19" s="2589"/>
      <c r="L19" s="1121">
        <f t="shared" si="2"/>
        <v>0</v>
      </c>
      <c r="M19" s="2589"/>
      <c r="N19" s="252">
        <f t="shared" si="3"/>
        <v>0</v>
      </c>
      <c r="O19" s="2589"/>
      <c r="P19" s="2560"/>
      <c r="Q19" s="422" t="s">
        <v>10862</v>
      </c>
      <c r="R19" s="860" t="s">
        <v>10864</v>
      </c>
      <c r="S19" s="106"/>
      <c r="T19" s="2560"/>
      <c r="U19" s="2560"/>
      <c r="V19" s="2560"/>
    </row>
    <row r="20" spans="1:22" ht="15.75" customHeight="1">
      <c r="A20" s="222"/>
      <c r="B20" s="422" t="s">
        <v>10865</v>
      </c>
      <c r="C20" s="253" t="s">
        <v>1385</v>
      </c>
      <c r="D20" s="253">
        <v>1</v>
      </c>
      <c r="E20" s="1158">
        <v>840.8</v>
      </c>
      <c r="F20" s="106"/>
      <c r="G20" s="257" t="s">
        <v>10866</v>
      </c>
      <c r="H20" s="222"/>
      <c r="I20" s="1122"/>
      <c r="J20" s="222"/>
      <c r="K20" s="2589"/>
      <c r="L20" s="1121">
        <f t="shared" si="2"/>
        <v>0</v>
      </c>
      <c r="M20" s="2589"/>
      <c r="N20" s="252">
        <f t="shared" si="3"/>
        <v>0</v>
      </c>
      <c r="O20" s="2589"/>
      <c r="P20" s="2560"/>
      <c r="Q20" s="422" t="s">
        <v>10865</v>
      </c>
      <c r="R20" s="860" t="s">
        <v>10867</v>
      </c>
      <c r="S20" s="106"/>
      <c r="T20" s="2560"/>
      <c r="U20" s="2560"/>
      <c r="V20" s="2560"/>
    </row>
    <row r="21" spans="1:22" ht="15.75" customHeight="1">
      <c r="A21" s="222"/>
      <c r="B21" s="422" t="s">
        <v>10868</v>
      </c>
      <c r="C21" s="253" t="s">
        <v>1385</v>
      </c>
      <c r="D21" s="253">
        <v>1</v>
      </c>
      <c r="E21" s="1158">
        <v>4649.6000000000004</v>
      </c>
      <c r="F21" s="106"/>
      <c r="G21" s="257" t="s">
        <v>10869</v>
      </c>
      <c r="H21" s="222"/>
      <c r="I21" s="1122"/>
      <c r="J21" s="222"/>
      <c r="K21" s="2589"/>
      <c r="L21" s="1121">
        <f t="shared" si="2"/>
        <v>0</v>
      </c>
      <c r="M21" s="2589"/>
      <c r="N21" s="252">
        <f t="shared" si="3"/>
        <v>0</v>
      </c>
      <c r="O21" s="2589"/>
      <c r="P21" s="2560"/>
      <c r="Q21" s="422" t="s">
        <v>10868</v>
      </c>
      <c r="R21" s="860" t="s">
        <v>10870</v>
      </c>
      <c r="S21" s="106"/>
      <c r="T21" s="2560"/>
      <c r="U21" s="2560"/>
      <c r="V21" s="2560"/>
    </row>
    <row r="22" spans="1:22" ht="15.75" customHeight="1">
      <c r="A22" s="222"/>
      <c r="B22" s="422" t="s">
        <v>10871</v>
      </c>
      <c r="C22" s="253" t="s">
        <v>1385</v>
      </c>
      <c r="D22" s="253">
        <v>1</v>
      </c>
      <c r="E22" s="1158">
        <v>8873.7999999999993</v>
      </c>
      <c r="F22" s="106"/>
      <c r="G22" s="257" t="s">
        <v>10872</v>
      </c>
      <c r="H22" s="222"/>
      <c r="I22" s="1122"/>
      <c r="J22" s="222"/>
      <c r="K22" s="2589"/>
      <c r="L22" s="1121">
        <f t="shared" si="2"/>
        <v>0</v>
      </c>
      <c r="M22" s="2589"/>
      <c r="N22" s="252">
        <f t="shared" si="3"/>
        <v>0</v>
      </c>
      <c r="O22" s="2589"/>
      <c r="P22" s="2560"/>
      <c r="Q22" s="422" t="s">
        <v>10871</v>
      </c>
      <c r="R22" s="860" t="s">
        <v>10873</v>
      </c>
      <c r="S22" s="106"/>
      <c r="T22" s="2560"/>
      <c r="U22" s="2560"/>
      <c r="V22" s="2560"/>
    </row>
    <row r="23" spans="1:22" ht="15.75" customHeight="1">
      <c r="A23" s="222"/>
      <c r="B23" s="422" t="s">
        <v>10874</v>
      </c>
      <c r="C23" s="253" t="s">
        <v>1385</v>
      </c>
      <c r="D23" s="253">
        <v>1</v>
      </c>
      <c r="E23" s="1158">
        <v>5104.6000000000004</v>
      </c>
      <c r="F23" s="106"/>
      <c r="G23" s="257" t="s">
        <v>10875</v>
      </c>
      <c r="H23" s="222"/>
      <c r="I23" s="1122"/>
      <c r="J23" s="222"/>
      <c r="K23" s="2589"/>
      <c r="L23" s="1121">
        <f t="shared" si="2"/>
        <v>0</v>
      </c>
      <c r="M23" s="2589"/>
      <c r="N23" s="252">
        <f t="shared" si="3"/>
        <v>0</v>
      </c>
      <c r="O23" s="2589"/>
      <c r="P23" s="2560"/>
      <c r="Q23" s="422" t="s">
        <v>10874</v>
      </c>
      <c r="R23" s="860" t="s">
        <v>10876</v>
      </c>
      <c r="S23" s="106"/>
      <c r="T23" s="2560"/>
      <c r="U23" s="2560"/>
      <c r="V23" s="2560"/>
    </row>
    <row r="24" spans="1:22" ht="19.5" customHeight="1">
      <c r="A24" s="222"/>
      <c r="B24" s="422" t="s">
        <v>10877</v>
      </c>
      <c r="C24" s="253" t="s">
        <v>1385</v>
      </c>
      <c r="D24" s="253">
        <v>1</v>
      </c>
      <c r="E24" s="1158">
        <v>6442.9</v>
      </c>
      <c r="F24" s="106"/>
      <c r="G24" s="257" t="s">
        <v>10878</v>
      </c>
      <c r="H24" s="222"/>
      <c r="I24" s="1122"/>
      <c r="J24" s="222"/>
      <c r="K24" s="2589"/>
      <c r="L24" s="1121">
        <f t="shared" si="2"/>
        <v>0</v>
      </c>
      <c r="M24" s="2589"/>
      <c r="N24" s="252">
        <f t="shared" si="3"/>
        <v>0</v>
      </c>
      <c r="O24" s="2589"/>
      <c r="P24" s="2560"/>
      <c r="Q24" s="422" t="s">
        <v>10877</v>
      </c>
      <c r="R24" s="860" t="s">
        <v>10879</v>
      </c>
      <c r="S24" s="106"/>
      <c r="T24" s="2560"/>
      <c r="U24" s="2560"/>
      <c r="V24" s="2560"/>
    </row>
    <row r="25" spans="1:22" ht="25.5" customHeight="1">
      <c r="A25" s="222"/>
      <c r="B25" s="2240" t="s">
        <v>10880</v>
      </c>
      <c r="C25" s="2187" t="s">
        <v>1385</v>
      </c>
      <c r="D25" s="2187">
        <v>1</v>
      </c>
      <c r="E25" s="2188">
        <v>3898.2</v>
      </c>
      <c r="F25" s="106"/>
      <c r="G25" s="257" t="s">
        <v>10881</v>
      </c>
      <c r="H25" s="222"/>
      <c r="I25" s="2185"/>
      <c r="J25" s="222"/>
      <c r="K25" s="2589"/>
      <c r="L25" s="1121">
        <f>IF( SUM( N26:N26 ) = 0, 0, $N$5 )</f>
        <v>0</v>
      </c>
      <c r="M25" s="2589"/>
      <c r="N25" s="252"/>
      <c r="O25" s="2589"/>
      <c r="P25" s="2560"/>
      <c r="Q25" s="2240" t="s">
        <v>10880</v>
      </c>
      <c r="R25" s="1158" t="s">
        <v>10882</v>
      </c>
      <c r="S25" s="106"/>
      <c r="T25" s="2560"/>
      <c r="U25" s="2560"/>
      <c r="V25" s="2560"/>
    </row>
    <row r="26" spans="1:22" ht="23.25" customHeight="1" thickBot="1">
      <c r="A26" s="222"/>
      <c r="B26" s="415" t="s">
        <v>10883</v>
      </c>
      <c r="C26" s="319" t="s">
        <v>1385</v>
      </c>
      <c r="D26" s="319">
        <v>1</v>
      </c>
      <c r="E26" s="1160">
        <v>242.9</v>
      </c>
      <c r="F26" s="106"/>
      <c r="G26" s="938" t="s">
        <v>10884</v>
      </c>
      <c r="H26" s="222"/>
      <c r="I26" s="1126"/>
      <c r="J26" s="222"/>
      <c r="K26" s="2589"/>
      <c r="M26" s="2589"/>
      <c r="N26" s="252">
        <f t="shared" si="3"/>
        <v>0</v>
      </c>
      <c r="O26" s="2589"/>
      <c r="P26" s="2560"/>
      <c r="Q26" s="425" t="s">
        <v>10885</v>
      </c>
      <c r="R26" s="1160" t="s">
        <v>1384</v>
      </c>
      <c r="S26" s="106"/>
      <c r="T26" s="2560"/>
      <c r="U26" s="2560"/>
      <c r="V26" s="2560"/>
    </row>
    <row r="27" spans="1:22" ht="15.5" thickTop="1" thickBot="1"/>
    <row r="28" spans="1:22" ht="16.5" thickTop="1" thickBot="1">
      <c r="A28" s="222"/>
      <c r="B28" s="355" t="s">
        <v>10886</v>
      </c>
      <c r="C28" s="444"/>
      <c r="D28" s="444"/>
      <c r="E28" s="444"/>
      <c r="F28" s="1131"/>
      <c r="G28" s="527"/>
      <c r="H28" s="222"/>
      <c r="I28" s="222"/>
      <c r="J28" s="222"/>
      <c r="K28" s="2589"/>
      <c r="L28" s="2560"/>
      <c r="M28" s="2589"/>
      <c r="N28" s="2560"/>
      <c r="O28" s="2589"/>
      <c r="P28" s="2560"/>
      <c r="Q28" s="355" t="s">
        <v>10886</v>
      </c>
      <c r="R28" s="444"/>
      <c r="S28" s="1131"/>
      <c r="T28" s="2560"/>
      <c r="U28" s="2560"/>
      <c r="V28" s="2560"/>
    </row>
    <row r="29" spans="1:22" ht="15.75" customHeight="1" thickTop="1">
      <c r="A29" s="222"/>
      <c r="B29" s="413" t="s">
        <v>10887</v>
      </c>
      <c r="C29" s="244" t="s">
        <v>138</v>
      </c>
      <c r="D29" s="244">
        <v>0</v>
      </c>
      <c r="E29" s="1595">
        <v>457086</v>
      </c>
      <c r="F29" s="106"/>
      <c r="G29" s="935" t="s">
        <v>10888</v>
      </c>
      <c r="H29" s="222"/>
      <c r="I29" s="1120"/>
      <c r="J29" s="222"/>
      <c r="K29" s="2589"/>
      <c r="L29" s="2189"/>
      <c r="M29" s="2589"/>
      <c r="N29" s="252">
        <v>1</v>
      </c>
      <c r="O29" s="2589"/>
      <c r="P29" s="2560"/>
      <c r="Q29" s="413" t="s">
        <v>10887</v>
      </c>
      <c r="R29" s="856" t="s">
        <v>10889</v>
      </c>
      <c r="S29" s="106"/>
      <c r="T29" s="2560"/>
      <c r="U29" s="2560"/>
      <c r="V29" s="2560"/>
    </row>
    <row r="30" spans="1:22" ht="15.5">
      <c r="A30" s="222"/>
      <c r="B30" s="422" t="s">
        <v>10890</v>
      </c>
      <c r="C30" s="253" t="s">
        <v>138</v>
      </c>
      <c r="D30" s="253">
        <v>0</v>
      </c>
      <c r="E30" s="1217">
        <v>381682</v>
      </c>
      <c r="F30" s="106"/>
      <c r="G30" s="936" t="s">
        <v>10891</v>
      </c>
      <c r="H30" s="222"/>
      <c r="I30" s="1122"/>
      <c r="J30" s="222"/>
      <c r="K30" s="2589"/>
      <c r="L30" s="2189"/>
      <c r="M30" s="2589"/>
      <c r="N30" s="252">
        <v>1</v>
      </c>
      <c r="O30" s="2589"/>
      <c r="P30" s="2560"/>
      <c r="Q30" s="422" t="s">
        <v>10890</v>
      </c>
      <c r="R30" s="860" t="s">
        <v>10892</v>
      </c>
      <c r="S30" s="106"/>
      <c r="T30" s="2560"/>
      <c r="U30" s="2560"/>
      <c r="V30" s="2560"/>
    </row>
    <row r="31" spans="1:22" ht="15.5">
      <c r="A31" s="222"/>
      <c r="B31" s="2190" t="s">
        <v>10893</v>
      </c>
      <c r="C31" s="2191" t="s">
        <v>138</v>
      </c>
      <c r="D31" s="2191">
        <v>0</v>
      </c>
      <c r="E31" s="2395">
        <v>982536</v>
      </c>
      <c r="F31" s="106"/>
      <c r="G31" s="2396" t="s">
        <v>10894</v>
      </c>
      <c r="H31" s="222"/>
      <c r="I31" s="2194"/>
      <c r="J31" s="222"/>
      <c r="K31" s="2589"/>
      <c r="L31" s="2189"/>
      <c r="M31" s="2589"/>
      <c r="N31" s="252">
        <v>1</v>
      </c>
      <c r="O31" s="2589"/>
      <c r="P31" s="2560"/>
      <c r="Q31" s="422" t="s">
        <v>10893</v>
      </c>
      <c r="R31" s="860" t="s">
        <v>10895</v>
      </c>
      <c r="S31" s="106"/>
      <c r="T31" s="2560"/>
      <c r="U31" s="2560"/>
      <c r="V31" s="2560"/>
    </row>
    <row r="32" spans="1:22" ht="31.5" thickBot="1">
      <c r="A32" s="222"/>
      <c r="B32" s="2240" t="s">
        <v>10896</v>
      </c>
      <c r="C32" s="2233" t="s">
        <v>138</v>
      </c>
      <c r="D32" s="2233">
        <v>0</v>
      </c>
      <c r="E32" s="2397">
        <v>882</v>
      </c>
      <c r="F32" s="106"/>
      <c r="G32" s="938" t="s">
        <v>10897</v>
      </c>
      <c r="H32" s="222"/>
      <c r="I32" s="2398"/>
      <c r="J32" s="222"/>
      <c r="K32" s="2589"/>
      <c r="L32" s="2189"/>
      <c r="M32" s="2589"/>
      <c r="N32" s="252"/>
      <c r="O32" s="2589"/>
      <c r="P32" s="2560"/>
      <c r="Q32" s="2285" t="s">
        <v>10896</v>
      </c>
      <c r="R32" s="1145" t="s">
        <v>10898</v>
      </c>
      <c r="S32" s="106"/>
      <c r="T32" s="2560"/>
      <c r="U32" s="2560"/>
      <c r="V32" s="2560"/>
    </row>
    <row r="33" spans="1:22" ht="15.75" customHeight="1" thickTop="1" thickBot="1">
      <c r="A33" s="222"/>
      <c r="B33" s="222"/>
      <c r="C33" s="222"/>
      <c r="D33" s="222"/>
      <c r="E33" s="222"/>
      <c r="F33" s="222"/>
      <c r="G33" s="222"/>
      <c r="H33" s="222"/>
      <c r="I33" s="222"/>
      <c r="J33" s="222"/>
      <c r="K33" s="2589"/>
      <c r="L33" s="2560"/>
      <c r="M33" s="2589"/>
      <c r="N33" s="2560"/>
      <c r="O33" s="2589"/>
      <c r="P33" s="2560"/>
      <c r="Q33" s="222"/>
      <c r="R33" s="222"/>
      <c r="S33" s="2560"/>
      <c r="T33" s="2560"/>
      <c r="U33" s="2560"/>
      <c r="V33" s="2560"/>
    </row>
    <row r="34" spans="1:22" ht="15.75" customHeight="1" thickTop="1" thickBot="1">
      <c r="A34" s="222"/>
      <c r="B34" s="355" t="s">
        <v>2410</v>
      </c>
      <c r="C34" s="444"/>
      <c r="D34" s="444"/>
      <c r="E34" s="444"/>
      <c r="F34" s="1131"/>
      <c r="G34" s="527"/>
      <c r="H34" s="222"/>
      <c r="I34" s="222"/>
      <c r="J34" s="222"/>
      <c r="K34" s="2589"/>
      <c r="L34" s="2560"/>
      <c r="M34" s="2589"/>
      <c r="N34" s="2560"/>
      <c r="O34" s="2589"/>
      <c r="P34" s="2560"/>
      <c r="Q34" s="355" t="s">
        <v>2410</v>
      </c>
      <c r="R34" s="444"/>
      <c r="S34" s="1131"/>
      <c r="T34" s="2560"/>
      <c r="U34" s="2560"/>
      <c r="V34" s="2560"/>
    </row>
    <row r="35" spans="1:22" ht="16.399999999999999" customHeight="1" thickTop="1">
      <c r="A35" s="222"/>
      <c r="B35" s="726" t="s">
        <v>10899</v>
      </c>
      <c r="C35" s="685" t="s">
        <v>10900</v>
      </c>
      <c r="D35" s="685">
        <v>0</v>
      </c>
      <c r="E35" s="1592">
        <v>14294</v>
      </c>
      <c r="F35" s="197"/>
      <c r="G35" s="2399" t="s">
        <v>10901</v>
      </c>
      <c r="H35" s="222"/>
      <c r="I35" s="1120" t="s">
        <v>3883</v>
      </c>
      <c r="J35" s="222"/>
      <c r="K35" s="2589"/>
      <c r="L35" s="2189"/>
      <c r="M35" s="2589"/>
      <c r="N35" s="252">
        <v>1</v>
      </c>
      <c r="O35" s="2589"/>
      <c r="P35" s="2560"/>
      <c r="Q35" s="726" t="s">
        <v>10899</v>
      </c>
      <c r="R35" s="1142" t="s">
        <v>10902</v>
      </c>
      <c r="S35" s="197"/>
      <c r="T35" s="2560"/>
      <c r="U35" s="2560"/>
      <c r="V35" s="2560"/>
    </row>
    <row r="36" spans="1:22" ht="16.399999999999999" customHeight="1">
      <c r="A36" s="222"/>
      <c r="B36" s="730" t="s">
        <v>10903</v>
      </c>
      <c r="C36" s="731" t="s">
        <v>138</v>
      </c>
      <c r="D36" s="731">
        <v>2</v>
      </c>
      <c r="E36" s="2400">
        <v>4.6100000000000003</v>
      </c>
      <c r="F36" s="351"/>
      <c r="G36" s="2401" t="s">
        <v>10904</v>
      </c>
      <c r="H36" s="222"/>
      <c r="I36" s="1122"/>
      <c r="J36" s="222"/>
      <c r="K36" s="2589"/>
      <c r="L36" s="2189"/>
      <c r="M36" s="2589"/>
      <c r="N36" s="252">
        <v>1</v>
      </c>
      <c r="O36" s="2589"/>
      <c r="P36" s="2560"/>
      <c r="Q36" s="730" t="s">
        <v>10903</v>
      </c>
      <c r="R36" s="2400" t="s">
        <v>10905</v>
      </c>
      <c r="S36" s="351"/>
      <c r="T36" s="2560"/>
      <c r="U36" s="2560"/>
      <c r="V36" s="2560"/>
    </row>
    <row r="37" spans="1:22" ht="16.399999999999999" customHeight="1">
      <c r="A37" s="222"/>
      <c r="B37" s="730" t="s">
        <v>10906</v>
      </c>
      <c r="C37" s="731" t="s">
        <v>138</v>
      </c>
      <c r="D37" s="731">
        <v>0</v>
      </c>
      <c r="E37" s="1593">
        <v>131</v>
      </c>
      <c r="F37" s="197"/>
      <c r="G37" s="2401" t="s">
        <v>10907</v>
      </c>
      <c r="H37" s="222"/>
      <c r="I37" s="1122"/>
      <c r="J37" s="222"/>
      <c r="K37" s="2589"/>
      <c r="L37" s="2189"/>
      <c r="M37" s="2589"/>
      <c r="N37" s="252">
        <v>1</v>
      </c>
      <c r="O37" s="2589"/>
      <c r="P37" s="2560"/>
      <c r="Q37" s="730" t="s">
        <v>10906</v>
      </c>
      <c r="R37" s="1143" t="s">
        <v>10908</v>
      </c>
      <c r="S37" s="197"/>
      <c r="T37" s="2560"/>
      <c r="U37" s="2560"/>
      <c r="V37" s="2560"/>
    </row>
    <row r="38" spans="1:22" ht="16.399999999999999" customHeight="1">
      <c r="A38" s="222"/>
      <c r="B38" s="730" t="s">
        <v>10909</v>
      </c>
      <c r="C38" s="731" t="s">
        <v>138</v>
      </c>
      <c r="D38" s="731">
        <v>0</v>
      </c>
      <c r="E38" s="1593">
        <v>4</v>
      </c>
      <c r="F38" s="351"/>
      <c r="G38" s="2401" t="s">
        <v>10910</v>
      </c>
      <c r="H38" s="222"/>
      <c r="I38" s="1122"/>
      <c r="J38" s="222"/>
      <c r="K38" s="2589"/>
      <c r="L38" s="2189"/>
      <c r="M38" s="2589"/>
      <c r="N38" s="252"/>
      <c r="O38" s="2589"/>
      <c r="P38" s="2560"/>
      <c r="Q38" s="730" t="s">
        <v>10909</v>
      </c>
      <c r="R38" s="2400" t="s">
        <v>10911</v>
      </c>
      <c r="S38" s="351"/>
      <c r="T38" s="2560"/>
      <c r="U38" s="2560"/>
      <c r="V38" s="2560"/>
    </row>
    <row r="39" spans="1:22" ht="28.5" customHeight="1">
      <c r="A39" s="222"/>
      <c r="B39" s="222"/>
      <c r="C39" s="222"/>
      <c r="D39" s="222"/>
      <c r="E39" s="222"/>
      <c r="F39" s="222"/>
      <c r="G39" s="222"/>
      <c r="H39" s="222"/>
      <c r="I39" s="222"/>
      <c r="J39" s="222"/>
      <c r="K39" s="2560"/>
      <c r="L39" s="2560"/>
      <c r="M39" s="2560"/>
      <c r="N39" s="2560"/>
      <c r="O39" s="2560"/>
      <c r="P39" s="2560"/>
      <c r="Q39" s="2560"/>
      <c r="R39" s="2560"/>
      <c r="S39" s="2560"/>
      <c r="T39" s="2560"/>
      <c r="U39" s="2560"/>
      <c r="V39" s="2560"/>
    </row>
    <row r="40" spans="1:22" ht="15.5">
      <c r="A40" s="222"/>
      <c r="B40" s="222"/>
      <c r="C40" s="222"/>
      <c r="D40" s="222"/>
      <c r="E40" s="222"/>
      <c r="F40" s="222"/>
      <c r="G40" s="222"/>
      <c r="H40" s="222"/>
      <c r="I40" s="222"/>
      <c r="J40" s="222"/>
      <c r="K40" s="2560"/>
      <c r="L40" s="2560"/>
      <c r="M40" s="2560"/>
      <c r="N40" s="2560"/>
      <c r="O40" s="2560"/>
      <c r="P40" s="2560"/>
      <c r="Q40" s="2560"/>
      <c r="R40" s="2560"/>
      <c r="S40" s="2560"/>
      <c r="T40" s="2560"/>
      <c r="U40" s="2560"/>
      <c r="V40" s="2560"/>
    </row>
  </sheetData>
  <sheetProtection formatColumns="0" formatRows="0"/>
  <mergeCells count="2">
    <mergeCell ref="B3:I3"/>
    <mergeCell ref="Q3:S3"/>
  </mergeCells>
  <phoneticPr fontId="38" type="noConversion"/>
  <conditionalFormatting sqref="L8:L15 L18:L25 L35:L38">
    <cfRule type="cellIs" dxfId="62" priority="8" operator="equal">
      <formula>0</formula>
    </cfRule>
  </conditionalFormatting>
  <conditionalFormatting sqref="L29:L32">
    <cfRule type="cellIs" dxfId="61" priority="2" operator="equal">
      <formula>0</formula>
    </cfRule>
  </conditionalFormatting>
  <dataValidations count="1">
    <dataValidation type="custom" allowBlank="1" showErrorMessage="1" errorTitle="Input Error" error="Please enter a numeric value." sqref="E29:E32 E8:E15 E18:E26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4" zoomScale="85" zoomScaleNormal="85" zoomScaleSheetLayoutView="100" workbookViewId="0">
      <selection activeCell="B33" sqref="B32:B33"/>
    </sheetView>
  </sheetViews>
  <sheetFormatPr defaultColWidth="9" defaultRowHeight="14"/>
  <cols>
    <col min="1" max="1" width="1.58203125" style="219" customWidth="1"/>
    <col min="2" max="2" width="91.58203125" style="219" customWidth="1"/>
    <col min="3" max="3" width="7" style="219" customWidth="1"/>
    <col min="4" max="4" width="5.08203125" style="219" customWidth="1"/>
    <col min="5" max="5" width="20.58203125" style="219" customWidth="1"/>
    <col min="6" max="6" width="19.08203125" style="219" customWidth="1"/>
    <col min="7" max="8" width="12.5" style="219" customWidth="1"/>
    <col min="9" max="9" width="1.58203125" style="219" customWidth="1"/>
    <col min="10" max="10" width="12.5" style="219" customWidth="1"/>
    <col min="11" max="11" width="1.58203125" style="219" customWidth="1"/>
    <col min="12" max="12" width="33.58203125" style="218" customWidth="1"/>
    <col min="13" max="14" width="1.58203125" style="219" customWidth="1"/>
    <col min="15" max="15" width="25" style="219" customWidth="1"/>
    <col min="16" max="16" width="1.58203125" style="219" customWidth="1"/>
    <col min="17" max="19" width="12.5" style="219" hidden="1" customWidth="1"/>
    <col min="20" max="20" width="1.58203125" style="219" hidden="1" customWidth="1"/>
    <col min="21" max="21" width="1.58203125" style="219" customWidth="1"/>
    <col min="22" max="22" width="49.08203125" style="219" bestFit="1" customWidth="1"/>
    <col min="23" max="26" width="17.5" style="219" customWidth="1"/>
    <col min="27" max="27" width="1.58203125" style="219" customWidth="1"/>
    <col min="28" max="16384" width="9" style="219"/>
  </cols>
  <sheetData>
    <row r="1" spans="1:27" ht="30.75" customHeight="1">
      <c r="A1" s="2560"/>
      <c r="B1" s="1119" t="s">
        <v>10912</v>
      </c>
      <c r="C1" s="1119"/>
      <c r="D1" s="1119"/>
      <c r="E1" s="1119"/>
      <c r="F1" s="1119"/>
      <c r="G1" s="1119"/>
      <c r="H1" s="1119"/>
      <c r="I1" s="1119"/>
      <c r="J1" s="1119"/>
      <c r="K1" s="2560"/>
      <c r="L1" s="2561"/>
      <c r="M1" s="2560"/>
      <c r="N1" s="2589"/>
      <c r="O1" s="2560"/>
      <c r="P1" s="2589"/>
      <c r="Q1" s="2560"/>
      <c r="R1" s="2560"/>
      <c r="S1" s="2560"/>
      <c r="T1" s="2589"/>
      <c r="U1" s="2560"/>
      <c r="V1" s="1119" t="s">
        <v>1887</v>
      </c>
      <c r="W1" s="1119"/>
      <c r="X1" s="1119"/>
      <c r="Y1" s="1119"/>
      <c r="Z1" s="1119"/>
      <c r="AA1" s="1119"/>
    </row>
    <row r="2" spans="1:27" ht="30.75" customHeight="1">
      <c r="A2" s="2560"/>
      <c r="B2" s="1119" t="str">
        <f>SelectCompany!B4</f>
        <v>Yorkshire Water</v>
      </c>
      <c r="C2" s="491"/>
      <c r="D2" s="491"/>
      <c r="E2" s="491"/>
      <c r="F2" s="491"/>
      <c r="G2" s="491"/>
      <c r="H2" s="491"/>
      <c r="I2" s="2560"/>
      <c r="J2" s="2560"/>
      <c r="K2" s="2560"/>
      <c r="L2" s="2561"/>
      <c r="M2" s="2560"/>
      <c r="N2" s="2589"/>
      <c r="O2" s="2560"/>
      <c r="P2" s="2589"/>
      <c r="Q2" s="2560"/>
      <c r="R2" s="2560"/>
      <c r="S2" s="2560"/>
      <c r="T2" s="2589"/>
      <c r="U2" s="2560"/>
      <c r="V2" s="1119"/>
      <c r="W2" s="491"/>
      <c r="X2" s="491"/>
      <c r="Y2" s="491"/>
      <c r="Z2" s="491"/>
      <c r="AA2" s="2560"/>
    </row>
    <row r="3" spans="1:27" ht="45" customHeight="1">
      <c r="A3" s="2560"/>
      <c r="B3" s="2781" t="s">
        <v>10913</v>
      </c>
      <c r="C3" s="2781"/>
      <c r="D3" s="2781"/>
      <c r="E3" s="2781"/>
      <c r="F3" s="2781"/>
      <c r="G3" s="2781"/>
      <c r="H3" s="2781"/>
      <c r="I3" s="2781"/>
      <c r="J3" s="2781"/>
      <c r="K3" s="2781"/>
      <c r="L3" s="2781"/>
      <c r="M3" s="229"/>
      <c r="N3" s="2589"/>
      <c r="O3" s="1129" t="s">
        <v>1889</v>
      </c>
      <c r="P3" s="2589"/>
      <c r="Q3" s="2560"/>
      <c r="R3" s="2560"/>
      <c r="S3" s="2560"/>
      <c r="T3" s="2589"/>
      <c r="U3" s="2560"/>
      <c r="V3" s="2781" t="s">
        <v>10913</v>
      </c>
      <c r="W3" s="2781"/>
      <c r="X3" s="2781"/>
      <c r="Y3" s="2781"/>
      <c r="Z3" s="2781"/>
      <c r="AA3" s="2781"/>
    </row>
    <row r="4" spans="1:27" ht="14.25" customHeight="1" thickBot="1">
      <c r="A4" s="2560"/>
      <c r="B4" s="2604"/>
      <c r="C4" s="2604"/>
      <c r="D4" s="2604"/>
      <c r="E4" s="2604"/>
      <c r="F4" s="2604"/>
      <c r="G4" s="2604"/>
      <c r="H4" s="2604"/>
      <c r="I4" s="2604"/>
      <c r="J4" s="2604"/>
      <c r="K4" s="2604"/>
      <c r="L4" s="2605"/>
      <c r="M4" s="222"/>
      <c r="N4" s="2589"/>
      <c r="O4" s="2560"/>
      <c r="P4" s="2589"/>
      <c r="Q4" s="2869" t="s">
        <v>1890</v>
      </c>
      <c r="R4" s="2869"/>
      <c r="S4" s="2869"/>
      <c r="T4" s="2589"/>
      <c r="U4" s="2560"/>
      <c r="V4" s="2604"/>
      <c r="W4" s="2604"/>
      <c r="X4" s="2604"/>
      <c r="Y4" s="2604"/>
      <c r="Z4" s="2604"/>
      <c r="AA4" s="2604"/>
    </row>
    <row r="5" spans="1:27" ht="47.5" thickTop="1" thickBot="1">
      <c r="A5" s="222"/>
      <c r="B5" s="407" t="s">
        <v>1891</v>
      </c>
      <c r="C5" s="408" t="s">
        <v>1892</v>
      </c>
      <c r="D5" s="408" t="s">
        <v>136</v>
      </c>
      <c r="E5" s="408" t="s">
        <v>9383</v>
      </c>
      <c r="F5" s="408" t="s">
        <v>9384</v>
      </c>
      <c r="G5" s="409" t="s">
        <v>10914</v>
      </c>
      <c r="H5" s="222"/>
      <c r="I5" s="229"/>
      <c r="J5" s="411" t="s">
        <v>1896</v>
      </c>
      <c r="K5" s="229"/>
      <c r="L5" s="411" t="s">
        <v>1897</v>
      </c>
      <c r="M5" s="229"/>
      <c r="N5" s="2589"/>
      <c r="O5" s="2560"/>
      <c r="P5" s="2589"/>
      <c r="Q5" s="236" t="s">
        <v>1898</v>
      </c>
      <c r="R5" s="236"/>
      <c r="S5" s="2560"/>
      <c r="T5" s="2589"/>
      <c r="U5" s="2560"/>
      <c r="V5" s="407" t="s">
        <v>1891</v>
      </c>
      <c r="W5" s="408" t="s">
        <v>9383</v>
      </c>
      <c r="X5" s="408" t="s">
        <v>9384</v>
      </c>
      <c r="Y5" s="409" t="s">
        <v>10914</v>
      </c>
      <c r="Z5" s="2560"/>
      <c r="AA5" s="229"/>
    </row>
    <row r="6" spans="1:27" ht="15.75" customHeight="1" thickTop="1" thickBot="1">
      <c r="A6" s="222"/>
      <c r="B6" s="377"/>
      <c r="C6" s="377"/>
      <c r="D6" s="377"/>
      <c r="E6" s="222"/>
      <c r="F6" s="222"/>
      <c r="G6" s="222"/>
      <c r="H6" s="222"/>
      <c r="I6" s="229"/>
      <c r="J6" s="222"/>
      <c r="K6" s="229"/>
      <c r="L6" s="631"/>
      <c r="M6" s="229"/>
      <c r="N6" s="2589"/>
      <c r="O6" s="2560"/>
      <c r="P6" s="2589"/>
      <c r="Q6" s="2560"/>
      <c r="R6" s="2560"/>
      <c r="S6" s="2560"/>
      <c r="T6" s="2589"/>
      <c r="U6" s="2560"/>
      <c r="V6" s="377"/>
      <c r="W6" s="222"/>
      <c r="X6" s="222"/>
      <c r="Y6" s="222"/>
      <c r="Z6" s="2560"/>
      <c r="AA6" s="229"/>
    </row>
    <row r="7" spans="1:27" ht="15.75" customHeight="1" thickTop="1" thickBot="1">
      <c r="A7" s="222"/>
      <c r="B7" s="681" t="s">
        <v>10915</v>
      </c>
      <c r="C7" s="444"/>
      <c r="D7" s="444"/>
      <c r="E7" s="417"/>
      <c r="F7" s="417"/>
      <c r="G7" s="417"/>
      <c r="H7" s="417"/>
      <c r="I7" s="229"/>
      <c r="J7" s="222"/>
      <c r="K7" s="229"/>
      <c r="L7" s="631"/>
      <c r="M7" s="229"/>
      <c r="N7" s="2589"/>
      <c r="O7" s="2560"/>
      <c r="P7" s="2589"/>
      <c r="Q7" s="2560"/>
      <c r="R7" s="2560"/>
      <c r="S7" s="2560"/>
      <c r="T7" s="2589"/>
      <c r="U7" s="2560"/>
      <c r="V7" s="681" t="s">
        <v>10915</v>
      </c>
      <c r="W7" s="417"/>
      <c r="X7" s="417"/>
      <c r="Y7" s="417"/>
      <c r="Z7" s="417"/>
      <c r="AA7" s="229"/>
    </row>
    <row r="8" spans="1:27" ht="15.75" customHeight="1">
      <c r="A8" s="222"/>
      <c r="B8" s="413" t="s">
        <v>10916</v>
      </c>
      <c r="C8" s="244" t="s">
        <v>137</v>
      </c>
      <c r="D8" s="244">
        <v>3</v>
      </c>
      <c r="E8" s="788">
        <v>0</v>
      </c>
      <c r="F8" s="788">
        <v>5.1896115800000002</v>
      </c>
      <c r="G8" s="1163">
        <v>0</v>
      </c>
      <c r="H8" s="83"/>
      <c r="I8" s="229"/>
      <c r="J8" s="935" t="s">
        <v>10917</v>
      </c>
      <c r="K8" s="229"/>
      <c r="L8" s="1164"/>
      <c r="M8" s="229"/>
      <c r="N8" s="2589"/>
      <c r="O8" s="1121">
        <f>IF( SUM( Q8:S8 ) = 0, 0, $Q$5 )</f>
        <v>0</v>
      </c>
      <c r="P8" s="2589"/>
      <c r="Q8" s="252">
        <f t="shared" ref="Q8:S12" si="0" xml:space="preserve"> IF( ISNUMBER(E8 ), 0, 1 )</f>
        <v>0</v>
      </c>
      <c r="R8" s="252">
        <f t="shared" si="0"/>
        <v>0</v>
      </c>
      <c r="S8" s="252">
        <f t="shared" si="0"/>
        <v>0</v>
      </c>
      <c r="T8" s="2589"/>
      <c r="U8" s="2560"/>
      <c r="V8" s="413" t="s">
        <v>10916</v>
      </c>
      <c r="W8" s="788" t="s">
        <v>10918</v>
      </c>
      <c r="X8" s="788" t="s">
        <v>10919</v>
      </c>
      <c r="Y8" s="1163" t="s">
        <v>10920</v>
      </c>
      <c r="Z8" s="345"/>
      <c r="AA8" s="229"/>
    </row>
    <row r="9" spans="1:27" ht="15.75" customHeight="1">
      <c r="A9" s="222"/>
      <c r="B9" s="422" t="s">
        <v>10921</v>
      </c>
      <c r="C9" s="253" t="s">
        <v>137</v>
      </c>
      <c r="D9" s="253">
        <v>3</v>
      </c>
      <c r="E9" s="789">
        <v>0</v>
      </c>
      <c r="F9" s="789">
        <v>0</v>
      </c>
      <c r="G9" s="1155">
        <v>0</v>
      </c>
      <c r="H9" s="83"/>
      <c r="I9" s="229"/>
      <c r="J9" s="936" t="s">
        <v>10922</v>
      </c>
      <c r="K9" s="229"/>
      <c r="L9" s="1165"/>
      <c r="M9" s="229"/>
      <c r="N9" s="2589"/>
      <c r="O9" s="1121">
        <f t="shared" ref="O9:O11" si="1">IF( SUM( Q9:S9 ) = 0, 0, $Q$5 )</f>
        <v>0</v>
      </c>
      <c r="P9" s="2589"/>
      <c r="Q9" s="252">
        <f t="shared" si="0"/>
        <v>0</v>
      </c>
      <c r="R9" s="252">
        <f t="shared" si="0"/>
        <v>0</v>
      </c>
      <c r="S9" s="252">
        <f t="shared" si="0"/>
        <v>0</v>
      </c>
      <c r="T9" s="2589"/>
      <c r="U9" s="2560"/>
      <c r="V9" s="422" t="s">
        <v>10921</v>
      </c>
      <c r="W9" s="789" t="s">
        <v>10923</v>
      </c>
      <c r="X9" s="789" t="s">
        <v>10924</v>
      </c>
      <c r="Y9" s="1155" t="s">
        <v>10925</v>
      </c>
      <c r="Z9" s="345"/>
      <c r="AA9" s="229"/>
    </row>
    <row r="10" spans="1:27" ht="15.75" customHeight="1">
      <c r="A10" s="222"/>
      <c r="B10" s="422" t="s">
        <v>10926</v>
      </c>
      <c r="C10" s="253" t="s">
        <v>137</v>
      </c>
      <c r="D10" s="253">
        <v>3</v>
      </c>
      <c r="E10" s="789">
        <v>2E-3</v>
      </c>
      <c r="F10" s="789">
        <v>8.9999999999999993E-3</v>
      </c>
      <c r="G10" s="1155">
        <v>0</v>
      </c>
      <c r="H10" s="83"/>
      <c r="I10" s="229"/>
      <c r="J10" s="936" t="s">
        <v>10927</v>
      </c>
      <c r="K10" s="229"/>
      <c r="L10" s="1165"/>
      <c r="M10" s="229"/>
      <c r="N10" s="2589"/>
      <c r="O10" s="1121">
        <f t="shared" si="1"/>
        <v>0</v>
      </c>
      <c r="P10" s="2589"/>
      <c r="Q10" s="252">
        <f t="shared" si="0"/>
        <v>0</v>
      </c>
      <c r="R10" s="252">
        <f t="shared" si="0"/>
        <v>0</v>
      </c>
      <c r="S10" s="252">
        <f t="shared" si="0"/>
        <v>0</v>
      </c>
      <c r="T10" s="2589"/>
      <c r="U10" s="2560"/>
      <c r="V10" s="422" t="s">
        <v>10926</v>
      </c>
      <c r="W10" s="789" t="s">
        <v>10928</v>
      </c>
      <c r="X10" s="789" t="s">
        <v>10929</v>
      </c>
      <c r="Y10" s="1155" t="s">
        <v>10930</v>
      </c>
      <c r="Z10" s="345"/>
      <c r="AA10" s="229"/>
    </row>
    <row r="11" spans="1:27" ht="15.75" customHeight="1">
      <c r="A11" s="222"/>
      <c r="B11" s="422" t="s">
        <v>10931</v>
      </c>
      <c r="C11" s="253" t="s">
        <v>137</v>
      </c>
      <c r="D11" s="253">
        <v>3</v>
      </c>
      <c r="E11" s="789">
        <v>0</v>
      </c>
      <c r="F11" s="789">
        <v>1.1040000000000001</v>
      </c>
      <c r="G11" s="1155">
        <v>4.3771259999999999E-2</v>
      </c>
      <c r="H11" s="83"/>
      <c r="I11" s="229"/>
      <c r="J11" s="936" t="s">
        <v>10932</v>
      </c>
      <c r="K11" s="229"/>
      <c r="L11" s="1165"/>
      <c r="M11" s="229"/>
      <c r="N11" s="2589"/>
      <c r="O11" s="1121">
        <f t="shared" si="1"/>
        <v>0</v>
      </c>
      <c r="P11" s="2589"/>
      <c r="Q11" s="252">
        <f t="shared" si="0"/>
        <v>0</v>
      </c>
      <c r="R11" s="252">
        <f t="shared" si="0"/>
        <v>0</v>
      </c>
      <c r="S11" s="252">
        <f t="shared" si="0"/>
        <v>0</v>
      </c>
      <c r="T11" s="2589"/>
      <c r="U11" s="2560"/>
      <c r="V11" s="422" t="s">
        <v>10931</v>
      </c>
      <c r="W11" s="789" t="s">
        <v>10933</v>
      </c>
      <c r="X11" s="789" t="s">
        <v>10934</v>
      </c>
      <c r="Y11" s="1155" t="s">
        <v>10935</v>
      </c>
      <c r="Z11" s="345"/>
      <c r="AA11" s="229"/>
    </row>
    <row r="12" spans="1:27" ht="15.75" customHeight="1">
      <c r="A12" s="222"/>
      <c r="B12" s="425" t="s">
        <v>10936</v>
      </c>
      <c r="C12" s="319" t="s">
        <v>137</v>
      </c>
      <c r="D12" s="319">
        <v>3</v>
      </c>
      <c r="E12" s="2466">
        <v>0</v>
      </c>
      <c r="F12" s="2466">
        <v>0.34899999999999998</v>
      </c>
      <c r="G12" s="2291">
        <v>0</v>
      </c>
      <c r="H12" s="83"/>
      <c r="I12" s="229"/>
      <c r="J12" s="938" t="s">
        <v>10937</v>
      </c>
      <c r="K12" s="229"/>
      <c r="L12" s="1165"/>
      <c r="M12" s="229"/>
      <c r="N12" s="2589"/>
      <c r="O12" s="1121">
        <f t="shared" ref="O12" si="2">IF( SUM( Q12:S12 ) = 0, 0, $Q$5 )</f>
        <v>0</v>
      </c>
      <c r="P12" s="2589"/>
      <c r="Q12" s="252">
        <f t="shared" si="0"/>
        <v>0</v>
      </c>
      <c r="R12" s="252">
        <f t="shared" si="0"/>
        <v>0</v>
      </c>
      <c r="S12" s="252">
        <f t="shared" si="0"/>
        <v>0</v>
      </c>
      <c r="T12" s="2589"/>
      <c r="U12" s="2560"/>
      <c r="V12" s="422" t="s">
        <v>10936</v>
      </c>
      <c r="W12" s="789" t="s">
        <v>10938</v>
      </c>
      <c r="X12" s="789" t="s">
        <v>10939</v>
      </c>
      <c r="Y12" s="1155" t="s">
        <v>10940</v>
      </c>
      <c r="Z12" s="345"/>
      <c r="AA12" s="229"/>
    </row>
    <row r="13" spans="1:27" ht="15.75" customHeight="1" thickTop="1" thickBot="1">
      <c r="A13" s="222"/>
      <c r="B13" s="1166"/>
      <c r="C13" s="111"/>
      <c r="D13" s="111"/>
      <c r="E13" s="83"/>
      <c r="F13" s="83"/>
      <c r="G13" s="83"/>
      <c r="H13" s="83"/>
      <c r="I13" s="229"/>
      <c r="J13" s="229"/>
      <c r="K13" s="229"/>
      <c r="L13" s="631"/>
      <c r="M13" s="229"/>
      <c r="N13" s="2589"/>
      <c r="O13" s="2560"/>
      <c r="P13" s="2589"/>
      <c r="Q13" s="2560"/>
      <c r="R13" s="2560"/>
      <c r="S13" s="2560"/>
      <c r="T13" s="2589"/>
      <c r="U13" s="2560"/>
      <c r="V13" s="1166"/>
      <c r="W13" s="83"/>
      <c r="X13" s="83"/>
      <c r="Y13" s="83"/>
      <c r="Z13" s="83"/>
      <c r="AA13" s="229"/>
    </row>
    <row r="14" spans="1:27" ht="15.75" customHeight="1" thickTop="1" thickBot="1">
      <c r="A14" s="222"/>
      <c r="B14" s="355" t="s">
        <v>10941</v>
      </c>
      <c r="C14" s="444"/>
      <c r="D14" s="444"/>
      <c r="E14" s="417"/>
      <c r="F14" s="417"/>
      <c r="G14" s="417"/>
      <c r="H14" s="417"/>
      <c r="I14" s="222"/>
      <c r="J14" s="222"/>
      <c r="K14" s="222"/>
      <c r="L14" s="1167"/>
      <c r="M14" s="222"/>
      <c r="N14" s="2589"/>
      <c r="O14" s="2560"/>
      <c r="P14" s="2589"/>
      <c r="Q14" s="2560"/>
      <c r="R14" s="2560"/>
      <c r="S14" s="2560"/>
      <c r="T14" s="2589"/>
      <c r="U14" s="2560"/>
      <c r="V14" s="355" t="s">
        <v>10941</v>
      </c>
      <c r="W14" s="417"/>
      <c r="X14" s="417"/>
      <c r="Y14" s="417"/>
      <c r="Z14" s="417"/>
      <c r="AA14" s="2560"/>
    </row>
    <row r="15" spans="1:27" ht="15.75" customHeight="1" thickTop="1">
      <c r="A15" s="222"/>
      <c r="B15" s="413" t="s">
        <v>10942</v>
      </c>
      <c r="C15" s="244" t="s">
        <v>1387</v>
      </c>
      <c r="D15" s="244">
        <v>3</v>
      </c>
      <c r="E15" s="788">
        <v>0</v>
      </c>
      <c r="F15" s="788">
        <v>22.277999999999999</v>
      </c>
      <c r="G15" s="1163">
        <v>0</v>
      </c>
      <c r="H15" s="83"/>
      <c r="I15" s="222"/>
      <c r="J15" s="935" t="s">
        <v>10943</v>
      </c>
      <c r="K15" s="1168"/>
      <c r="L15" s="1169"/>
      <c r="M15" s="1168"/>
      <c r="N15" s="2589"/>
      <c r="O15" s="1121">
        <f t="shared" ref="O15:O30" si="3">IF( SUM( Q15:S15 ) = 0, 0, $Q$5 )</f>
        <v>0</v>
      </c>
      <c r="P15" s="2589"/>
      <c r="Q15" s="252">
        <f t="shared" ref="Q15:S19" si="4" xml:space="preserve"> IF( ISNUMBER(E15 ), 0, 1 )</f>
        <v>0</v>
      </c>
      <c r="R15" s="252">
        <f t="shared" si="4"/>
        <v>0</v>
      </c>
      <c r="S15" s="252">
        <f t="shared" si="4"/>
        <v>0</v>
      </c>
      <c r="T15" s="2589"/>
      <c r="U15" s="2560"/>
      <c r="V15" s="413" t="s">
        <v>10942</v>
      </c>
      <c r="W15" s="788" t="s">
        <v>10944</v>
      </c>
      <c r="X15" s="788" t="s">
        <v>10945</v>
      </c>
      <c r="Y15" s="1163" t="s">
        <v>10946</v>
      </c>
      <c r="Z15" s="345"/>
      <c r="AA15" s="2560"/>
    </row>
    <row r="16" spans="1:27" ht="15.75" customHeight="1">
      <c r="A16" s="222"/>
      <c r="B16" s="422" t="s">
        <v>10947</v>
      </c>
      <c r="C16" s="253" t="s">
        <v>1387</v>
      </c>
      <c r="D16" s="253">
        <v>3</v>
      </c>
      <c r="E16" s="789">
        <v>0</v>
      </c>
      <c r="F16" s="789">
        <v>0</v>
      </c>
      <c r="G16" s="1155">
        <v>0</v>
      </c>
      <c r="H16" s="83"/>
      <c r="I16" s="222"/>
      <c r="J16" s="936" t="s">
        <v>10948</v>
      </c>
      <c r="K16" s="1168"/>
      <c r="L16" s="1170"/>
      <c r="M16" s="1168"/>
      <c r="N16" s="2589"/>
      <c r="O16" s="1121">
        <f t="shared" si="3"/>
        <v>0</v>
      </c>
      <c r="P16" s="2589"/>
      <c r="Q16" s="252">
        <f t="shared" si="4"/>
        <v>0</v>
      </c>
      <c r="R16" s="252">
        <f t="shared" si="4"/>
        <v>0</v>
      </c>
      <c r="S16" s="252">
        <f t="shared" si="4"/>
        <v>0</v>
      </c>
      <c r="T16" s="2589"/>
      <c r="U16" s="2560"/>
      <c r="V16" s="422" t="s">
        <v>10947</v>
      </c>
      <c r="W16" s="789" t="s">
        <v>10949</v>
      </c>
      <c r="X16" s="789" t="s">
        <v>10950</v>
      </c>
      <c r="Y16" s="1155" t="s">
        <v>10951</v>
      </c>
      <c r="Z16" s="345"/>
      <c r="AA16" s="2560"/>
    </row>
    <row r="17" spans="1:26" ht="15.75" customHeight="1">
      <c r="A17" s="222"/>
      <c r="B17" s="422" t="s">
        <v>10952</v>
      </c>
      <c r="C17" s="253" t="s">
        <v>1387</v>
      </c>
      <c r="D17" s="253">
        <v>3</v>
      </c>
      <c r="E17" s="789">
        <v>5.0000000000000001E-3</v>
      </c>
      <c r="F17" s="789">
        <v>2.5000000000000001E-2</v>
      </c>
      <c r="G17" s="1155">
        <v>0</v>
      </c>
      <c r="H17" s="83"/>
      <c r="I17" s="222"/>
      <c r="J17" s="936" t="s">
        <v>10953</v>
      </c>
      <c r="K17" s="1168"/>
      <c r="L17" s="1170"/>
      <c r="M17" s="1168"/>
      <c r="N17" s="2589"/>
      <c r="O17" s="1121">
        <f t="shared" si="3"/>
        <v>0</v>
      </c>
      <c r="P17" s="2589"/>
      <c r="Q17" s="252">
        <f t="shared" si="4"/>
        <v>0</v>
      </c>
      <c r="R17" s="252">
        <f t="shared" si="4"/>
        <v>0</v>
      </c>
      <c r="S17" s="252">
        <f t="shared" si="4"/>
        <v>0</v>
      </c>
      <c r="T17" s="2589"/>
      <c r="U17" s="2560"/>
      <c r="V17" s="422" t="s">
        <v>10952</v>
      </c>
      <c r="W17" s="789" t="s">
        <v>10954</v>
      </c>
      <c r="X17" s="789" t="s">
        <v>10955</v>
      </c>
      <c r="Y17" s="1155" t="s">
        <v>10956</v>
      </c>
      <c r="Z17" s="345"/>
    </row>
    <row r="18" spans="1:26" ht="15.75" customHeight="1">
      <c r="A18" s="222"/>
      <c r="B18" s="422" t="s">
        <v>10957</v>
      </c>
      <c r="C18" s="253" t="s">
        <v>1387</v>
      </c>
      <c r="D18" s="253">
        <v>3</v>
      </c>
      <c r="E18" s="789">
        <v>2.1779999999999999</v>
      </c>
      <c r="F18" s="789">
        <v>0.88300000000000001</v>
      </c>
      <c r="G18" s="1155">
        <v>5.2999999999999999E-2</v>
      </c>
      <c r="H18" s="83"/>
      <c r="I18" s="222"/>
      <c r="J18" s="936" t="s">
        <v>10958</v>
      </c>
      <c r="K18" s="1168"/>
      <c r="L18" s="1170"/>
      <c r="M18" s="1168"/>
      <c r="N18" s="2589"/>
      <c r="O18" s="1121">
        <f t="shared" si="3"/>
        <v>0</v>
      </c>
      <c r="P18" s="2589"/>
      <c r="Q18" s="252">
        <f t="shared" si="4"/>
        <v>0</v>
      </c>
      <c r="R18" s="252">
        <f t="shared" si="4"/>
        <v>0</v>
      </c>
      <c r="S18" s="252">
        <f t="shared" si="4"/>
        <v>0</v>
      </c>
      <c r="T18" s="2589"/>
      <c r="U18" s="2560"/>
      <c r="V18" s="422" t="s">
        <v>10957</v>
      </c>
      <c r="W18" s="789" t="s">
        <v>10959</v>
      </c>
      <c r="X18" s="789" t="s">
        <v>10960</v>
      </c>
      <c r="Y18" s="1155" t="s">
        <v>10961</v>
      </c>
      <c r="Z18" s="345"/>
    </row>
    <row r="19" spans="1:26" ht="15.75" customHeight="1">
      <c r="A19" s="222"/>
      <c r="B19" s="422" t="s">
        <v>10962</v>
      </c>
      <c r="C19" s="253" t="s">
        <v>1387</v>
      </c>
      <c r="D19" s="253">
        <v>3</v>
      </c>
      <c r="E19" s="789">
        <v>0.72199999999999998</v>
      </c>
      <c r="F19" s="789">
        <v>0.25800000000000001</v>
      </c>
      <c r="G19" s="1155">
        <v>2.5999999999999999E-2</v>
      </c>
      <c r="H19" s="83"/>
      <c r="I19" s="222"/>
      <c r="J19" s="936" t="s">
        <v>10963</v>
      </c>
      <c r="K19" s="1168"/>
      <c r="L19" s="1170"/>
      <c r="M19" s="1168"/>
      <c r="N19" s="2589"/>
      <c r="O19" s="1121">
        <f t="shared" si="3"/>
        <v>0</v>
      </c>
      <c r="P19" s="2589"/>
      <c r="Q19" s="252">
        <f t="shared" si="4"/>
        <v>0</v>
      </c>
      <c r="R19" s="252">
        <f t="shared" si="4"/>
        <v>0</v>
      </c>
      <c r="S19" s="252">
        <f t="shared" si="4"/>
        <v>0</v>
      </c>
      <c r="T19" s="2589"/>
      <c r="U19" s="2560"/>
      <c r="V19" s="422" t="s">
        <v>10962</v>
      </c>
      <c r="W19" s="789" t="s">
        <v>10964</v>
      </c>
      <c r="X19" s="789" t="s">
        <v>10965</v>
      </c>
      <c r="Y19" s="1155" t="s">
        <v>10966</v>
      </c>
      <c r="Z19" s="345"/>
    </row>
    <row r="20" spans="1:26" ht="15.75" customHeight="1">
      <c r="A20" s="222"/>
      <c r="B20" s="2297" t="s">
        <v>10967</v>
      </c>
      <c r="C20" s="253" t="s">
        <v>1387</v>
      </c>
      <c r="D20" s="253">
        <v>3</v>
      </c>
      <c r="E20" s="1172"/>
      <c r="F20" s="789">
        <v>2.1779999999999999</v>
      </c>
      <c r="G20" s="1155">
        <v>8.9999999999999993E-3</v>
      </c>
      <c r="H20" s="83"/>
      <c r="I20" s="222"/>
      <c r="J20" s="936" t="s">
        <v>10968</v>
      </c>
      <c r="K20" s="1168"/>
      <c r="L20" s="1170"/>
      <c r="M20" s="1168"/>
      <c r="N20" s="2589"/>
      <c r="O20" s="1121">
        <f>IF( SUM( Q20:S20 ) = 0, 0, $Q$5 )</f>
        <v>0</v>
      </c>
      <c r="P20" s="2589"/>
      <c r="Q20" s="252"/>
      <c r="R20" s="252">
        <f xml:space="preserve"> IF( ISNUMBER(F20 ), 0, 1 )</f>
        <v>0</v>
      </c>
      <c r="S20" s="252">
        <f xml:space="preserve"> IF( ISNUMBER(G20 ), 0, 1 )</f>
        <v>0</v>
      </c>
      <c r="T20" s="2589"/>
      <c r="U20" s="2560"/>
      <c r="V20" s="422" t="s">
        <v>10969</v>
      </c>
      <c r="W20" s="1172"/>
      <c r="X20" s="789" t="s">
        <v>1386</v>
      </c>
      <c r="Y20" s="1155" t="s">
        <v>1388</v>
      </c>
      <c r="Z20" s="345"/>
    </row>
    <row r="21" spans="1:26" ht="15.75" customHeight="1">
      <c r="A21" s="222"/>
      <c r="B21" s="2297" t="s">
        <v>10970</v>
      </c>
      <c r="C21" s="253" t="s">
        <v>1387</v>
      </c>
      <c r="D21" s="253">
        <v>3</v>
      </c>
      <c r="E21" s="1172"/>
      <c r="F21" s="1172"/>
      <c r="G21" s="1155">
        <v>8.2000000000000003E-2</v>
      </c>
      <c r="H21" s="83"/>
      <c r="I21" s="222"/>
      <c r="J21" s="936" t="s">
        <v>10971</v>
      </c>
      <c r="K21" s="1168"/>
      <c r="L21" s="1170"/>
      <c r="M21" s="1168"/>
      <c r="N21" s="2589"/>
      <c r="O21" s="1121">
        <f>IF( SUM( Q21:S21 ) = 0, 0, $Q$5 )</f>
        <v>0</v>
      </c>
      <c r="P21" s="2589"/>
      <c r="Q21" s="252"/>
      <c r="R21" s="252"/>
      <c r="S21" s="252">
        <f xml:space="preserve"> IF( ISNUMBER(G21 ), 0, 1 )</f>
        <v>0</v>
      </c>
      <c r="T21" s="2589"/>
      <c r="U21" s="2560"/>
      <c r="V21" s="422" t="s">
        <v>10972</v>
      </c>
      <c r="W21" s="1172"/>
      <c r="X21" s="1172"/>
      <c r="Y21" s="1155" t="s">
        <v>1389</v>
      </c>
      <c r="Z21" s="345"/>
    </row>
    <row r="22" spans="1:26" ht="15.75" customHeight="1">
      <c r="A22" s="222"/>
      <c r="B22" s="2297" t="s">
        <v>10973</v>
      </c>
      <c r="C22" s="253" t="s">
        <v>1387</v>
      </c>
      <c r="D22" s="253">
        <v>3</v>
      </c>
      <c r="E22" s="1172"/>
      <c r="F22" s="789">
        <v>0.72199999999999998</v>
      </c>
      <c r="G22" s="1155">
        <v>0.02</v>
      </c>
      <c r="H22" s="83"/>
      <c r="I22" s="222"/>
      <c r="J22" s="936" t="s">
        <v>10974</v>
      </c>
      <c r="K22" s="1168"/>
      <c r="L22" s="1170"/>
      <c r="M22" s="1168"/>
      <c r="N22" s="2589"/>
      <c r="O22" s="1121">
        <f>IF( SUM( Q22:S22 ) = 0, 0, $Q$5 )</f>
        <v>0</v>
      </c>
      <c r="P22" s="2589"/>
      <c r="Q22" s="252"/>
      <c r="R22" s="252">
        <f xml:space="preserve"> IF( ISNUMBER(F22 ), 0, 1 )</f>
        <v>0</v>
      </c>
      <c r="S22" s="252">
        <f xml:space="preserve"> IF( ISNUMBER(G22 ), 0, 1 )</f>
        <v>0</v>
      </c>
      <c r="T22" s="2589"/>
      <c r="U22" s="2560"/>
      <c r="V22" s="422" t="s">
        <v>10973</v>
      </c>
      <c r="W22" s="1172"/>
      <c r="X22" s="789" t="s">
        <v>1390</v>
      </c>
      <c r="Y22" s="1155" t="s">
        <v>1391</v>
      </c>
      <c r="Z22" s="345"/>
    </row>
    <row r="23" spans="1:26" ht="15.75" customHeight="1">
      <c r="A23" s="222"/>
      <c r="B23" s="2297" t="s">
        <v>10975</v>
      </c>
      <c r="C23" s="253" t="s">
        <v>1387</v>
      </c>
      <c r="D23" s="253">
        <v>3</v>
      </c>
      <c r="E23" s="1172"/>
      <c r="F23" s="1172"/>
      <c r="G23" s="1155">
        <v>2.5000000000000001E-2</v>
      </c>
      <c r="H23" s="83"/>
      <c r="I23" s="222"/>
      <c r="J23" s="936" t="s">
        <v>10976</v>
      </c>
      <c r="K23" s="1168"/>
      <c r="L23" s="1170"/>
      <c r="M23" s="1168"/>
      <c r="N23" s="2589"/>
      <c r="O23" s="1121">
        <f>IF( SUM( Q23:S23 ) = 0, 0, $Q$5 )</f>
        <v>0</v>
      </c>
      <c r="P23" s="2589"/>
      <c r="Q23" s="252"/>
      <c r="R23" s="252"/>
      <c r="S23" s="252">
        <f xml:space="preserve"> IF( ISNUMBER(G23 ), 0, 1 )</f>
        <v>0</v>
      </c>
      <c r="T23" s="2589"/>
      <c r="U23" s="2560"/>
      <c r="V23" s="422" t="s">
        <v>10975</v>
      </c>
      <c r="W23" s="1172"/>
      <c r="X23" s="1172"/>
      <c r="Y23" s="1155" t="s">
        <v>1392</v>
      </c>
      <c r="Z23" s="345"/>
    </row>
    <row r="24" spans="1:26" ht="15.75" customHeight="1">
      <c r="A24" s="222"/>
      <c r="B24" s="422" t="s">
        <v>10977</v>
      </c>
      <c r="C24" s="253" t="s">
        <v>1341</v>
      </c>
      <c r="D24" s="253">
        <v>2</v>
      </c>
      <c r="E24" s="1171">
        <v>0</v>
      </c>
      <c r="F24" s="1171">
        <v>0.13876884160366362</v>
      </c>
      <c r="G24" s="1123">
        <v>0</v>
      </c>
      <c r="H24" s="83"/>
      <c r="I24" s="222"/>
      <c r="J24" s="936" t="s">
        <v>10978</v>
      </c>
      <c r="K24" s="1168"/>
      <c r="L24" s="1170"/>
      <c r="M24" s="1168"/>
      <c r="N24" s="2589"/>
      <c r="O24" s="1121">
        <f t="shared" si="3"/>
        <v>0</v>
      </c>
      <c r="P24" s="2589"/>
      <c r="Q24" s="252">
        <f t="shared" ref="Q24:S25" si="5" xml:space="preserve"> IF( ISNUMBER(E24 ), 0, 1 )</f>
        <v>0</v>
      </c>
      <c r="R24" s="252">
        <f t="shared" si="5"/>
        <v>0</v>
      </c>
      <c r="S24" s="252">
        <f t="shared" si="5"/>
        <v>0</v>
      </c>
      <c r="T24" s="2589"/>
      <c r="U24" s="2560"/>
      <c r="V24" s="422" t="s">
        <v>10977</v>
      </c>
      <c r="W24" s="1171" t="s">
        <v>10979</v>
      </c>
      <c r="X24" s="1171" t="s">
        <v>10980</v>
      </c>
      <c r="Y24" s="1123" t="s">
        <v>10981</v>
      </c>
      <c r="Z24" s="345"/>
    </row>
    <row r="25" spans="1:26" ht="15.75" customHeight="1">
      <c r="A25" s="222"/>
      <c r="B25" s="422" t="s">
        <v>10982</v>
      </c>
      <c r="C25" s="253" t="s">
        <v>1341</v>
      </c>
      <c r="D25" s="253">
        <v>2</v>
      </c>
      <c r="E25" s="1171">
        <v>0</v>
      </c>
      <c r="F25" s="1171">
        <v>0</v>
      </c>
      <c r="G25" s="1123">
        <v>0</v>
      </c>
      <c r="H25" s="83"/>
      <c r="I25" s="222"/>
      <c r="J25" s="936" t="s">
        <v>10983</v>
      </c>
      <c r="K25" s="1168"/>
      <c r="L25" s="1170"/>
      <c r="M25" s="1168"/>
      <c r="N25" s="2589"/>
      <c r="O25" s="1121">
        <f t="shared" si="3"/>
        <v>0</v>
      </c>
      <c r="P25" s="2589"/>
      <c r="Q25" s="252">
        <f t="shared" si="5"/>
        <v>0</v>
      </c>
      <c r="R25" s="252">
        <f t="shared" si="5"/>
        <v>0</v>
      </c>
      <c r="S25" s="252">
        <f t="shared" si="5"/>
        <v>0</v>
      </c>
      <c r="T25" s="2589"/>
      <c r="U25" s="2560"/>
      <c r="V25" s="422" t="s">
        <v>10982</v>
      </c>
      <c r="W25" s="1171" t="s">
        <v>10984</v>
      </c>
      <c r="X25" s="1171" t="s">
        <v>10985</v>
      </c>
      <c r="Y25" s="1123" t="s">
        <v>10986</v>
      </c>
      <c r="Z25" s="345"/>
    </row>
    <row r="26" spans="1:26" ht="26.25" customHeight="1">
      <c r="A26" s="222"/>
      <c r="B26" s="2297" t="s">
        <v>10987</v>
      </c>
      <c r="C26" s="253" t="s">
        <v>1341</v>
      </c>
      <c r="D26" s="253">
        <v>2</v>
      </c>
      <c r="E26" s="1172"/>
      <c r="F26" s="1171">
        <v>0.01</v>
      </c>
      <c r="G26" s="1123">
        <v>0</v>
      </c>
      <c r="H26" s="83"/>
      <c r="I26" s="222"/>
      <c r="J26" s="936" t="s">
        <v>10988</v>
      </c>
      <c r="K26" s="1168"/>
      <c r="L26" s="1170"/>
      <c r="M26" s="1168"/>
      <c r="N26" s="2589"/>
      <c r="O26" s="1121">
        <f>IF( SUM( Q26:S26 ) = 0, 0, $Q$5 )</f>
        <v>0</v>
      </c>
      <c r="P26" s="2589"/>
      <c r="Q26" s="252"/>
      <c r="R26" s="252">
        <f xml:space="preserve"> IF( ISNUMBER(F26 ), 0, 1 )</f>
        <v>0</v>
      </c>
      <c r="S26" s="252">
        <f xml:space="preserve"> IF( ISNUMBER(G26 ), 0, 1 )</f>
        <v>0</v>
      </c>
      <c r="T26" s="2589"/>
      <c r="U26" s="2560"/>
      <c r="V26" s="422" t="s">
        <v>10989</v>
      </c>
      <c r="W26" s="1172"/>
      <c r="X26" s="789" t="s">
        <v>1393</v>
      </c>
      <c r="Y26" s="1123" t="s">
        <v>1394</v>
      </c>
      <c r="Z26" s="345"/>
    </row>
    <row r="27" spans="1:26" ht="31.5" customHeight="1">
      <c r="A27" s="222"/>
      <c r="B27" s="2297" t="s">
        <v>10990</v>
      </c>
      <c r="C27" s="253" t="s">
        <v>1341</v>
      </c>
      <c r="D27" s="253">
        <v>2</v>
      </c>
      <c r="E27" s="1172"/>
      <c r="F27" s="1172"/>
      <c r="G27" s="1123">
        <v>0</v>
      </c>
      <c r="H27" s="83"/>
      <c r="I27" s="222"/>
      <c r="J27" s="936" t="s">
        <v>10991</v>
      </c>
      <c r="K27" s="1168"/>
      <c r="L27" s="1170"/>
      <c r="M27" s="1168"/>
      <c r="N27" s="2589"/>
      <c r="O27" s="1121">
        <f>IF( SUM( Q27:S27 ) = 0, 0, $Q$5 )</f>
        <v>0</v>
      </c>
      <c r="P27" s="2589"/>
      <c r="Q27" s="252"/>
      <c r="R27" s="252"/>
      <c r="S27" s="252">
        <f xml:space="preserve"> IF( ISNUMBER(G27 ), 0, 1 )</f>
        <v>0</v>
      </c>
      <c r="T27" s="2589"/>
      <c r="U27" s="2560"/>
      <c r="V27" s="422" t="s">
        <v>10992</v>
      </c>
      <c r="W27" s="1172"/>
      <c r="X27" s="1172"/>
      <c r="Y27" s="1123" t="s">
        <v>1395</v>
      </c>
      <c r="Z27" s="345"/>
    </row>
    <row r="28" spans="1:26" ht="25.5" customHeight="1">
      <c r="A28" s="222"/>
      <c r="B28" s="2297" t="s">
        <v>10993</v>
      </c>
      <c r="C28" s="253" t="s">
        <v>1341</v>
      </c>
      <c r="D28" s="253">
        <v>2</v>
      </c>
      <c r="E28" s="1172"/>
      <c r="F28" s="1171">
        <v>0.01</v>
      </c>
      <c r="G28" s="1123">
        <v>0</v>
      </c>
      <c r="H28" s="83"/>
      <c r="I28" s="222"/>
      <c r="J28" s="936" t="s">
        <v>10994</v>
      </c>
      <c r="K28" s="1168"/>
      <c r="L28" s="1170"/>
      <c r="M28" s="1168"/>
      <c r="N28" s="2589"/>
      <c r="O28" s="1121">
        <f>IF( SUM( Q28:S28 ) = 0, 0, $Q$5 )</f>
        <v>0</v>
      </c>
      <c r="P28" s="2589"/>
      <c r="Q28" s="252"/>
      <c r="R28" s="252">
        <f xml:space="preserve"> IF( ISNUMBER(F28 ), 0, 1 )</f>
        <v>0</v>
      </c>
      <c r="S28" s="252">
        <f xml:space="preserve"> IF( ISNUMBER(G28 ), 0, 1 )</f>
        <v>0</v>
      </c>
      <c r="T28" s="2589"/>
      <c r="U28" s="2560"/>
      <c r="V28" s="422" t="s">
        <v>10993</v>
      </c>
      <c r="W28" s="1172"/>
      <c r="X28" s="789" t="s">
        <v>1396</v>
      </c>
      <c r="Y28" s="1123" t="s">
        <v>1397</v>
      </c>
      <c r="Z28" s="345"/>
    </row>
    <row r="29" spans="1:26" ht="33" customHeight="1">
      <c r="A29" s="222"/>
      <c r="B29" s="2297" t="s">
        <v>10995</v>
      </c>
      <c r="C29" s="253" t="s">
        <v>1341</v>
      </c>
      <c r="D29" s="253">
        <v>2</v>
      </c>
      <c r="E29" s="1172"/>
      <c r="F29" s="1172"/>
      <c r="G29" s="1123">
        <v>0</v>
      </c>
      <c r="H29" s="83"/>
      <c r="I29" s="222"/>
      <c r="J29" s="936" t="s">
        <v>10996</v>
      </c>
      <c r="K29" s="1168"/>
      <c r="L29" s="1170"/>
      <c r="M29" s="1168"/>
      <c r="N29" s="2589"/>
      <c r="O29" s="1121">
        <f>IF( SUM( Q29:S29 ) = 0, 0, $Q$5 )</f>
        <v>0</v>
      </c>
      <c r="P29" s="2589"/>
      <c r="Q29" s="252"/>
      <c r="R29" s="252"/>
      <c r="S29" s="252">
        <f xml:space="preserve"> IF( ISNUMBER(G29 ), 0, 1 )</f>
        <v>0</v>
      </c>
      <c r="T29" s="2589"/>
      <c r="U29" s="2560"/>
      <c r="V29" s="422" t="s">
        <v>10995</v>
      </c>
      <c r="W29" s="1172"/>
      <c r="X29" s="1172"/>
      <c r="Y29" s="1123" t="s">
        <v>1398</v>
      </c>
      <c r="Z29" s="345"/>
    </row>
    <row r="30" spans="1:26" ht="15.75" customHeight="1" thickBot="1">
      <c r="A30" s="222"/>
      <c r="B30" s="425" t="s">
        <v>10997</v>
      </c>
      <c r="C30" s="319" t="s">
        <v>1344</v>
      </c>
      <c r="D30" s="319">
        <v>1</v>
      </c>
      <c r="E30" s="2453">
        <v>0</v>
      </c>
      <c r="F30" s="2453">
        <v>0.60060072989422875</v>
      </c>
      <c r="G30" s="2452">
        <v>0</v>
      </c>
      <c r="H30" s="83"/>
      <c r="I30" s="222"/>
      <c r="J30" s="938" t="s">
        <v>10998</v>
      </c>
      <c r="K30" s="1168"/>
      <c r="L30" s="1174"/>
      <c r="M30" s="1168"/>
      <c r="N30" s="2589"/>
      <c r="O30" s="1121">
        <f t="shared" si="3"/>
        <v>0</v>
      </c>
      <c r="P30" s="2589"/>
      <c r="Q30" s="252">
        <f xml:space="preserve"> IF( ISNUMBER(E30 ), 0, 1 )</f>
        <v>0</v>
      </c>
      <c r="R30" s="252">
        <f xml:space="preserve"> IF( ISNUMBER(F30 ), 0, 1 )</f>
        <v>0</v>
      </c>
      <c r="S30" s="252">
        <f xml:space="preserve"> IF( ISNUMBER(G30 ), 0, 1 )</f>
        <v>0</v>
      </c>
      <c r="T30" s="2589"/>
      <c r="U30" s="2560"/>
      <c r="V30" s="425" t="s">
        <v>10997</v>
      </c>
      <c r="W30" s="1173" t="s">
        <v>10999</v>
      </c>
      <c r="X30" s="1173" t="s">
        <v>11000</v>
      </c>
      <c r="Y30" s="1160" t="s">
        <v>11001</v>
      </c>
      <c r="Z30" s="345"/>
    </row>
    <row r="31" spans="1:26" ht="15.75" customHeight="1" thickTop="1" thickBot="1">
      <c r="A31" s="222"/>
      <c r="B31" s="1166"/>
      <c r="C31" s="111"/>
      <c r="D31" s="111"/>
      <c r="E31" s="83"/>
      <c r="F31" s="83"/>
      <c r="G31" s="83"/>
      <c r="H31" s="83"/>
      <c r="I31" s="222"/>
      <c r="J31" s="1168"/>
      <c r="K31" s="1168"/>
      <c r="L31" s="1175"/>
      <c r="M31" s="1168"/>
      <c r="N31" s="2589"/>
      <c r="O31" s="2560"/>
      <c r="P31" s="2589"/>
      <c r="Q31" s="2560"/>
      <c r="R31" s="2560"/>
      <c r="S31" s="2560"/>
      <c r="T31" s="2589"/>
      <c r="U31" s="2560"/>
      <c r="V31" s="1166"/>
      <c r="W31" s="83"/>
      <c r="X31" s="83"/>
      <c r="Y31" s="83"/>
      <c r="Z31" s="83"/>
    </row>
    <row r="32" spans="1:26" ht="15.75" customHeight="1" thickTop="1" thickBot="1">
      <c r="A32" s="222"/>
      <c r="B32" s="1176" t="s">
        <v>11002</v>
      </c>
      <c r="C32" s="408" t="s">
        <v>1892</v>
      </c>
      <c r="D32" s="408" t="s">
        <v>136</v>
      </c>
      <c r="E32" s="408" t="s">
        <v>11003</v>
      </c>
      <c r="F32" s="408" t="s">
        <v>11004</v>
      </c>
      <c r="G32" s="409" t="s">
        <v>2112</v>
      </c>
      <c r="H32" s="222"/>
      <c r="I32" s="222"/>
      <c r="J32" s="222"/>
      <c r="K32" s="222"/>
      <c r="L32" s="1167"/>
      <c r="M32" s="222"/>
      <c r="N32" s="2589"/>
      <c r="O32" s="2560"/>
      <c r="P32" s="2589"/>
      <c r="Q32" s="2560"/>
      <c r="R32" s="2560"/>
      <c r="S32" s="2560"/>
      <c r="T32" s="2589"/>
      <c r="U32" s="2560"/>
      <c r="V32" s="1176" t="s">
        <v>11005</v>
      </c>
      <c r="W32" s="408" t="s">
        <v>11003</v>
      </c>
      <c r="X32" s="408" t="s">
        <v>11004</v>
      </c>
      <c r="Y32" s="409" t="s">
        <v>2112</v>
      </c>
      <c r="Z32" s="2560"/>
    </row>
    <row r="33" spans="1:27" ht="62">
      <c r="A33" s="222"/>
      <c r="B33" s="413" t="s">
        <v>11006</v>
      </c>
      <c r="C33" s="244" t="s">
        <v>137</v>
      </c>
      <c r="D33" s="244">
        <v>3</v>
      </c>
      <c r="E33" s="788">
        <v>24.177</v>
      </c>
      <c r="F33" s="788">
        <v>33.929000000000002</v>
      </c>
      <c r="G33" s="378">
        <f>SUM(E33:F33)</f>
        <v>58.106000000000002</v>
      </c>
      <c r="H33" s="222"/>
      <c r="I33" s="222"/>
      <c r="J33" s="935" t="s">
        <v>11007</v>
      </c>
      <c r="K33" s="222"/>
      <c r="L33" s="2541" t="s">
        <v>11008</v>
      </c>
      <c r="M33" s="222"/>
      <c r="N33" s="2589"/>
      <c r="O33" s="1121">
        <f t="shared" ref="O33:O34" si="6">IF( SUM( Q33:S33 ) = 0, 0, $Q$5 )</f>
        <v>0</v>
      </c>
      <c r="P33" s="2589"/>
      <c r="Q33" s="252">
        <f xml:space="preserve"> IF( ISNUMBER(E33 ), 0, 1 )</f>
        <v>0</v>
      </c>
      <c r="R33" s="252">
        <f xml:space="preserve"> IF( ISNUMBER(F33 ), 0, 1 )</f>
        <v>0</v>
      </c>
      <c r="S33" s="2560"/>
      <c r="T33" s="2589"/>
      <c r="U33" s="2560"/>
      <c r="V33" s="413" t="s">
        <v>11009</v>
      </c>
      <c r="W33" s="788" t="s">
        <v>11010</v>
      </c>
      <c r="X33" s="788" t="s">
        <v>11011</v>
      </c>
      <c r="Y33" s="378" t="s">
        <v>11012</v>
      </c>
      <c r="Z33" s="2560"/>
      <c r="AA33" s="2560"/>
    </row>
    <row r="34" spans="1:27" ht="15.75" customHeight="1" thickBot="1">
      <c r="A34" s="222"/>
      <c r="B34" s="425" t="s">
        <v>11013</v>
      </c>
      <c r="C34" s="319" t="s">
        <v>1341</v>
      </c>
      <c r="D34" s="319">
        <v>2</v>
      </c>
      <c r="E34" s="1178"/>
      <c r="F34" s="1178"/>
      <c r="G34" s="1125">
        <v>0.3</v>
      </c>
      <c r="H34" s="222"/>
      <c r="I34" s="1180"/>
      <c r="J34" s="938" t="s">
        <v>11014</v>
      </c>
      <c r="K34" s="222"/>
      <c r="L34" s="1181"/>
      <c r="M34" s="222"/>
      <c r="N34" s="2589"/>
      <c r="O34" s="1121">
        <f t="shared" si="6"/>
        <v>0</v>
      </c>
      <c r="P34" s="2589"/>
      <c r="Q34" s="2560"/>
      <c r="R34" s="2560"/>
      <c r="S34" s="252">
        <f xml:space="preserve"> IF( ISNUMBER(G34 ), 0, 1 )</f>
        <v>0</v>
      </c>
      <c r="T34" s="2589"/>
      <c r="U34" s="2560"/>
      <c r="V34" s="425" t="s">
        <v>11013</v>
      </c>
      <c r="W34" s="1178"/>
      <c r="X34" s="1178"/>
      <c r="Y34" s="1179" t="s">
        <v>11015</v>
      </c>
      <c r="Z34" s="2560"/>
      <c r="AA34" s="1182"/>
    </row>
    <row r="35" spans="1:27" ht="15.75" customHeight="1" thickTop="1" thickBot="1">
      <c r="A35" s="222"/>
      <c r="B35" s="1166"/>
      <c r="C35" s="111"/>
      <c r="D35" s="111"/>
      <c r="E35" s="83"/>
      <c r="F35" s="83"/>
      <c r="G35" s="222"/>
      <c r="H35" s="222"/>
      <c r="I35" s="1180"/>
      <c r="J35" s="1168"/>
      <c r="K35" s="222"/>
      <c r="L35" s="1167"/>
      <c r="M35" s="222"/>
      <c r="N35" s="2589"/>
      <c r="O35" s="2560"/>
      <c r="P35" s="2589"/>
      <c r="Q35" s="2560"/>
      <c r="R35" s="2560"/>
      <c r="S35" s="2560"/>
      <c r="T35" s="2589"/>
      <c r="U35" s="2560"/>
      <c r="V35" s="1166"/>
      <c r="W35" s="83"/>
      <c r="X35" s="83"/>
      <c r="Y35" s="222"/>
      <c r="Z35" s="2560"/>
      <c r="AA35" s="1182"/>
    </row>
    <row r="36" spans="1:27" ht="15.75" customHeight="1" thickTop="1" thickBot="1">
      <c r="A36" s="222"/>
      <c r="B36" s="355" t="s">
        <v>11016</v>
      </c>
      <c r="C36" s="444"/>
      <c r="D36" s="444"/>
      <c r="E36" s="417"/>
      <c r="F36" s="417"/>
      <c r="G36" s="417"/>
      <c r="H36" s="417"/>
      <c r="I36" s="222"/>
      <c r="J36" s="222"/>
      <c r="K36" s="222"/>
      <c r="L36" s="1167"/>
      <c r="M36" s="222"/>
      <c r="N36" s="2589"/>
      <c r="O36" s="2560"/>
      <c r="P36" s="2589"/>
      <c r="Q36" s="2560"/>
      <c r="R36" s="2560"/>
      <c r="S36" s="2560"/>
      <c r="T36" s="2589"/>
      <c r="U36" s="2560"/>
      <c r="V36" s="355" t="s">
        <v>11016</v>
      </c>
      <c r="W36" s="417"/>
      <c r="X36" s="417"/>
      <c r="Y36" s="417"/>
      <c r="Z36" s="417"/>
      <c r="AA36" s="2560"/>
    </row>
    <row r="37" spans="1:27" ht="15.75" customHeight="1" thickTop="1">
      <c r="A37" s="222"/>
      <c r="B37" s="413" t="s">
        <v>11017</v>
      </c>
      <c r="C37" s="244" t="s">
        <v>11018</v>
      </c>
      <c r="D37" s="244">
        <v>2</v>
      </c>
      <c r="E37" s="2298">
        <v>103.7</v>
      </c>
      <c r="F37" s="1832"/>
      <c r="G37" s="2299"/>
      <c r="H37" s="83"/>
      <c r="I37" s="222"/>
      <c r="J37" s="935" t="s">
        <v>11019</v>
      </c>
      <c r="K37" s="222"/>
      <c r="L37" s="1177"/>
      <c r="M37" s="222"/>
      <c r="N37" s="2589"/>
      <c r="O37" s="1121">
        <f t="shared" ref="O37:O38" si="7">IF( SUM( Q37:S37 ) = 0, 0, $Q$5 )</f>
        <v>0</v>
      </c>
      <c r="P37" s="2589"/>
      <c r="Q37" s="252">
        <f t="shared" ref="Q37:Q38" si="8" xml:space="preserve"> IF( ISNUMBER(E37 ), 0, 1 )</f>
        <v>0</v>
      </c>
      <c r="R37" s="2560"/>
      <c r="S37" s="2560"/>
      <c r="T37" s="2589"/>
      <c r="U37" s="2560"/>
      <c r="V37" s="413" t="s">
        <v>11020</v>
      </c>
      <c r="W37" s="2298" t="s">
        <v>11021</v>
      </c>
      <c r="X37" s="2302"/>
      <c r="Y37" s="2303"/>
      <c r="Z37" s="345"/>
      <c r="AA37" s="2560"/>
    </row>
    <row r="38" spans="1:27" ht="15.75" customHeight="1" thickBot="1">
      <c r="A38" s="222"/>
      <c r="B38" s="425" t="s">
        <v>11022</v>
      </c>
      <c r="C38" s="319" t="s">
        <v>11018</v>
      </c>
      <c r="D38" s="319">
        <v>2</v>
      </c>
      <c r="E38" s="2300">
        <v>149</v>
      </c>
      <c r="F38" s="1834"/>
      <c r="G38" s="2301"/>
      <c r="H38" s="83"/>
      <c r="I38" s="222"/>
      <c r="J38" s="938" t="s">
        <v>11023</v>
      </c>
      <c r="K38" s="222"/>
      <c r="L38" s="1181"/>
      <c r="M38" s="222"/>
      <c r="N38" s="2589"/>
      <c r="O38" s="1121">
        <f t="shared" si="7"/>
        <v>0</v>
      </c>
      <c r="P38" s="2589"/>
      <c r="Q38" s="252">
        <f t="shared" si="8"/>
        <v>0</v>
      </c>
      <c r="R38" s="2560"/>
      <c r="S38" s="2560"/>
      <c r="T38" s="2589"/>
      <c r="U38" s="2560"/>
      <c r="V38" s="425" t="s">
        <v>11024</v>
      </c>
      <c r="W38" s="2300" t="s">
        <v>11025</v>
      </c>
      <c r="X38" s="2304"/>
      <c r="Y38" s="2305"/>
      <c r="Z38" s="345"/>
      <c r="AA38" s="2560"/>
    </row>
    <row r="39" spans="1:27" ht="16" thickTop="1">
      <c r="A39" s="222"/>
      <c r="B39" s="222"/>
      <c r="C39" s="222"/>
      <c r="D39" s="222"/>
      <c r="E39" s="222"/>
      <c r="F39" s="222"/>
      <c r="G39" s="222"/>
      <c r="H39" s="222"/>
      <c r="I39" s="222"/>
      <c r="J39" s="222"/>
      <c r="K39" s="222"/>
      <c r="L39" s="1167"/>
      <c r="M39" s="222"/>
      <c r="N39" s="2560"/>
      <c r="O39" s="2560"/>
      <c r="P39" s="2560"/>
      <c r="Q39" s="2560"/>
      <c r="R39" s="2560"/>
      <c r="S39" s="2560"/>
      <c r="T39" s="2560"/>
      <c r="U39" s="2560"/>
      <c r="V39" s="2560"/>
      <c r="W39" s="2560"/>
      <c r="X39" s="2560"/>
      <c r="Y39" s="2560"/>
      <c r="Z39" s="2560"/>
      <c r="AA39" s="2560"/>
    </row>
    <row r="40" spans="1:27" ht="15.5">
      <c r="A40" s="222"/>
      <c r="B40" s="222"/>
      <c r="C40" s="222"/>
      <c r="D40" s="222"/>
      <c r="E40" s="222"/>
      <c r="F40" s="222"/>
      <c r="G40" s="222"/>
      <c r="H40" s="222"/>
      <c r="I40" s="222"/>
      <c r="J40" s="222"/>
      <c r="K40" s="222"/>
      <c r="L40" s="1167"/>
      <c r="M40" s="222"/>
      <c r="N40" s="2560"/>
      <c r="O40" s="2560"/>
      <c r="P40" s="2560"/>
      <c r="Q40" s="2560"/>
      <c r="R40" s="2560"/>
      <c r="S40" s="2560"/>
      <c r="T40" s="2560"/>
      <c r="U40" s="2560"/>
      <c r="V40" s="2560"/>
      <c r="W40" s="2560"/>
      <c r="X40" s="2560"/>
      <c r="Y40" s="2560"/>
      <c r="Z40" s="2560"/>
      <c r="AA40" s="2560"/>
    </row>
    <row r="41" spans="1:27" ht="15.5">
      <c r="A41" s="222"/>
      <c r="B41" s="222"/>
      <c r="C41" s="222"/>
      <c r="D41" s="222"/>
      <c r="E41" s="222"/>
      <c r="F41" s="222"/>
      <c r="G41" s="222"/>
      <c r="H41" s="222"/>
      <c r="I41" s="222"/>
      <c r="J41" s="222"/>
      <c r="K41" s="222"/>
      <c r="L41" s="1167"/>
      <c r="M41" s="222"/>
      <c r="N41" s="2560"/>
      <c r="O41" s="2560"/>
      <c r="P41" s="2560"/>
      <c r="Q41" s="2560"/>
      <c r="R41" s="2560"/>
      <c r="S41" s="2560"/>
      <c r="T41" s="2560"/>
      <c r="U41" s="2560"/>
      <c r="V41" s="2560"/>
      <c r="W41" s="2560"/>
      <c r="X41" s="2560"/>
      <c r="Y41" s="2560"/>
      <c r="Z41" s="2560"/>
      <c r="AA41" s="2560"/>
    </row>
    <row r="42" spans="1:27" ht="15.5">
      <c r="A42" s="222"/>
      <c r="B42" s="222"/>
      <c r="C42" s="222"/>
      <c r="D42" s="222"/>
      <c r="E42" s="222"/>
      <c r="F42" s="222"/>
      <c r="G42" s="222"/>
      <c r="H42" s="222"/>
      <c r="I42" s="222"/>
      <c r="J42" s="222"/>
      <c r="K42" s="222"/>
      <c r="L42" s="1167"/>
      <c r="M42" s="222"/>
      <c r="N42" s="2560"/>
      <c r="O42" s="2560"/>
      <c r="P42" s="2560"/>
      <c r="Q42" s="2560"/>
      <c r="R42" s="2560"/>
      <c r="S42" s="2560"/>
      <c r="T42" s="2560"/>
      <c r="U42" s="2560"/>
      <c r="V42" s="2560"/>
      <c r="W42" s="2560"/>
      <c r="X42" s="2560"/>
      <c r="Y42" s="2560"/>
      <c r="Z42" s="2560"/>
      <c r="AA42" s="2560"/>
    </row>
    <row r="43" spans="1:27" ht="15.5">
      <c r="A43" s="222"/>
      <c r="B43" s="222"/>
      <c r="C43" s="222"/>
      <c r="D43" s="222"/>
      <c r="E43" s="222"/>
      <c r="F43" s="222"/>
      <c r="G43" s="222"/>
      <c r="H43" s="222"/>
      <c r="I43" s="222"/>
      <c r="J43" s="222"/>
      <c r="K43" s="222"/>
      <c r="L43" s="1167"/>
      <c r="M43" s="222"/>
      <c r="N43" s="2560"/>
      <c r="O43" s="2560"/>
      <c r="P43" s="2560"/>
      <c r="Q43" s="2560"/>
      <c r="R43" s="2560"/>
      <c r="S43" s="2560"/>
      <c r="T43" s="2560"/>
      <c r="U43" s="2560"/>
      <c r="V43" s="2560"/>
      <c r="W43" s="2560"/>
      <c r="X43" s="2560"/>
      <c r="Y43" s="2560"/>
      <c r="Z43" s="2560"/>
      <c r="AA43" s="2560"/>
    </row>
    <row r="44" spans="1:27" ht="15.5">
      <c r="A44" s="222"/>
      <c r="B44" s="222"/>
      <c r="C44" s="222"/>
      <c r="D44" s="222"/>
      <c r="E44" s="222"/>
      <c r="F44" s="222"/>
      <c r="G44" s="222"/>
      <c r="H44" s="222"/>
      <c r="I44" s="222"/>
      <c r="J44" s="222"/>
      <c r="K44" s="222"/>
      <c r="L44" s="1167"/>
      <c r="M44" s="222"/>
      <c r="N44" s="2560"/>
      <c r="O44" s="2560"/>
      <c r="P44" s="2560"/>
      <c r="Q44" s="2560"/>
      <c r="R44" s="2560"/>
      <c r="S44" s="2560"/>
      <c r="T44" s="2560"/>
      <c r="U44" s="2560"/>
      <c r="V44" s="2560"/>
      <c r="W44" s="2560"/>
      <c r="X44" s="2560"/>
      <c r="Y44" s="2560"/>
      <c r="Z44" s="2560"/>
      <c r="AA44" s="2560"/>
    </row>
  </sheetData>
  <sheetProtection formatColumns="0" formatRows="0"/>
  <mergeCells count="3">
    <mergeCell ref="B3:L3"/>
    <mergeCell ref="V3:AA3"/>
    <mergeCell ref="Q4:S4"/>
  </mergeCells>
  <conditionalFormatting sqref="O8:O12 O15:O30">
    <cfRule type="cellIs" dxfId="60" priority="11" operator="equal">
      <formula>0</formula>
    </cfRule>
  </conditionalFormatting>
  <conditionalFormatting sqref="O33:O34">
    <cfRule type="cellIs" dxfId="59" priority="2" operator="equal">
      <formula>0</formula>
    </cfRule>
  </conditionalFormatting>
  <conditionalFormatting sqref="O37:O38">
    <cfRule type="cellIs" dxfId="58" priority="1" operator="equal">
      <formula>0</formula>
    </cfRule>
  </conditionalFormatting>
  <dataValidations count="1">
    <dataValidation type="custom" allowBlank="1" showErrorMessage="1" errorTitle="Input Error" error="Please enter a numeric value" sqref="E8:G12 E18:G30 E33:F34 E15:G16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60" zoomScaleNormal="60" zoomScaleSheetLayoutView="100" workbookViewId="0">
      <selection activeCell="AI13" sqref="AI13"/>
    </sheetView>
  </sheetViews>
  <sheetFormatPr defaultColWidth="9" defaultRowHeight="14"/>
  <cols>
    <col min="1" max="1" width="9" style="1184"/>
    <col min="2" max="2" width="19.58203125" style="1184" bestFit="1" customWidth="1"/>
    <col min="3" max="3" width="31.58203125" style="1184" customWidth="1"/>
    <col min="4" max="4" width="12.58203125" style="1184" bestFit="1" customWidth="1"/>
    <col min="5" max="32" width="10.08203125" style="1184" customWidth="1"/>
    <col min="33" max="33" width="14" style="1184" customWidth="1"/>
    <col min="34" max="34" width="10.08203125" style="1184" customWidth="1"/>
    <col min="35" max="35" width="16" style="1184" customWidth="1"/>
    <col min="36" max="36" width="10.08203125" style="1184" customWidth="1"/>
    <col min="37" max="37" width="1.58203125" style="219" customWidth="1"/>
    <col min="38" max="38" width="25" style="219" customWidth="1"/>
    <col min="39" max="39" width="1.58203125" style="219" customWidth="1"/>
    <col min="40" max="67" width="12.5" style="219" hidden="1" customWidth="1"/>
    <col min="68" max="68" width="1.58203125" style="219" hidden="1" customWidth="1"/>
    <col min="69" max="69" width="1.58203125" style="219" customWidth="1"/>
    <col min="70" max="87" width="11.5" style="1184" hidden="1" customWidth="1"/>
    <col min="88" max="88" width="1.08203125" style="1184" customWidth="1"/>
    <col min="89" max="16384" width="9" style="1184"/>
  </cols>
  <sheetData>
    <row r="1" spans="2:88" ht="22.5" customHeight="1">
      <c r="B1" s="885" t="s">
        <v>11026</v>
      </c>
      <c r="C1" s="1119"/>
      <c r="D1" s="1119"/>
      <c r="E1" s="1119"/>
      <c r="F1" s="1119"/>
      <c r="G1" s="1119"/>
      <c r="H1" s="1119"/>
      <c r="I1" s="1119"/>
      <c r="J1" s="2574"/>
      <c r="K1" s="2574"/>
      <c r="L1" s="2574"/>
      <c r="M1" s="2574"/>
      <c r="N1" s="2574"/>
      <c r="AK1" s="2589"/>
      <c r="AL1" s="2560"/>
      <c r="AM1" s="2589"/>
      <c r="AN1" s="2560"/>
      <c r="AO1" s="2560"/>
      <c r="AP1" s="2560"/>
      <c r="AQ1" s="2560"/>
      <c r="AR1" s="2560"/>
      <c r="AS1" s="2560"/>
      <c r="AT1" s="2560"/>
      <c r="AU1" s="2560"/>
      <c r="AV1" s="2560"/>
      <c r="AW1" s="2560"/>
      <c r="AX1" s="2560"/>
      <c r="AY1" s="2560"/>
      <c r="AZ1" s="2560"/>
      <c r="BA1" s="2560"/>
      <c r="BB1" s="2560"/>
      <c r="BC1" s="2560"/>
      <c r="BD1" s="2560"/>
      <c r="BE1" s="2560"/>
      <c r="BF1" s="2560"/>
      <c r="BG1" s="2560"/>
      <c r="BH1" s="2560"/>
      <c r="BI1" s="2560"/>
      <c r="BJ1" s="2560"/>
      <c r="BK1" s="2560"/>
      <c r="BL1" s="2560"/>
      <c r="BM1" s="2560"/>
      <c r="BN1" s="2560"/>
      <c r="BO1" s="2560"/>
      <c r="BP1" s="2589"/>
      <c r="BQ1" s="2560"/>
    </row>
    <row r="2" spans="2:88" ht="22.5" customHeight="1">
      <c r="B2" s="2853" t="str">
        <f>SelectCompany!B4</f>
        <v>Yorkshire Water</v>
      </c>
      <c r="C2" s="2853"/>
      <c r="D2" s="1119"/>
      <c r="E2" s="1185"/>
      <c r="F2" s="1185"/>
      <c r="G2" s="1185"/>
      <c r="H2" s="2574"/>
      <c r="I2" s="2574"/>
      <c r="J2" s="2574"/>
      <c r="K2" s="2574"/>
      <c r="L2" s="2574"/>
      <c r="M2" s="2574"/>
      <c r="N2" s="2574"/>
      <c r="AK2" s="2589"/>
      <c r="AL2" s="2560"/>
      <c r="AM2" s="2589"/>
      <c r="AN2" s="2560"/>
      <c r="AO2" s="2560"/>
      <c r="AP2" s="2560"/>
      <c r="AQ2" s="2560"/>
      <c r="AR2" s="2560"/>
      <c r="AS2" s="2560"/>
      <c r="AT2" s="2560"/>
      <c r="AU2" s="2560"/>
      <c r="AV2" s="2560"/>
      <c r="AW2" s="2560"/>
      <c r="AX2" s="2560"/>
      <c r="AY2" s="2560"/>
      <c r="AZ2" s="2560"/>
      <c r="BA2" s="2560"/>
      <c r="BB2" s="2560"/>
      <c r="BC2" s="2560"/>
      <c r="BD2" s="2560"/>
      <c r="BE2" s="2560"/>
      <c r="BF2" s="2560"/>
      <c r="BG2" s="2560"/>
      <c r="BH2" s="2560"/>
      <c r="BI2" s="2560"/>
      <c r="BJ2" s="2560"/>
      <c r="BK2" s="2560"/>
      <c r="BL2" s="2560"/>
      <c r="BM2" s="2560"/>
      <c r="BN2" s="2560"/>
      <c r="BO2" s="2560"/>
      <c r="BP2" s="2589"/>
      <c r="BQ2" s="2560"/>
    </row>
    <row r="3" spans="2:88" ht="19.399999999999999" customHeight="1">
      <c r="B3" s="2781" t="s">
        <v>11027</v>
      </c>
      <c r="C3" s="2781"/>
      <c r="D3" s="2781"/>
      <c r="E3" s="2781"/>
      <c r="F3" s="2781"/>
      <c r="G3" s="2781"/>
      <c r="H3" s="2781"/>
      <c r="I3" s="2781"/>
      <c r="J3" s="2781"/>
      <c r="K3" s="2781"/>
      <c r="L3" s="2781"/>
      <c r="M3" s="2781"/>
      <c r="N3" s="2781"/>
      <c r="O3" s="2781"/>
      <c r="P3" s="2781"/>
      <c r="Q3" s="2781"/>
      <c r="R3" s="2781"/>
      <c r="S3" s="2781"/>
      <c r="T3" s="2781"/>
      <c r="U3" s="2781"/>
      <c r="V3" s="2781"/>
      <c r="W3" s="2781"/>
      <c r="X3" s="2781"/>
      <c r="Y3" s="2781"/>
      <c r="Z3" s="2781"/>
      <c r="AA3" s="2781"/>
      <c r="AB3" s="2781"/>
      <c r="AC3" s="2781"/>
      <c r="AD3" s="2781"/>
      <c r="AE3" s="2781"/>
      <c r="AF3" s="2781"/>
      <c r="AG3" s="2781"/>
      <c r="AH3" s="2781"/>
      <c r="AI3" s="2781"/>
      <c r="AJ3" s="442"/>
      <c r="AK3" s="2589"/>
      <c r="AL3" s="1129" t="s">
        <v>1889</v>
      </c>
      <c r="AM3" s="2589"/>
      <c r="AN3" s="2560"/>
      <c r="AO3" s="2560"/>
      <c r="AP3" s="2560"/>
      <c r="AQ3" s="2560"/>
      <c r="AR3" s="2560"/>
      <c r="AS3" s="2560"/>
      <c r="AT3" s="2560"/>
      <c r="AU3" s="2560"/>
      <c r="AV3" s="2560"/>
      <c r="AW3" s="2560"/>
      <c r="AX3" s="2560"/>
      <c r="AY3" s="2560"/>
      <c r="AZ3" s="2560"/>
      <c r="BA3" s="2560"/>
      <c r="BB3" s="2560"/>
      <c r="BC3" s="2560"/>
      <c r="BD3" s="2560"/>
      <c r="BE3" s="2560"/>
      <c r="BF3" s="2560"/>
      <c r="BG3" s="2560"/>
      <c r="BH3" s="2560"/>
      <c r="BI3" s="2560"/>
      <c r="BJ3" s="2560"/>
      <c r="BK3" s="2560"/>
      <c r="BL3" s="2560"/>
      <c r="BM3" s="2560"/>
      <c r="BN3" s="2560"/>
      <c r="BO3" s="2560"/>
      <c r="BP3" s="2589"/>
      <c r="BQ3" s="2560"/>
      <c r="BR3" s="1186"/>
      <c r="BS3" s="1186"/>
      <c r="BT3" s="1186"/>
      <c r="BU3" s="1186"/>
      <c r="BV3" s="1186"/>
      <c r="BW3" s="1186"/>
      <c r="BX3" s="1186"/>
      <c r="BY3" s="1186"/>
      <c r="BZ3" s="1186"/>
      <c r="CA3" s="1186"/>
      <c r="CB3" s="1186"/>
      <c r="CC3" s="1186"/>
      <c r="CD3" s="1186"/>
      <c r="CE3" s="1186"/>
      <c r="CF3" s="1186"/>
      <c r="CG3" s="1186"/>
      <c r="CH3" s="1186"/>
      <c r="CI3" s="1186"/>
    </row>
    <row r="4" spans="2:88" ht="14.5" thickBot="1">
      <c r="AK4" s="2589"/>
      <c r="AL4" s="2560"/>
      <c r="AM4" s="2589"/>
      <c r="AN4" s="2869" t="s">
        <v>1890</v>
      </c>
      <c r="AO4" s="2869"/>
      <c r="AP4" s="2869"/>
      <c r="AQ4" s="2869"/>
      <c r="AR4" s="2869"/>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c r="BP4" s="2589"/>
      <c r="BQ4" s="2560"/>
    </row>
    <row r="5" spans="2:88" ht="15.65" customHeight="1" thickTop="1">
      <c r="B5" s="2870" t="s">
        <v>11028</v>
      </c>
      <c r="C5" s="2872" t="s">
        <v>11029</v>
      </c>
      <c r="D5" s="2874" t="s">
        <v>11030</v>
      </c>
      <c r="E5" s="74"/>
      <c r="F5" s="2870" t="s">
        <v>2389</v>
      </c>
      <c r="G5" s="2872"/>
      <c r="H5" s="2872"/>
      <c r="I5" s="2872"/>
      <c r="J5" s="2872"/>
      <c r="K5" s="2874"/>
      <c r="L5" s="74"/>
      <c r="M5" s="2870" t="s">
        <v>11031</v>
      </c>
      <c r="N5" s="2872"/>
      <c r="O5" s="2872"/>
      <c r="P5" s="2872"/>
      <c r="Q5" s="2872"/>
      <c r="R5" s="2874"/>
      <c r="S5" s="74"/>
      <c r="T5" s="2870" t="s">
        <v>11032</v>
      </c>
      <c r="U5" s="2872"/>
      <c r="V5" s="2872"/>
      <c r="W5" s="2872"/>
      <c r="X5" s="2872"/>
      <c r="Y5" s="2874"/>
      <c r="Z5" s="74"/>
      <c r="AA5" s="2870" t="s">
        <v>11033</v>
      </c>
      <c r="AB5" s="2872"/>
      <c r="AC5" s="2872"/>
      <c r="AD5" s="2872"/>
      <c r="AE5" s="2874"/>
      <c r="AF5" s="74"/>
      <c r="AG5" s="2876" t="s">
        <v>1896</v>
      </c>
      <c r="AH5" s="74"/>
      <c r="AI5" s="2876" t="s">
        <v>11034</v>
      </c>
      <c r="AJ5" s="1187"/>
      <c r="AK5" s="2589"/>
      <c r="AL5" s="2560"/>
      <c r="AM5" s="2589"/>
      <c r="AN5" s="236" t="s">
        <v>1898</v>
      </c>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589"/>
      <c r="BQ5" s="2560"/>
      <c r="BR5" s="1188"/>
      <c r="BS5" s="1188"/>
      <c r="BT5" s="1188"/>
      <c r="BU5" s="1188"/>
      <c r="BV5" s="1188"/>
      <c r="BW5" s="1188"/>
      <c r="BX5" s="1188"/>
      <c r="BY5" s="1188"/>
      <c r="BZ5" s="1188"/>
      <c r="CA5" s="1188"/>
      <c r="CB5" s="1188"/>
      <c r="CC5" s="1188"/>
      <c r="CD5" s="1188"/>
      <c r="CE5" s="1188"/>
      <c r="CF5" s="1188"/>
      <c r="CG5" s="1188"/>
      <c r="CH5" s="1188"/>
      <c r="CI5" s="1188"/>
    </row>
    <row r="6" spans="2:88" ht="94.5" customHeight="1">
      <c r="B6" s="2871"/>
      <c r="C6" s="2873"/>
      <c r="D6" s="2875"/>
      <c r="E6" s="74"/>
      <c r="F6" s="2049" t="s">
        <v>1854</v>
      </c>
      <c r="G6" s="2050" t="s">
        <v>1696</v>
      </c>
      <c r="H6" s="2050" t="s">
        <v>1855</v>
      </c>
      <c r="I6" s="2050" t="s">
        <v>11035</v>
      </c>
      <c r="J6" s="2050" t="s">
        <v>11036</v>
      </c>
      <c r="K6" s="2051" t="s">
        <v>11037</v>
      </c>
      <c r="L6" s="74"/>
      <c r="M6" s="2049" t="s">
        <v>1854</v>
      </c>
      <c r="N6" s="2050" t="s">
        <v>1696</v>
      </c>
      <c r="O6" s="2050" t="s">
        <v>1855</v>
      </c>
      <c r="P6" s="2050" t="s">
        <v>11035</v>
      </c>
      <c r="Q6" s="2050" t="s">
        <v>11036</v>
      </c>
      <c r="R6" s="2051" t="s">
        <v>11037</v>
      </c>
      <c r="S6" s="74"/>
      <c r="T6" s="2049" t="s">
        <v>1854</v>
      </c>
      <c r="U6" s="2050" t="s">
        <v>1696</v>
      </c>
      <c r="V6" s="2050" t="s">
        <v>1855</v>
      </c>
      <c r="W6" s="2050" t="s">
        <v>11035</v>
      </c>
      <c r="X6" s="2050" t="s">
        <v>11036</v>
      </c>
      <c r="Y6" s="2051" t="s">
        <v>11037</v>
      </c>
      <c r="Z6" s="74"/>
      <c r="AA6" s="2052" t="s">
        <v>11038</v>
      </c>
      <c r="AB6" s="2047" t="s">
        <v>11039</v>
      </c>
      <c r="AC6" s="2047" t="s">
        <v>11040</v>
      </c>
      <c r="AD6" s="2047" t="s">
        <v>11041</v>
      </c>
      <c r="AE6" s="2048" t="s">
        <v>11042</v>
      </c>
      <c r="AF6" s="74"/>
      <c r="AG6" s="2877"/>
      <c r="AH6" s="74"/>
      <c r="AI6" s="2877"/>
      <c r="AJ6" s="1187"/>
      <c r="AK6" s="2589"/>
      <c r="AL6" s="2560"/>
      <c r="AM6" s="2589"/>
      <c r="AN6" s="2560"/>
      <c r="AO6" s="2560"/>
      <c r="AP6" s="2560"/>
      <c r="AQ6" s="2560"/>
      <c r="AR6" s="2560"/>
      <c r="AS6" s="2560"/>
      <c r="AT6" s="2560"/>
      <c r="AU6" s="2560"/>
      <c r="AV6" s="2560"/>
      <c r="AW6" s="2560"/>
      <c r="AX6" s="2560"/>
      <c r="AY6" s="2560"/>
      <c r="AZ6" s="2560"/>
      <c r="BA6" s="2560"/>
      <c r="BB6" s="2560"/>
      <c r="BC6" s="2560"/>
      <c r="BD6" s="2560"/>
      <c r="BE6" s="2560"/>
      <c r="BF6" s="2560"/>
      <c r="BG6" s="2560"/>
      <c r="BH6" s="2560"/>
      <c r="BI6" s="2560"/>
      <c r="BJ6" s="2560"/>
      <c r="BK6" s="2560"/>
      <c r="BL6" s="2560"/>
      <c r="BM6" s="2560"/>
      <c r="BN6" s="2560"/>
      <c r="BO6" s="2560"/>
      <c r="BP6" s="2589"/>
      <c r="BQ6" s="2560"/>
      <c r="BR6" s="1188"/>
      <c r="BS6" s="1188"/>
      <c r="BT6" s="1188"/>
      <c r="BU6" s="1188"/>
      <c r="BV6" s="1188"/>
      <c r="BW6" s="1188"/>
      <c r="BX6" s="1188"/>
      <c r="BY6" s="1188"/>
      <c r="BZ6" s="1188"/>
      <c r="CA6" s="1188"/>
      <c r="CB6" s="1188"/>
      <c r="CC6" s="1188"/>
      <c r="CD6" s="1188"/>
      <c r="CE6" s="1188"/>
      <c r="CF6" s="1188"/>
      <c r="CG6" s="1188"/>
      <c r="CH6" s="1188"/>
      <c r="CI6" s="1188"/>
    </row>
    <row r="7" spans="2:88" ht="15" customHeight="1">
      <c r="B7" s="2052" t="s">
        <v>1892</v>
      </c>
      <c r="C7" s="2047" t="s">
        <v>4420</v>
      </c>
      <c r="D7" s="2048" t="s">
        <v>11043</v>
      </c>
      <c r="E7" s="74"/>
      <c r="F7" s="2052" t="s">
        <v>137</v>
      </c>
      <c r="G7" s="2047" t="s">
        <v>137</v>
      </c>
      <c r="H7" s="2047" t="s">
        <v>137</v>
      </c>
      <c r="I7" s="2047" t="s">
        <v>137</v>
      </c>
      <c r="J7" s="2047" t="s">
        <v>137</v>
      </c>
      <c r="K7" s="2048" t="s">
        <v>137</v>
      </c>
      <c r="L7" s="74"/>
      <c r="M7" s="2052" t="s">
        <v>137</v>
      </c>
      <c r="N7" s="2047" t="s">
        <v>137</v>
      </c>
      <c r="O7" s="2047" t="s">
        <v>137</v>
      </c>
      <c r="P7" s="2047" t="s">
        <v>137</v>
      </c>
      <c r="Q7" s="2047" t="s">
        <v>137</v>
      </c>
      <c r="R7" s="2048" t="s">
        <v>137</v>
      </c>
      <c r="S7" s="74"/>
      <c r="T7" s="2052" t="s">
        <v>1341</v>
      </c>
      <c r="U7" s="2047" t="s">
        <v>1341</v>
      </c>
      <c r="V7" s="2047" t="s">
        <v>1341</v>
      </c>
      <c r="W7" s="2047" t="s">
        <v>1341</v>
      </c>
      <c r="X7" s="2047" t="s">
        <v>1341</v>
      </c>
      <c r="Y7" s="2048" t="s">
        <v>1341</v>
      </c>
      <c r="Z7" s="74"/>
      <c r="AA7" s="2052" t="s">
        <v>1385</v>
      </c>
      <c r="AB7" s="2047" t="s">
        <v>11044</v>
      </c>
      <c r="AC7" s="2047" t="s">
        <v>4420</v>
      </c>
      <c r="AD7" s="2047" t="s">
        <v>10326</v>
      </c>
      <c r="AE7" s="2048" t="s">
        <v>1685</v>
      </c>
      <c r="AF7" s="74"/>
      <c r="AG7" s="2877"/>
      <c r="AH7" s="74"/>
      <c r="AI7" s="2877"/>
      <c r="AJ7" s="1187"/>
      <c r="AK7" s="2589"/>
      <c r="AL7" s="2560"/>
      <c r="AM7" s="2589"/>
      <c r="AN7" s="2560"/>
      <c r="AO7" s="2560"/>
      <c r="AP7" s="2560"/>
      <c r="AQ7" s="2560"/>
      <c r="AR7" s="2560"/>
      <c r="AS7" s="2560"/>
      <c r="AT7" s="2560"/>
      <c r="AU7" s="2560"/>
      <c r="AV7" s="2560"/>
      <c r="AW7" s="2560"/>
      <c r="AX7" s="2560"/>
      <c r="AY7" s="2560"/>
      <c r="AZ7" s="2560"/>
      <c r="BA7" s="2560"/>
      <c r="BB7" s="2560"/>
      <c r="BC7" s="2560"/>
      <c r="BD7" s="2560"/>
      <c r="BE7" s="2560"/>
      <c r="BF7" s="2560"/>
      <c r="BG7" s="2560"/>
      <c r="BH7" s="2560"/>
      <c r="BI7" s="2560"/>
      <c r="BJ7" s="2560"/>
      <c r="BK7" s="2560"/>
      <c r="BL7" s="2560"/>
      <c r="BM7" s="2560"/>
      <c r="BN7" s="2560"/>
      <c r="BO7" s="2560"/>
      <c r="BP7" s="2589"/>
      <c r="BQ7" s="2560"/>
      <c r="BR7" s="1188"/>
      <c r="BS7" s="1188"/>
      <c r="BT7" s="1188"/>
      <c r="BU7" s="1188"/>
      <c r="BV7" s="1188"/>
      <c r="BW7" s="1188"/>
      <c r="BX7" s="1188"/>
      <c r="BY7" s="1188"/>
      <c r="BZ7" s="1188"/>
      <c r="CA7" s="1188"/>
      <c r="CB7" s="1188"/>
      <c r="CC7" s="1188"/>
      <c r="CD7" s="1188"/>
      <c r="CE7" s="1188"/>
      <c r="CF7" s="1188"/>
      <c r="CG7" s="1188"/>
      <c r="CH7" s="1188"/>
      <c r="CI7" s="1188"/>
    </row>
    <row r="8" spans="2:88" ht="16" thickBot="1">
      <c r="B8" s="2032" t="s">
        <v>136</v>
      </c>
      <c r="C8" s="2033">
        <v>0</v>
      </c>
      <c r="D8" s="2034">
        <v>0</v>
      </c>
      <c r="E8" s="74"/>
      <c r="F8" s="2032">
        <v>3</v>
      </c>
      <c r="G8" s="2033">
        <v>3</v>
      </c>
      <c r="H8" s="2033">
        <v>3</v>
      </c>
      <c r="I8" s="2033">
        <v>3</v>
      </c>
      <c r="J8" s="2033">
        <v>3</v>
      </c>
      <c r="K8" s="2034">
        <v>3</v>
      </c>
      <c r="L8" s="74"/>
      <c r="M8" s="2032">
        <v>3</v>
      </c>
      <c r="N8" s="2033">
        <v>3</v>
      </c>
      <c r="O8" s="2033">
        <v>3</v>
      </c>
      <c r="P8" s="2033">
        <v>3</v>
      </c>
      <c r="Q8" s="2033">
        <v>3</v>
      </c>
      <c r="R8" s="2034">
        <v>3</v>
      </c>
      <c r="S8" s="74"/>
      <c r="T8" s="2032">
        <v>2</v>
      </c>
      <c r="U8" s="2033">
        <v>2</v>
      </c>
      <c r="V8" s="2033">
        <v>2</v>
      </c>
      <c r="W8" s="2033">
        <v>2</v>
      </c>
      <c r="X8" s="2033">
        <v>2</v>
      </c>
      <c r="Y8" s="2034">
        <v>2</v>
      </c>
      <c r="Z8" s="74"/>
      <c r="AA8" s="2032">
        <v>1</v>
      </c>
      <c r="AB8" s="2033">
        <v>1</v>
      </c>
      <c r="AC8" s="2033">
        <v>0</v>
      </c>
      <c r="AD8" s="2033">
        <v>0</v>
      </c>
      <c r="AE8" s="2034">
        <v>3</v>
      </c>
      <c r="AF8" s="74"/>
      <c r="AG8" s="2878"/>
      <c r="AH8" s="74"/>
      <c r="AI8" s="2878"/>
      <c r="AJ8" s="1187"/>
      <c r="AK8" s="2589"/>
      <c r="AL8" s="2560"/>
      <c r="AM8" s="2589"/>
      <c r="AN8" s="2560"/>
      <c r="AO8" s="2560"/>
      <c r="AP8" s="2560"/>
      <c r="AQ8" s="2560"/>
      <c r="AR8" s="2560"/>
      <c r="AS8" s="2560"/>
      <c r="AT8" s="2560"/>
      <c r="AU8" s="2560"/>
      <c r="AV8" s="2560"/>
      <c r="AW8" s="2560"/>
      <c r="AX8" s="2560"/>
      <c r="AY8" s="2560"/>
      <c r="AZ8" s="2560"/>
      <c r="BA8" s="2560"/>
      <c r="BB8" s="2560"/>
      <c r="BC8" s="2560"/>
      <c r="BD8" s="2560"/>
      <c r="BE8" s="2560"/>
      <c r="BF8" s="2560"/>
      <c r="BG8" s="2560"/>
      <c r="BH8" s="2560"/>
      <c r="BI8" s="2560"/>
      <c r="BJ8" s="2560"/>
      <c r="BK8" s="2560"/>
      <c r="BL8" s="2560"/>
      <c r="BM8" s="2560"/>
      <c r="BN8" s="2560"/>
      <c r="BO8" s="2560"/>
      <c r="BP8" s="2589"/>
      <c r="BQ8" s="2560"/>
      <c r="BR8" s="1188"/>
      <c r="BS8" s="1188"/>
      <c r="BT8" s="1188"/>
      <c r="BU8" s="1188"/>
      <c r="BV8" s="1188"/>
      <c r="BW8" s="1188"/>
      <c r="BX8" s="1188"/>
      <c r="BY8" s="1188"/>
      <c r="BZ8" s="1188"/>
      <c r="CA8" s="1188"/>
      <c r="CB8" s="1188"/>
      <c r="CC8" s="1188"/>
      <c r="CD8" s="1188"/>
      <c r="CE8" s="1188"/>
      <c r="CF8" s="1188"/>
      <c r="CG8" s="1188"/>
      <c r="CH8" s="1188"/>
      <c r="CI8" s="1188"/>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89"/>
      <c r="AL9" s="2560"/>
      <c r="AM9" s="2589"/>
      <c r="AN9" s="2560"/>
      <c r="AO9" s="2560"/>
      <c r="AP9" s="2560"/>
      <c r="AQ9" s="2560"/>
      <c r="AR9" s="2560"/>
      <c r="AS9" s="2560"/>
      <c r="AT9" s="2560"/>
      <c r="AU9" s="2560"/>
      <c r="AV9" s="2560"/>
      <c r="AW9" s="2560"/>
      <c r="AX9" s="2560"/>
      <c r="AY9" s="2560"/>
      <c r="AZ9" s="2560"/>
      <c r="BA9" s="2560"/>
      <c r="BB9" s="2560"/>
      <c r="BC9" s="2560"/>
      <c r="BD9" s="2560"/>
      <c r="BE9" s="2560"/>
      <c r="BF9" s="2560"/>
      <c r="BG9" s="2560"/>
      <c r="BH9" s="2560"/>
      <c r="BI9" s="2560"/>
      <c r="BJ9" s="2560"/>
      <c r="BK9" s="2560"/>
      <c r="BL9" s="2560"/>
      <c r="BM9" s="2560"/>
      <c r="BN9" s="2560"/>
      <c r="BO9" s="2560"/>
      <c r="BP9" s="2589"/>
      <c r="BQ9" s="2560"/>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89"/>
      <c r="AL10" s="2560"/>
      <c r="AM10" s="2589"/>
      <c r="AN10" s="2560"/>
      <c r="AO10" s="2560"/>
      <c r="AP10" s="2560"/>
      <c r="AQ10" s="2560"/>
      <c r="AR10" s="2560"/>
      <c r="AS10" s="2560"/>
      <c r="AT10" s="2560"/>
      <c r="AU10" s="2560"/>
      <c r="AV10" s="2560"/>
      <c r="AW10" s="2560"/>
      <c r="AX10" s="2560"/>
      <c r="AY10" s="2560"/>
      <c r="AZ10" s="2560"/>
      <c r="BA10" s="2560"/>
      <c r="BB10" s="2560"/>
      <c r="BC10" s="2560"/>
      <c r="BD10" s="2560"/>
      <c r="BE10" s="2560"/>
      <c r="BF10" s="2560"/>
      <c r="BG10" s="2560"/>
      <c r="BH10" s="2560"/>
      <c r="BI10" s="2560"/>
      <c r="BJ10" s="2560"/>
      <c r="BK10" s="2560"/>
      <c r="BL10" s="2560"/>
      <c r="BM10" s="2560"/>
      <c r="BN10" s="2560"/>
      <c r="BO10" s="2560"/>
      <c r="BP10" s="2589"/>
      <c r="BQ10" s="2560"/>
    </row>
    <row r="11" spans="2:88" ht="15.75" customHeight="1" thickTop="1" thickBot="1">
      <c r="B11" s="681" t="s">
        <v>11045</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89"/>
      <c r="AL11" s="2560"/>
      <c r="AM11" s="2589"/>
      <c r="AN11" s="2560"/>
      <c r="AO11" s="2560"/>
      <c r="AP11" s="2560"/>
      <c r="AQ11" s="2560"/>
      <c r="AR11" s="2560"/>
      <c r="AS11" s="2560"/>
      <c r="AT11" s="2560"/>
      <c r="AU11" s="2560"/>
      <c r="AV11" s="2560"/>
      <c r="AW11" s="2560"/>
      <c r="AX11" s="2560"/>
      <c r="AY11" s="2560"/>
      <c r="AZ11" s="2560"/>
      <c r="BA11" s="2560"/>
      <c r="BB11" s="2560"/>
      <c r="BC11" s="2560"/>
      <c r="BD11" s="2560"/>
      <c r="BE11" s="2560"/>
      <c r="BF11" s="2560"/>
      <c r="BG11" s="2560"/>
      <c r="BH11" s="2560"/>
      <c r="BI11" s="2560"/>
      <c r="BJ11" s="2560"/>
      <c r="BK11" s="2560"/>
      <c r="BL11" s="2560"/>
      <c r="BM11" s="2560"/>
      <c r="BN11" s="2560"/>
      <c r="BO11" s="2560"/>
      <c r="BP11" s="2589"/>
      <c r="BQ11" s="2560"/>
    </row>
    <row r="12" spans="2:88" ht="106.5" customHeight="1" thickTop="1">
      <c r="B12" s="2036" t="s">
        <v>11046</v>
      </c>
      <c r="C12" s="2038" t="s">
        <v>8</v>
      </c>
      <c r="D12" s="1969" t="s">
        <v>6261</v>
      </c>
      <c r="E12" s="1596"/>
      <c r="F12" s="1967">
        <v>0</v>
      </c>
      <c r="G12" s="1968">
        <v>0</v>
      </c>
      <c r="H12" s="1968">
        <v>0</v>
      </c>
      <c r="I12" s="1968">
        <v>0</v>
      </c>
      <c r="J12" s="1968">
        <v>0</v>
      </c>
      <c r="K12" s="1969">
        <v>0</v>
      </c>
      <c r="L12" s="1596"/>
      <c r="M12" s="1967">
        <v>0</v>
      </c>
      <c r="N12" s="1968">
        <v>0</v>
      </c>
      <c r="O12" s="1968">
        <v>0</v>
      </c>
      <c r="P12" s="1968">
        <v>0</v>
      </c>
      <c r="Q12" s="1968">
        <v>0</v>
      </c>
      <c r="R12" s="1969">
        <v>0</v>
      </c>
      <c r="S12" s="1596"/>
      <c r="T12" s="2053">
        <v>0</v>
      </c>
      <c r="U12" s="2054">
        <v>0</v>
      </c>
      <c r="V12" s="2054">
        <v>0</v>
      </c>
      <c r="W12" s="2054">
        <v>0</v>
      </c>
      <c r="X12" s="2054">
        <v>0</v>
      </c>
      <c r="Y12" s="2055">
        <v>0</v>
      </c>
      <c r="Z12" s="1596"/>
      <c r="AA12" s="2062" t="s">
        <v>6261</v>
      </c>
      <c r="AB12" s="2063" t="s">
        <v>6261</v>
      </c>
      <c r="AC12" s="2068" t="s">
        <v>6261</v>
      </c>
      <c r="AD12" s="2068" t="s">
        <v>6261</v>
      </c>
      <c r="AE12" s="1969" t="s">
        <v>6261</v>
      </c>
      <c r="AF12" s="74"/>
      <c r="AG12" s="95" t="s">
        <v>11047</v>
      </c>
      <c r="AH12" s="74"/>
      <c r="AI12" s="78"/>
      <c r="AJ12" s="1189"/>
      <c r="AK12" s="2589"/>
      <c r="AL12" s="1121"/>
      <c r="AM12" s="2589"/>
      <c r="AN12" s="252">
        <f xml:space="preserve"> IF( OR(ISNUMBER(D12 ),$C12=""), 0, 1 )</f>
        <v>1</v>
      </c>
      <c r="AO12" s="2560"/>
      <c r="AP12" s="252">
        <f t="shared" ref="AP12:AP61" si="0" xml:space="preserve"> IF( OR(ISNUMBER(F12 ),$C12=""), 0, 1 )</f>
        <v>0</v>
      </c>
      <c r="AQ12" s="252">
        <f t="shared" ref="AQ12:AQ61" si="1" xml:space="preserve"> IF( OR(ISNUMBER(G12 ),$C12=""), 0, 1 )</f>
        <v>0</v>
      </c>
      <c r="AR12" s="252">
        <f t="shared" ref="AR12:AR61" si="2" xml:space="preserve"> IF( OR(ISNUMBER(H12 ),$C12=""), 0, 1 )</f>
        <v>0</v>
      </c>
      <c r="AS12" s="252">
        <f t="shared" ref="AS12:AS61" si="3" xml:space="preserve"> IF( OR(ISNUMBER(I12 ),$C12=""), 0, 1 )</f>
        <v>0</v>
      </c>
      <c r="AT12" s="252">
        <f t="shared" ref="AT12:AT61" si="4" xml:space="preserve"> IF( OR(ISNUMBER(J12 ),$C12=""), 0, 1 )</f>
        <v>0</v>
      </c>
      <c r="AU12" s="252">
        <f t="shared" ref="AU12:AU61" si="5" xml:space="preserve"> IF( OR(ISNUMBER(K12 ),$C12=""), 0, 1 )</f>
        <v>0</v>
      </c>
      <c r="AV12" s="2560"/>
      <c r="AW12" s="252">
        <f t="shared" ref="AW12:AW61" si="6" xml:space="preserve"> IF( OR(ISNUMBER(M12 ),$C12=""), 0, 1 )</f>
        <v>0</v>
      </c>
      <c r="AX12" s="252">
        <f t="shared" ref="AX12:AX61" si="7" xml:space="preserve"> IF( OR(ISNUMBER(N12 ),$C12=""), 0, 1 )</f>
        <v>0</v>
      </c>
      <c r="AY12" s="252">
        <f t="shared" ref="AY12:AY61" si="8" xml:space="preserve"> IF( OR(ISNUMBER(O12 ),$C12=""), 0, 1 )</f>
        <v>0</v>
      </c>
      <c r="AZ12" s="252">
        <f t="shared" ref="AZ12:AZ61" si="9" xml:space="preserve"> IF( OR(ISNUMBER(P12 ),$C12=""), 0, 1 )</f>
        <v>0</v>
      </c>
      <c r="BA12" s="252">
        <f t="shared" ref="BA12:BA61" si="10" xml:space="preserve"> IF( OR(ISNUMBER(Q12 ),$C12=""), 0, 1 )</f>
        <v>0</v>
      </c>
      <c r="BB12" s="252">
        <f t="shared" ref="BB12:BB61" si="11" xml:space="preserve"> IF( OR(ISNUMBER(R12 ),$C12=""), 0, 1 )</f>
        <v>0</v>
      </c>
      <c r="BC12" s="2560"/>
      <c r="BD12" s="252">
        <f t="shared" ref="BD12:BD61" si="12" xml:space="preserve"> IF( OR(ISNUMBER(T12 ),$C12=""), 0, 1 )</f>
        <v>0</v>
      </c>
      <c r="BE12" s="252">
        <f t="shared" ref="BE12:BE61" si="13" xml:space="preserve"> IF( OR(ISNUMBER(U12 ),$C12=""), 0, 1 )</f>
        <v>0</v>
      </c>
      <c r="BF12" s="252">
        <f t="shared" ref="BF12:BF61" si="14" xml:space="preserve"> IF( OR(ISNUMBER(V12 ),$C12=""), 0, 1 )</f>
        <v>0</v>
      </c>
      <c r="BG12" s="252">
        <f t="shared" ref="BG12:BG61" si="15" xml:space="preserve"> IF( OR(ISNUMBER(W12 ),$C12=""), 0, 1 )</f>
        <v>0</v>
      </c>
      <c r="BH12" s="252">
        <f t="shared" ref="BH12:BH61" si="16" xml:space="preserve"> IF( OR(ISNUMBER(X12 ),$C12=""), 0, 1 )</f>
        <v>0</v>
      </c>
      <c r="BI12" s="252">
        <f t="shared" ref="BI12:BI61" si="17" xml:space="preserve"> IF( OR(ISNUMBER(Y12 ),$C12=""), 0, 1 )</f>
        <v>0</v>
      </c>
      <c r="BJ12" s="2560"/>
      <c r="BK12" s="252">
        <f t="shared" ref="BK12:BK61" si="18" xml:space="preserve"> IF( OR(ISNUMBER(AA12 ),$C12=""), 0, 1 )</f>
        <v>1</v>
      </c>
      <c r="BL12" s="252">
        <f t="shared" ref="BL12:BL61" si="19" xml:space="preserve"> IF( OR(ISNUMBER(AB12 ),$C12=""), 0, 1 )</f>
        <v>1</v>
      </c>
      <c r="BM12" s="2560"/>
      <c r="BN12" s="252">
        <f t="shared" ref="BN12:BN61" si="20" xml:space="preserve"> IF( OR(ISNUMBER(AD12 ),$C12=""), 0, 1 )</f>
        <v>1</v>
      </c>
      <c r="BO12" s="252">
        <f t="shared" ref="BO12:BO61" si="21" xml:space="preserve"> IF( OR(ISNUMBER(AE12 ),$C12=""), 0, 1 )</f>
        <v>1</v>
      </c>
      <c r="BP12" s="2589"/>
      <c r="BQ12" s="2560"/>
      <c r="BR12" s="1189"/>
      <c r="BS12" s="1189"/>
      <c r="BT12" s="1189"/>
      <c r="BU12" s="1189"/>
      <c r="BV12" s="1189"/>
      <c r="BW12" s="1189"/>
      <c r="BX12" s="1189"/>
      <c r="BY12" s="1189"/>
      <c r="BZ12" s="1189"/>
      <c r="CA12" s="1189"/>
      <c r="CB12" s="1189"/>
      <c r="CC12" s="1189"/>
      <c r="CD12" s="1189"/>
      <c r="CE12" s="1189"/>
      <c r="CF12" s="1189"/>
      <c r="CG12" s="1189"/>
      <c r="CH12" s="1189"/>
      <c r="CI12" s="1189"/>
    </row>
    <row r="13" spans="2:88" ht="106.5" customHeight="1">
      <c r="B13" s="2037" t="s">
        <v>11048</v>
      </c>
      <c r="C13" s="2039" t="s">
        <v>19</v>
      </c>
      <c r="D13" s="1972" t="s">
        <v>6261</v>
      </c>
      <c r="E13" s="1596"/>
      <c r="F13" s="1970">
        <v>0</v>
      </c>
      <c r="G13" s="1971">
        <v>0</v>
      </c>
      <c r="H13" s="1971">
        <v>0</v>
      </c>
      <c r="I13" s="1971">
        <v>0</v>
      </c>
      <c r="J13" s="1971">
        <v>0</v>
      </c>
      <c r="K13" s="1972">
        <v>0</v>
      </c>
      <c r="L13" s="1596"/>
      <c r="M13" s="1970">
        <v>0</v>
      </c>
      <c r="N13" s="1971">
        <v>0</v>
      </c>
      <c r="O13" s="1971">
        <v>0</v>
      </c>
      <c r="P13" s="1971">
        <v>0</v>
      </c>
      <c r="Q13" s="1971">
        <v>0</v>
      </c>
      <c r="R13" s="1972">
        <v>0</v>
      </c>
      <c r="S13" s="1596"/>
      <c r="T13" s="2056">
        <v>0</v>
      </c>
      <c r="U13" s="2057">
        <v>0</v>
      </c>
      <c r="V13" s="2057">
        <v>0</v>
      </c>
      <c r="W13" s="2057">
        <v>0</v>
      </c>
      <c r="X13" s="2057">
        <v>0</v>
      </c>
      <c r="Y13" s="2058">
        <v>0</v>
      </c>
      <c r="Z13" s="1596"/>
      <c r="AA13" s="2064" t="s">
        <v>6261</v>
      </c>
      <c r="AB13" s="2065" t="s">
        <v>6261</v>
      </c>
      <c r="AC13" s="2069" t="s">
        <v>6261</v>
      </c>
      <c r="AD13" s="2069" t="s">
        <v>6261</v>
      </c>
      <c r="AE13" s="1972" t="s">
        <v>6261</v>
      </c>
      <c r="AF13" s="74"/>
      <c r="AG13" s="98" t="s">
        <v>11049</v>
      </c>
      <c r="AH13" s="74"/>
      <c r="AI13" s="79"/>
      <c r="AJ13" s="1190"/>
      <c r="AK13" s="2589"/>
      <c r="AL13" s="1121"/>
      <c r="AM13" s="2589"/>
      <c r="AN13" s="252">
        <f t="shared" ref="AN13:AN61" si="22" xml:space="preserve"> IF( OR(ISNUMBER(D13 ),$C13=""), 0, 1 )</f>
        <v>1</v>
      </c>
      <c r="AO13" s="2560"/>
      <c r="AP13" s="252">
        <f t="shared" si="0"/>
        <v>0</v>
      </c>
      <c r="AQ13" s="252">
        <f t="shared" si="1"/>
        <v>0</v>
      </c>
      <c r="AR13" s="252">
        <f t="shared" si="2"/>
        <v>0</v>
      </c>
      <c r="AS13" s="252">
        <f t="shared" si="3"/>
        <v>0</v>
      </c>
      <c r="AT13" s="252">
        <f t="shared" si="4"/>
        <v>0</v>
      </c>
      <c r="AU13" s="252">
        <f t="shared" si="5"/>
        <v>0</v>
      </c>
      <c r="AV13" s="2560"/>
      <c r="AW13" s="252">
        <f t="shared" si="6"/>
        <v>0</v>
      </c>
      <c r="AX13" s="252">
        <f t="shared" si="7"/>
        <v>0</v>
      </c>
      <c r="AY13" s="252">
        <f t="shared" si="8"/>
        <v>0</v>
      </c>
      <c r="AZ13" s="252">
        <f t="shared" si="9"/>
        <v>0</v>
      </c>
      <c r="BA13" s="252">
        <f t="shared" si="10"/>
        <v>0</v>
      </c>
      <c r="BB13" s="252">
        <f t="shared" si="11"/>
        <v>0</v>
      </c>
      <c r="BC13" s="2560"/>
      <c r="BD13" s="252">
        <f t="shared" si="12"/>
        <v>0</v>
      </c>
      <c r="BE13" s="252">
        <f t="shared" si="13"/>
        <v>0</v>
      </c>
      <c r="BF13" s="252">
        <f t="shared" si="14"/>
        <v>0</v>
      </c>
      <c r="BG13" s="252">
        <f t="shared" si="15"/>
        <v>0</v>
      </c>
      <c r="BH13" s="252">
        <f t="shared" si="16"/>
        <v>0</v>
      </c>
      <c r="BI13" s="252">
        <f t="shared" si="17"/>
        <v>0</v>
      </c>
      <c r="BJ13" s="2560"/>
      <c r="BK13" s="252">
        <f t="shared" si="18"/>
        <v>1</v>
      </c>
      <c r="BL13" s="252">
        <f t="shared" si="19"/>
        <v>1</v>
      </c>
      <c r="BM13" s="2560"/>
      <c r="BN13" s="252">
        <f t="shared" si="20"/>
        <v>1</v>
      </c>
      <c r="BO13" s="252">
        <f t="shared" si="21"/>
        <v>1</v>
      </c>
      <c r="BP13" s="2589"/>
      <c r="BQ13" s="2560"/>
      <c r="BR13" s="1190"/>
      <c r="BS13" s="1190"/>
      <c r="BT13" s="1190"/>
      <c r="BU13" s="1190"/>
      <c r="BV13" s="1190"/>
      <c r="BW13" s="1190"/>
      <c r="BX13" s="1190"/>
      <c r="BY13" s="1190"/>
      <c r="BZ13" s="1190"/>
      <c r="CA13" s="1190"/>
      <c r="CB13" s="1190"/>
      <c r="CC13" s="1190"/>
      <c r="CD13" s="1190"/>
      <c r="CE13" s="1190"/>
      <c r="CF13" s="1190"/>
      <c r="CG13" s="1190"/>
      <c r="CH13" s="1190"/>
      <c r="CI13" s="1190"/>
      <c r="CJ13" s="1190"/>
    </row>
    <row r="14" spans="2:88" ht="15.75" customHeight="1">
      <c r="B14" s="2037" t="s">
        <v>11050</v>
      </c>
      <c r="C14" s="2039"/>
      <c r="D14" s="1972"/>
      <c r="E14" s="1596"/>
      <c r="F14" s="1970"/>
      <c r="G14" s="1971"/>
      <c r="H14" s="1971"/>
      <c r="I14" s="1971"/>
      <c r="J14" s="1971"/>
      <c r="K14" s="1972"/>
      <c r="L14" s="1596"/>
      <c r="M14" s="1970"/>
      <c r="N14" s="1971"/>
      <c r="O14" s="1971"/>
      <c r="P14" s="1971"/>
      <c r="Q14" s="1971"/>
      <c r="R14" s="1972"/>
      <c r="S14" s="1596"/>
      <c r="T14" s="2056"/>
      <c r="U14" s="2057"/>
      <c r="V14" s="2057"/>
      <c r="W14" s="2057"/>
      <c r="X14" s="2057"/>
      <c r="Y14" s="2058"/>
      <c r="Z14" s="1596"/>
      <c r="AA14" s="2064"/>
      <c r="AB14" s="2065"/>
      <c r="AC14" s="2069"/>
      <c r="AD14" s="2069"/>
      <c r="AE14" s="1972"/>
      <c r="AF14" s="74"/>
      <c r="AG14" s="98" t="s">
        <v>11051</v>
      </c>
      <c r="AH14" s="74"/>
      <c r="AI14" s="79"/>
      <c r="AJ14" s="1190"/>
      <c r="AK14" s="2589"/>
      <c r="AL14" s="1121"/>
      <c r="AM14" s="2589"/>
      <c r="AN14" s="252">
        <f t="shared" si="22"/>
        <v>0</v>
      </c>
      <c r="AO14" s="2560"/>
      <c r="AP14" s="252">
        <f t="shared" si="0"/>
        <v>0</v>
      </c>
      <c r="AQ14" s="252">
        <f t="shared" si="1"/>
        <v>0</v>
      </c>
      <c r="AR14" s="252">
        <f t="shared" si="2"/>
        <v>0</v>
      </c>
      <c r="AS14" s="252">
        <f t="shared" si="3"/>
        <v>0</v>
      </c>
      <c r="AT14" s="252">
        <f t="shared" si="4"/>
        <v>0</v>
      </c>
      <c r="AU14" s="252">
        <f t="shared" si="5"/>
        <v>0</v>
      </c>
      <c r="AV14" s="2560"/>
      <c r="AW14" s="252">
        <f t="shared" si="6"/>
        <v>0</v>
      </c>
      <c r="AX14" s="252">
        <f t="shared" si="7"/>
        <v>0</v>
      </c>
      <c r="AY14" s="252">
        <f t="shared" si="8"/>
        <v>0</v>
      </c>
      <c r="AZ14" s="252">
        <f t="shared" si="9"/>
        <v>0</v>
      </c>
      <c r="BA14" s="252">
        <f t="shared" si="10"/>
        <v>0</v>
      </c>
      <c r="BB14" s="252">
        <f t="shared" si="11"/>
        <v>0</v>
      </c>
      <c r="BC14" s="2560"/>
      <c r="BD14" s="252">
        <f t="shared" si="12"/>
        <v>0</v>
      </c>
      <c r="BE14" s="252">
        <f t="shared" si="13"/>
        <v>0</v>
      </c>
      <c r="BF14" s="252">
        <f t="shared" si="14"/>
        <v>0</v>
      </c>
      <c r="BG14" s="252">
        <f t="shared" si="15"/>
        <v>0</v>
      </c>
      <c r="BH14" s="252">
        <f t="shared" si="16"/>
        <v>0</v>
      </c>
      <c r="BI14" s="252">
        <f t="shared" si="17"/>
        <v>0</v>
      </c>
      <c r="BJ14" s="2560"/>
      <c r="BK14" s="252">
        <f t="shared" si="18"/>
        <v>0</v>
      </c>
      <c r="BL14" s="252">
        <f t="shared" si="19"/>
        <v>0</v>
      </c>
      <c r="BM14" s="2560"/>
      <c r="BN14" s="252">
        <f t="shared" si="20"/>
        <v>0</v>
      </c>
      <c r="BO14" s="252">
        <f t="shared" si="21"/>
        <v>0</v>
      </c>
      <c r="BP14" s="2589"/>
      <c r="BQ14" s="2560"/>
      <c r="BR14" s="1190"/>
      <c r="BS14" s="1190"/>
      <c r="BT14" s="1190"/>
      <c r="BU14" s="1190"/>
      <c r="BV14" s="1190"/>
      <c r="BW14" s="1190"/>
      <c r="BX14" s="1190"/>
      <c r="BY14" s="1190"/>
      <c r="BZ14" s="1190"/>
      <c r="CA14" s="1190"/>
      <c r="CB14" s="1190"/>
      <c r="CC14" s="1190"/>
      <c r="CD14" s="1190"/>
      <c r="CE14" s="1190"/>
      <c r="CF14" s="1190"/>
      <c r="CG14" s="1190"/>
      <c r="CH14" s="1190"/>
      <c r="CI14" s="1190"/>
    </row>
    <row r="15" spans="2:88" ht="15.75" customHeight="1">
      <c r="B15" s="2037" t="s">
        <v>11052</v>
      </c>
      <c r="C15" s="2039"/>
      <c r="D15" s="1972"/>
      <c r="E15" s="1596"/>
      <c r="F15" s="1970"/>
      <c r="G15" s="1971"/>
      <c r="H15" s="1971"/>
      <c r="I15" s="1971"/>
      <c r="J15" s="1971"/>
      <c r="K15" s="1972"/>
      <c r="L15" s="1596"/>
      <c r="M15" s="1970"/>
      <c r="N15" s="1971"/>
      <c r="O15" s="1971"/>
      <c r="P15" s="1971"/>
      <c r="Q15" s="1971"/>
      <c r="R15" s="1972"/>
      <c r="S15" s="1596"/>
      <c r="T15" s="2056"/>
      <c r="U15" s="2057"/>
      <c r="V15" s="2057"/>
      <c r="W15" s="2057"/>
      <c r="X15" s="2057"/>
      <c r="Y15" s="2058"/>
      <c r="Z15" s="1596"/>
      <c r="AA15" s="2064"/>
      <c r="AB15" s="2065"/>
      <c r="AC15" s="2069"/>
      <c r="AD15" s="2069"/>
      <c r="AE15" s="1972"/>
      <c r="AF15" s="74"/>
      <c r="AG15" s="98" t="s">
        <v>11053</v>
      </c>
      <c r="AH15" s="74"/>
      <c r="AI15" s="79"/>
      <c r="AJ15" s="1190"/>
      <c r="AK15" s="2589"/>
      <c r="AL15" s="1121"/>
      <c r="AM15" s="2589"/>
      <c r="AN15" s="252">
        <f t="shared" si="22"/>
        <v>0</v>
      </c>
      <c r="AO15" s="2560"/>
      <c r="AP15" s="252">
        <f t="shared" si="0"/>
        <v>0</v>
      </c>
      <c r="AQ15" s="252">
        <f t="shared" si="1"/>
        <v>0</v>
      </c>
      <c r="AR15" s="252">
        <f t="shared" si="2"/>
        <v>0</v>
      </c>
      <c r="AS15" s="252">
        <f t="shared" si="3"/>
        <v>0</v>
      </c>
      <c r="AT15" s="252">
        <f t="shared" si="4"/>
        <v>0</v>
      </c>
      <c r="AU15" s="252">
        <f t="shared" si="5"/>
        <v>0</v>
      </c>
      <c r="AV15" s="2560"/>
      <c r="AW15" s="252">
        <f t="shared" si="6"/>
        <v>0</v>
      </c>
      <c r="AX15" s="252">
        <f t="shared" si="7"/>
        <v>0</v>
      </c>
      <c r="AY15" s="252">
        <f t="shared" si="8"/>
        <v>0</v>
      </c>
      <c r="AZ15" s="252">
        <f t="shared" si="9"/>
        <v>0</v>
      </c>
      <c r="BA15" s="252">
        <f t="shared" si="10"/>
        <v>0</v>
      </c>
      <c r="BB15" s="252">
        <f t="shared" si="11"/>
        <v>0</v>
      </c>
      <c r="BC15" s="2560"/>
      <c r="BD15" s="252">
        <f t="shared" si="12"/>
        <v>0</v>
      </c>
      <c r="BE15" s="252">
        <f t="shared" si="13"/>
        <v>0</v>
      </c>
      <c r="BF15" s="252">
        <f t="shared" si="14"/>
        <v>0</v>
      </c>
      <c r="BG15" s="252">
        <f t="shared" si="15"/>
        <v>0</v>
      </c>
      <c r="BH15" s="252">
        <f t="shared" si="16"/>
        <v>0</v>
      </c>
      <c r="BI15" s="252">
        <f t="shared" si="17"/>
        <v>0</v>
      </c>
      <c r="BJ15" s="2560"/>
      <c r="BK15" s="252">
        <f t="shared" si="18"/>
        <v>0</v>
      </c>
      <c r="BL15" s="252">
        <f t="shared" si="19"/>
        <v>0</v>
      </c>
      <c r="BM15" s="2560"/>
      <c r="BN15" s="252">
        <f t="shared" si="20"/>
        <v>0</v>
      </c>
      <c r="BO15" s="252">
        <f t="shared" si="21"/>
        <v>0</v>
      </c>
      <c r="BP15" s="2589"/>
      <c r="BQ15" s="2560"/>
      <c r="BR15" s="1190"/>
      <c r="BS15" s="1190"/>
      <c r="BT15" s="1190"/>
      <c r="BU15" s="1190"/>
      <c r="BV15" s="1190"/>
      <c r="BW15" s="1190"/>
      <c r="BX15" s="1190"/>
      <c r="BY15" s="1190"/>
      <c r="BZ15" s="1190"/>
      <c r="CA15" s="1190"/>
      <c r="CB15" s="1190"/>
      <c r="CC15" s="1190"/>
      <c r="CD15" s="1190"/>
      <c r="CE15" s="1190"/>
      <c r="CF15" s="1190"/>
      <c r="CG15" s="1190"/>
      <c r="CH15" s="1190"/>
      <c r="CI15" s="1190"/>
    </row>
    <row r="16" spans="2:88" ht="15.75" customHeight="1">
      <c r="B16" s="2037" t="s">
        <v>11054</v>
      </c>
      <c r="C16" s="2039"/>
      <c r="D16" s="1972"/>
      <c r="E16" s="1596"/>
      <c r="F16" s="1970"/>
      <c r="G16" s="1971"/>
      <c r="H16" s="1971"/>
      <c r="I16" s="1971"/>
      <c r="J16" s="1971"/>
      <c r="K16" s="1972"/>
      <c r="L16" s="1596"/>
      <c r="M16" s="1970"/>
      <c r="N16" s="1971"/>
      <c r="O16" s="1971"/>
      <c r="P16" s="1971"/>
      <c r="Q16" s="1971"/>
      <c r="R16" s="1972"/>
      <c r="S16" s="1596"/>
      <c r="T16" s="2056"/>
      <c r="U16" s="2057"/>
      <c r="V16" s="2057"/>
      <c r="W16" s="2057"/>
      <c r="X16" s="2057"/>
      <c r="Y16" s="2058"/>
      <c r="Z16" s="1596"/>
      <c r="AA16" s="2064"/>
      <c r="AB16" s="2065"/>
      <c r="AC16" s="2069"/>
      <c r="AD16" s="2069"/>
      <c r="AE16" s="1972"/>
      <c r="AF16" s="74"/>
      <c r="AG16" s="98" t="s">
        <v>11055</v>
      </c>
      <c r="AH16" s="74"/>
      <c r="AI16" s="79"/>
      <c r="AJ16" s="1190"/>
      <c r="AK16" s="2589"/>
      <c r="AL16" s="1121">
        <f t="shared" ref="AL16:AL61" si="23">IF( SUM( AN16:BO16 ) = 0, 0, $AN$5 )</f>
        <v>0</v>
      </c>
      <c r="AM16" s="2589"/>
      <c r="AN16" s="252">
        <f t="shared" si="22"/>
        <v>0</v>
      </c>
      <c r="AO16" s="2560"/>
      <c r="AP16" s="252">
        <f t="shared" si="0"/>
        <v>0</v>
      </c>
      <c r="AQ16" s="252">
        <f t="shared" si="1"/>
        <v>0</v>
      </c>
      <c r="AR16" s="252">
        <f t="shared" si="2"/>
        <v>0</v>
      </c>
      <c r="AS16" s="252">
        <f t="shared" si="3"/>
        <v>0</v>
      </c>
      <c r="AT16" s="252">
        <f t="shared" si="4"/>
        <v>0</v>
      </c>
      <c r="AU16" s="252">
        <f t="shared" si="5"/>
        <v>0</v>
      </c>
      <c r="AV16" s="2560"/>
      <c r="AW16" s="252">
        <f t="shared" si="6"/>
        <v>0</v>
      </c>
      <c r="AX16" s="252">
        <f t="shared" si="7"/>
        <v>0</v>
      </c>
      <c r="AY16" s="252">
        <f t="shared" si="8"/>
        <v>0</v>
      </c>
      <c r="AZ16" s="252">
        <f t="shared" si="9"/>
        <v>0</v>
      </c>
      <c r="BA16" s="252">
        <f t="shared" si="10"/>
        <v>0</v>
      </c>
      <c r="BB16" s="252">
        <f t="shared" si="11"/>
        <v>0</v>
      </c>
      <c r="BC16" s="2560"/>
      <c r="BD16" s="252">
        <f t="shared" si="12"/>
        <v>0</v>
      </c>
      <c r="BE16" s="252">
        <f t="shared" si="13"/>
        <v>0</v>
      </c>
      <c r="BF16" s="252">
        <f t="shared" si="14"/>
        <v>0</v>
      </c>
      <c r="BG16" s="252">
        <f t="shared" si="15"/>
        <v>0</v>
      </c>
      <c r="BH16" s="252">
        <f t="shared" si="16"/>
        <v>0</v>
      </c>
      <c r="BI16" s="252">
        <f t="shared" si="17"/>
        <v>0</v>
      </c>
      <c r="BJ16" s="2560"/>
      <c r="BK16" s="252">
        <f t="shared" si="18"/>
        <v>0</v>
      </c>
      <c r="BL16" s="252">
        <f t="shared" si="19"/>
        <v>0</v>
      </c>
      <c r="BM16" s="2560"/>
      <c r="BN16" s="252">
        <f t="shared" si="20"/>
        <v>0</v>
      </c>
      <c r="BO16" s="252">
        <f t="shared" si="21"/>
        <v>0</v>
      </c>
      <c r="BP16" s="2589"/>
      <c r="BQ16" s="2560"/>
      <c r="BR16" s="1190"/>
      <c r="BS16" s="1190"/>
      <c r="BT16" s="1190"/>
      <c r="BU16" s="1190"/>
      <c r="BV16" s="1190"/>
      <c r="BW16" s="1190"/>
      <c r="BX16" s="1190"/>
      <c r="BY16" s="1190"/>
      <c r="BZ16" s="1190"/>
      <c r="CA16" s="1190"/>
      <c r="CB16" s="1190"/>
      <c r="CC16" s="1190"/>
      <c r="CD16" s="1190"/>
      <c r="CE16" s="1190"/>
      <c r="CF16" s="1190"/>
      <c r="CG16" s="1190"/>
      <c r="CH16" s="1190"/>
      <c r="CI16" s="1190"/>
    </row>
    <row r="17" spans="2:87" ht="15.75" customHeight="1">
      <c r="B17" s="2037" t="s">
        <v>11056</v>
      </c>
      <c r="C17" s="2039"/>
      <c r="D17" s="1972"/>
      <c r="E17" s="1596"/>
      <c r="F17" s="1970"/>
      <c r="G17" s="1971"/>
      <c r="H17" s="1971"/>
      <c r="I17" s="1971"/>
      <c r="J17" s="1971"/>
      <c r="K17" s="1972"/>
      <c r="L17" s="1596"/>
      <c r="M17" s="1970"/>
      <c r="N17" s="1971"/>
      <c r="O17" s="1971"/>
      <c r="P17" s="1971"/>
      <c r="Q17" s="1971"/>
      <c r="R17" s="1972"/>
      <c r="S17" s="1596"/>
      <c r="T17" s="2056"/>
      <c r="U17" s="2057"/>
      <c r="V17" s="2057"/>
      <c r="W17" s="2057"/>
      <c r="X17" s="2057"/>
      <c r="Y17" s="2058"/>
      <c r="Z17" s="1596"/>
      <c r="AA17" s="2064"/>
      <c r="AB17" s="2065"/>
      <c r="AC17" s="2069"/>
      <c r="AD17" s="2069"/>
      <c r="AE17" s="1972"/>
      <c r="AF17" s="74"/>
      <c r="AG17" s="98" t="s">
        <v>11057</v>
      </c>
      <c r="AH17" s="74"/>
      <c r="AI17" s="79"/>
      <c r="AJ17" s="1190"/>
      <c r="AK17" s="2589"/>
      <c r="AL17" s="1121">
        <f t="shared" si="23"/>
        <v>0</v>
      </c>
      <c r="AM17" s="2589"/>
      <c r="AN17" s="252">
        <f t="shared" si="22"/>
        <v>0</v>
      </c>
      <c r="AO17" s="2560"/>
      <c r="AP17" s="252">
        <f t="shared" si="0"/>
        <v>0</v>
      </c>
      <c r="AQ17" s="252">
        <f t="shared" si="1"/>
        <v>0</v>
      </c>
      <c r="AR17" s="252">
        <f t="shared" si="2"/>
        <v>0</v>
      </c>
      <c r="AS17" s="252">
        <f t="shared" si="3"/>
        <v>0</v>
      </c>
      <c r="AT17" s="252">
        <f t="shared" si="4"/>
        <v>0</v>
      </c>
      <c r="AU17" s="252">
        <f t="shared" si="5"/>
        <v>0</v>
      </c>
      <c r="AV17" s="2560"/>
      <c r="AW17" s="252">
        <f t="shared" si="6"/>
        <v>0</v>
      </c>
      <c r="AX17" s="252">
        <f t="shared" si="7"/>
        <v>0</v>
      </c>
      <c r="AY17" s="252">
        <f t="shared" si="8"/>
        <v>0</v>
      </c>
      <c r="AZ17" s="252">
        <f t="shared" si="9"/>
        <v>0</v>
      </c>
      <c r="BA17" s="252">
        <f t="shared" si="10"/>
        <v>0</v>
      </c>
      <c r="BB17" s="252">
        <f t="shared" si="11"/>
        <v>0</v>
      </c>
      <c r="BC17" s="2560"/>
      <c r="BD17" s="252">
        <f t="shared" si="12"/>
        <v>0</v>
      </c>
      <c r="BE17" s="252">
        <f t="shared" si="13"/>
        <v>0</v>
      </c>
      <c r="BF17" s="252">
        <f t="shared" si="14"/>
        <v>0</v>
      </c>
      <c r="BG17" s="252">
        <f t="shared" si="15"/>
        <v>0</v>
      </c>
      <c r="BH17" s="252">
        <f t="shared" si="16"/>
        <v>0</v>
      </c>
      <c r="BI17" s="252">
        <f t="shared" si="17"/>
        <v>0</v>
      </c>
      <c r="BJ17" s="2560"/>
      <c r="BK17" s="252">
        <f t="shared" si="18"/>
        <v>0</v>
      </c>
      <c r="BL17" s="252">
        <f t="shared" si="19"/>
        <v>0</v>
      </c>
      <c r="BM17" s="2560"/>
      <c r="BN17" s="252">
        <f t="shared" si="20"/>
        <v>0</v>
      </c>
      <c r="BO17" s="252">
        <f t="shared" si="21"/>
        <v>0</v>
      </c>
      <c r="BP17" s="2589"/>
      <c r="BQ17" s="2560"/>
      <c r="BR17" s="1190"/>
      <c r="BS17" s="1190"/>
      <c r="BT17" s="1190"/>
      <c r="BU17" s="1190"/>
      <c r="BV17" s="1190"/>
      <c r="BW17" s="1190"/>
      <c r="BX17" s="1190"/>
      <c r="BY17" s="1190"/>
      <c r="BZ17" s="1190"/>
      <c r="CA17" s="1190"/>
      <c r="CB17" s="1190"/>
      <c r="CC17" s="1190"/>
      <c r="CD17" s="1190"/>
      <c r="CE17" s="1190"/>
      <c r="CF17" s="1190"/>
      <c r="CG17" s="1190"/>
      <c r="CH17" s="1190"/>
      <c r="CI17" s="1190"/>
    </row>
    <row r="18" spans="2:87" ht="15.75" customHeight="1">
      <c r="B18" s="2037" t="s">
        <v>11058</v>
      </c>
      <c r="C18" s="2039"/>
      <c r="D18" s="1972"/>
      <c r="E18" s="1596"/>
      <c r="F18" s="1970"/>
      <c r="G18" s="1971"/>
      <c r="H18" s="1971"/>
      <c r="I18" s="1971"/>
      <c r="J18" s="1971"/>
      <c r="K18" s="1972"/>
      <c r="L18" s="1596"/>
      <c r="M18" s="1970"/>
      <c r="N18" s="1971"/>
      <c r="O18" s="1971"/>
      <c r="P18" s="1971"/>
      <c r="Q18" s="1971"/>
      <c r="R18" s="1972"/>
      <c r="S18" s="1596"/>
      <c r="T18" s="2056"/>
      <c r="U18" s="2057"/>
      <c r="V18" s="2057"/>
      <c r="W18" s="2057"/>
      <c r="X18" s="2057"/>
      <c r="Y18" s="2058"/>
      <c r="Z18" s="1596"/>
      <c r="AA18" s="2064"/>
      <c r="AB18" s="2065"/>
      <c r="AC18" s="2069"/>
      <c r="AD18" s="2069"/>
      <c r="AE18" s="1972"/>
      <c r="AF18" s="74"/>
      <c r="AG18" s="98" t="s">
        <v>11059</v>
      </c>
      <c r="AH18" s="74"/>
      <c r="AI18" s="79"/>
      <c r="AJ18" s="1190"/>
      <c r="AK18" s="2589"/>
      <c r="AL18" s="1121">
        <f t="shared" si="23"/>
        <v>0</v>
      </c>
      <c r="AM18" s="2589"/>
      <c r="AN18" s="252">
        <f t="shared" si="22"/>
        <v>0</v>
      </c>
      <c r="AO18" s="2560"/>
      <c r="AP18" s="252">
        <f t="shared" si="0"/>
        <v>0</v>
      </c>
      <c r="AQ18" s="252">
        <f t="shared" si="1"/>
        <v>0</v>
      </c>
      <c r="AR18" s="252">
        <f t="shared" si="2"/>
        <v>0</v>
      </c>
      <c r="AS18" s="252">
        <f t="shared" si="3"/>
        <v>0</v>
      </c>
      <c r="AT18" s="252">
        <f t="shared" si="4"/>
        <v>0</v>
      </c>
      <c r="AU18" s="252">
        <f t="shared" si="5"/>
        <v>0</v>
      </c>
      <c r="AV18" s="2560"/>
      <c r="AW18" s="252">
        <f t="shared" si="6"/>
        <v>0</v>
      </c>
      <c r="AX18" s="252">
        <f t="shared" si="7"/>
        <v>0</v>
      </c>
      <c r="AY18" s="252">
        <f t="shared" si="8"/>
        <v>0</v>
      </c>
      <c r="AZ18" s="252">
        <f t="shared" si="9"/>
        <v>0</v>
      </c>
      <c r="BA18" s="252">
        <f t="shared" si="10"/>
        <v>0</v>
      </c>
      <c r="BB18" s="252">
        <f t="shared" si="11"/>
        <v>0</v>
      </c>
      <c r="BC18" s="2560"/>
      <c r="BD18" s="252">
        <f t="shared" si="12"/>
        <v>0</v>
      </c>
      <c r="BE18" s="252">
        <f t="shared" si="13"/>
        <v>0</v>
      </c>
      <c r="BF18" s="252">
        <f t="shared" si="14"/>
        <v>0</v>
      </c>
      <c r="BG18" s="252">
        <f t="shared" si="15"/>
        <v>0</v>
      </c>
      <c r="BH18" s="252">
        <f t="shared" si="16"/>
        <v>0</v>
      </c>
      <c r="BI18" s="252">
        <f t="shared" si="17"/>
        <v>0</v>
      </c>
      <c r="BJ18" s="2560"/>
      <c r="BK18" s="252">
        <f t="shared" si="18"/>
        <v>0</v>
      </c>
      <c r="BL18" s="252">
        <f t="shared" si="19"/>
        <v>0</v>
      </c>
      <c r="BM18" s="2560"/>
      <c r="BN18" s="252">
        <f t="shared" si="20"/>
        <v>0</v>
      </c>
      <c r="BO18" s="252">
        <f t="shared" si="21"/>
        <v>0</v>
      </c>
      <c r="BP18" s="2589"/>
      <c r="BQ18" s="2560"/>
      <c r="BR18" s="1190"/>
      <c r="BS18" s="1190"/>
      <c r="BT18" s="1190"/>
      <c r="BU18" s="1190"/>
      <c r="BV18" s="1190"/>
      <c r="BW18" s="1190"/>
      <c r="BX18" s="1190"/>
      <c r="BY18" s="1190"/>
      <c r="BZ18" s="1190"/>
      <c r="CA18" s="1190"/>
      <c r="CB18" s="1190"/>
      <c r="CC18" s="1190"/>
      <c r="CD18" s="1190"/>
      <c r="CE18" s="1190"/>
      <c r="CF18" s="1190"/>
      <c r="CG18" s="1190"/>
      <c r="CH18" s="1190"/>
      <c r="CI18" s="1190"/>
    </row>
    <row r="19" spans="2:87" ht="15.75" customHeight="1">
      <c r="B19" s="2037" t="s">
        <v>11060</v>
      </c>
      <c r="C19" s="2039"/>
      <c r="D19" s="1972"/>
      <c r="E19" s="1596"/>
      <c r="F19" s="1970"/>
      <c r="G19" s="1971"/>
      <c r="H19" s="1971"/>
      <c r="I19" s="1971"/>
      <c r="J19" s="1971"/>
      <c r="K19" s="1972"/>
      <c r="L19" s="1596"/>
      <c r="M19" s="1970"/>
      <c r="N19" s="1971"/>
      <c r="O19" s="1971"/>
      <c r="P19" s="1971"/>
      <c r="Q19" s="1971"/>
      <c r="R19" s="1972"/>
      <c r="S19" s="1596"/>
      <c r="T19" s="2056"/>
      <c r="U19" s="2057"/>
      <c r="V19" s="2057"/>
      <c r="W19" s="2057"/>
      <c r="X19" s="2057"/>
      <c r="Y19" s="2058"/>
      <c r="Z19" s="1596"/>
      <c r="AA19" s="2064"/>
      <c r="AB19" s="2065"/>
      <c r="AC19" s="2069"/>
      <c r="AD19" s="2069"/>
      <c r="AE19" s="1972"/>
      <c r="AF19" s="74"/>
      <c r="AG19" s="98" t="s">
        <v>11061</v>
      </c>
      <c r="AH19" s="74"/>
      <c r="AI19" s="79"/>
      <c r="AJ19" s="1190"/>
      <c r="AK19" s="2589"/>
      <c r="AL19" s="1121">
        <f t="shared" si="23"/>
        <v>0</v>
      </c>
      <c r="AM19" s="2589"/>
      <c r="AN19" s="252">
        <f t="shared" si="22"/>
        <v>0</v>
      </c>
      <c r="AO19" s="2560"/>
      <c r="AP19" s="252">
        <f t="shared" si="0"/>
        <v>0</v>
      </c>
      <c r="AQ19" s="252">
        <f t="shared" si="1"/>
        <v>0</v>
      </c>
      <c r="AR19" s="252">
        <f t="shared" si="2"/>
        <v>0</v>
      </c>
      <c r="AS19" s="252">
        <f t="shared" si="3"/>
        <v>0</v>
      </c>
      <c r="AT19" s="252">
        <f t="shared" si="4"/>
        <v>0</v>
      </c>
      <c r="AU19" s="252">
        <f t="shared" si="5"/>
        <v>0</v>
      </c>
      <c r="AV19" s="2560"/>
      <c r="AW19" s="252">
        <f t="shared" si="6"/>
        <v>0</v>
      </c>
      <c r="AX19" s="252">
        <f t="shared" si="7"/>
        <v>0</v>
      </c>
      <c r="AY19" s="252">
        <f t="shared" si="8"/>
        <v>0</v>
      </c>
      <c r="AZ19" s="252">
        <f t="shared" si="9"/>
        <v>0</v>
      </c>
      <c r="BA19" s="252">
        <f t="shared" si="10"/>
        <v>0</v>
      </c>
      <c r="BB19" s="252">
        <f t="shared" si="11"/>
        <v>0</v>
      </c>
      <c r="BC19" s="2560"/>
      <c r="BD19" s="252">
        <f t="shared" si="12"/>
        <v>0</v>
      </c>
      <c r="BE19" s="252">
        <f t="shared" si="13"/>
        <v>0</v>
      </c>
      <c r="BF19" s="252">
        <f t="shared" si="14"/>
        <v>0</v>
      </c>
      <c r="BG19" s="252">
        <f t="shared" si="15"/>
        <v>0</v>
      </c>
      <c r="BH19" s="252">
        <f t="shared" si="16"/>
        <v>0</v>
      </c>
      <c r="BI19" s="252">
        <f t="shared" si="17"/>
        <v>0</v>
      </c>
      <c r="BJ19" s="2560"/>
      <c r="BK19" s="252">
        <f t="shared" si="18"/>
        <v>0</v>
      </c>
      <c r="BL19" s="252">
        <f t="shared" si="19"/>
        <v>0</v>
      </c>
      <c r="BM19" s="2560"/>
      <c r="BN19" s="252">
        <f t="shared" si="20"/>
        <v>0</v>
      </c>
      <c r="BO19" s="252">
        <f t="shared" si="21"/>
        <v>0</v>
      </c>
      <c r="BP19" s="2589"/>
      <c r="BQ19" s="2560"/>
      <c r="BR19" s="1190"/>
      <c r="BS19" s="1190"/>
      <c r="BT19" s="1190"/>
      <c r="BU19" s="1190"/>
      <c r="BV19" s="1190"/>
      <c r="BW19" s="1190"/>
      <c r="BX19" s="1190"/>
      <c r="BY19" s="1190"/>
      <c r="BZ19" s="1190"/>
      <c r="CA19" s="1190"/>
      <c r="CB19" s="1190"/>
      <c r="CC19" s="1190"/>
      <c r="CD19" s="1190"/>
      <c r="CE19" s="1190"/>
      <c r="CF19" s="1190"/>
      <c r="CG19" s="1190"/>
      <c r="CH19" s="1190"/>
      <c r="CI19" s="1190"/>
    </row>
    <row r="20" spans="2:87" ht="15.75" customHeight="1">
      <c r="B20" s="2037" t="s">
        <v>11062</v>
      </c>
      <c r="C20" s="2039"/>
      <c r="D20" s="1972"/>
      <c r="E20" s="1596"/>
      <c r="F20" s="1970"/>
      <c r="G20" s="1971"/>
      <c r="H20" s="1971"/>
      <c r="I20" s="1971"/>
      <c r="J20" s="1971"/>
      <c r="K20" s="1972"/>
      <c r="L20" s="1596"/>
      <c r="M20" s="1970"/>
      <c r="N20" s="1971"/>
      <c r="O20" s="1971"/>
      <c r="P20" s="1971"/>
      <c r="Q20" s="1971"/>
      <c r="R20" s="1972"/>
      <c r="S20" s="1596"/>
      <c r="T20" s="2056"/>
      <c r="U20" s="2057"/>
      <c r="V20" s="2057"/>
      <c r="W20" s="2057"/>
      <c r="X20" s="2057"/>
      <c r="Y20" s="2058"/>
      <c r="Z20" s="1596"/>
      <c r="AA20" s="2064"/>
      <c r="AB20" s="2065"/>
      <c r="AC20" s="2069"/>
      <c r="AD20" s="2069"/>
      <c r="AE20" s="1972"/>
      <c r="AF20" s="74"/>
      <c r="AG20" s="98" t="s">
        <v>11063</v>
      </c>
      <c r="AH20" s="74"/>
      <c r="AI20" s="79"/>
      <c r="AJ20" s="1190"/>
      <c r="AK20" s="2589"/>
      <c r="AL20" s="1121">
        <f t="shared" si="23"/>
        <v>0</v>
      </c>
      <c r="AM20" s="2589"/>
      <c r="AN20" s="252">
        <f t="shared" si="22"/>
        <v>0</v>
      </c>
      <c r="AO20" s="2560"/>
      <c r="AP20" s="252">
        <f t="shared" si="0"/>
        <v>0</v>
      </c>
      <c r="AQ20" s="252">
        <f t="shared" si="1"/>
        <v>0</v>
      </c>
      <c r="AR20" s="252">
        <f t="shared" si="2"/>
        <v>0</v>
      </c>
      <c r="AS20" s="252">
        <f t="shared" si="3"/>
        <v>0</v>
      </c>
      <c r="AT20" s="252">
        <f t="shared" si="4"/>
        <v>0</v>
      </c>
      <c r="AU20" s="252">
        <f t="shared" si="5"/>
        <v>0</v>
      </c>
      <c r="AV20" s="2560"/>
      <c r="AW20" s="252">
        <f t="shared" si="6"/>
        <v>0</v>
      </c>
      <c r="AX20" s="252">
        <f t="shared" si="7"/>
        <v>0</v>
      </c>
      <c r="AY20" s="252">
        <f t="shared" si="8"/>
        <v>0</v>
      </c>
      <c r="AZ20" s="252">
        <f t="shared" si="9"/>
        <v>0</v>
      </c>
      <c r="BA20" s="252">
        <f t="shared" si="10"/>
        <v>0</v>
      </c>
      <c r="BB20" s="252">
        <f t="shared" si="11"/>
        <v>0</v>
      </c>
      <c r="BC20" s="2560"/>
      <c r="BD20" s="252">
        <f t="shared" si="12"/>
        <v>0</v>
      </c>
      <c r="BE20" s="252">
        <f t="shared" si="13"/>
        <v>0</v>
      </c>
      <c r="BF20" s="252">
        <f t="shared" si="14"/>
        <v>0</v>
      </c>
      <c r="BG20" s="252">
        <f t="shared" si="15"/>
        <v>0</v>
      </c>
      <c r="BH20" s="252">
        <f t="shared" si="16"/>
        <v>0</v>
      </c>
      <c r="BI20" s="252">
        <f t="shared" si="17"/>
        <v>0</v>
      </c>
      <c r="BJ20" s="2560"/>
      <c r="BK20" s="252">
        <f t="shared" si="18"/>
        <v>0</v>
      </c>
      <c r="BL20" s="252">
        <f t="shared" si="19"/>
        <v>0</v>
      </c>
      <c r="BM20" s="2560"/>
      <c r="BN20" s="252">
        <f t="shared" si="20"/>
        <v>0</v>
      </c>
      <c r="BO20" s="252">
        <f t="shared" si="21"/>
        <v>0</v>
      </c>
      <c r="BP20" s="2589"/>
      <c r="BQ20" s="2560"/>
      <c r="BR20" s="1190"/>
      <c r="BS20" s="1190"/>
      <c r="BT20" s="1190"/>
      <c r="BU20" s="1190"/>
      <c r="BV20" s="1190"/>
      <c r="BW20" s="1190"/>
      <c r="BX20" s="1190"/>
      <c r="BY20" s="1190"/>
      <c r="BZ20" s="1190"/>
      <c r="CA20" s="1190"/>
      <c r="CB20" s="1190"/>
      <c r="CC20" s="1190"/>
      <c r="CD20" s="1190"/>
      <c r="CE20" s="1190"/>
      <c r="CF20" s="1190"/>
      <c r="CG20" s="1190"/>
      <c r="CH20" s="1190"/>
      <c r="CI20" s="1190"/>
    </row>
    <row r="21" spans="2:87" ht="15.75" customHeight="1">
      <c r="B21" s="2037" t="s">
        <v>11064</v>
      </c>
      <c r="C21" s="2039"/>
      <c r="D21" s="1972"/>
      <c r="E21" s="1596"/>
      <c r="F21" s="1970"/>
      <c r="G21" s="1971"/>
      <c r="H21" s="1971"/>
      <c r="I21" s="1971"/>
      <c r="J21" s="1971"/>
      <c r="K21" s="1972"/>
      <c r="L21" s="1596"/>
      <c r="M21" s="1970"/>
      <c r="N21" s="1971"/>
      <c r="O21" s="1971"/>
      <c r="P21" s="1971"/>
      <c r="Q21" s="1971"/>
      <c r="R21" s="1972"/>
      <c r="S21" s="1596"/>
      <c r="T21" s="2056"/>
      <c r="U21" s="2057"/>
      <c r="V21" s="2057"/>
      <c r="W21" s="2057"/>
      <c r="X21" s="2057"/>
      <c r="Y21" s="2058"/>
      <c r="Z21" s="1596"/>
      <c r="AA21" s="2064"/>
      <c r="AB21" s="2065"/>
      <c r="AC21" s="2069"/>
      <c r="AD21" s="2069"/>
      <c r="AE21" s="1972"/>
      <c r="AF21" s="74"/>
      <c r="AG21" s="98" t="s">
        <v>11065</v>
      </c>
      <c r="AH21" s="74"/>
      <c r="AI21" s="79"/>
      <c r="AJ21" s="1190"/>
      <c r="AK21" s="2589"/>
      <c r="AL21" s="1121">
        <f t="shared" si="23"/>
        <v>0</v>
      </c>
      <c r="AM21" s="2589"/>
      <c r="AN21" s="252">
        <f t="shared" si="22"/>
        <v>0</v>
      </c>
      <c r="AO21" s="2560"/>
      <c r="AP21" s="252">
        <f t="shared" si="0"/>
        <v>0</v>
      </c>
      <c r="AQ21" s="252">
        <f t="shared" si="1"/>
        <v>0</v>
      </c>
      <c r="AR21" s="252">
        <f t="shared" si="2"/>
        <v>0</v>
      </c>
      <c r="AS21" s="252">
        <f t="shared" si="3"/>
        <v>0</v>
      </c>
      <c r="AT21" s="252">
        <f t="shared" si="4"/>
        <v>0</v>
      </c>
      <c r="AU21" s="252">
        <f t="shared" si="5"/>
        <v>0</v>
      </c>
      <c r="AV21" s="2560"/>
      <c r="AW21" s="252">
        <f t="shared" si="6"/>
        <v>0</v>
      </c>
      <c r="AX21" s="252">
        <f t="shared" si="7"/>
        <v>0</v>
      </c>
      <c r="AY21" s="252">
        <f t="shared" si="8"/>
        <v>0</v>
      </c>
      <c r="AZ21" s="252">
        <f t="shared" si="9"/>
        <v>0</v>
      </c>
      <c r="BA21" s="252">
        <f t="shared" si="10"/>
        <v>0</v>
      </c>
      <c r="BB21" s="252">
        <f t="shared" si="11"/>
        <v>0</v>
      </c>
      <c r="BC21" s="2560"/>
      <c r="BD21" s="252">
        <f t="shared" si="12"/>
        <v>0</v>
      </c>
      <c r="BE21" s="252">
        <f t="shared" si="13"/>
        <v>0</v>
      </c>
      <c r="BF21" s="252">
        <f t="shared" si="14"/>
        <v>0</v>
      </c>
      <c r="BG21" s="252">
        <f t="shared" si="15"/>
        <v>0</v>
      </c>
      <c r="BH21" s="252">
        <f t="shared" si="16"/>
        <v>0</v>
      </c>
      <c r="BI21" s="252">
        <f t="shared" si="17"/>
        <v>0</v>
      </c>
      <c r="BJ21" s="2560"/>
      <c r="BK21" s="252">
        <f t="shared" si="18"/>
        <v>0</v>
      </c>
      <c r="BL21" s="252">
        <f t="shared" si="19"/>
        <v>0</v>
      </c>
      <c r="BM21" s="2560"/>
      <c r="BN21" s="252">
        <f t="shared" si="20"/>
        <v>0</v>
      </c>
      <c r="BO21" s="252">
        <f t="shared" si="21"/>
        <v>0</v>
      </c>
      <c r="BP21" s="2589"/>
      <c r="BQ21" s="2560"/>
      <c r="BR21" s="1190"/>
      <c r="BS21" s="1190"/>
      <c r="BT21" s="1190"/>
      <c r="BU21" s="1190"/>
      <c r="BV21" s="1190"/>
      <c r="BW21" s="1190"/>
      <c r="BX21" s="1190"/>
      <c r="BY21" s="1190"/>
      <c r="BZ21" s="1190"/>
      <c r="CA21" s="1190"/>
      <c r="CB21" s="1190"/>
      <c r="CC21" s="1190"/>
      <c r="CD21" s="1190"/>
      <c r="CE21" s="1190"/>
      <c r="CF21" s="1190"/>
      <c r="CG21" s="1190"/>
      <c r="CH21" s="1190"/>
      <c r="CI21" s="1190"/>
    </row>
    <row r="22" spans="2:87" ht="15.75" customHeight="1">
      <c r="B22" s="2037" t="s">
        <v>11066</v>
      </c>
      <c r="C22" s="2039"/>
      <c r="D22" s="1972"/>
      <c r="E22" s="1596"/>
      <c r="F22" s="1970"/>
      <c r="G22" s="1971"/>
      <c r="H22" s="1971"/>
      <c r="I22" s="1971"/>
      <c r="J22" s="1971"/>
      <c r="K22" s="1972"/>
      <c r="L22" s="1596"/>
      <c r="M22" s="1970"/>
      <c r="N22" s="1971"/>
      <c r="O22" s="1971"/>
      <c r="P22" s="1971"/>
      <c r="Q22" s="1971"/>
      <c r="R22" s="1972"/>
      <c r="S22" s="1596"/>
      <c r="T22" s="2056"/>
      <c r="U22" s="2057"/>
      <c r="V22" s="2057"/>
      <c r="W22" s="2057"/>
      <c r="X22" s="2057"/>
      <c r="Y22" s="2058"/>
      <c r="Z22" s="1596"/>
      <c r="AA22" s="2064"/>
      <c r="AB22" s="2065"/>
      <c r="AC22" s="2069"/>
      <c r="AD22" s="2069"/>
      <c r="AE22" s="1972"/>
      <c r="AF22" s="74"/>
      <c r="AG22" s="98" t="s">
        <v>11067</v>
      </c>
      <c r="AH22" s="74"/>
      <c r="AI22" s="79"/>
      <c r="AJ22" s="1190"/>
      <c r="AK22" s="2589"/>
      <c r="AL22" s="1121">
        <f t="shared" si="23"/>
        <v>0</v>
      </c>
      <c r="AM22" s="2589"/>
      <c r="AN22" s="252">
        <f t="shared" si="22"/>
        <v>0</v>
      </c>
      <c r="AO22" s="2560"/>
      <c r="AP22" s="252">
        <f t="shared" si="0"/>
        <v>0</v>
      </c>
      <c r="AQ22" s="252">
        <f t="shared" si="1"/>
        <v>0</v>
      </c>
      <c r="AR22" s="252">
        <f t="shared" si="2"/>
        <v>0</v>
      </c>
      <c r="AS22" s="252">
        <f t="shared" si="3"/>
        <v>0</v>
      </c>
      <c r="AT22" s="252">
        <f t="shared" si="4"/>
        <v>0</v>
      </c>
      <c r="AU22" s="252">
        <f t="shared" si="5"/>
        <v>0</v>
      </c>
      <c r="AV22" s="2560"/>
      <c r="AW22" s="252">
        <f t="shared" si="6"/>
        <v>0</v>
      </c>
      <c r="AX22" s="252">
        <f t="shared" si="7"/>
        <v>0</v>
      </c>
      <c r="AY22" s="252">
        <f t="shared" si="8"/>
        <v>0</v>
      </c>
      <c r="AZ22" s="252">
        <f t="shared" si="9"/>
        <v>0</v>
      </c>
      <c r="BA22" s="252">
        <f t="shared" si="10"/>
        <v>0</v>
      </c>
      <c r="BB22" s="252">
        <f t="shared" si="11"/>
        <v>0</v>
      </c>
      <c r="BC22" s="2560"/>
      <c r="BD22" s="252">
        <f t="shared" si="12"/>
        <v>0</v>
      </c>
      <c r="BE22" s="252">
        <f t="shared" si="13"/>
        <v>0</v>
      </c>
      <c r="BF22" s="252">
        <f t="shared" si="14"/>
        <v>0</v>
      </c>
      <c r="BG22" s="252">
        <f t="shared" si="15"/>
        <v>0</v>
      </c>
      <c r="BH22" s="252">
        <f t="shared" si="16"/>
        <v>0</v>
      </c>
      <c r="BI22" s="252">
        <f t="shared" si="17"/>
        <v>0</v>
      </c>
      <c r="BJ22" s="2560"/>
      <c r="BK22" s="252">
        <f t="shared" si="18"/>
        <v>0</v>
      </c>
      <c r="BL22" s="252">
        <f t="shared" si="19"/>
        <v>0</v>
      </c>
      <c r="BM22" s="2560"/>
      <c r="BN22" s="252">
        <f t="shared" si="20"/>
        <v>0</v>
      </c>
      <c r="BO22" s="252">
        <f t="shared" si="21"/>
        <v>0</v>
      </c>
      <c r="BP22" s="2589"/>
      <c r="BQ22" s="2560"/>
      <c r="BR22" s="1190"/>
      <c r="BS22" s="1190"/>
      <c r="BT22" s="1190"/>
      <c r="BU22" s="1190"/>
      <c r="BV22" s="1190"/>
      <c r="BW22" s="1190"/>
      <c r="BX22" s="1190"/>
      <c r="BY22" s="1190"/>
      <c r="BZ22" s="1190"/>
      <c r="CA22" s="1190"/>
      <c r="CB22" s="1190"/>
      <c r="CC22" s="1190"/>
      <c r="CD22" s="1190"/>
      <c r="CE22" s="1190"/>
      <c r="CF22" s="1190"/>
      <c r="CG22" s="1190"/>
      <c r="CH22" s="1190"/>
      <c r="CI22" s="1190"/>
    </row>
    <row r="23" spans="2:87" ht="15.75" customHeight="1">
      <c r="B23" s="2037" t="s">
        <v>11068</v>
      </c>
      <c r="C23" s="2039"/>
      <c r="D23" s="1972"/>
      <c r="E23" s="1596"/>
      <c r="F23" s="1970"/>
      <c r="G23" s="1971"/>
      <c r="H23" s="1971"/>
      <c r="I23" s="1971"/>
      <c r="J23" s="1971"/>
      <c r="K23" s="1972"/>
      <c r="L23" s="1596"/>
      <c r="M23" s="1970"/>
      <c r="N23" s="1971"/>
      <c r="O23" s="1971"/>
      <c r="P23" s="1971"/>
      <c r="Q23" s="1971"/>
      <c r="R23" s="1972"/>
      <c r="S23" s="1596"/>
      <c r="T23" s="2056"/>
      <c r="U23" s="2057"/>
      <c r="V23" s="2057"/>
      <c r="W23" s="2057"/>
      <c r="X23" s="2057"/>
      <c r="Y23" s="2058"/>
      <c r="Z23" s="1596"/>
      <c r="AA23" s="2064"/>
      <c r="AB23" s="2065"/>
      <c r="AC23" s="2069"/>
      <c r="AD23" s="2069"/>
      <c r="AE23" s="1972"/>
      <c r="AF23" s="74"/>
      <c r="AG23" s="98" t="s">
        <v>11069</v>
      </c>
      <c r="AH23" s="74"/>
      <c r="AI23" s="79"/>
      <c r="AJ23" s="1190"/>
      <c r="AK23" s="2589"/>
      <c r="AL23" s="1121">
        <f t="shared" si="23"/>
        <v>0</v>
      </c>
      <c r="AM23" s="2589"/>
      <c r="AN23" s="252">
        <f t="shared" si="22"/>
        <v>0</v>
      </c>
      <c r="AO23" s="2560"/>
      <c r="AP23" s="252">
        <f t="shared" si="0"/>
        <v>0</v>
      </c>
      <c r="AQ23" s="252">
        <f t="shared" si="1"/>
        <v>0</v>
      </c>
      <c r="AR23" s="252">
        <f t="shared" si="2"/>
        <v>0</v>
      </c>
      <c r="AS23" s="252">
        <f t="shared" si="3"/>
        <v>0</v>
      </c>
      <c r="AT23" s="252">
        <f t="shared" si="4"/>
        <v>0</v>
      </c>
      <c r="AU23" s="252">
        <f t="shared" si="5"/>
        <v>0</v>
      </c>
      <c r="AV23" s="2560"/>
      <c r="AW23" s="252">
        <f t="shared" si="6"/>
        <v>0</v>
      </c>
      <c r="AX23" s="252">
        <f t="shared" si="7"/>
        <v>0</v>
      </c>
      <c r="AY23" s="252">
        <f t="shared" si="8"/>
        <v>0</v>
      </c>
      <c r="AZ23" s="252">
        <f t="shared" si="9"/>
        <v>0</v>
      </c>
      <c r="BA23" s="252">
        <f t="shared" si="10"/>
        <v>0</v>
      </c>
      <c r="BB23" s="252">
        <f t="shared" si="11"/>
        <v>0</v>
      </c>
      <c r="BC23" s="2560"/>
      <c r="BD23" s="252">
        <f t="shared" si="12"/>
        <v>0</v>
      </c>
      <c r="BE23" s="252">
        <f t="shared" si="13"/>
        <v>0</v>
      </c>
      <c r="BF23" s="252">
        <f t="shared" si="14"/>
        <v>0</v>
      </c>
      <c r="BG23" s="252">
        <f t="shared" si="15"/>
        <v>0</v>
      </c>
      <c r="BH23" s="252">
        <f t="shared" si="16"/>
        <v>0</v>
      </c>
      <c r="BI23" s="252">
        <f t="shared" si="17"/>
        <v>0</v>
      </c>
      <c r="BJ23" s="2560"/>
      <c r="BK23" s="252">
        <f t="shared" si="18"/>
        <v>0</v>
      </c>
      <c r="BL23" s="252">
        <f t="shared" si="19"/>
        <v>0</v>
      </c>
      <c r="BM23" s="2560"/>
      <c r="BN23" s="252">
        <f t="shared" si="20"/>
        <v>0</v>
      </c>
      <c r="BO23" s="252">
        <f t="shared" si="21"/>
        <v>0</v>
      </c>
      <c r="BP23" s="2589"/>
      <c r="BQ23" s="2560"/>
      <c r="BR23" s="1190"/>
      <c r="BS23" s="1190"/>
      <c r="BT23" s="1190"/>
      <c r="BU23" s="1190"/>
      <c r="BV23" s="1190"/>
      <c r="BW23" s="1190"/>
      <c r="BX23" s="1190"/>
      <c r="BY23" s="1190"/>
      <c r="BZ23" s="1190"/>
      <c r="CA23" s="1190"/>
      <c r="CB23" s="1190"/>
      <c r="CC23" s="1190"/>
      <c r="CD23" s="1190"/>
      <c r="CE23" s="1190"/>
      <c r="CF23" s="1190"/>
      <c r="CG23" s="1190"/>
      <c r="CH23" s="1190"/>
      <c r="CI23" s="1190"/>
    </row>
    <row r="24" spans="2:87" ht="15.75" customHeight="1">
      <c r="B24" s="2037" t="s">
        <v>11070</v>
      </c>
      <c r="C24" s="2039"/>
      <c r="D24" s="1972"/>
      <c r="E24" s="1596"/>
      <c r="F24" s="1970"/>
      <c r="G24" s="1971"/>
      <c r="H24" s="1971"/>
      <c r="I24" s="1971"/>
      <c r="J24" s="1971"/>
      <c r="K24" s="1972"/>
      <c r="L24" s="1596"/>
      <c r="M24" s="1970"/>
      <c r="N24" s="1971"/>
      <c r="O24" s="1971"/>
      <c r="P24" s="1971"/>
      <c r="Q24" s="1971"/>
      <c r="R24" s="1972"/>
      <c r="S24" s="1596"/>
      <c r="T24" s="2056"/>
      <c r="U24" s="2057"/>
      <c r="V24" s="2057"/>
      <c r="W24" s="2057"/>
      <c r="X24" s="2057"/>
      <c r="Y24" s="2058"/>
      <c r="Z24" s="1596"/>
      <c r="AA24" s="2064"/>
      <c r="AB24" s="2065"/>
      <c r="AC24" s="2069"/>
      <c r="AD24" s="2069"/>
      <c r="AE24" s="1972"/>
      <c r="AF24" s="74"/>
      <c r="AG24" s="98" t="s">
        <v>11071</v>
      </c>
      <c r="AH24" s="74"/>
      <c r="AI24" s="79"/>
      <c r="AJ24" s="1190"/>
      <c r="AK24" s="2589"/>
      <c r="AL24" s="1121">
        <f t="shared" si="23"/>
        <v>0</v>
      </c>
      <c r="AM24" s="2589"/>
      <c r="AN24" s="252">
        <f t="shared" si="22"/>
        <v>0</v>
      </c>
      <c r="AO24" s="2560"/>
      <c r="AP24" s="252">
        <f t="shared" si="0"/>
        <v>0</v>
      </c>
      <c r="AQ24" s="252">
        <f t="shared" si="1"/>
        <v>0</v>
      </c>
      <c r="AR24" s="252">
        <f t="shared" si="2"/>
        <v>0</v>
      </c>
      <c r="AS24" s="252">
        <f t="shared" si="3"/>
        <v>0</v>
      </c>
      <c r="AT24" s="252">
        <f t="shared" si="4"/>
        <v>0</v>
      </c>
      <c r="AU24" s="252">
        <f t="shared" si="5"/>
        <v>0</v>
      </c>
      <c r="AV24" s="2560"/>
      <c r="AW24" s="252">
        <f t="shared" si="6"/>
        <v>0</v>
      </c>
      <c r="AX24" s="252">
        <f t="shared" si="7"/>
        <v>0</v>
      </c>
      <c r="AY24" s="252">
        <f t="shared" si="8"/>
        <v>0</v>
      </c>
      <c r="AZ24" s="252">
        <f t="shared" si="9"/>
        <v>0</v>
      </c>
      <c r="BA24" s="252">
        <f t="shared" si="10"/>
        <v>0</v>
      </c>
      <c r="BB24" s="252">
        <f t="shared" si="11"/>
        <v>0</v>
      </c>
      <c r="BC24" s="2560"/>
      <c r="BD24" s="252">
        <f t="shared" si="12"/>
        <v>0</v>
      </c>
      <c r="BE24" s="252">
        <f t="shared" si="13"/>
        <v>0</v>
      </c>
      <c r="BF24" s="252">
        <f t="shared" si="14"/>
        <v>0</v>
      </c>
      <c r="BG24" s="252">
        <f t="shared" si="15"/>
        <v>0</v>
      </c>
      <c r="BH24" s="252">
        <f t="shared" si="16"/>
        <v>0</v>
      </c>
      <c r="BI24" s="252">
        <f t="shared" si="17"/>
        <v>0</v>
      </c>
      <c r="BJ24" s="2560"/>
      <c r="BK24" s="252">
        <f t="shared" si="18"/>
        <v>0</v>
      </c>
      <c r="BL24" s="252">
        <f t="shared" si="19"/>
        <v>0</v>
      </c>
      <c r="BM24" s="2560"/>
      <c r="BN24" s="252">
        <f t="shared" si="20"/>
        <v>0</v>
      </c>
      <c r="BO24" s="252">
        <f t="shared" si="21"/>
        <v>0</v>
      </c>
      <c r="BP24" s="2589"/>
      <c r="BQ24" s="2560"/>
      <c r="BR24" s="1190"/>
      <c r="BS24" s="1190"/>
      <c r="BT24" s="1190"/>
      <c r="BU24" s="1190"/>
      <c r="BV24" s="1190"/>
      <c r="BW24" s="1190"/>
      <c r="BX24" s="1190"/>
      <c r="BY24" s="1190"/>
      <c r="BZ24" s="1190"/>
      <c r="CA24" s="1190"/>
      <c r="CB24" s="1190"/>
      <c r="CC24" s="1190"/>
      <c r="CD24" s="1190"/>
      <c r="CE24" s="1190"/>
      <c r="CF24" s="1190"/>
      <c r="CG24" s="1190"/>
      <c r="CH24" s="1190"/>
      <c r="CI24" s="1190"/>
    </row>
    <row r="25" spans="2:87" ht="15.75" customHeight="1">
      <c r="B25" s="2037" t="s">
        <v>11072</v>
      </c>
      <c r="C25" s="2039"/>
      <c r="D25" s="1972"/>
      <c r="E25" s="1596"/>
      <c r="F25" s="1970"/>
      <c r="G25" s="1971"/>
      <c r="H25" s="1971"/>
      <c r="I25" s="1971"/>
      <c r="J25" s="1971"/>
      <c r="K25" s="1972"/>
      <c r="L25" s="1596"/>
      <c r="M25" s="1970"/>
      <c r="N25" s="1971"/>
      <c r="O25" s="1971"/>
      <c r="P25" s="1971"/>
      <c r="Q25" s="1971"/>
      <c r="R25" s="1972"/>
      <c r="S25" s="1596"/>
      <c r="T25" s="2056"/>
      <c r="U25" s="2057"/>
      <c r="V25" s="2057"/>
      <c r="W25" s="2057"/>
      <c r="X25" s="2057"/>
      <c r="Y25" s="2058"/>
      <c r="Z25" s="1596"/>
      <c r="AA25" s="2064"/>
      <c r="AB25" s="2065"/>
      <c r="AC25" s="2069"/>
      <c r="AD25" s="2069"/>
      <c r="AE25" s="1972"/>
      <c r="AF25" s="74"/>
      <c r="AG25" s="98" t="s">
        <v>11073</v>
      </c>
      <c r="AH25" s="74"/>
      <c r="AI25" s="79"/>
      <c r="AJ25" s="1190"/>
      <c r="AK25" s="2589"/>
      <c r="AL25" s="1121">
        <f t="shared" si="23"/>
        <v>0</v>
      </c>
      <c r="AM25" s="2589"/>
      <c r="AN25" s="252">
        <f t="shared" si="22"/>
        <v>0</v>
      </c>
      <c r="AO25" s="2560"/>
      <c r="AP25" s="252">
        <f t="shared" si="0"/>
        <v>0</v>
      </c>
      <c r="AQ25" s="252">
        <f t="shared" si="1"/>
        <v>0</v>
      </c>
      <c r="AR25" s="252">
        <f t="shared" si="2"/>
        <v>0</v>
      </c>
      <c r="AS25" s="252">
        <f t="shared" si="3"/>
        <v>0</v>
      </c>
      <c r="AT25" s="252">
        <f t="shared" si="4"/>
        <v>0</v>
      </c>
      <c r="AU25" s="252">
        <f t="shared" si="5"/>
        <v>0</v>
      </c>
      <c r="AV25" s="2560"/>
      <c r="AW25" s="252">
        <f t="shared" si="6"/>
        <v>0</v>
      </c>
      <c r="AX25" s="252">
        <f t="shared" si="7"/>
        <v>0</v>
      </c>
      <c r="AY25" s="252">
        <f t="shared" si="8"/>
        <v>0</v>
      </c>
      <c r="AZ25" s="252">
        <f t="shared" si="9"/>
        <v>0</v>
      </c>
      <c r="BA25" s="252">
        <f t="shared" si="10"/>
        <v>0</v>
      </c>
      <c r="BB25" s="252">
        <f t="shared" si="11"/>
        <v>0</v>
      </c>
      <c r="BC25" s="2560"/>
      <c r="BD25" s="252">
        <f t="shared" si="12"/>
        <v>0</v>
      </c>
      <c r="BE25" s="252">
        <f t="shared" si="13"/>
        <v>0</v>
      </c>
      <c r="BF25" s="252">
        <f t="shared" si="14"/>
        <v>0</v>
      </c>
      <c r="BG25" s="252">
        <f t="shared" si="15"/>
        <v>0</v>
      </c>
      <c r="BH25" s="252">
        <f t="shared" si="16"/>
        <v>0</v>
      </c>
      <c r="BI25" s="252">
        <f t="shared" si="17"/>
        <v>0</v>
      </c>
      <c r="BJ25" s="2560"/>
      <c r="BK25" s="252">
        <f t="shared" si="18"/>
        <v>0</v>
      </c>
      <c r="BL25" s="252">
        <f t="shared" si="19"/>
        <v>0</v>
      </c>
      <c r="BM25" s="2560"/>
      <c r="BN25" s="252">
        <f t="shared" si="20"/>
        <v>0</v>
      </c>
      <c r="BO25" s="252">
        <f t="shared" si="21"/>
        <v>0</v>
      </c>
      <c r="BP25" s="2589"/>
      <c r="BQ25" s="2560"/>
      <c r="BR25" s="1190"/>
      <c r="BS25" s="1190"/>
      <c r="BT25" s="1190"/>
      <c r="BU25" s="1190"/>
      <c r="BV25" s="1190"/>
      <c r="BW25" s="1190"/>
      <c r="BX25" s="1190"/>
      <c r="BY25" s="1190"/>
      <c r="BZ25" s="1190"/>
      <c r="CA25" s="1190"/>
      <c r="CB25" s="1190"/>
      <c r="CC25" s="1190"/>
      <c r="CD25" s="1190"/>
      <c r="CE25" s="1190"/>
      <c r="CF25" s="1190"/>
      <c r="CG25" s="1190"/>
      <c r="CH25" s="1190"/>
      <c r="CI25" s="1190"/>
    </row>
    <row r="26" spans="2:87" ht="15.75" customHeight="1">
      <c r="B26" s="2037" t="s">
        <v>11074</v>
      </c>
      <c r="C26" s="2039"/>
      <c r="D26" s="1972"/>
      <c r="E26" s="1596"/>
      <c r="F26" s="1970"/>
      <c r="G26" s="1971"/>
      <c r="H26" s="1971"/>
      <c r="I26" s="1971"/>
      <c r="J26" s="1971"/>
      <c r="K26" s="1972"/>
      <c r="L26" s="1596"/>
      <c r="M26" s="1970"/>
      <c r="N26" s="1971"/>
      <c r="O26" s="1971"/>
      <c r="P26" s="1971"/>
      <c r="Q26" s="1971"/>
      <c r="R26" s="1972"/>
      <c r="S26" s="1596"/>
      <c r="T26" s="2056"/>
      <c r="U26" s="2057"/>
      <c r="V26" s="2057"/>
      <c r="W26" s="2057"/>
      <c r="X26" s="2057"/>
      <c r="Y26" s="2058"/>
      <c r="Z26" s="1596"/>
      <c r="AA26" s="2064"/>
      <c r="AB26" s="2065"/>
      <c r="AC26" s="2069"/>
      <c r="AD26" s="2069"/>
      <c r="AE26" s="1972"/>
      <c r="AF26" s="74"/>
      <c r="AG26" s="98" t="s">
        <v>11075</v>
      </c>
      <c r="AH26" s="74"/>
      <c r="AI26" s="79"/>
      <c r="AJ26" s="1190"/>
      <c r="AK26" s="2589"/>
      <c r="AL26" s="1121">
        <f t="shared" si="23"/>
        <v>0</v>
      </c>
      <c r="AM26" s="2589"/>
      <c r="AN26" s="252">
        <f t="shared" si="22"/>
        <v>0</v>
      </c>
      <c r="AO26" s="2560"/>
      <c r="AP26" s="252">
        <f t="shared" si="0"/>
        <v>0</v>
      </c>
      <c r="AQ26" s="252">
        <f t="shared" si="1"/>
        <v>0</v>
      </c>
      <c r="AR26" s="252">
        <f t="shared" si="2"/>
        <v>0</v>
      </c>
      <c r="AS26" s="252">
        <f t="shared" si="3"/>
        <v>0</v>
      </c>
      <c r="AT26" s="252">
        <f t="shared" si="4"/>
        <v>0</v>
      </c>
      <c r="AU26" s="252">
        <f t="shared" si="5"/>
        <v>0</v>
      </c>
      <c r="AV26" s="2560"/>
      <c r="AW26" s="252">
        <f t="shared" si="6"/>
        <v>0</v>
      </c>
      <c r="AX26" s="252">
        <f t="shared" si="7"/>
        <v>0</v>
      </c>
      <c r="AY26" s="252">
        <f t="shared" si="8"/>
        <v>0</v>
      </c>
      <c r="AZ26" s="252">
        <f t="shared" si="9"/>
        <v>0</v>
      </c>
      <c r="BA26" s="252">
        <f t="shared" si="10"/>
        <v>0</v>
      </c>
      <c r="BB26" s="252">
        <f t="shared" si="11"/>
        <v>0</v>
      </c>
      <c r="BC26" s="2560"/>
      <c r="BD26" s="252">
        <f t="shared" si="12"/>
        <v>0</v>
      </c>
      <c r="BE26" s="252">
        <f t="shared" si="13"/>
        <v>0</v>
      </c>
      <c r="BF26" s="252">
        <f t="shared" si="14"/>
        <v>0</v>
      </c>
      <c r="BG26" s="252">
        <f t="shared" si="15"/>
        <v>0</v>
      </c>
      <c r="BH26" s="252">
        <f t="shared" si="16"/>
        <v>0</v>
      </c>
      <c r="BI26" s="252">
        <f t="shared" si="17"/>
        <v>0</v>
      </c>
      <c r="BJ26" s="2560"/>
      <c r="BK26" s="252">
        <f t="shared" si="18"/>
        <v>0</v>
      </c>
      <c r="BL26" s="252">
        <f t="shared" si="19"/>
        <v>0</v>
      </c>
      <c r="BM26" s="2560"/>
      <c r="BN26" s="252">
        <f t="shared" si="20"/>
        <v>0</v>
      </c>
      <c r="BO26" s="252">
        <f t="shared" si="21"/>
        <v>0</v>
      </c>
      <c r="BP26" s="2589"/>
      <c r="BQ26" s="2560"/>
      <c r="BR26" s="1190"/>
      <c r="BS26" s="1190"/>
      <c r="BT26" s="1190"/>
      <c r="BU26" s="1190"/>
      <c r="BV26" s="1190"/>
      <c r="BW26" s="1190"/>
      <c r="BX26" s="1190"/>
      <c r="BY26" s="1190"/>
      <c r="BZ26" s="1190"/>
      <c r="CA26" s="1190"/>
      <c r="CB26" s="1190"/>
      <c r="CC26" s="1190"/>
      <c r="CD26" s="1190"/>
      <c r="CE26" s="1190"/>
      <c r="CF26" s="1190"/>
      <c r="CG26" s="1190"/>
      <c r="CH26" s="1190"/>
      <c r="CI26" s="1190"/>
    </row>
    <row r="27" spans="2:87" ht="15.75" customHeight="1">
      <c r="B27" s="2037" t="s">
        <v>11076</v>
      </c>
      <c r="C27" s="2039"/>
      <c r="D27" s="1972"/>
      <c r="E27" s="1596"/>
      <c r="F27" s="1970"/>
      <c r="G27" s="1971"/>
      <c r="H27" s="1971"/>
      <c r="I27" s="1971"/>
      <c r="J27" s="1971"/>
      <c r="K27" s="1972"/>
      <c r="L27" s="1596"/>
      <c r="M27" s="1970"/>
      <c r="N27" s="1971"/>
      <c r="O27" s="1971"/>
      <c r="P27" s="1971"/>
      <c r="Q27" s="1971"/>
      <c r="R27" s="1972"/>
      <c r="S27" s="1596"/>
      <c r="T27" s="2056"/>
      <c r="U27" s="2057"/>
      <c r="V27" s="2057"/>
      <c r="W27" s="2057"/>
      <c r="X27" s="2057"/>
      <c r="Y27" s="2058"/>
      <c r="Z27" s="1596"/>
      <c r="AA27" s="2064"/>
      <c r="AB27" s="2065"/>
      <c r="AC27" s="2069"/>
      <c r="AD27" s="2069"/>
      <c r="AE27" s="1972"/>
      <c r="AF27" s="74"/>
      <c r="AG27" s="98" t="s">
        <v>11077</v>
      </c>
      <c r="AH27" s="74"/>
      <c r="AI27" s="79"/>
      <c r="AJ27" s="1190"/>
      <c r="AK27" s="2589"/>
      <c r="AL27" s="1121">
        <f t="shared" si="23"/>
        <v>0</v>
      </c>
      <c r="AM27" s="2589"/>
      <c r="AN27" s="252">
        <f t="shared" si="22"/>
        <v>0</v>
      </c>
      <c r="AO27" s="2560"/>
      <c r="AP27" s="252">
        <f t="shared" si="0"/>
        <v>0</v>
      </c>
      <c r="AQ27" s="252">
        <f t="shared" si="1"/>
        <v>0</v>
      </c>
      <c r="AR27" s="252">
        <f t="shared" si="2"/>
        <v>0</v>
      </c>
      <c r="AS27" s="252">
        <f t="shared" si="3"/>
        <v>0</v>
      </c>
      <c r="AT27" s="252">
        <f t="shared" si="4"/>
        <v>0</v>
      </c>
      <c r="AU27" s="252">
        <f t="shared" si="5"/>
        <v>0</v>
      </c>
      <c r="AV27" s="2560"/>
      <c r="AW27" s="252">
        <f t="shared" si="6"/>
        <v>0</v>
      </c>
      <c r="AX27" s="252">
        <f t="shared" si="7"/>
        <v>0</v>
      </c>
      <c r="AY27" s="252">
        <f t="shared" si="8"/>
        <v>0</v>
      </c>
      <c r="AZ27" s="252">
        <f t="shared" si="9"/>
        <v>0</v>
      </c>
      <c r="BA27" s="252">
        <f t="shared" si="10"/>
        <v>0</v>
      </c>
      <c r="BB27" s="252">
        <f t="shared" si="11"/>
        <v>0</v>
      </c>
      <c r="BC27" s="2560"/>
      <c r="BD27" s="252">
        <f t="shared" si="12"/>
        <v>0</v>
      </c>
      <c r="BE27" s="252">
        <f t="shared" si="13"/>
        <v>0</v>
      </c>
      <c r="BF27" s="252">
        <f t="shared" si="14"/>
        <v>0</v>
      </c>
      <c r="BG27" s="252">
        <f t="shared" si="15"/>
        <v>0</v>
      </c>
      <c r="BH27" s="252">
        <f t="shared" si="16"/>
        <v>0</v>
      </c>
      <c r="BI27" s="252">
        <f t="shared" si="17"/>
        <v>0</v>
      </c>
      <c r="BJ27" s="2560"/>
      <c r="BK27" s="252">
        <f t="shared" si="18"/>
        <v>0</v>
      </c>
      <c r="BL27" s="252">
        <f t="shared" si="19"/>
        <v>0</v>
      </c>
      <c r="BM27" s="2560"/>
      <c r="BN27" s="252">
        <f t="shared" si="20"/>
        <v>0</v>
      </c>
      <c r="BO27" s="252">
        <f t="shared" si="21"/>
        <v>0</v>
      </c>
      <c r="BP27" s="2589"/>
      <c r="BQ27" s="2560"/>
      <c r="BR27" s="1190"/>
      <c r="BS27" s="1190"/>
      <c r="BT27" s="1190"/>
      <c r="BU27" s="1190"/>
      <c r="BV27" s="1190"/>
      <c r="BW27" s="1190"/>
      <c r="BX27" s="1190"/>
      <c r="BY27" s="1190"/>
      <c r="BZ27" s="1190"/>
      <c r="CA27" s="1190"/>
      <c r="CB27" s="1190"/>
      <c r="CC27" s="1190"/>
      <c r="CD27" s="1190"/>
      <c r="CE27" s="1190"/>
      <c r="CF27" s="1190"/>
      <c r="CG27" s="1190"/>
      <c r="CH27" s="1190"/>
      <c r="CI27" s="1190"/>
    </row>
    <row r="28" spans="2:87" ht="15.75" customHeight="1">
      <c r="B28" s="2037" t="s">
        <v>11078</v>
      </c>
      <c r="C28" s="2039"/>
      <c r="D28" s="1972"/>
      <c r="E28" s="1596"/>
      <c r="F28" s="1970"/>
      <c r="G28" s="1971"/>
      <c r="H28" s="1971"/>
      <c r="I28" s="1971"/>
      <c r="J28" s="1971"/>
      <c r="K28" s="1972"/>
      <c r="L28" s="1596"/>
      <c r="M28" s="1970"/>
      <c r="N28" s="1971"/>
      <c r="O28" s="1971"/>
      <c r="P28" s="1971"/>
      <c r="Q28" s="1971"/>
      <c r="R28" s="1972"/>
      <c r="S28" s="1596"/>
      <c r="T28" s="2056"/>
      <c r="U28" s="2057"/>
      <c r="V28" s="2057"/>
      <c r="W28" s="2057"/>
      <c r="X28" s="2057"/>
      <c r="Y28" s="2058"/>
      <c r="Z28" s="1596"/>
      <c r="AA28" s="2064"/>
      <c r="AB28" s="2065"/>
      <c r="AC28" s="2069"/>
      <c r="AD28" s="2069"/>
      <c r="AE28" s="1972"/>
      <c r="AF28" s="74"/>
      <c r="AG28" s="98" t="s">
        <v>11079</v>
      </c>
      <c r="AH28" s="74"/>
      <c r="AI28" s="79"/>
      <c r="AJ28" s="1190"/>
      <c r="AK28" s="2589"/>
      <c r="AL28" s="1121">
        <f t="shared" si="23"/>
        <v>0</v>
      </c>
      <c r="AM28" s="2589"/>
      <c r="AN28" s="252">
        <f t="shared" si="22"/>
        <v>0</v>
      </c>
      <c r="AO28" s="2560"/>
      <c r="AP28" s="252">
        <f t="shared" si="0"/>
        <v>0</v>
      </c>
      <c r="AQ28" s="252">
        <f t="shared" si="1"/>
        <v>0</v>
      </c>
      <c r="AR28" s="252">
        <f t="shared" si="2"/>
        <v>0</v>
      </c>
      <c r="AS28" s="252">
        <f t="shared" si="3"/>
        <v>0</v>
      </c>
      <c r="AT28" s="252">
        <f t="shared" si="4"/>
        <v>0</v>
      </c>
      <c r="AU28" s="252">
        <f t="shared" si="5"/>
        <v>0</v>
      </c>
      <c r="AV28" s="2560"/>
      <c r="AW28" s="252">
        <f t="shared" si="6"/>
        <v>0</v>
      </c>
      <c r="AX28" s="252">
        <f t="shared" si="7"/>
        <v>0</v>
      </c>
      <c r="AY28" s="252">
        <f t="shared" si="8"/>
        <v>0</v>
      </c>
      <c r="AZ28" s="252">
        <f t="shared" si="9"/>
        <v>0</v>
      </c>
      <c r="BA28" s="252">
        <f t="shared" si="10"/>
        <v>0</v>
      </c>
      <c r="BB28" s="252">
        <f t="shared" si="11"/>
        <v>0</v>
      </c>
      <c r="BC28" s="2560"/>
      <c r="BD28" s="252">
        <f t="shared" si="12"/>
        <v>0</v>
      </c>
      <c r="BE28" s="252">
        <f t="shared" si="13"/>
        <v>0</v>
      </c>
      <c r="BF28" s="252">
        <f t="shared" si="14"/>
        <v>0</v>
      </c>
      <c r="BG28" s="252">
        <f t="shared" si="15"/>
        <v>0</v>
      </c>
      <c r="BH28" s="252">
        <f t="shared" si="16"/>
        <v>0</v>
      </c>
      <c r="BI28" s="252">
        <f t="shared" si="17"/>
        <v>0</v>
      </c>
      <c r="BJ28" s="2560"/>
      <c r="BK28" s="252">
        <f t="shared" si="18"/>
        <v>0</v>
      </c>
      <c r="BL28" s="252">
        <f t="shared" si="19"/>
        <v>0</v>
      </c>
      <c r="BM28" s="2560"/>
      <c r="BN28" s="252">
        <f t="shared" si="20"/>
        <v>0</v>
      </c>
      <c r="BO28" s="252">
        <f t="shared" si="21"/>
        <v>0</v>
      </c>
      <c r="BP28" s="2589"/>
      <c r="BQ28" s="2560"/>
      <c r="BR28" s="1190"/>
      <c r="BS28" s="1190"/>
      <c r="BT28" s="1190"/>
      <c r="BU28" s="1190"/>
      <c r="BV28" s="1190"/>
      <c r="BW28" s="1190"/>
      <c r="BX28" s="1190"/>
      <c r="BY28" s="1190"/>
      <c r="BZ28" s="1190"/>
      <c r="CA28" s="1190"/>
      <c r="CB28" s="1190"/>
      <c r="CC28" s="1190"/>
      <c r="CD28" s="1190"/>
      <c r="CE28" s="1190"/>
      <c r="CF28" s="1190"/>
      <c r="CG28" s="1190"/>
      <c r="CH28" s="1190"/>
      <c r="CI28" s="1190"/>
    </row>
    <row r="29" spans="2:87" ht="15.75" customHeight="1">
      <c r="B29" s="2037" t="s">
        <v>11080</v>
      </c>
      <c r="C29" s="2039"/>
      <c r="D29" s="1972"/>
      <c r="E29" s="1596"/>
      <c r="F29" s="1970"/>
      <c r="G29" s="1971"/>
      <c r="H29" s="1971"/>
      <c r="I29" s="1971"/>
      <c r="J29" s="1971"/>
      <c r="K29" s="1972"/>
      <c r="L29" s="1596"/>
      <c r="M29" s="1970"/>
      <c r="N29" s="1971"/>
      <c r="O29" s="1971"/>
      <c r="P29" s="1971"/>
      <c r="Q29" s="1971"/>
      <c r="R29" s="1972"/>
      <c r="S29" s="1596"/>
      <c r="T29" s="2056"/>
      <c r="U29" s="2057"/>
      <c r="V29" s="2057"/>
      <c r="W29" s="2057"/>
      <c r="X29" s="2057"/>
      <c r="Y29" s="2058"/>
      <c r="Z29" s="1596"/>
      <c r="AA29" s="2064"/>
      <c r="AB29" s="2065"/>
      <c r="AC29" s="2069"/>
      <c r="AD29" s="2069"/>
      <c r="AE29" s="1972"/>
      <c r="AF29" s="74"/>
      <c r="AG29" s="98" t="s">
        <v>11081</v>
      </c>
      <c r="AH29" s="74"/>
      <c r="AI29" s="79"/>
      <c r="AJ29" s="1190"/>
      <c r="AK29" s="2589"/>
      <c r="AL29" s="1121">
        <f t="shared" si="23"/>
        <v>0</v>
      </c>
      <c r="AM29" s="2589"/>
      <c r="AN29" s="252">
        <f t="shared" si="22"/>
        <v>0</v>
      </c>
      <c r="AO29" s="2560"/>
      <c r="AP29" s="252">
        <f t="shared" si="0"/>
        <v>0</v>
      </c>
      <c r="AQ29" s="252">
        <f t="shared" si="1"/>
        <v>0</v>
      </c>
      <c r="AR29" s="252">
        <f t="shared" si="2"/>
        <v>0</v>
      </c>
      <c r="AS29" s="252">
        <f t="shared" si="3"/>
        <v>0</v>
      </c>
      <c r="AT29" s="252">
        <f t="shared" si="4"/>
        <v>0</v>
      </c>
      <c r="AU29" s="252">
        <f t="shared" si="5"/>
        <v>0</v>
      </c>
      <c r="AV29" s="2560"/>
      <c r="AW29" s="252">
        <f t="shared" si="6"/>
        <v>0</v>
      </c>
      <c r="AX29" s="252">
        <f t="shared" si="7"/>
        <v>0</v>
      </c>
      <c r="AY29" s="252">
        <f t="shared" si="8"/>
        <v>0</v>
      </c>
      <c r="AZ29" s="252">
        <f t="shared" si="9"/>
        <v>0</v>
      </c>
      <c r="BA29" s="252">
        <f t="shared" si="10"/>
        <v>0</v>
      </c>
      <c r="BB29" s="252">
        <f t="shared" si="11"/>
        <v>0</v>
      </c>
      <c r="BC29" s="2560"/>
      <c r="BD29" s="252">
        <f t="shared" si="12"/>
        <v>0</v>
      </c>
      <c r="BE29" s="252">
        <f t="shared" si="13"/>
        <v>0</v>
      </c>
      <c r="BF29" s="252">
        <f t="shared" si="14"/>
        <v>0</v>
      </c>
      <c r="BG29" s="252">
        <f t="shared" si="15"/>
        <v>0</v>
      </c>
      <c r="BH29" s="252">
        <f t="shared" si="16"/>
        <v>0</v>
      </c>
      <c r="BI29" s="252">
        <f t="shared" si="17"/>
        <v>0</v>
      </c>
      <c r="BJ29" s="2560"/>
      <c r="BK29" s="252">
        <f t="shared" si="18"/>
        <v>0</v>
      </c>
      <c r="BL29" s="252">
        <f t="shared" si="19"/>
        <v>0</v>
      </c>
      <c r="BM29" s="2560"/>
      <c r="BN29" s="252">
        <f t="shared" si="20"/>
        <v>0</v>
      </c>
      <c r="BO29" s="252">
        <f t="shared" si="21"/>
        <v>0</v>
      </c>
      <c r="BP29" s="2589"/>
      <c r="BQ29" s="2560"/>
      <c r="BR29" s="1190"/>
      <c r="BS29" s="1190"/>
      <c r="BT29" s="1190"/>
      <c r="BU29" s="1190"/>
      <c r="BV29" s="1190"/>
      <c r="BW29" s="1190"/>
      <c r="BX29" s="1190"/>
      <c r="BY29" s="1190"/>
      <c r="BZ29" s="1190"/>
      <c r="CA29" s="1190"/>
      <c r="CB29" s="1190"/>
      <c r="CC29" s="1190"/>
      <c r="CD29" s="1190"/>
      <c r="CE29" s="1190"/>
      <c r="CF29" s="1190"/>
      <c r="CG29" s="1190"/>
      <c r="CH29" s="1190"/>
      <c r="CI29" s="1190"/>
    </row>
    <row r="30" spans="2:87" ht="15.75" customHeight="1">
      <c r="B30" s="2037" t="s">
        <v>11082</v>
      </c>
      <c r="C30" s="2039"/>
      <c r="D30" s="1972"/>
      <c r="E30" s="1596"/>
      <c r="F30" s="1970"/>
      <c r="G30" s="1971"/>
      <c r="H30" s="1971"/>
      <c r="I30" s="1971"/>
      <c r="J30" s="1971"/>
      <c r="K30" s="1972"/>
      <c r="L30" s="1596"/>
      <c r="M30" s="1970"/>
      <c r="N30" s="1971"/>
      <c r="O30" s="1971"/>
      <c r="P30" s="1971"/>
      <c r="Q30" s="1971"/>
      <c r="R30" s="1972"/>
      <c r="S30" s="1596"/>
      <c r="T30" s="2056"/>
      <c r="U30" s="2057"/>
      <c r="V30" s="2057"/>
      <c r="W30" s="2057"/>
      <c r="X30" s="2057"/>
      <c r="Y30" s="2058"/>
      <c r="Z30" s="1596"/>
      <c r="AA30" s="2064"/>
      <c r="AB30" s="2065"/>
      <c r="AC30" s="2069"/>
      <c r="AD30" s="2069"/>
      <c r="AE30" s="1972"/>
      <c r="AF30" s="74"/>
      <c r="AG30" s="98" t="s">
        <v>11083</v>
      </c>
      <c r="AH30" s="74"/>
      <c r="AI30" s="79"/>
      <c r="AJ30" s="1190"/>
      <c r="AK30" s="2589"/>
      <c r="AL30" s="1121">
        <f t="shared" si="23"/>
        <v>0</v>
      </c>
      <c r="AM30" s="2589"/>
      <c r="AN30" s="252">
        <f t="shared" si="22"/>
        <v>0</v>
      </c>
      <c r="AO30" s="2560"/>
      <c r="AP30" s="252">
        <f t="shared" si="0"/>
        <v>0</v>
      </c>
      <c r="AQ30" s="252">
        <f t="shared" si="1"/>
        <v>0</v>
      </c>
      <c r="AR30" s="252">
        <f t="shared" si="2"/>
        <v>0</v>
      </c>
      <c r="AS30" s="252">
        <f t="shared" si="3"/>
        <v>0</v>
      </c>
      <c r="AT30" s="252">
        <f t="shared" si="4"/>
        <v>0</v>
      </c>
      <c r="AU30" s="252">
        <f t="shared" si="5"/>
        <v>0</v>
      </c>
      <c r="AV30" s="2560"/>
      <c r="AW30" s="252">
        <f t="shared" si="6"/>
        <v>0</v>
      </c>
      <c r="AX30" s="252">
        <f t="shared" si="7"/>
        <v>0</v>
      </c>
      <c r="AY30" s="252">
        <f t="shared" si="8"/>
        <v>0</v>
      </c>
      <c r="AZ30" s="252">
        <f t="shared" si="9"/>
        <v>0</v>
      </c>
      <c r="BA30" s="252">
        <f t="shared" si="10"/>
        <v>0</v>
      </c>
      <c r="BB30" s="252">
        <f t="shared" si="11"/>
        <v>0</v>
      </c>
      <c r="BC30" s="2560"/>
      <c r="BD30" s="252">
        <f t="shared" si="12"/>
        <v>0</v>
      </c>
      <c r="BE30" s="252">
        <f t="shared" si="13"/>
        <v>0</v>
      </c>
      <c r="BF30" s="252">
        <f t="shared" si="14"/>
        <v>0</v>
      </c>
      <c r="BG30" s="252">
        <f t="shared" si="15"/>
        <v>0</v>
      </c>
      <c r="BH30" s="252">
        <f t="shared" si="16"/>
        <v>0</v>
      </c>
      <c r="BI30" s="252">
        <f t="shared" si="17"/>
        <v>0</v>
      </c>
      <c r="BJ30" s="2560"/>
      <c r="BK30" s="252">
        <f t="shared" si="18"/>
        <v>0</v>
      </c>
      <c r="BL30" s="252">
        <f t="shared" si="19"/>
        <v>0</v>
      </c>
      <c r="BM30" s="2560"/>
      <c r="BN30" s="252">
        <f t="shared" si="20"/>
        <v>0</v>
      </c>
      <c r="BO30" s="252">
        <f t="shared" si="21"/>
        <v>0</v>
      </c>
      <c r="BP30" s="2589"/>
      <c r="BQ30" s="2560"/>
      <c r="BR30" s="1190"/>
      <c r="BS30" s="1190"/>
      <c r="BT30" s="1190"/>
      <c r="BU30" s="1190"/>
      <c r="BV30" s="1190"/>
      <c r="BW30" s="1190"/>
      <c r="BX30" s="1190"/>
      <c r="BY30" s="1190"/>
      <c r="BZ30" s="1190"/>
      <c r="CA30" s="1190"/>
      <c r="CB30" s="1190"/>
      <c r="CC30" s="1190"/>
      <c r="CD30" s="1190"/>
      <c r="CE30" s="1190"/>
      <c r="CF30" s="1190"/>
      <c r="CG30" s="1190"/>
      <c r="CH30" s="1190"/>
      <c r="CI30" s="1190"/>
    </row>
    <row r="31" spans="2:87" ht="15.75" customHeight="1">
      <c r="B31" s="2037" t="s">
        <v>11084</v>
      </c>
      <c r="C31" s="2039"/>
      <c r="D31" s="1972"/>
      <c r="E31" s="1596"/>
      <c r="F31" s="1970"/>
      <c r="G31" s="1971"/>
      <c r="H31" s="1971"/>
      <c r="I31" s="1971"/>
      <c r="J31" s="1971"/>
      <c r="K31" s="1972"/>
      <c r="L31" s="1596"/>
      <c r="M31" s="1970"/>
      <c r="N31" s="1971"/>
      <c r="O31" s="1971"/>
      <c r="P31" s="1971"/>
      <c r="Q31" s="1971"/>
      <c r="R31" s="1972"/>
      <c r="S31" s="1596"/>
      <c r="T31" s="2056"/>
      <c r="U31" s="2057"/>
      <c r="V31" s="2057"/>
      <c r="W31" s="2057"/>
      <c r="X31" s="2057"/>
      <c r="Y31" s="2058"/>
      <c r="Z31" s="1596"/>
      <c r="AA31" s="2064"/>
      <c r="AB31" s="2065"/>
      <c r="AC31" s="2069"/>
      <c r="AD31" s="2069"/>
      <c r="AE31" s="1972"/>
      <c r="AF31" s="74"/>
      <c r="AG31" s="98" t="s">
        <v>11085</v>
      </c>
      <c r="AH31" s="74"/>
      <c r="AI31" s="79"/>
      <c r="AJ31" s="1190"/>
      <c r="AK31" s="2589"/>
      <c r="AL31" s="1121">
        <f t="shared" si="23"/>
        <v>0</v>
      </c>
      <c r="AM31" s="2589"/>
      <c r="AN31" s="252">
        <f t="shared" si="22"/>
        <v>0</v>
      </c>
      <c r="AO31" s="2560"/>
      <c r="AP31" s="252">
        <f t="shared" si="0"/>
        <v>0</v>
      </c>
      <c r="AQ31" s="252">
        <f t="shared" si="1"/>
        <v>0</v>
      </c>
      <c r="AR31" s="252">
        <f t="shared" si="2"/>
        <v>0</v>
      </c>
      <c r="AS31" s="252">
        <f t="shared" si="3"/>
        <v>0</v>
      </c>
      <c r="AT31" s="252">
        <f t="shared" si="4"/>
        <v>0</v>
      </c>
      <c r="AU31" s="252">
        <f t="shared" si="5"/>
        <v>0</v>
      </c>
      <c r="AV31" s="2560"/>
      <c r="AW31" s="252">
        <f t="shared" si="6"/>
        <v>0</v>
      </c>
      <c r="AX31" s="252">
        <f t="shared" si="7"/>
        <v>0</v>
      </c>
      <c r="AY31" s="252">
        <f t="shared" si="8"/>
        <v>0</v>
      </c>
      <c r="AZ31" s="252">
        <f t="shared" si="9"/>
        <v>0</v>
      </c>
      <c r="BA31" s="252">
        <f t="shared" si="10"/>
        <v>0</v>
      </c>
      <c r="BB31" s="252">
        <f t="shared" si="11"/>
        <v>0</v>
      </c>
      <c r="BC31" s="2560"/>
      <c r="BD31" s="252">
        <f t="shared" si="12"/>
        <v>0</v>
      </c>
      <c r="BE31" s="252">
        <f t="shared" si="13"/>
        <v>0</v>
      </c>
      <c r="BF31" s="252">
        <f t="shared" si="14"/>
        <v>0</v>
      </c>
      <c r="BG31" s="252">
        <f t="shared" si="15"/>
        <v>0</v>
      </c>
      <c r="BH31" s="252">
        <f t="shared" si="16"/>
        <v>0</v>
      </c>
      <c r="BI31" s="252">
        <f t="shared" si="17"/>
        <v>0</v>
      </c>
      <c r="BJ31" s="2560"/>
      <c r="BK31" s="252">
        <f t="shared" si="18"/>
        <v>0</v>
      </c>
      <c r="BL31" s="252">
        <f t="shared" si="19"/>
        <v>0</v>
      </c>
      <c r="BM31" s="2560"/>
      <c r="BN31" s="252">
        <f t="shared" si="20"/>
        <v>0</v>
      </c>
      <c r="BO31" s="252">
        <f t="shared" si="21"/>
        <v>0</v>
      </c>
      <c r="BP31" s="2589"/>
      <c r="BQ31" s="2560"/>
      <c r="BR31" s="1190"/>
      <c r="BS31" s="1190"/>
      <c r="BT31" s="1190"/>
      <c r="BU31" s="1190"/>
      <c r="BV31" s="1190"/>
      <c r="BW31" s="1190"/>
      <c r="BX31" s="1190"/>
      <c r="BY31" s="1190"/>
      <c r="BZ31" s="1190"/>
      <c r="CA31" s="1190"/>
      <c r="CB31" s="1190"/>
      <c r="CC31" s="1190"/>
      <c r="CD31" s="1190"/>
      <c r="CE31" s="1190"/>
      <c r="CF31" s="1190"/>
      <c r="CG31" s="1190"/>
      <c r="CH31" s="1190"/>
      <c r="CI31" s="1190"/>
    </row>
    <row r="32" spans="2:87" ht="15.75" customHeight="1">
      <c r="B32" s="2037" t="s">
        <v>11086</v>
      </c>
      <c r="C32" s="2039"/>
      <c r="D32" s="1972"/>
      <c r="E32" s="1596"/>
      <c r="F32" s="1970"/>
      <c r="G32" s="1971"/>
      <c r="H32" s="1971"/>
      <c r="I32" s="1971"/>
      <c r="J32" s="1971"/>
      <c r="K32" s="1972"/>
      <c r="L32" s="1596"/>
      <c r="M32" s="1970"/>
      <c r="N32" s="1971"/>
      <c r="O32" s="1971"/>
      <c r="P32" s="1971"/>
      <c r="Q32" s="1971"/>
      <c r="R32" s="1972"/>
      <c r="S32" s="1596"/>
      <c r="T32" s="2056"/>
      <c r="U32" s="2057"/>
      <c r="V32" s="2057"/>
      <c r="W32" s="2057"/>
      <c r="X32" s="2057"/>
      <c r="Y32" s="2058"/>
      <c r="Z32" s="1596"/>
      <c r="AA32" s="2064"/>
      <c r="AB32" s="2065"/>
      <c r="AC32" s="2069"/>
      <c r="AD32" s="2069"/>
      <c r="AE32" s="1972"/>
      <c r="AF32" s="74"/>
      <c r="AG32" s="98" t="s">
        <v>11087</v>
      </c>
      <c r="AH32" s="74"/>
      <c r="AI32" s="79"/>
      <c r="AJ32" s="1190"/>
      <c r="AK32" s="2589"/>
      <c r="AL32" s="1121">
        <f t="shared" si="23"/>
        <v>0</v>
      </c>
      <c r="AM32" s="2589"/>
      <c r="AN32" s="252">
        <f t="shared" si="22"/>
        <v>0</v>
      </c>
      <c r="AO32" s="2560"/>
      <c r="AP32" s="252">
        <f t="shared" si="0"/>
        <v>0</v>
      </c>
      <c r="AQ32" s="252">
        <f t="shared" si="1"/>
        <v>0</v>
      </c>
      <c r="AR32" s="252">
        <f t="shared" si="2"/>
        <v>0</v>
      </c>
      <c r="AS32" s="252">
        <f t="shared" si="3"/>
        <v>0</v>
      </c>
      <c r="AT32" s="252">
        <f t="shared" si="4"/>
        <v>0</v>
      </c>
      <c r="AU32" s="252">
        <f t="shared" si="5"/>
        <v>0</v>
      </c>
      <c r="AV32" s="2560"/>
      <c r="AW32" s="252">
        <f t="shared" si="6"/>
        <v>0</v>
      </c>
      <c r="AX32" s="252">
        <f t="shared" si="7"/>
        <v>0</v>
      </c>
      <c r="AY32" s="252">
        <f t="shared" si="8"/>
        <v>0</v>
      </c>
      <c r="AZ32" s="252">
        <f t="shared" si="9"/>
        <v>0</v>
      </c>
      <c r="BA32" s="252">
        <f t="shared" si="10"/>
        <v>0</v>
      </c>
      <c r="BB32" s="252">
        <f t="shared" si="11"/>
        <v>0</v>
      </c>
      <c r="BC32" s="2560"/>
      <c r="BD32" s="252">
        <f t="shared" si="12"/>
        <v>0</v>
      </c>
      <c r="BE32" s="252">
        <f t="shared" si="13"/>
        <v>0</v>
      </c>
      <c r="BF32" s="252">
        <f t="shared" si="14"/>
        <v>0</v>
      </c>
      <c r="BG32" s="252">
        <f t="shared" si="15"/>
        <v>0</v>
      </c>
      <c r="BH32" s="252">
        <f t="shared" si="16"/>
        <v>0</v>
      </c>
      <c r="BI32" s="252">
        <f t="shared" si="17"/>
        <v>0</v>
      </c>
      <c r="BJ32" s="2560"/>
      <c r="BK32" s="252">
        <f t="shared" si="18"/>
        <v>0</v>
      </c>
      <c r="BL32" s="252">
        <f t="shared" si="19"/>
        <v>0</v>
      </c>
      <c r="BM32" s="2560"/>
      <c r="BN32" s="252">
        <f t="shared" si="20"/>
        <v>0</v>
      </c>
      <c r="BO32" s="252">
        <f t="shared" si="21"/>
        <v>0</v>
      </c>
      <c r="BP32" s="2589"/>
      <c r="BQ32" s="2560"/>
      <c r="BR32" s="1190"/>
      <c r="BS32" s="1190"/>
      <c r="BT32" s="1190"/>
      <c r="BU32" s="1190"/>
      <c r="BV32" s="1190"/>
      <c r="BW32" s="1190"/>
      <c r="BX32" s="1190"/>
      <c r="BY32" s="1190"/>
      <c r="BZ32" s="1190"/>
      <c r="CA32" s="1190"/>
      <c r="CB32" s="1190"/>
      <c r="CC32" s="1190"/>
      <c r="CD32" s="1190"/>
      <c r="CE32" s="1190"/>
      <c r="CF32" s="1190"/>
      <c r="CG32" s="1190"/>
      <c r="CH32" s="1190"/>
      <c r="CI32" s="1190"/>
    </row>
    <row r="33" spans="2:87" ht="15.75" customHeight="1">
      <c r="B33" s="2037" t="s">
        <v>11088</v>
      </c>
      <c r="C33" s="2039"/>
      <c r="D33" s="1972"/>
      <c r="E33" s="1596"/>
      <c r="F33" s="1970"/>
      <c r="G33" s="1971"/>
      <c r="H33" s="1971"/>
      <c r="I33" s="1971"/>
      <c r="J33" s="1971"/>
      <c r="K33" s="1972"/>
      <c r="L33" s="1596"/>
      <c r="M33" s="1970"/>
      <c r="N33" s="1971"/>
      <c r="O33" s="1971"/>
      <c r="P33" s="1971"/>
      <c r="Q33" s="1971"/>
      <c r="R33" s="1972"/>
      <c r="S33" s="1596"/>
      <c r="T33" s="2056"/>
      <c r="U33" s="2057"/>
      <c r="V33" s="2057"/>
      <c r="W33" s="2057"/>
      <c r="X33" s="2057"/>
      <c r="Y33" s="2058"/>
      <c r="Z33" s="1596"/>
      <c r="AA33" s="2064"/>
      <c r="AB33" s="2065"/>
      <c r="AC33" s="2069"/>
      <c r="AD33" s="2069"/>
      <c r="AE33" s="1972"/>
      <c r="AF33" s="74"/>
      <c r="AG33" s="98" t="s">
        <v>11089</v>
      </c>
      <c r="AH33" s="74"/>
      <c r="AI33" s="79"/>
      <c r="AJ33" s="1190"/>
      <c r="AK33" s="2589"/>
      <c r="AL33" s="1121">
        <f t="shared" si="23"/>
        <v>0</v>
      </c>
      <c r="AM33" s="2589"/>
      <c r="AN33" s="252">
        <f t="shared" si="22"/>
        <v>0</v>
      </c>
      <c r="AO33" s="2560"/>
      <c r="AP33" s="252">
        <f t="shared" si="0"/>
        <v>0</v>
      </c>
      <c r="AQ33" s="252">
        <f t="shared" si="1"/>
        <v>0</v>
      </c>
      <c r="AR33" s="252">
        <f t="shared" si="2"/>
        <v>0</v>
      </c>
      <c r="AS33" s="252">
        <f t="shared" si="3"/>
        <v>0</v>
      </c>
      <c r="AT33" s="252">
        <f t="shared" si="4"/>
        <v>0</v>
      </c>
      <c r="AU33" s="252">
        <f t="shared" si="5"/>
        <v>0</v>
      </c>
      <c r="AV33" s="2560"/>
      <c r="AW33" s="252">
        <f t="shared" si="6"/>
        <v>0</v>
      </c>
      <c r="AX33" s="252">
        <f t="shared" si="7"/>
        <v>0</v>
      </c>
      <c r="AY33" s="252">
        <f t="shared" si="8"/>
        <v>0</v>
      </c>
      <c r="AZ33" s="252">
        <f t="shared" si="9"/>
        <v>0</v>
      </c>
      <c r="BA33" s="252">
        <f t="shared" si="10"/>
        <v>0</v>
      </c>
      <c r="BB33" s="252">
        <f t="shared" si="11"/>
        <v>0</v>
      </c>
      <c r="BC33" s="2560"/>
      <c r="BD33" s="252">
        <f t="shared" si="12"/>
        <v>0</v>
      </c>
      <c r="BE33" s="252">
        <f t="shared" si="13"/>
        <v>0</v>
      </c>
      <c r="BF33" s="252">
        <f t="shared" si="14"/>
        <v>0</v>
      </c>
      <c r="BG33" s="252">
        <f t="shared" si="15"/>
        <v>0</v>
      </c>
      <c r="BH33" s="252">
        <f t="shared" si="16"/>
        <v>0</v>
      </c>
      <c r="BI33" s="252">
        <f t="shared" si="17"/>
        <v>0</v>
      </c>
      <c r="BJ33" s="2560"/>
      <c r="BK33" s="252">
        <f t="shared" si="18"/>
        <v>0</v>
      </c>
      <c r="BL33" s="252">
        <f t="shared" si="19"/>
        <v>0</v>
      </c>
      <c r="BM33" s="2560"/>
      <c r="BN33" s="252">
        <f t="shared" si="20"/>
        <v>0</v>
      </c>
      <c r="BO33" s="252">
        <f t="shared" si="21"/>
        <v>0</v>
      </c>
      <c r="BP33" s="2589"/>
      <c r="BQ33" s="2560"/>
      <c r="BR33" s="1190"/>
      <c r="BS33" s="1190"/>
      <c r="BT33" s="1190"/>
      <c r="BU33" s="1190"/>
      <c r="BV33" s="1190"/>
      <c r="BW33" s="1190"/>
      <c r="BX33" s="1190"/>
      <c r="BY33" s="1190"/>
      <c r="BZ33" s="1190"/>
      <c r="CA33" s="1190"/>
      <c r="CB33" s="1190"/>
      <c r="CC33" s="1190"/>
      <c r="CD33" s="1190"/>
      <c r="CE33" s="1190"/>
      <c r="CF33" s="1190"/>
      <c r="CG33" s="1190"/>
      <c r="CH33" s="1190"/>
      <c r="CI33" s="1190"/>
    </row>
    <row r="34" spans="2:87" ht="15.75" customHeight="1">
      <c r="B34" s="2037" t="s">
        <v>11090</v>
      </c>
      <c r="C34" s="2039"/>
      <c r="D34" s="1972"/>
      <c r="E34" s="1596"/>
      <c r="F34" s="1970"/>
      <c r="G34" s="1971"/>
      <c r="H34" s="1971"/>
      <c r="I34" s="1971"/>
      <c r="J34" s="1971"/>
      <c r="K34" s="1972"/>
      <c r="L34" s="1596"/>
      <c r="M34" s="1970"/>
      <c r="N34" s="1971"/>
      <c r="O34" s="1971"/>
      <c r="P34" s="1971"/>
      <c r="Q34" s="1971"/>
      <c r="R34" s="1972"/>
      <c r="S34" s="1596"/>
      <c r="T34" s="2056"/>
      <c r="U34" s="2057"/>
      <c r="V34" s="2057"/>
      <c r="W34" s="2057"/>
      <c r="X34" s="2057"/>
      <c r="Y34" s="2058"/>
      <c r="Z34" s="1596"/>
      <c r="AA34" s="2064"/>
      <c r="AB34" s="2065"/>
      <c r="AC34" s="2069"/>
      <c r="AD34" s="2069"/>
      <c r="AE34" s="1972"/>
      <c r="AF34" s="74"/>
      <c r="AG34" s="98" t="s">
        <v>11091</v>
      </c>
      <c r="AH34" s="74"/>
      <c r="AI34" s="79"/>
      <c r="AJ34" s="1190"/>
      <c r="AK34" s="2589"/>
      <c r="AL34" s="1121">
        <f t="shared" si="23"/>
        <v>0</v>
      </c>
      <c r="AM34" s="2589"/>
      <c r="AN34" s="252">
        <f t="shared" si="22"/>
        <v>0</v>
      </c>
      <c r="AO34" s="2560"/>
      <c r="AP34" s="252">
        <f t="shared" si="0"/>
        <v>0</v>
      </c>
      <c r="AQ34" s="252">
        <f t="shared" si="1"/>
        <v>0</v>
      </c>
      <c r="AR34" s="252">
        <f t="shared" si="2"/>
        <v>0</v>
      </c>
      <c r="AS34" s="252">
        <f t="shared" si="3"/>
        <v>0</v>
      </c>
      <c r="AT34" s="252">
        <f t="shared" si="4"/>
        <v>0</v>
      </c>
      <c r="AU34" s="252">
        <f t="shared" si="5"/>
        <v>0</v>
      </c>
      <c r="AV34" s="2560"/>
      <c r="AW34" s="252">
        <f t="shared" si="6"/>
        <v>0</v>
      </c>
      <c r="AX34" s="252">
        <f t="shared" si="7"/>
        <v>0</v>
      </c>
      <c r="AY34" s="252">
        <f t="shared" si="8"/>
        <v>0</v>
      </c>
      <c r="AZ34" s="252">
        <f t="shared" si="9"/>
        <v>0</v>
      </c>
      <c r="BA34" s="252">
        <f t="shared" si="10"/>
        <v>0</v>
      </c>
      <c r="BB34" s="252">
        <f t="shared" si="11"/>
        <v>0</v>
      </c>
      <c r="BC34" s="2560"/>
      <c r="BD34" s="252">
        <f t="shared" si="12"/>
        <v>0</v>
      </c>
      <c r="BE34" s="252">
        <f t="shared" si="13"/>
        <v>0</v>
      </c>
      <c r="BF34" s="252">
        <f t="shared" si="14"/>
        <v>0</v>
      </c>
      <c r="BG34" s="252">
        <f t="shared" si="15"/>
        <v>0</v>
      </c>
      <c r="BH34" s="252">
        <f t="shared" si="16"/>
        <v>0</v>
      </c>
      <c r="BI34" s="252">
        <f t="shared" si="17"/>
        <v>0</v>
      </c>
      <c r="BJ34" s="2560"/>
      <c r="BK34" s="252">
        <f t="shared" si="18"/>
        <v>0</v>
      </c>
      <c r="BL34" s="252">
        <f t="shared" si="19"/>
        <v>0</v>
      </c>
      <c r="BM34" s="2560"/>
      <c r="BN34" s="252">
        <f t="shared" si="20"/>
        <v>0</v>
      </c>
      <c r="BO34" s="252">
        <f t="shared" si="21"/>
        <v>0</v>
      </c>
      <c r="BP34" s="2589"/>
      <c r="BQ34" s="2560"/>
      <c r="BR34" s="1190"/>
      <c r="BS34" s="1190"/>
      <c r="BT34" s="1190"/>
      <c r="BU34" s="1190"/>
      <c r="BV34" s="1190"/>
      <c r="BW34" s="1190"/>
      <c r="BX34" s="1190"/>
      <c r="BY34" s="1190"/>
      <c r="BZ34" s="1190"/>
      <c r="CA34" s="1190"/>
      <c r="CB34" s="1190"/>
      <c r="CC34" s="1190"/>
      <c r="CD34" s="1190"/>
      <c r="CE34" s="1190"/>
      <c r="CF34" s="1190"/>
      <c r="CG34" s="1190"/>
      <c r="CH34" s="1190"/>
      <c r="CI34" s="1190"/>
    </row>
    <row r="35" spans="2:87" ht="15.75" customHeight="1">
      <c r="B35" s="2037" t="s">
        <v>11092</v>
      </c>
      <c r="C35" s="2039"/>
      <c r="D35" s="1972"/>
      <c r="E35" s="1596"/>
      <c r="F35" s="1970"/>
      <c r="G35" s="1971"/>
      <c r="H35" s="1971"/>
      <c r="I35" s="1971"/>
      <c r="J35" s="1971"/>
      <c r="K35" s="1972"/>
      <c r="L35" s="1596"/>
      <c r="M35" s="1970"/>
      <c r="N35" s="1971"/>
      <c r="O35" s="1971"/>
      <c r="P35" s="1971"/>
      <c r="Q35" s="1971"/>
      <c r="R35" s="1972"/>
      <c r="S35" s="1596"/>
      <c r="T35" s="2056"/>
      <c r="U35" s="2057"/>
      <c r="V35" s="2057"/>
      <c r="W35" s="2057"/>
      <c r="X35" s="2057"/>
      <c r="Y35" s="2058"/>
      <c r="Z35" s="1596"/>
      <c r="AA35" s="2064"/>
      <c r="AB35" s="2065"/>
      <c r="AC35" s="2069"/>
      <c r="AD35" s="2069"/>
      <c r="AE35" s="1972"/>
      <c r="AF35" s="74"/>
      <c r="AG35" s="98" t="s">
        <v>11093</v>
      </c>
      <c r="AH35" s="74"/>
      <c r="AI35" s="79"/>
      <c r="AJ35" s="1190"/>
      <c r="AK35" s="2589"/>
      <c r="AL35" s="1121">
        <f t="shared" si="23"/>
        <v>0</v>
      </c>
      <c r="AM35" s="2589"/>
      <c r="AN35" s="252">
        <f t="shared" si="22"/>
        <v>0</v>
      </c>
      <c r="AO35" s="2560"/>
      <c r="AP35" s="252">
        <f t="shared" si="0"/>
        <v>0</v>
      </c>
      <c r="AQ35" s="252">
        <f t="shared" si="1"/>
        <v>0</v>
      </c>
      <c r="AR35" s="252">
        <f t="shared" si="2"/>
        <v>0</v>
      </c>
      <c r="AS35" s="252">
        <f t="shared" si="3"/>
        <v>0</v>
      </c>
      <c r="AT35" s="252">
        <f t="shared" si="4"/>
        <v>0</v>
      </c>
      <c r="AU35" s="252">
        <f t="shared" si="5"/>
        <v>0</v>
      </c>
      <c r="AV35" s="2560"/>
      <c r="AW35" s="252">
        <f t="shared" si="6"/>
        <v>0</v>
      </c>
      <c r="AX35" s="252">
        <f t="shared" si="7"/>
        <v>0</v>
      </c>
      <c r="AY35" s="252">
        <f t="shared" si="8"/>
        <v>0</v>
      </c>
      <c r="AZ35" s="252">
        <f t="shared" si="9"/>
        <v>0</v>
      </c>
      <c r="BA35" s="252">
        <f t="shared" si="10"/>
        <v>0</v>
      </c>
      <c r="BB35" s="252">
        <f t="shared" si="11"/>
        <v>0</v>
      </c>
      <c r="BC35" s="2560"/>
      <c r="BD35" s="252">
        <f t="shared" si="12"/>
        <v>0</v>
      </c>
      <c r="BE35" s="252">
        <f t="shared" si="13"/>
        <v>0</v>
      </c>
      <c r="BF35" s="252">
        <f t="shared" si="14"/>
        <v>0</v>
      </c>
      <c r="BG35" s="252">
        <f t="shared" si="15"/>
        <v>0</v>
      </c>
      <c r="BH35" s="252">
        <f t="shared" si="16"/>
        <v>0</v>
      </c>
      <c r="BI35" s="252">
        <f t="shared" si="17"/>
        <v>0</v>
      </c>
      <c r="BJ35" s="2560"/>
      <c r="BK35" s="252">
        <f t="shared" si="18"/>
        <v>0</v>
      </c>
      <c r="BL35" s="252">
        <f t="shared" si="19"/>
        <v>0</v>
      </c>
      <c r="BM35" s="2560"/>
      <c r="BN35" s="252">
        <f t="shared" si="20"/>
        <v>0</v>
      </c>
      <c r="BO35" s="252">
        <f t="shared" si="21"/>
        <v>0</v>
      </c>
      <c r="BP35" s="2589"/>
      <c r="BQ35" s="2560"/>
      <c r="BR35" s="1190"/>
      <c r="BS35" s="1190"/>
      <c r="BT35" s="1190"/>
      <c r="BU35" s="1190"/>
      <c r="BV35" s="1190"/>
      <c r="BW35" s="1190"/>
      <c r="BX35" s="1190"/>
      <c r="BY35" s="1190"/>
      <c r="BZ35" s="1190"/>
      <c r="CA35" s="1190"/>
      <c r="CB35" s="1190"/>
      <c r="CC35" s="1190"/>
      <c r="CD35" s="1190"/>
      <c r="CE35" s="1190"/>
      <c r="CF35" s="1190"/>
      <c r="CG35" s="1190"/>
      <c r="CH35" s="1190"/>
      <c r="CI35" s="1190"/>
    </row>
    <row r="36" spans="2:87" ht="15.75" customHeight="1">
      <c r="B36" s="2037" t="s">
        <v>11094</v>
      </c>
      <c r="C36" s="2039"/>
      <c r="D36" s="1972"/>
      <c r="E36" s="1596"/>
      <c r="F36" s="1970"/>
      <c r="G36" s="1971"/>
      <c r="H36" s="1971"/>
      <c r="I36" s="1971"/>
      <c r="J36" s="1971"/>
      <c r="K36" s="1972"/>
      <c r="L36" s="1596"/>
      <c r="M36" s="1970"/>
      <c r="N36" s="1971"/>
      <c r="O36" s="1971"/>
      <c r="P36" s="1971"/>
      <c r="Q36" s="1971"/>
      <c r="R36" s="1972"/>
      <c r="S36" s="1596"/>
      <c r="T36" s="2056"/>
      <c r="U36" s="2057"/>
      <c r="V36" s="2057"/>
      <c r="W36" s="2057"/>
      <c r="X36" s="2057"/>
      <c r="Y36" s="2058"/>
      <c r="Z36" s="1596"/>
      <c r="AA36" s="2064"/>
      <c r="AB36" s="2065"/>
      <c r="AC36" s="2069"/>
      <c r="AD36" s="2069"/>
      <c r="AE36" s="1972"/>
      <c r="AF36" s="74"/>
      <c r="AG36" s="98" t="s">
        <v>11095</v>
      </c>
      <c r="AH36" s="74"/>
      <c r="AI36" s="79"/>
      <c r="AJ36" s="1190"/>
      <c r="AK36" s="2589"/>
      <c r="AL36" s="1121">
        <f t="shared" si="23"/>
        <v>0</v>
      </c>
      <c r="AM36" s="2589"/>
      <c r="AN36" s="252">
        <f t="shared" si="22"/>
        <v>0</v>
      </c>
      <c r="AO36" s="2560"/>
      <c r="AP36" s="252">
        <f t="shared" si="0"/>
        <v>0</v>
      </c>
      <c r="AQ36" s="252">
        <f t="shared" si="1"/>
        <v>0</v>
      </c>
      <c r="AR36" s="252">
        <f t="shared" si="2"/>
        <v>0</v>
      </c>
      <c r="AS36" s="252">
        <f t="shared" si="3"/>
        <v>0</v>
      </c>
      <c r="AT36" s="252">
        <f t="shared" si="4"/>
        <v>0</v>
      </c>
      <c r="AU36" s="252">
        <f t="shared" si="5"/>
        <v>0</v>
      </c>
      <c r="AV36" s="2560"/>
      <c r="AW36" s="252">
        <f t="shared" si="6"/>
        <v>0</v>
      </c>
      <c r="AX36" s="252">
        <f t="shared" si="7"/>
        <v>0</v>
      </c>
      <c r="AY36" s="252">
        <f t="shared" si="8"/>
        <v>0</v>
      </c>
      <c r="AZ36" s="252">
        <f t="shared" si="9"/>
        <v>0</v>
      </c>
      <c r="BA36" s="252">
        <f t="shared" si="10"/>
        <v>0</v>
      </c>
      <c r="BB36" s="252">
        <f t="shared" si="11"/>
        <v>0</v>
      </c>
      <c r="BC36" s="2560"/>
      <c r="BD36" s="252">
        <f t="shared" si="12"/>
        <v>0</v>
      </c>
      <c r="BE36" s="252">
        <f t="shared" si="13"/>
        <v>0</v>
      </c>
      <c r="BF36" s="252">
        <f t="shared" si="14"/>
        <v>0</v>
      </c>
      <c r="BG36" s="252">
        <f t="shared" si="15"/>
        <v>0</v>
      </c>
      <c r="BH36" s="252">
        <f t="shared" si="16"/>
        <v>0</v>
      </c>
      <c r="BI36" s="252">
        <f t="shared" si="17"/>
        <v>0</v>
      </c>
      <c r="BJ36" s="2560"/>
      <c r="BK36" s="252">
        <f t="shared" si="18"/>
        <v>0</v>
      </c>
      <c r="BL36" s="252">
        <f t="shared" si="19"/>
        <v>0</v>
      </c>
      <c r="BM36" s="2560"/>
      <c r="BN36" s="252">
        <f t="shared" si="20"/>
        <v>0</v>
      </c>
      <c r="BO36" s="252">
        <f t="shared" si="21"/>
        <v>0</v>
      </c>
      <c r="BP36" s="2589"/>
      <c r="BQ36" s="2560"/>
      <c r="BR36" s="2560"/>
      <c r="BS36" s="1190"/>
      <c r="BT36" s="1190"/>
      <c r="BU36" s="1190"/>
      <c r="BV36" s="1190"/>
      <c r="BW36" s="1190"/>
      <c r="BX36" s="1190"/>
      <c r="BY36" s="1190"/>
      <c r="BZ36" s="1190"/>
      <c r="CA36" s="1190"/>
      <c r="CB36" s="1190"/>
      <c r="CC36" s="1190"/>
      <c r="CD36" s="1190"/>
      <c r="CE36" s="1190"/>
      <c r="CF36" s="1190"/>
      <c r="CG36" s="1190"/>
      <c r="CH36" s="1190"/>
      <c r="CI36" s="1190"/>
    </row>
    <row r="37" spans="2:87" ht="15.75" customHeight="1">
      <c r="B37" s="2037" t="s">
        <v>11096</v>
      </c>
      <c r="C37" s="2039"/>
      <c r="D37" s="1972"/>
      <c r="E37" s="1596"/>
      <c r="F37" s="1970"/>
      <c r="G37" s="1971"/>
      <c r="H37" s="1971"/>
      <c r="I37" s="1971"/>
      <c r="J37" s="1971"/>
      <c r="K37" s="1972"/>
      <c r="L37" s="1596"/>
      <c r="M37" s="1970"/>
      <c r="N37" s="1971"/>
      <c r="O37" s="1971"/>
      <c r="P37" s="1971"/>
      <c r="Q37" s="1971"/>
      <c r="R37" s="1972"/>
      <c r="S37" s="1596"/>
      <c r="T37" s="2056"/>
      <c r="U37" s="2057"/>
      <c r="V37" s="2057"/>
      <c r="W37" s="2057"/>
      <c r="X37" s="2057"/>
      <c r="Y37" s="2058"/>
      <c r="Z37" s="1596"/>
      <c r="AA37" s="2064"/>
      <c r="AB37" s="2065"/>
      <c r="AC37" s="2069"/>
      <c r="AD37" s="2069"/>
      <c r="AE37" s="1972"/>
      <c r="AF37" s="74"/>
      <c r="AG37" s="98" t="s">
        <v>11097</v>
      </c>
      <c r="AH37" s="74"/>
      <c r="AI37" s="79"/>
      <c r="AJ37" s="1190"/>
      <c r="AK37" s="2589"/>
      <c r="AL37" s="1121">
        <f t="shared" si="23"/>
        <v>0</v>
      </c>
      <c r="AM37" s="2589"/>
      <c r="AN37" s="252">
        <f t="shared" si="22"/>
        <v>0</v>
      </c>
      <c r="AO37" s="2560"/>
      <c r="AP37" s="252">
        <f t="shared" si="0"/>
        <v>0</v>
      </c>
      <c r="AQ37" s="252">
        <f t="shared" si="1"/>
        <v>0</v>
      </c>
      <c r="AR37" s="252">
        <f t="shared" si="2"/>
        <v>0</v>
      </c>
      <c r="AS37" s="252">
        <f t="shared" si="3"/>
        <v>0</v>
      </c>
      <c r="AT37" s="252">
        <f t="shared" si="4"/>
        <v>0</v>
      </c>
      <c r="AU37" s="252">
        <f t="shared" si="5"/>
        <v>0</v>
      </c>
      <c r="AV37" s="2560"/>
      <c r="AW37" s="252">
        <f t="shared" si="6"/>
        <v>0</v>
      </c>
      <c r="AX37" s="252">
        <f t="shared" si="7"/>
        <v>0</v>
      </c>
      <c r="AY37" s="252">
        <f t="shared" si="8"/>
        <v>0</v>
      </c>
      <c r="AZ37" s="252">
        <f t="shared" si="9"/>
        <v>0</v>
      </c>
      <c r="BA37" s="252">
        <f t="shared" si="10"/>
        <v>0</v>
      </c>
      <c r="BB37" s="252">
        <f t="shared" si="11"/>
        <v>0</v>
      </c>
      <c r="BC37" s="2560"/>
      <c r="BD37" s="252">
        <f t="shared" si="12"/>
        <v>0</v>
      </c>
      <c r="BE37" s="252">
        <f t="shared" si="13"/>
        <v>0</v>
      </c>
      <c r="BF37" s="252">
        <f t="shared" si="14"/>
        <v>0</v>
      </c>
      <c r="BG37" s="252">
        <f t="shared" si="15"/>
        <v>0</v>
      </c>
      <c r="BH37" s="252">
        <f t="shared" si="16"/>
        <v>0</v>
      </c>
      <c r="BI37" s="252">
        <f t="shared" si="17"/>
        <v>0</v>
      </c>
      <c r="BJ37" s="2560"/>
      <c r="BK37" s="252">
        <f t="shared" si="18"/>
        <v>0</v>
      </c>
      <c r="BL37" s="252">
        <f t="shared" si="19"/>
        <v>0</v>
      </c>
      <c r="BM37" s="2560"/>
      <c r="BN37" s="252">
        <f t="shared" si="20"/>
        <v>0</v>
      </c>
      <c r="BO37" s="252">
        <f t="shared" si="21"/>
        <v>0</v>
      </c>
      <c r="BP37" s="2589"/>
      <c r="BQ37" s="2560"/>
      <c r="BR37" s="2560"/>
      <c r="BS37" s="1190"/>
      <c r="BT37" s="1190"/>
      <c r="BU37" s="1190"/>
      <c r="BV37" s="1190"/>
      <c r="BW37" s="1190"/>
      <c r="BX37" s="1190"/>
      <c r="BY37" s="1190"/>
      <c r="BZ37" s="1190"/>
      <c r="CA37" s="1190"/>
      <c r="CB37" s="1190"/>
      <c r="CC37" s="1190"/>
      <c r="CD37" s="1190"/>
      <c r="CE37" s="1190"/>
      <c r="CF37" s="1190"/>
      <c r="CG37" s="1190"/>
      <c r="CH37" s="1190"/>
      <c r="CI37" s="1190"/>
    </row>
    <row r="38" spans="2:87" ht="15.75" customHeight="1">
      <c r="B38" s="2037" t="s">
        <v>11098</v>
      </c>
      <c r="C38" s="2039"/>
      <c r="D38" s="1972"/>
      <c r="E38" s="1596"/>
      <c r="F38" s="1970"/>
      <c r="G38" s="1971"/>
      <c r="H38" s="1971"/>
      <c r="I38" s="1971"/>
      <c r="J38" s="1971"/>
      <c r="K38" s="1972"/>
      <c r="L38" s="1596"/>
      <c r="M38" s="1970"/>
      <c r="N38" s="1971"/>
      <c r="O38" s="1971"/>
      <c r="P38" s="1971"/>
      <c r="Q38" s="1971"/>
      <c r="R38" s="1972"/>
      <c r="S38" s="1596"/>
      <c r="T38" s="2056"/>
      <c r="U38" s="2057"/>
      <c r="V38" s="2057"/>
      <c r="W38" s="2057"/>
      <c r="X38" s="2057"/>
      <c r="Y38" s="2058"/>
      <c r="Z38" s="1596"/>
      <c r="AA38" s="2064"/>
      <c r="AB38" s="2065"/>
      <c r="AC38" s="2069"/>
      <c r="AD38" s="2069"/>
      <c r="AE38" s="1972"/>
      <c r="AF38" s="74"/>
      <c r="AG38" s="98" t="s">
        <v>11099</v>
      </c>
      <c r="AH38" s="74"/>
      <c r="AI38" s="79"/>
      <c r="AJ38" s="1190"/>
      <c r="AK38" s="2589"/>
      <c r="AL38" s="1121">
        <f t="shared" si="23"/>
        <v>0</v>
      </c>
      <c r="AM38" s="2589"/>
      <c r="AN38" s="252">
        <f t="shared" si="22"/>
        <v>0</v>
      </c>
      <c r="AO38" s="2560"/>
      <c r="AP38" s="252">
        <f t="shared" si="0"/>
        <v>0</v>
      </c>
      <c r="AQ38" s="252">
        <f t="shared" si="1"/>
        <v>0</v>
      </c>
      <c r="AR38" s="252">
        <f t="shared" si="2"/>
        <v>0</v>
      </c>
      <c r="AS38" s="252">
        <f t="shared" si="3"/>
        <v>0</v>
      </c>
      <c r="AT38" s="252">
        <f t="shared" si="4"/>
        <v>0</v>
      </c>
      <c r="AU38" s="252">
        <f t="shared" si="5"/>
        <v>0</v>
      </c>
      <c r="AV38" s="2560"/>
      <c r="AW38" s="252">
        <f t="shared" si="6"/>
        <v>0</v>
      </c>
      <c r="AX38" s="252">
        <f t="shared" si="7"/>
        <v>0</v>
      </c>
      <c r="AY38" s="252">
        <f t="shared" si="8"/>
        <v>0</v>
      </c>
      <c r="AZ38" s="252">
        <f t="shared" si="9"/>
        <v>0</v>
      </c>
      <c r="BA38" s="252">
        <f t="shared" si="10"/>
        <v>0</v>
      </c>
      <c r="BB38" s="252">
        <f t="shared" si="11"/>
        <v>0</v>
      </c>
      <c r="BC38" s="2560"/>
      <c r="BD38" s="252">
        <f t="shared" si="12"/>
        <v>0</v>
      </c>
      <c r="BE38" s="252">
        <f t="shared" si="13"/>
        <v>0</v>
      </c>
      <c r="BF38" s="252">
        <f t="shared" si="14"/>
        <v>0</v>
      </c>
      <c r="BG38" s="252">
        <f t="shared" si="15"/>
        <v>0</v>
      </c>
      <c r="BH38" s="252">
        <f t="shared" si="16"/>
        <v>0</v>
      </c>
      <c r="BI38" s="252">
        <f t="shared" si="17"/>
        <v>0</v>
      </c>
      <c r="BJ38" s="2560"/>
      <c r="BK38" s="252">
        <f t="shared" si="18"/>
        <v>0</v>
      </c>
      <c r="BL38" s="252">
        <f t="shared" si="19"/>
        <v>0</v>
      </c>
      <c r="BM38" s="2560"/>
      <c r="BN38" s="252">
        <f t="shared" si="20"/>
        <v>0</v>
      </c>
      <c r="BO38" s="252">
        <f t="shared" si="21"/>
        <v>0</v>
      </c>
      <c r="BP38" s="2589"/>
      <c r="BQ38" s="2560"/>
      <c r="BR38" s="2560"/>
      <c r="BS38" s="1190"/>
      <c r="BT38" s="1190"/>
      <c r="BU38" s="1190"/>
      <c r="BV38" s="1190"/>
      <c r="BW38" s="1190"/>
      <c r="BX38" s="1190"/>
      <c r="BY38" s="1190"/>
      <c r="BZ38" s="1190"/>
      <c r="CA38" s="1190"/>
      <c r="CB38" s="1190"/>
      <c r="CC38" s="1190"/>
      <c r="CD38" s="1190"/>
      <c r="CE38" s="1190"/>
      <c r="CF38" s="1190"/>
      <c r="CG38" s="1190"/>
      <c r="CH38" s="1190"/>
      <c r="CI38" s="1190"/>
    </row>
    <row r="39" spans="2:87" ht="15.75" customHeight="1">
      <c r="B39" s="2037" t="s">
        <v>11100</v>
      </c>
      <c r="C39" s="2039"/>
      <c r="D39" s="1972"/>
      <c r="E39" s="1596"/>
      <c r="F39" s="1970"/>
      <c r="G39" s="1971"/>
      <c r="H39" s="1971"/>
      <c r="I39" s="1971"/>
      <c r="J39" s="1971"/>
      <c r="K39" s="1972"/>
      <c r="L39" s="1596"/>
      <c r="M39" s="1970"/>
      <c r="N39" s="1971"/>
      <c r="O39" s="1971"/>
      <c r="P39" s="1971"/>
      <c r="Q39" s="1971"/>
      <c r="R39" s="1972"/>
      <c r="S39" s="1596"/>
      <c r="T39" s="2056"/>
      <c r="U39" s="2057"/>
      <c r="V39" s="2057"/>
      <c r="W39" s="2057"/>
      <c r="X39" s="2057"/>
      <c r="Y39" s="2058"/>
      <c r="Z39" s="1596"/>
      <c r="AA39" s="2064"/>
      <c r="AB39" s="2065"/>
      <c r="AC39" s="2069"/>
      <c r="AD39" s="2069"/>
      <c r="AE39" s="1972"/>
      <c r="AF39" s="74"/>
      <c r="AG39" s="98" t="s">
        <v>11101</v>
      </c>
      <c r="AH39" s="74"/>
      <c r="AI39" s="79"/>
      <c r="AJ39" s="1190"/>
      <c r="AK39" s="2589"/>
      <c r="AL39" s="1121">
        <f t="shared" si="23"/>
        <v>0</v>
      </c>
      <c r="AM39" s="2589"/>
      <c r="AN39" s="252">
        <f t="shared" si="22"/>
        <v>0</v>
      </c>
      <c r="AO39" s="2560"/>
      <c r="AP39" s="252">
        <f t="shared" si="0"/>
        <v>0</v>
      </c>
      <c r="AQ39" s="252">
        <f t="shared" si="1"/>
        <v>0</v>
      </c>
      <c r="AR39" s="252">
        <f t="shared" si="2"/>
        <v>0</v>
      </c>
      <c r="AS39" s="252">
        <f t="shared" si="3"/>
        <v>0</v>
      </c>
      <c r="AT39" s="252">
        <f t="shared" si="4"/>
        <v>0</v>
      </c>
      <c r="AU39" s="252">
        <f t="shared" si="5"/>
        <v>0</v>
      </c>
      <c r="AV39" s="2560"/>
      <c r="AW39" s="252">
        <f t="shared" si="6"/>
        <v>0</v>
      </c>
      <c r="AX39" s="252">
        <f t="shared" si="7"/>
        <v>0</v>
      </c>
      <c r="AY39" s="252">
        <f t="shared" si="8"/>
        <v>0</v>
      </c>
      <c r="AZ39" s="252">
        <f t="shared" si="9"/>
        <v>0</v>
      </c>
      <c r="BA39" s="252">
        <f t="shared" si="10"/>
        <v>0</v>
      </c>
      <c r="BB39" s="252">
        <f t="shared" si="11"/>
        <v>0</v>
      </c>
      <c r="BC39" s="2560"/>
      <c r="BD39" s="252">
        <f t="shared" si="12"/>
        <v>0</v>
      </c>
      <c r="BE39" s="252">
        <f t="shared" si="13"/>
        <v>0</v>
      </c>
      <c r="BF39" s="252">
        <f t="shared" si="14"/>
        <v>0</v>
      </c>
      <c r="BG39" s="252">
        <f t="shared" si="15"/>
        <v>0</v>
      </c>
      <c r="BH39" s="252">
        <f t="shared" si="16"/>
        <v>0</v>
      </c>
      <c r="BI39" s="252">
        <f t="shared" si="17"/>
        <v>0</v>
      </c>
      <c r="BJ39" s="2560"/>
      <c r="BK39" s="252">
        <f t="shared" si="18"/>
        <v>0</v>
      </c>
      <c r="BL39" s="252">
        <f t="shared" si="19"/>
        <v>0</v>
      </c>
      <c r="BM39" s="2560"/>
      <c r="BN39" s="252">
        <f t="shared" si="20"/>
        <v>0</v>
      </c>
      <c r="BO39" s="252">
        <f t="shared" si="21"/>
        <v>0</v>
      </c>
      <c r="BP39" s="2589"/>
      <c r="BQ39" s="2560"/>
      <c r="BR39" s="2560"/>
      <c r="BS39" s="1190"/>
      <c r="BT39" s="1190"/>
      <c r="BU39" s="1190"/>
      <c r="BV39" s="1190"/>
      <c r="BW39" s="1190"/>
      <c r="BX39" s="1190"/>
      <c r="BY39" s="1190"/>
      <c r="BZ39" s="1190"/>
      <c r="CA39" s="1190"/>
      <c r="CB39" s="1190"/>
      <c r="CC39" s="1190"/>
      <c r="CD39" s="1190"/>
      <c r="CE39" s="1190"/>
      <c r="CF39" s="1190"/>
      <c r="CG39" s="1190"/>
      <c r="CH39" s="1190"/>
      <c r="CI39" s="1190"/>
    </row>
    <row r="40" spans="2:87" ht="15.75" customHeight="1">
      <c r="B40" s="2037" t="s">
        <v>11102</v>
      </c>
      <c r="C40" s="2039"/>
      <c r="D40" s="1972"/>
      <c r="E40" s="1596"/>
      <c r="F40" s="1970"/>
      <c r="G40" s="1971"/>
      <c r="H40" s="1971"/>
      <c r="I40" s="1971"/>
      <c r="J40" s="1971"/>
      <c r="K40" s="1972"/>
      <c r="L40" s="1596"/>
      <c r="M40" s="1970"/>
      <c r="N40" s="1971"/>
      <c r="O40" s="1971"/>
      <c r="P40" s="1971"/>
      <c r="Q40" s="1971"/>
      <c r="R40" s="1972"/>
      <c r="S40" s="1596"/>
      <c r="T40" s="2056"/>
      <c r="U40" s="2057"/>
      <c r="V40" s="2057"/>
      <c r="W40" s="2057"/>
      <c r="X40" s="2057"/>
      <c r="Y40" s="2058"/>
      <c r="Z40" s="1596"/>
      <c r="AA40" s="2064"/>
      <c r="AB40" s="2065"/>
      <c r="AC40" s="2069"/>
      <c r="AD40" s="2069"/>
      <c r="AE40" s="1972"/>
      <c r="AF40" s="74"/>
      <c r="AG40" s="98" t="s">
        <v>11103</v>
      </c>
      <c r="AH40" s="74"/>
      <c r="AI40" s="79"/>
      <c r="AJ40" s="1190"/>
      <c r="AK40" s="2589"/>
      <c r="AL40" s="1121">
        <f t="shared" si="23"/>
        <v>0</v>
      </c>
      <c r="AM40" s="2589"/>
      <c r="AN40" s="252">
        <f t="shared" si="22"/>
        <v>0</v>
      </c>
      <c r="AO40" s="2560"/>
      <c r="AP40" s="252">
        <f t="shared" si="0"/>
        <v>0</v>
      </c>
      <c r="AQ40" s="252">
        <f t="shared" si="1"/>
        <v>0</v>
      </c>
      <c r="AR40" s="252">
        <f t="shared" si="2"/>
        <v>0</v>
      </c>
      <c r="AS40" s="252">
        <f t="shared" si="3"/>
        <v>0</v>
      </c>
      <c r="AT40" s="252">
        <f t="shared" si="4"/>
        <v>0</v>
      </c>
      <c r="AU40" s="252">
        <f t="shared" si="5"/>
        <v>0</v>
      </c>
      <c r="AV40" s="2560"/>
      <c r="AW40" s="252">
        <f t="shared" si="6"/>
        <v>0</v>
      </c>
      <c r="AX40" s="252">
        <f t="shared" si="7"/>
        <v>0</v>
      </c>
      <c r="AY40" s="252">
        <f t="shared" si="8"/>
        <v>0</v>
      </c>
      <c r="AZ40" s="252">
        <f t="shared" si="9"/>
        <v>0</v>
      </c>
      <c r="BA40" s="252">
        <f t="shared" si="10"/>
        <v>0</v>
      </c>
      <c r="BB40" s="252">
        <f t="shared" si="11"/>
        <v>0</v>
      </c>
      <c r="BC40" s="2560"/>
      <c r="BD40" s="252">
        <f t="shared" si="12"/>
        <v>0</v>
      </c>
      <c r="BE40" s="252">
        <f t="shared" si="13"/>
        <v>0</v>
      </c>
      <c r="BF40" s="252">
        <f t="shared" si="14"/>
        <v>0</v>
      </c>
      <c r="BG40" s="252">
        <f t="shared" si="15"/>
        <v>0</v>
      </c>
      <c r="BH40" s="252">
        <f t="shared" si="16"/>
        <v>0</v>
      </c>
      <c r="BI40" s="252">
        <f t="shared" si="17"/>
        <v>0</v>
      </c>
      <c r="BJ40" s="2560"/>
      <c r="BK40" s="252">
        <f t="shared" si="18"/>
        <v>0</v>
      </c>
      <c r="BL40" s="252">
        <f t="shared" si="19"/>
        <v>0</v>
      </c>
      <c r="BM40" s="2560"/>
      <c r="BN40" s="252">
        <f t="shared" si="20"/>
        <v>0</v>
      </c>
      <c r="BO40" s="252">
        <f t="shared" si="21"/>
        <v>0</v>
      </c>
      <c r="BP40" s="2589"/>
      <c r="BQ40" s="2560"/>
      <c r="BR40" s="2560"/>
      <c r="BS40" s="1190"/>
      <c r="BT40" s="1190"/>
      <c r="BU40" s="1190"/>
      <c r="BV40" s="1190"/>
      <c r="BW40" s="1190"/>
      <c r="BX40" s="1190"/>
      <c r="BY40" s="1190"/>
      <c r="BZ40" s="1190"/>
      <c r="CA40" s="1190"/>
      <c r="CB40" s="1190"/>
      <c r="CC40" s="1190"/>
      <c r="CD40" s="1190"/>
      <c r="CE40" s="1190"/>
      <c r="CF40" s="1190"/>
      <c r="CG40" s="1190"/>
      <c r="CH40" s="1190"/>
      <c r="CI40" s="1190"/>
    </row>
    <row r="41" spans="2:87" ht="15.75" customHeight="1">
      <c r="B41" s="2037" t="s">
        <v>11104</v>
      </c>
      <c r="C41" s="2039"/>
      <c r="D41" s="1972"/>
      <c r="E41" s="1596"/>
      <c r="F41" s="1970"/>
      <c r="G41" s="1971"/>
      <c r="H41" s="1971"/>
      <c r="I41" s="1971"/>
      <c r="J41" s="1971"/>
      <c r="K41" s="1972"/>
      <c r="L41" s="1596"/>
      <c r="M41" s="1970"/>
      <c r="N41" s="1971"/>
      <c r="O41" s="1971"/>
      <c r="P41" s="1971"/>
      <c r="Q41" s="1971"/>
      <c r="R41" s="1972"/>
      <c r="S41" s="1596"/>
      <c r="T41" s="2056"/>
      <c r="U41" s="2057"/>
      <c r="V41" s="2057"/>
      <c r="W41" s="2057"/>
      <c r="X41" s="2057"/>
      <c r="Y41" s="2058"/>
      <c r="Z41" s="1596"/>
      <c r="AA41" s="2064"/>
      <c r="AB41" s="2065"/>
      <c r="AC41" s="2069"/>
      <c r="AD41" s="2069"/>
      <c r="AE41" s="1972"/>
      <c r="AF41" s="74"/>
      <c r="AG41" s="98" t="s">
        <v>11105</v>
      </c>
      <c r="AH41" s="74"/>
      <c r="AI41" s="79"/>
      <c r="AJ41" s="1190"/>
      <c r="AK41" s="2589"/>
      <c r="AL41" s="1121">
        <f t="shared" si="23"/>
        <v>0</v>
      </c>
      <c r="AM41" s="2589"/>
      <c r="AN41" s="252">
        <f t="shared" si="22"/>
        <v>0</v>
      </c>
      <c r="AO41" s="2560"/>
      <c r="AP41" s="252">
        <f t="shared" si="0"/>
        <v>0</v>
      </c>
      <c r="AQ41" s="252">
        <f t="shared" si="1"/>
        <v>0</v>
      </c>
      <c r="AR41" s="252">
        <f t="shared" si="2"/>
        <v>0</v>
      </c>
      <c r="AS41" s="252">
        <f t="shared" si="3"/>
        <v>0</v>
      </c>
      <c r="AT41" s="252">
        <f t="shared" si="4"/>
        <v>0</v>
      </c>
      <c r="AU41" s="252">
        <f t="shared" si="5"/>
        <v>0</v>
      </c>
      <c r="AV41" s="2560"/>
      <c r="AW41" s="252">
        <f t="shared" si="6"/>
        <v>0</v>
      </c>
      <c r="AX41" s="252">
        <f t="shared" si="7"/>
        <v>0</v>
      </c>
      <c r="AY41" s="252">
        <f t="shared" si="8"/>
        <v>0</v>
      </c>
      <c r="AZ41" s="252">
        <f t="shared" si="9"/>
        <v>0</v>
      </c>
      <c r="BA41" s="252">
        <f t="shared" si="10"/>
        <v>0</v>
      </c>
      <c r="BB41" s="252">
        <f t="shared" si="11"/>
        <v>0</v>
      </c>
      <c r="BC41" s="2560"/>
      <c r="BD41" s="252">
        <f t="shared" si="12"/>
        <v>0</v>
      </c>
      <c r="BE41" s="252">
        <f t="shared" si="13"/>
        <v>0</v>
      </c>
      <c r="BF41" s="252">
        <f t="shared" si="14"/>
        <v>0</v>
      </c>
      <c r="BG41" s="252">
        <f t="shared" si="15"/>
        <v>0</v>
      </c>
      <c r="BH41" s="252">
        <f t="shared" si="16"/>
        <v>0</v>
      </c>
      <c r="BI41" s="252">
        <f t="shared" si="17"/>
        <v>0</v>
      </c>
      <c r="BJ41" s="2560"/>
      <c r="BK41" s="252">
        <f t="shared" si="18"/>
        <v>0</v>
      </c>
      <c r="BL41" s="252">
        <f t="shared" si="19"/>
        <v>0</v>
      </c>
      <c r="BM41" s="2560"/>
      <c r="BN41" s="252">
        <f t="shared" si="20"/>
        <v>0</v>
      </c>
      <c r="BO41" s="252">
        <f t="shared" si="21"/>
        <v>0</v>
      </c>
      <c r="BP41" s="2589"/>
      <c r="BQ41" s="2560"/>
      <c r="BR41" s="2560"/>
      <c r="BS41" s="1190"/>
      <c r="BT41" s="1190"/>
      <c r="BU41" s="1190"/>
      <c r="BV41" s="1190"/>
      <c r="BW41" s="1190"/>
      <c r="BX41" s="1190"/>
      <c r="BY41" s="1190"/>
      <c r="BZ41" s="1190"/>
      <c r="CA41" s="1190"/>
      <c r="CB41" s="1190"/>
      <c r="CC41" s="1190"/>
      <c r="CD41" s="1190"/>
      <c r="CE41" s="1190"/>
      <c r="CF41" s="1190"/>
      <c r="CG41" s="1190"/>
      <c r="CH41" s="1190"/>
      <c r="CI41" s="1190"/>
    </row>
    <row r="42" spans="2:87" ht="15.75" customHeight="1">
      <c r="B42" s="2037" t="s">
        <v>11106</v>
      </c>
      <c r="C42" s="2039"/>
      <c r="D42" s="1972"/>
      <c r="E42" s="1596"/>
      <c r="F42" s="1970"/>
      <c r="G42" s="1971"/>
      <c r="H42" s="1971"/>
      <c r="I42" s="1971"/>
      <c r="J42" s="1971"/>
      <c r="K42" s="1972"/>
      <c r="L42" s="1596"/>
      <c r="M42" s="1970"/>
      <c r="N42" s="1971"/>
      <c r="O42" s="1971"/>
      <c r="P42" s="1971"/>
      <c r="Q42" s="1971"/>
      <c r="R42" s="1972"/>
      <c r="S42" s="1596"/>
      <c r="T42" s="2056"/>
      <c r="U42" s="2057"/>
      <c r="V42" s="2057"/>
      <c r="W42" s="2057"/>
      <c r="X42" s="2057"/>
      <c r="Y42" s="2058"/>
      <c r="Z42" s="1596"/>
      <c r="AA42" s="2064"/>
      <c r="AB42" s="2065"/>
      <c r="AC42" s="2069"/>
      <c r="AD42" s="2069"/>
      <c r="AE42" s="1972"/>
      <c r="AF42" s="74"/>
      <c r="AG42" s="98" t="s">
        <v>11107</v>
      </c>
      <c r="AH42" s="74"/>
      <c r="AI42" s="79"/>
      <c r="AJ42" s="1190"/>
      <c r="AK42" s="2589"/>
      <c r="AL42" s="1121">
        <f t="shared" si="23"/>
        <v>0</v>
      </c>
      <c r="AM42" s="2589"/>
      <c r="AN42" s="252">
        <f t="shared" si="22"/>
        <v>0</v>
      </c>
      <c r="AO42" s="2560"/>
      <c r="AP42" s="252">
        <f t="shared" si="0"/>
        <v>0</v>
      </c>
      <c r="AQ42" s="252">
        <f t="shared" si="1"/>
        <v>0</v>
      </c>
      <c r="AR42" s="252">
        <f t="shared" si="2"/>
        <v>0</v>
      </c>
      <c r="AS42" s="252">
        <f t="shared" si="3"/>
        <v>0</v>
      </c>
      <c r="AT42" s="252">
        <f t="shared" si="4"/>
        <v>0</v>
      </c>
      <c r="AU42" s="252">
        <f t="shared" si="5"/>
        <v>0</v>
      </c>
      <c r="AV42" s="2560"/>
      <c r="AW42" s="252">
        <f t="shared" si="6"/>
        <v>0</v>
      </c>
      <c r="AX42" s="252">
        <f t="shared" si="7"/>
        <v>0</v>
      </c>
      <c r="AY42" s="252">
        <f t="shared" si="8"/>
        <v>0</v>
      </c>
      <c r="AZ42" s="252">
        <f t="shared" si="9"/>
        <v>0</v>
      </c>
      <c r="BA42" s="252">
        <f t="shared" si="10"/>
        <v>0</v>
      </c>
      <c r="BB42" s="252">
        <f t="shared" si="11"/>
        <v>0</v>
      </c>
      <c r="BC42" s="2560"/>
      <c r="BD42" s="252">
        <f t="shared" si="12"/>
        <v>0</v>
      </c>
      <c r="BE42" s="252">
        <f t="shared" si="13"/>
        <v>0</v>
      </c>
      <c r="BF42" s="252">
        <f t="shared" si="14"/>
        <v>0</v>
      </c>
      <c r="BG42" s="252">
        <f t="shared" si="15"/>
        <v>0</v>
      </c>
      <c r="BH42" s="252">
        <f t="shared" si="16"/>
        <v>0</v>
      </c>
      <c r="BI42" s="252">
        <f t="shared" si="17"/>
        <v>0</v>
      </c>
      <c r="BJ42" s="2560"/>
      <c r="BK42" s="252">
        <f t="shared" si="18"/>
        <v>0</v>
      </c>
      <c r="BL42" s="252">
        <f t="shared" si="19"/>
        <v>0</v>
      </c>
      <c r="BM42" s="2560"/>
      <c r="BN42" s="252">
        <f t="shared" si="20"/>
        <v>0</v>
      </c>
      <c r="BO42" s="252">
        <f t="shared" si="21"/>
        <v>0</v>
      </c>
      <c r="BP42" s="2589"/>
      <c r="BQ42" s="2560"/>
      <c r="BR42" s="2560"/>
      <c r="BS42" s="1190"/>
      <c r="BT42" s="1190"/>
      <c r="BU42" s="1190"/>
      <c r="BV42" s="1190"/>
      <c r="BW42" s="1190"/>
      <c r="BX42" s="1190"/>
      <c r="BY42" s="1190"/>
      <c r="BZ42" s="1190"/>
      <c r="CA42" s="1190"/>
      <c r="CB42" s="1190"/>
      <c r="CC42" s="1190"/>
      <c r="CD42" s="1190"/>
      <c r="CE42" s="1190"/>
      <c r="CF42" s="1190"/>
      <c r="CG42" s="1190"/>
      <c r="CH42" s="1190"/>
      <c r="CI42" s="1190"/>
    </row>
    <row r="43" spans="2:87" ht="15.75" customHeight="1">
      <c r="B43" s="2037" t="s">
        <v>11108</v>
      </c>
      <c r="C43" s="2039"/>
      <c r="D43" s="1972"/>
      <c r="E43" s="1596"/>
      <c r="F43" s="1970"/>
      <c r="G43" s="1971"/>
      <c r="H43" s="1971"/>
      <c r="I43" s="1971"/>
      <c r="J43" s="1971"/>
      <c r="K43" s="1972"/>
      <c r="L43" s="1596"/>
      <c r="M43" s="1970"/>
      <c r="N43" s="1971"/>
      <c r="O43" s="1971"/>
      <c r="P43" s="1971"/>
      <c r="Q43" s="1971"/>
      <c r="R43" s="1972"/>
      <c r="S43" s="1596"/>
      <c r="T43" s="2056"/>
      <c r="U43" s="2057"/>
      <c r="V43" s="2057"/>
      <c r="W43" s="2057"/>
      <c r="X43" s="2057"/>
      <c r="Y43" s="2058"/>
      <c r="Z43" s="1596"/>
      <c r="AA43" s="2064"/>
      <c r="AB43" s="2065"/>
      <c r="AC43" s="2069"/>
      <c r="AD43" s="2069"/>
      <c r="AE43" s="1972"/>
      <c r="AF43" s="74"/>
      <c r="AG43" s="98" t="s">
        <v>11109</v>
      </c>
      <c r="AH43" s="74"/>
      <c r="AI43" s="79"/>
      <c r="AJ43" s="1190"/>
      <c r="AK43" s="2589"/>
      <c r="AL43" s="1121">
        <f t="shared" si="23"/>
        <v>0</v>
      </c>
      <c r="AM43" s="2589"/>
      <c r="AN43" s="252">
        <f t="shared" si="22"/>
        <v>0</v>
      </c>
      <c r="AO43" s="2560"/>
      <c r="AP43" s="252">
        <f t="shared" si="0"/>
        <v>0</v>
      </c>
      <c r="AQ43" s="252">
        <f t="shared" si="1"/>
        <v>0</v>
      </c>
      <c r="AR43" s="252">
        <f t="shared" si="2"/>
        <v>0</v>
      </c>
      <c r="AS43" s="252">
        <f t="shared" si="3"/>
        <v>0</v>
      </c>
      <c r="AT43" s="252">
        <f t="shared" si="4"/>
        <v>0</v>
      </c>
      <c r="AU43" s="252">
        <f t="shared" si="5"/>
        <v>0</v>
      </c>
      <c r="AV43" s="2560"/>
      <c r="AW43" s="252">
        <f t="shared" si="6"/>
        <v>0</v>
      </c>
      <c r="AX43" s="252">
        <f t="shared" si="7"/>
        <v>0</v>
      </c>
      <c r="AY43" s="252">
        <f t="shared" si="8"/>
        <v>0</v>
      </c>
      <c r="AZ43" s="252">
        <f t="shared" si="9"/>
        <v>0</v>
      </c>
      <c r="BA43" s="252">
        <f t="shared" si="10"/>
        <v>0</v>
      </c>
      <c r="BB43" s="252">
        <f t="shared" si="11"/>
        <v>0</v>
      </c>
      <c r="BC43" s="2560"/>
      <c r="BD43" s="252">
        <f t="shared" si="12"/>
        <v>0</v>
      </c>
      <c r="BE43" s="252">
        <f t="shared" si="13"/>
        <v>0</v>
      </c>
      <c r="BF43" s="252">
        <f t="shared" si="14"/>
        <v>0</v>
      </c>
      <c r="BG43" s="252">
        <f t="shared" si="15"/>
        <v>0</v>
      </c>
      <c r="BH43" s="252">
        <f t="shared" si="16"/>
        <v>0</v>
      </c>
      <c r="BI43" s="252">
        <f t="shared" si="17"/>
        <v>0</v>
      </c>
      <c r="BJ43" s="2560"/>
      <c r="BK43" s="252">
        <f t="shared" si="18"/>
        <v>0</v>
      </c>
      <c r="BL43" s="252">
        <f t="shared" si="19"/>
        <v>0</v>
      </c>
      <c r="BM43" s="2560"/>
      <c r="BN43" s="252">
        <f t="shared" si="20"/>
        <v>0</v>
      </c>
      <c r="BO43" s="252">
        <f t="shared" si="21"/>
        <v>0</v>
      </c>
      <c r="BP43" s="2589"/>
      <c r="BQ43" s="2560"/>
      <c r="BR43" s="2560"/>
      <c r="BS43" s="1190"/>
      <c r="BT43" s="1190"/>
      <c r="BU43" s="1190"/>
      <c r="BV43" s="1190"/>
      <c r="BW43" s="1190"/>
      <c r="BX43" s="1190"/>
      <c r="BY43" s="1190"/>
      <c r="BZ43" s="1190"/>
      <c r="CA43" s="1190"/>
      <c r="CB43" s="1190"/>
      <c r="CC43" s="1190"/>
      <c r="CD43" s="1190"/>
      <c r="CE43" s="1190"/>
      <c r="CF43" s="1190"/>
      <c r="CG43" s="1190"/>
      <c r="CH43" s="1190"/>
      <c r="CI43" s="1190"/>
    </row>
    <row r="44" spans="2:87" ht="15.75" customHeight="1">
      <c r="B44" s="2037" t="s">
        <v>11110</v>
      </c>
      <c r="C44" s="2039"/>
      <c r="D44" s="1972"/>
      <c r="E44" s="1596"/>
      <c r="F44" s="1970"/>
      <c r="G44" s="1971"/>
      <c r="H44" s="1971"/>
      <c r="I44" s="1971"/>
      <c r="J44" s="1971"/>
      <c r="K44" s="1972"/>
      <c r="L44" s="1596"/>
      <c r="M44" s="1970"/>
      <c r="N44" s="1971"/>
      <c r="O44" s="1971"/>
      <c r="P44" s="1971"/>
      <c r="Q44" s="1971"/>
      <c r="R44" s="1972"/>
      <c r="S44" s="1596"/>
      <c r="T44" s="2056"/>
      <c r="U44" s="2057"/>
      <c r="V44" s="2057"/>
      <c r="W44" s="2057"/>
      <c r="X44" s="2057"/>
      <c r="Y44" s="2058"/>
      <c r="Z44" s="1596"/>
      <c r="AA44" s="2064"/>
      <c r="AB44" s="2065"/>
      <c r="AC44" s="2069"/>
      <c r="AD44" s="2069"/>
      <c r="AE44" s="1972"/>
      <c r="AF44" s="74"/>
      <c r="AG44" s="98" t="s">
        <v>11111</v>
      </c>
      <c r="AH44" s="74"/>
      <c r="AI44" s="79"/>
      <c r="AJ44" s="1190"/>
      <c r="AK44" s="2589"/>
      <c r="AL44" s="1121">
        <f t="shared" si="23"/>
        <v>0</v>
      </c>
      <c r="AM44" s="2589"/>
      <c r="AN44" s="252">
        <f t="shared" si="22"/>
        <v>0</v>
      </c>
      <c r="AO44" s="2560"/>
      <c r="AP44" s="252">
        <f t="shared" si="0"/>
        <v>0</v>
      </c>
      <c r="AQ44" s="252">
        <f t="shared" si="1"/>
        <v>0</v>
      </c>
      <c r="AR44" s="252">
        <f t="shared" si="2"/>
        <v>0</v>
      </c>
      <c r="AS44" s="252">
        <f t="shared" si="3"/>
        <v>0</v>
      </c>
      <c r="AT44" s="252">
        <f t="shared" si="4"/>
        <v>0</v>
      </c>
      <c r="AU44" s="252">
        <f t="shared" si="5"/>
        <v>0</v>
      </c>
      <c r="AV44" s="2560"/>
      <c r="AW44" s="252">
        <f t="shared" si="6"/>
        <v>0</v>
      </c>
      <c r="AX44" s="252">
        <f t="shared" si="7"/>
        <v>0</v>
      </c>
      <c r="AY44" s="252">
        <f t="shared" si="8"/>
        <v>0</v>
      </c>
      <c r="AZ44" s="252">
        <f t="shared" si="9"/>
        <v>0</v>
      </c>
      <c r="BA44" s="252">
        <f t="shared" si="10"/>
        <v>0</v>
      </c>
      <c r="BB44" s="252">
        <f t="shared" si="11"/>
        <v>0</v>
      </c>
      <c r="BC44" s="2560"/>
      <c r="BD44" s="252">
        <f t="shared" si="12"/>
        <v>0</v>
      </c>
      <c r="BE44" s="252">
        <f t="shared" si="13"/>
        <v>0</v>
      </c>
      <c r="BF44" s="252">
        <f t="shared" si="14"/>
        <v>0</v>
      </c>
      <c r="BG44" s="252">
        <f t="shared" si="15"/>
        <v>0</v>
      </c>
      <c r="BH44" s="252">
        <f t="shared" si="16"/>
        <v>0</v>
      </c>
      <c r="BI44" s="252">
        <f t="shared" si="17"/>
        <v>0</v>
      </c>
      <c r="BJ44" s="2560"/>
      <c r="BK44" s="252">
        <f t="shared" si="18"/>
        <v>0</v>
      </c>
      <c r="BL44" s="252">
        <f t="shared" si="19"/>
        <v>0</v>
      </c>
      <c r="BM44" s="2560"/>
      <c r="BN44" s="252">
        <f t="shared" si="20"/>
        <v>0</v>
      </c>
      <c r="BO44" s="252">
        <f t="shared" si="21"/>
        <v>0</v>
      </c>
      <c r="BP44" s="2589"/>
      <c r="BQ44" s="2560"/>
      <c r="BR44" s="2560"/>
      <c r="BS44" s="1190"/>
      <c r="BT44" s="1190"/>
      <c r="BU44" s="1190"/>
      <c r="BV44" s="1190"/>
      <c r="BW44" s="1190"/>
      <c r="BX44" s="1190"/>
      <c r="BY44" s="1190"/>
      <c r="BZ44" s="1190"/>
      <c r="CA44" s="1190"/>
      <c r="CB44" s="1190"/>
      <c r="CC44" s="1190"/>
      <c r="CD44" s="1190"/>
      <c r="CE44" s="1190"/>
      <c r="CF44" s="1190"/>
      <c r="CG44" s="1190"/>
      <c r="CH44" s="1190"/>
      <c r="CI44" s="1190"/>
    </row>
    <row r="45" spans="2:87" ht="15.75" customHeight="1">
      <c r="B45" s="2037" t="s">
        <v>11112</v>
      </c>
      <c r="C45" s="2039"/>
      <c r="D45" s="1972"/>
      <c r="E45" s="1596"/>
      <c r="F45" s="1970"/>
      <c r="G45" s="1971"/>
      <c r="H45" s="1971"/>
      <c r="I45" s="1971"/>
      <c r="J45" s="1971"/>
      <c r="K45" s="1972"/>
      <c r="L45" s="1596"/>
      <c r="M45" s="1970"/>
      <c r="N45" s="1971"/>
      <c r="O45" s="1971"/>
      <c r="P45" s="1971"/>
      <c r="Q45" s="1971"/>
      <c r="R45" s="1972"/>
      <c r="S45" s="1596"/>
      <c r="T45" s="2056"/>
      <c r="U45" s="2057"/>
      <c r="V45" s="2057"/>
      <c r="W45" s="2057"/>
      <c r="X45" s="2057"/>
      <c r="Y45" s="2058"/>
      <c r="Z45" s="1596"/>
      <c r="AA45" s="2064"/>
      <c r="AB45" s="2065"/>
      <c r="AC45" s="2069"/>
      <c r="AD45" s="2069"/>
      <c r="AE45" s="1972"/>
      <c r="AF45" s="74"/>
      <c r="AG45" s="98" t="s">
        <v>11113</v>
      </c>
      <c r="AH45" s="74"/>
      <c r="AI45" s="79"/>
      <c r="AJ45" s="1190"/>
      <c r="AK45" s="2589"/>
      <c r="AL45" s="1121">
        <f t="shared" si="23"/>
        <v>0</v>
      </c>
      <c r="AM45" s="2589"/>
      <c r="AN45" s="252">
        <f t="shared" si="22"/>
        <v>0</v>
      </c>
      <c r="AO45" s="2560"/>
      <c r="AP45" s="252">
        <f t="shared" si="0"/>
        <v>0</v>
      </c>
      <c r="AQ45" s="252">
        <f t="shared" si="1"/>
        <v>0</v>
      </c>
      <c r="AR45" s="252">
        <f t="shared" si="2"/>
        <v>0</v>
      </c>
      <c r="AS45" s="252">
        <f t="shared" si="3"/>
        <v>0</v>
      </c>
      <c r="AT45" s="252">
        <f t="shared" si="4"/>
        <v>0</v>
      </c>
      <c r="AU45" s="252">
        <f t="shared" si="5"/>
        <v>0</v>
      </c>
      <c r="AV45" s="2560"/>
      <c r="AW45" s="252">
        <f t="shared" si="6"/>
        <v>0</v>
      </c>
      <c r="AX45" s="252">
        <f t="shared" si="7"/>
        <v>0</v>
      </c>
      <c r="AY45" s="252">
        <f t="shared" si="8"/>
        <v>0</v>
      </c>
      <c r="AZ45" s="252">
        <f t="shared" si="9"/>
        <v>0</v>
      </c>
      <c r="BA45" s="252">
        <f t="shared" si="10"/>
        <v>0</v>
      </c>
      <c r="BB45" s="252">
        <f t="shared" si="11"/>
        <v>0</v>
      </c>
      <c r="BC45" s="2560"/>
      <c r="BD45" s="252">
        <f t="shared" si="12"/>
        <v>0</v>
      </c>
      <c r="BE45" s="252">
        <f t="shared" si="13"/>
        <v>0</v>
      </c>
      <c r="BF45" s="252">
        <f t="shared" si="14"/>
        <v>0</v>
      </c>
      <c r="BG45" s="252">
        <f t="shared" si="15"/>
        <v>0</v>
      </c>
      <c r="BH45" s="252">
        <f t="shared" si="16"/>
        <v>0</v>
      </c>
      <c r="BI45" s="252">
        <f t="shared" si="17"/>
        <v>0</v>
      </c>
      <c r="BJ45" s="2560"/>
      <c r="BK45" s="252">
        <f t="shared" si="18"/>
        <v>0</v>
      </c>
      <c r="BL45" s="252">
        <f t="shared" si="19"/>
        <v>0</v>
      </c>
      <c r="BM45" s="2560"/>
      <c r="BN45" s="252">
        <f t="shared" si="20"/>
        <v>0</v>
      </c>
      <c r="BO45" s="252">
        <f t="shared" si="21"/>
        <v>0</v>
      </c>
      <c r="BP45" s="2589"/>
      <c r="BQ45" s="2560"/>
      <c r="BR45" s="2560"/>
      <c r="BS45" s="1190"/>
      <c r="BT45" s="1190"/>
      <c r="BU45" s="1190"/>
      <c r="BV45" s="1190"/>
      <c r="BW45" s="1190"/>
      <c r="BX45" s="1190"/>
      <c r="BY45" s="1190"/>
      <c r="BZ45" s="1190"/>
      <c r="CA45" s="1190"/>
      <c r="CB45" s="1190"/>
      <c r="CC45" s="1190"/>
      <c r="CD45" s="1190"/>
      <c r="CE45" s="1190"/>
      <c r="CF45" s="1190"/>
      <c r="CG45" s="1190"/>
      <c r="CH45" s="1190"/>
      <c r="CI45" s="1190"/>
    </row>
    <row r="46" spans="2:87" ht="15.75" customHeight="1">
      <c r="B46" s="2037" t="s">
        <v>11114</v>
      </c>
      <c r="C46" s="2039"/>
      <c r="D46" s="1972"/>
      <c r="E46" s="1596"/>
      <c r="F46" s="1970"/>
      <c r="G46" s="1971"/>
      <c r="H46" s="1971"/>
      <c r="I46" s="1971"/>
      <c r="J46" s="1971"/>
      <c r="K46" s="1972"/>
      <c r="L46" s="1596"/>
      <c r="M46" s="1970"/>
      <c r="N46" s="1971"/>
      <c r="O46" s="1971"/>
      <c r="P46" s="1971"/>
      <c r="Q46" s="1971"/>
      <c r="R46" s="1972"/>
      <c r="S46" s="1596"/>
      <c r="T46" s="2056"/>
      <c r="U46" s="2057"/>
      <c r="V46" s="2057"/>
      <c r="W46" s="2057"/>
      <c r="X46" s="2057"/>
      <c r="Y46" s="2058"/>
      <c r="Z46" s="1596"/>
      <c r="AA46" s="2064"/>
      <c r="AB46" s="2065"/>
      <c r="AC46" s="2069"/>
      <c r="AD46" s="2069"/>
      <c r="AE46" s="1972"/>
      <c r="AF46" s="74"/>
      <c r="AG46" s="98" t="s">
        <v>11115</v>
      </c>
      <c r="AH46" s="74"/>
      <c r="AI46" s="79"/>
      <c r="AJ46" s="1190"/>
      <c r="AK46" s="2589"/>
      <c r="AL46" s="1121">
        <f t="shared" si="23"/>
        <v>0</v>
      </c>
      <c r="AM46" s="2589"/>
      <c r="AN46" s="252">
        <f t="shared" si="22"/>
        <v>0</v>
      </c>
      <c r="AO46" s="2560"/>
      <c r="AP46" s="252">
        <f t="shared" si="0"/>
        <v>0</v>
      </c>
      <c r="AQ46" s="252">
        <f t="shared" si="1"/>
        <v>0</v>
      </c>
      <c r="AR46" s="252">
        <f t="shared" si="2"/>
        <v>0</v>
      </c>
      <c r="AS46" s="252">
        <f t="shared" si="3"/>
        <v>0</v>
      </c>
      <c r="AT46" s="252">
        <f t="shared" si="4"/>
        <v>0</v>
      </c>
      <c r="AU46" s="252">
        <f t="shared" si="5"/>
        <v>0</v>
      </c>
      <c r="AV46" s="2560"/>
      <c r="AW46" s="252">
        <f t="shared" si="6"/>
        <v>0</v>
      </c>
      <c r="AX46" s="252">
        <f t="shared" si="7"/>
        <v>0</v>
      </c>
      <c r="AY46" s="252">
        <f t="shared" si="8"/>
        <v>0</v>
      </c>
      <c r="AZ46" s="252">
        <f t="shared" si="9"/>
        <v>0</v>
      </c>
      <c r="BA46" s="252">
        <f t="shared" si="10"/>
        <v>0</v>
      </c>
      <c r="BB46" s="252">
        <f t="shared" si="11"/>
        <v>0</v>
      </c>
      <c r="BC46" s="2560"/>
      <c r="BD46" s="252">
        <f t="shared" si="12"/>
        <v>0</v>
      </c>
      <c r="BE46" s="252">
        <f t="shared" si="13"/>
        <v>0</v>
      </c>
      <c r="BF46" s="252">
        <f t="shared" si="14"/>
        <v>0</v>
      </c>
      <c r="BG46" s="252">
        <f t="shared" si="15"/>
        <v>0</v>
      </c>
      <c r="BH46" s="252">
        <f t="shared" si="16"/>
        <v>0</v>
      </c>
      <c r="BI46" s="252">
        <f t="shared" si="17"/>
        <v>0</v>
      </c>
      <c r="BJ46" s="2560"/>
      <c r="BK46" s="252">
        <f t="shared" si="18"/>
        <v>0</v>
      </c>
      <c r="BL46" s="252">
        <f t="shared" si="19"/>
        <v>0</v>
      </c>
      <c r="BM46" s="2560"/>
      <c r="BN46" s="252">
        <f t="shared" si="20"/>
        <v>0</v>
      </c>
      <c r="BO46" s="252">
        <f t="shared" si="21"/>
        <v>0</v>
      </c>
      <c r="BP46" s="2589"/>
      <c r="BQ46" s="2560"/>
      <c r="BR46" s="2560"/>
      <c r="BS46" s="1190"/>
      <c r="BT46" s="1190"/>
      <c r="BU46" s="1190"/>
      <c r="BV46" s="1190"/>
      <c r="BW46" s="1190"/>
      <c r="BX46" s="1190"/>
      <c r="BY46" s="1190"/>
      <c r="BZ46" s="1190"/>
      <c r="CA46" s="1190"/>
      <c r="CB46" s="1190"/>
      <c r="CC46" s="1190"/>
      <c r="CD46" s="1190"/>
      <c r="CE46" s="1190"/>
      <c r="CF46" s="1190"/>
      <c r="CG46" s="1190"/>
      <c r="CH46" s="1190"/>
      <c r="CI46" s="1190"/>
    </row>
    <row r="47" spans="2:87" ht="15.75" customHeight="1">
      <c r="B47" s="2037" t="s">
        <v>11116</v>
      </c>
      <c r="C47" s="2039"/>
      <c r="D47" s="1972"/>
      <c r="E47" s="1596"/>
      <c r="F47" s="1970"/>
      <c r="G47" s="1971"/>
      <c r="H47" s="1971"/>
      <c r="I47" s="1971"/>
      <c r="J47" s="1971"/>
      <c r="K47" s="1972"/>
      <c r="L47" s="1596"/>
      <c r="M47" s="1970"/>
      <c r="N47" s="1971"/>
      <c r="O47" s="1971"/>
      <c r="P47" s="1971"/>
      <c r="Q47" s="1971"/>
      <c r="R47" s="1972"/>
      <c r="S47" s="1596"/>
      <c r="T47" s="2056"/>
      <c r="U47" s="2057"/>
      <c r="V47" s="2057"/>
      <c r="W47" s="2057"/>
      <c r="X47" s="2057"/>
      <c r="Y47" s="2058"/>
      <c r="Z47" s="1596"/>
      <c r="AA47" s="2064"/>
      <c r="AB47" s="2065"/>
      <c r="AC47" s="2069"/>
      <c r="AD47" s="2069"/>
      <c r="AE47" s="1972"/>
      <c r="AF47" s="74"/>
      <c r="AG47" s="98" t="s">
        <v>11117</v>
      </c>
      <c r="AH47" s="74"/>
      <c r="AI47" s="79"/>
      <c r="AJ47" s="1190"/>
      <c r="AK47" s="2589"/>
      <c r="AL47" s="1121">
        <f t="shared" si="23"/>
        <v>0</v>
      </c>
      <c r="AM47" s="2589"/>
      <c r="AN47" s="252">
        <f t="shared" si="22"/>
        <v>0</v>
      </c>
      <c r="AO47" s="2560"/>
      <c r="AP47" s="252">
        <f t="shared" si="0"/>
        <v>0</v>
      </c>
      <c r="AQ47" s="252">
        <f t="shared" si="1"/>
        <v>0</v>
      </c>
      <c r="AR47" s="252">
        <f t="shared" si="2"/>
        <v>0</v>
      </c>
      <c r="AS47" s="252">
        <f t="shared" si="3"/>
        <v>0</v>
      </c>
      <c r="AT47" s="252">
        <f t="shared" si="4"/>
        <v>0</v>
      </c>
      <c r="AU47" s="252">
        <f t="shared" si="5"/>
        <v>0</v>
      </c>
      <c r="AV47" s="2560"/>
      <c r="AW47" s="252">
        <f t="shared" si="6"/>
        <v>0</v>
      </c>
      <c r="AX47" s="252">
        <f t="shared" si="7"/>
        <v>0</v>
      </c>
      <c r="AY47" s="252">
        <f t="shared" si="8"/>
        <v>0</v>
      </c>
      <c r="AZ47" s="252">
        <f t="shared" si="9"/>
        <v>0</v>
      </c>
      <c r="BA47" s="252">
        <f t="shared" si="10"/>
        <v>0</v>
      </c>
      <c r="BB47" s="252">
        <f t="shared" si="11"/>
        <v>0</v>
      </c>
      <c r="BC47" s="2560"/>
      <c r="BD47" s="252">
        <f t="shared" si="12"/>
        <v>0</v>
      </c>
      <c r="BE47" s="252">
        <f t="shared" si="13"/>
        <v>0</v>
      </c>
      <c r="BF47" s="252">
        <f t="shared" si="14"/>
        <v>0</v>
      </c>
      <c r="BG47" s="252">
        <f t="shared" si="15"/>
        <v>0</v>
      </c>
      <c r="BH47" s="252">
        <f t="shared" si="16"/>
        <v>0</v>
      </c>
      <c r="BI47" s="252">
        <f t="shared" si="17"/>
        <v>0</v>
      </c>
      <c r="BJ47" s="2560"/>
      <c r="BK47" s="252">
        <f t="shared" si="18"/>
        <v>0</v>
      </c>
      <c r="BL47" s="252">
        <f t="shared" si="19"/>
        <v>0</v>
      </c>
      <c r="BM47" s="2560"/>
      <c r="BN47" s="252">
        <f t="shared" si="20"/>
        <v>0</v>
      </c>
      <c r="BO47" s="252">
        <f t="shared" si="21"/>
        <v>0</v>
      </c>
      <c r="BP47" s="2589"/>
      <c r="BQ47" s="2560"/>
      <c r="BR47" s="2560"/>
      <c r="BS47" s="1190"/>
      <c r="BT47" s="1190"/>
      <c r="BU47" s="1190"/>
      <c r="BV47" s="1190"/>
      <c r="BW47" s="1190"/>
      <c r="BX47" s="1190"/>
      <c r="BY47" s="1190"/>
      <c r="BZ47" s="1190"/>
      <c r="CA47" s="1190"/>
      <c r="CB47" s="1190"/>
      <c r="CC47" s="1190"/>
      <c r="CD47" s="1190"/>
      <c r="CE47" s="1190"/>
      <c r="CF47" s="1190"/>
      <c r="CG47" s="1190"/>
      <c r="CH47" s="1190"/>
      <c r="CI47" s="1190"/>
    </row>
    <row r="48" spans="2:87" ht="15.75" customHeight="1">
      <c r="B48" s="2037" t="s">
        <v>11118</v>
      </c>
      <c r="C48" s="2039"/>
      <c r="D48" s="1972"/>
      <c r="E48" s="1596"/>
      <c r="F48" s="1970"/>
      <c r="G48" s="1971"/>
      <c r="H48" s="1971"/>
      <c r="I48" s="1971"/>
      <c r="J48" s="1971"/>
      <c r="K48" s="1972"/>
      <c r="L48" s="1596"/>
      <c r="M48" s="1970"/>
      <c r="N48" s="1971"/>
      <c r="O48" s="1971"/>
      <c r="P48" s="1971"/>
      <c r="Q48" s="1971"/>
      <c r="R48" s="1972"/>
      <c r="S48" s="1596"/>
      <c r="T48" s="2056"/>
      <c r="U48" s="2057"/>
      <c r="V48" s="2057"/>
      <c r="W48" s="2057"/>
      <c r="X48" s="2057"/>
      <c r="Y48" s="2058"/>
      <c r="Z48" s="1596"/>
      <c r="AA48" s="2064"/>
      <c r="AB48" s="2065"/>
      <c r="AC48" s="2069"/>
      <c r="AD48" s="2069"/>
      <c r="AE48" s="1972"/>
      <c r="AF48" s="74"/>
      <c r="AG48" s="98" t="s">
        <v>11119</v>
      </c>
      <c r="AH48" s="74"/>
      <c r="AI48" s="79"/>
      <c r="AJ48" s="1190"/>
      <c r="AK48" s="2589"/>
      <c r="AL48" s="1121">
        <f t="shared" si="23"/>
        <v>0</v>
      </c>
      <c r="AM48" s="2589"/>
      <c r="AN48" s="252">
        <f t="shared" si="22"/>
        <v>0</v>
      </c>
      <c r="AO48" s="2560"/>
      <c r="AP48" s="252">
        <f t="shared" si="0"/>
        <v>0</v>
      </c>
      <c r="AQ48" s="252">
        <f t="shared" si="1"/>
        <v>0</v>
      </c>
      <c r="AR48" s="252">
        <f t="shared" si="2"/>
        <v>0</v>
      </c>
      <c r="AS48" s="252">
        <f t="shared" si="3"/>
        <v>0</v>
      </c>
      <c r="AT48" s="252">
        <f t="shared" si="4"/>
        <v>0</v>
      </c>
      <c r="AU48" s="252">
        <f t="shared" si="5"/>
        <v>0</v>
      </c>
      <c r="AV48" s="2560"/>
      <c r="AW48" s="252">
        <f t="shared" si="6"/>
        <v>0</v>
      </c>
      <c r="AX48" s="252">
        <f t="shared" si="7"/>
        <v>0</v>
      </c>
      <c r="AY48" s="252">
        <f t="shared" si="8"/>
        <v>0</v>
      </c>
      <c r="AZ48" s="252">
        <f t="shared" si="9"/>
        <v>0</v>
      </c>
      <c r="BA48" s="252">
        <f t="shared" si="10"/>
        <v>0</v>
      </c>
      <c r="BB48" s="252">
        <f t="shared" si="11"/>
        <v>0</v>
      </c>
      <c r="BC48" s="2560"/>
      <c r="BD48" s="252">
        <f t="shared" si="12"/>
        <v>0</v>
      </c>
      <c r="BE48" s="252">
        <f t="shared" si="13"/>
        <v>0</v>
      </c>
      <c r="BF48" s="252">
        <f t="shared" si="14"/>
        <v>0</v>
      </c>
      <c r="BG48" s="252">
        <f t="shared" si="15"/>
        <v>0</v>
      </c>
      <c r="BH48" s="252">
        <f t="shared" si="16"/>
        <v>0</v>
      </c>
      <c r="BI48" s="252">
        <f t="shared" si="17"/>
        <v>0</v>
      </c>
      <c r="BJ48" s="2560"/>
      <c r="BK48" s="252">
        <f t="shared" si="18"/>
        <v>0</v>
      </c>
      <c r="BL48" s="252">
        <f t="shared" si="19"/>
        <v>0</v>
      </c>
      <c r="BM48" s="2560"/>
      <c r="BN48" s="252">
        <f t="shared" si="20"/>
        <v>0</v>
      </c>
      <c r="BO48" s="252">
        <f t="shared" si="21"/>
        <v>0</v>
      </c>
      <c r="BP48" s="2589"/>
      <c r="BQ48" s="2560"/>
      <c r="BR48" s="2560"/>
      <c r="BS48" s="1190"/>
      <c r="BT48" s="1190"/>
      <c r="BU48" s="1190"/>
      <c r="BV48" s="1190"/>
      <c r="BW48" s="1190"/>
      <c r="BX48" s="1190"/>
      <c r="BY48" s="1190"/>
      <c r="BZ48" s="1190"/>
      <c r="CA48" s="1190"/>
      <c r="CB48" s="1190"/>
      <c r="CC48" s="1190"/>
      <c r="CD48" s="1190"/>
      <c r="CE48" s="1190"/>
      <c r="CF48" s="1190"/>
      <c r="CG48" s="1190"/>
      <c r="CH48" s="1190"/>
      <c r="CI48" s="1190"/>
    </row>
    <row r="49" spans="2:87" ht="15.75" customHeight="1">
      <c r="B49" s="2037" t="s">
        <v>11120</v>
      </c>
      <c r="C49" s="2039"/>
      <c r="D49" s="1972"/>
      <c r="E49" s="1596"/>
      <c r="F49" s="1970"/>
      <c r="G49" s="1971"/>
      <c r="H49" s="1971"/>
      <c r="I49" s="1971"/>
      <c r="J49" s="1971"/>
      <c r="K49" s="1972"/>
      <c r="L49" s="1596"/>
      <c r="M49" s="1970"/>
      <c r="N49" s="1971"/>
      <c r="O49" s="1971"/>
      <c r="P49" s="1971"/>
      <c r="Q49" s="1971"/>
      <c r="R49" s="1972"/>
      <c r="S49" s="1596"/>
      <c r="T49" s="2056"/>
      <c r="U49" s="2057"/>
      <c r="V49" s="2057"/>
      <c r="W49" s="2057"/>
      <c r="X49" s="2057"/>
      <c r="Y49" s="2058"/>
      <c r="Z49" s="1596"/>
      <c r="AA49" s="2064"/>
      <c r="AB49" s="2065"/>
      <c r="AC49" s="2069"/>
      <c r="AD49" s="2069"/>
      <c r="AE49" s="1972"/>
      <c r="AF49" s="74"/>
      <c r="AG49" s="98" t="s">
        <v>11121</v>
      </c>
      <c r="AH49" s="74"/>
      <c r="AI49" s="79"/>
      <c r="AJ49" s="1190"/>
      <c r="AK49" s="2589"/>
      <c r="AL49" s="1121">
        <f t="shared" si="23"/>
        <v>0</v>
      </c>
      <c r="AM49" s="2589"/>
      <c r="AN49" s="252">
        <f t="shared" si="22"/>
        <v>0</v>
      </c>
      <c r="AO49" s="2560"/>
      <c r="AP49" s="252">
        <f t="shared" si="0"/>
        <v>0</v>
      </c>
      <c r="AQ49" s="252">
        <f t="shared" si="1"/>
        <v>0</v>
      </c>
      <c r="AR49" s="252">
        <f t="shared" si="2"/>
        <v>0</v>
      </c>
      <c r="AS49" s="252">
        <f t="shared" si="3"/>
        <v>0</v>
      </c>
      <c r="AT49" s="252">
        <f t="shared" si="4"/>
        <v>0</v>
      </c>
      <c r="AU49" s="252">
        <f t="shared" si="5"/>
        <v>0</v>
      </c>
      <c r="AV49" s="2560"/>
      <c r="AW49" s="252">
        <f t="shared" si="6"/>
        <v>0</v>
      </c>
      <c r="AX49" s="252">
        <f t="shared" si="7"/>
        <v>0</v>
      </c>
      <c r="AY49" s="252">
        <f t="shared" si="8"/>
        <v>0</v>
      </c>
      <c r="AZ49" s="252">
        <f t="shared" si="9"/>
        <v>0</v>
      </c>
      <c r="BA49" s="252">
        <f t="shared" si="10"/>
        <v>0</v>
      </c>
      <c r="BB49" s="252">
        <f t="shared" si="11"/>
        <v>0</v>
      </c>
      <c r="BC49" s="2560"/>
      <c r="BD49" s="252">
        <f t="shared" si="12"/>
        <v>0</v>
      </c>
      <c r="BE49" s="252">
        <f t="shared" si="13"/>
        <v>0</v>
      </c>
      <c r="BF49" s="252">
        <f t="shared" si="14"/>
        <v>0</v>
      </c>
      <c r="BG49" s="252">
        <f t="shared" si="15"/>
        <v>0</v>
      </c>
      <c r="BH49" s="252">
        <f t="shared" si="16"/>
        <v>0</v>
      </c>
      <c r="BI49" s="252">
        <f t="shared" si="17"/>
        <v>0</v>
      </c>
      <c r="BJ49" s="2560"/>
      <c r="BK49" s="252">
        <f t="shared" si="18"/>
        <v>0</v>
      </c>
      <c r="BL49" s="252">
        <f t="shared" si="19"/>
        <v>0</v>
      </c>
      <c r="BM49" s="2560"/>
      <c r="BN49" s="252">
        <f t="shared" si="20"/>
        <v>0</v>
      </c>
      <c r="BO49" s="252">
        <f t="shared" si="21"/>
        <v>0</v>
      </c>
      <c r="BP49" s="2589"/>
      <c r="BQ49" s="2560"/>
      <c r="BR49" s="2560"/>
      <c r="BS49" s="1190"/>
      <c r="BT49" s="1190"/>
      <c r="BU49" s="1190"/>
      <c r="BV49" s="1190"/>
      <c r="BW49" s="1190"/>
      <c r="BX49" s="1190"/>
      <c r="BY49" s="1190"/>
      <c r="BZ49" s="1190"/>
      <c r="CA49" s="1190"/>
      <c r="CB49" s="1190"/>
      <c r="CC49" s="1190"/>
      <c r="CD49" s="1190"/>
      <c r="CE49" s="1190"/>
      <c r="CF49" s="1190"/>
      <c r="CG49" s="1190"/>
      <c r="CH49" s="1190"/>
      <c r="CI49" s="1190"/>
    </row>
    <row r="50" spans="2:87" ht="15.75" customHeight="1">
      <c r="B50" s="2037" t="s">
        <v>11122</v>
      </c>
      <c r="C50" s="2039"/>
      <c r="D50" s="1972"/>
      <c r="E50" s="1596"/>
      <c r="F50" s="1970"/>
      <c r="G50" s="1971"/>
      <c r="H50" s="1971"/>
      <c r="I50" s="1971"/>
      <c r="J50" s="1971"/>
      <c r="K50" s="1972"/>
      <c r="L50" s="1596"/>
      <c r="M50" s="1970"/>
      <c r="N50" s="1971"/>
      <c r="O50" s="1971"/>
      <c r="P50" s="1971"/>
      <c r="Q50" s="1971"/>
      <c r="R50" s="1972"/>
      <c r="S50" s="1596"/>
      <c r="T50" s="2056"/>
      <c r="U50" s="2057"/>
      <c r="V50" s="2057"/>
      <c r="W50" s="2057"/>
      <c r="X50" s="2057"/>
      <c r="Y50" s="2058"/>
      <c r="Z50" s="1596"/>
      <c r="AA50" s="2064"/>
      <c r="AB50" s="2065"/>
      <c r="AC50" s="2069"/>
      <c r="AD50" s="2069"/>
      <c r="AE50" s="1972"/>
      <c r="AF50" s="74"/>
      <c r="AG50" s="98" t="s">
        <v>11123</v>
      </c>
      <c r="AH50" s="74"/>
      <c r="AI50" s="79"/>
      <c r="AJ50" s="1190"/>
      <c r="AK50" s="2589"/>
      <c r="AL50" s="1121">
        <f t="shared" si="23"/>
        <v>0</v>
      </c>
      <c r="AM50" s="2589"/>
      <c r="AN50" s="252">
        <f t="shared" si="22"/>
        <v>0</v>
      </c>
      <c r="AO50" s="2560"/>
      <c r="AP50" s="252">
        <f t="shared" si="0"/>
        <v>0</v>
      </c>
      <c r="AQ50" s="252">
        <f t="shared" si="1"/>
        <v>0</v>
      </c>
      <c r="AR50" s="252">
        <f t="shared" si="2"/>
        <v>0</v>
      </c>
      <c r="AS50" s="252">
        <f t="shared" si="3"/>
        <v>0</v>
      </c>
      <c r="AT50" s="252">
        <f t="shared" si="4"/>
        <v>0</v>
      </c>
      <c r="AU50" s="252">
        <f t="shared" si="5"/>
        <v>0</v>
      </c>
      <c r="AV50" s="2560"/>
      <c r="AW50" s="252">
        <f t="shared" si="6"/>
        <v>0</v>
      </c>
      <c r="AX50" s="252">
        <f t="shared" si="7"/>
        <v>0</v>
      </c>
      <c r="AY50" s="252">
        <f t="shared" si="8"/>
        <v>0</v>
      </c>
      <c r="AZ50" s="252">
        <f t="shared" si="9"/>
        <v>0</v>
      </c>
      <c r="BA50" s="252">
        <f t="shared" si="10"/>
        <v>0</v>
      </c>
      <c r="BB50" s="252">
        <f t="shared" si="11"/>
        <v>0</v>
      </c>
      <c r="BC50" s="2560"/>
      <c r="BD50" s="252">
        <f t="shared" si="12"/>
        <v>0</v>
      </c>
      <c r="BE50" s="252">
        <f t="shared" si="13"/>
        <v>0</v>
      </c>
      <c r="BF50" s="252">
        <f t="shared" si="14"/>
        <v>0</v>
      </c>
      <c r="BG50" s="252">
        <f t="shared" si="15"/>
        <v>0</v>
      </c>
      <c r="BH50" s="252">
        <f t="shared" si="16"/>
        <v>0</v>
      </c>
      <c r="BI50" s="252">
        <f t="shared" si="17"/>
        <v>0</v>
      </c>
      <c r="BJ50" s="2560"/>
      <c r="BK50" s="252">
        <f t="shared" si="18"/>
        <v>0</v>
      </c>
      <c r="BL50" s="252">
        <f t="shared" si="19"/>
        <v>0</v>
      </c>
      <c r="BM50" s="2560"/>
      <c r="BN50" s="252">
        <f t="shared" si="20"/>
        <v>0</v>
      </c>
      <c r="BO50" s="252">
        <f t="shared" si="21"/>
        <v>0</v>
      </c>
      <c r="BP50" s="2589"/>
      <c r="BQ50" s="2560"/>
      <c r="BR50" s="2560"/>
      <c r="BS50" s="1190"/>
      <c r="BT50" s="1190"/>
      <c r="BU50" s="1190"/>
      <c r="BV50" s="1190"/>
      <c r="BW50" s="1190"/>
      <c r="BX50" s="1190"/>
      <c r="BY50" s="1190"/>
      <c r="BZ50" s="1190"/>
      <c r="CA50" s="1190"/>
      <c r="CB50" s="1190"/>
      <c r="CC50" s="1190"/>
      <c r="CD50" s="1190"/>
      <c r="CE50" s="1190"/>
      <c r="CF50" s="1190"/>
      <c r="CG50" s="1190"/>
      <c r="CH50" s="1190"/>
      <c r="CI50" s="1190"/>
    </row>
    <row r="51" spans="2:87" ht="15.75" customHeight="1">
      <c r="B51" s="2037" t="s">
        <v>11124</v>
      </c>
      <c r="C51" s="2039"/>
      <c r="D51" s="1972"/>
      <c r="E51" s="1596"/>
      <c r="F51" s="1970"/>
      <c r="G51" s="1971"/>
      <c r="H51" s="1971"/>
      <c r="I51" s="1971"/>
      <c r="J51" s="1971"/>
      <c r="K51" s="1972"/>
      <c r="L51" s="1596"/>
      <c r="M51" s="1970"/>
      <c r="N51" s="1971"/>
      <c r="O51" s="1971"/>
      <c r="P51" s="1971"/>
      <c r="Q51" s="1971"/>
      <c r="R51" s="1972"/>
      <c r="S51" s="1596"/>
      <c r="T51" s="2056"/>
      <c r="U51" s="2057"/>
      <c r="V51" s="2057"/>
      <c r="W51" s="2057"/>
      <c r="X51" s="2057"/>
      <c r="Y51" s="2058"/>
      <c r="Z51" s="1596"/>
      <c r="AA51" s="2064"/>
      <c r="AB51" s="2065"/>
      <c r="AC51" s="2069"/>
      <c r="AD51" s="2069"/>
      <c r="AE51" s="1972"/>
      <c r="AF51" s="74"/>
      <c r="AG51" s="98" t="s">
        <v>11125</v>
      </c>
      <c r="AH51" s="74"/>
      <c r="AI51" s="79"/>
      <c r="AJ51" s="1190"/>
      <c r="AK51" s="2589"/>
      <c r="AL51" s="1121">
        <f t="shared" si="23"/>
        <v>0</v>
      </c>
      <c r="AM51" s="2589"/>
      <c r="AN51" s="252">
        <f t="shared" si="22"/>
        <v>0</v>
      </c>
      <c r="AO51" s="2560"/>
      <c r="AP51" s="252">
        <f t="shared" si="0"/>
        <v>0</v>
      </c>
      <c r="AQ51" s="252">
        <f t="shared" si="1"/>
        <v>0</v>
      </c>
      <c r="AR51" s="252">
        <f t="shared" si="2"/>
        <v>0</v>
      </c>
      <c r="AS51" s="252">
        <f t="shared" si="3"/>
        <v>0</v>
      </c>
      <c r="AT51" s="252">
        <f t="shared" si="4"/>
        <v>0</v>
      </c>
      <c r="AU51" s="252">
        <f t="shared" si="5"/>
        <v>0</v>
      </c>
      <c r="AV51" s="2560"/>
      <c r="AW51" s="252">
        <f t="shared" si="6"/>
        <v>0</v>
      </c>
      <c r="AX51" s="252">
        <f t="shared" si="7"/>
        <v>0</v>
      </c>
      <c r="AY51" s="252">
        <f t="shared" si="8"/>
        <v>0</v>
      </c>
      <c r="AZ51" s="252">
        <f t="shared" si="9"/>
        <v>0</v>
      </c>
      <c r="BA51" s="252">
        <f t="shared" si="10"/>
        <v>0</v>
      </c>
      <c r="BB51" s="252">
        <f t="shared" si="11"/>
        <v>0</v>
      </c>
      <c r="BC51" s="2560"/>
      <c r="BD51" s="252">
        <f t="shared" si="12"/>
        <v>0</v>
      </c>
      <c r="BE51" s="252">
        <f t="shared" si="13"/>
        <v>0</v>
      </c>
      <c r="BF51" s="252">
        <f t="shared" si="14"/>
        <v>0</v>
      </c>
      <c r="BG51" s="252">
        <f t="shared" si="15"/>
        <v>0</v>
      </c>
      <c r="BH51" s="252">
        <f t="shared" si="16"/>
        <v>0</v>
      </c>
      <c r="BI51" s="252">
        <f t="shared" si="17"/>
        <v>0</v>
      </c>
      <c r="BJ51" s="2560"/>
      <c r="BK51" s="252">
        <f t="shared" si="18"/>
        <v>0</v>
      </c>
      <c r="BL51" s="252">
        <f t="shared" si="19"/>
        <v>0</v>
      </c>
      <c r="BM51" s="2560"/>
      <c r="BN51" s="252">
        <f t="shared" si="20"/>
        <v>0</v>
      </c>
      <c r="BO51" s="252">
        <f t="shared" si="21"/>
        <v>0</v>
      </c>
      <c r="BP51" s="2589"/>
      <c r="BQ51" s="2560"/>
      <c r="BR51" s="2560"/>
      <c r="BS51" s="1190"/>
      <c r="BT51" s="1190"/>
      <c r="BU51" s="1190"/>
      <c r="BV51" s="1190"/>
      <c r="BW51" s="1190"/>
      <c r="BX51" s="1190"/>
      <c r="BY51" s="1190"/>
      <c r="BZ51" s="1190"/>
      <c r="CA51" s="1190"/>
      <c r="CB51" s="1190"/>
      <c r="CC51" s="1190"/>
      <c r="CD51" s="1190"/>
      <c r="CE51" s="1190"/>
      <c r="CF51" s="1190"/>
      <c r="CG51" s="1190"/>
      <c r="CH51" s="1190"/>
      <c r="CI51" s="1190"/>
    </row>
    <row r="52" spans="2:87" ht="15.75" customHeight="1">
      <c r="B52" s="2037" t="s">
        <v>11126</v>
      </c>
      <c r="C52" s="2039"/>
      <c r="D52" s="1972"/>
      <c r="E52" s="1596"/>
      <c r="F52" s="1970"/>
      <c r="G52" s="1971"/>
      <c r="H52" s="1971"/>
      <c r="I52" s="1971"/>
      <c r="J52" s="1971"/>
      <c r="K52" s="1972"/>
      <c r="L52" s="1596"/>
      <c r="M52" s="1970"/>
      <c r="N52" s="1971"/>
      <c r="O52" s="1971"/>
      <c r="P52" s="1971"/>
      <c r="Q52" s="1971"/>
      <c r="R52" s="1972"/>
      <c r="S52" s="1596"/>
      <c r="T52" s="2056"/>
      <c r="U52" s="2057"/>
      <c r="V52" s="2057"/>
      <c r="W52" s="2057"/>
      <c r="X52" s="2057"/>
      <c r="Y52" s="2058"/>
      <c r="Z52" s="1596"/>
      <c r="AA52" s="2064"/>
      <c r="AB52" s="2065"/>
      <c r="AC52" s="2069"/>
      <c r="AD52" s="2069"/>
      <c r="AE52" s="1972"/>
      <c r="AF52" s="74"/>
      <c r="AG52" s="98" t="s">
        <v>11127</v>
      </c>
      <c r="AH52" s="74"/>
      <c r="AI52" s="79"/>
      <c r="AJ52" s="1190"/>
      <c r="AK52" s="2589"/>
      <c r="AL52" s="1121">
        <f t="shared" si="23"/>
        <v>0</v>
      </c>
      <c r="AM52" s="2589"/>
      <c r="AN52" s="252">
        <f t="shared" si="22"/>
        <v>0</v>
      </c>
      <c r="AO52" s="2560"/>
      <c r="AP52" s="252">
        <f t="shared" si="0"/>
        <v>0</v>
      </c>
      <c r="AQ52" s="252">
        <f t="shared" si="1"/>
        <v>0</v>
      </c>
      <c r="AR52" s="252">
        <f t="shared" si="2"/>
        <v>0</v>
      </c>
      <c r="AS52" s="252">
        <f t="shared" si="3"/>
        <v>0</v>
      </c>
      <c r="AT52" s="252">
        <f t="shared" si="4"/>
        <v>0</v>
      </c>
      <c r="AU52" s="252">
        <f t="shared" si="5"/>
        <v>0</v>
      </c>
      <c r="AV52" s="2560"/>
      <c r="AW52" s="252">
        <f t="shared" si="6"/>
        <v>0</v>
      </c>
      <c r="AX52" s="252">
        <f t="shared" si="7"/>
        <v>0</v>
      </c>
      <c r="AY52" s="252">
        <f t="shared" si="8"/>
        <v>0</v>
      </c>
      <c r="AZ52" s="252">
        <f t="shared" si="9"/>
        <v>0</v>
      </c>
      <c r="BA52" s="252">
        <f t="shared" si="10"/>
        <v>0</v>
      </c>
      <c r="BB52" s="252">
        <f t="shared" si="11"/>
        <v>0</v>
      </c>
      <c r="BC52" s="2560"/>
      <c r="BD52" s="252">
        <f t="shared" si="12"/>
        <v>0</v>
      </c>
      <c r="BE52" s="252">
        <f t="shared" si="13"/>
        <v>0</v>
      </c>
      <c r="BF52" s="252">
        <f t="shared" si="14"/>
        <v>0</v>
      </c>
      <c r="BG52" s="252">
        <f t="shared" si="15"/>
        <v>0</v>
      </c>
      <c r="BH52" s="252">
        <f t="shared" si="16"/>
        <v>0</v>
      </c>
      <c r="BI52" s="252">
        <f t="shared" si="17"/>
        <v>0</v>
      </c>
      <c r="BJ52" s="2560"/>
      <c r="BK52" s="252">
        <f t="shared" si="18"/>
        <v>0</v>
      </c>
      <c r="BL52" s="252">
        <f t="shared" si="19"/>
        <v>0</v>
      </c>
      <c r="BM52" s="2560"/>
      <c r="BN52" s="252">
        <f t="shared" si="20"/>
        <v>0</v>
      </c>
      <c r="BO52" s="252">
        <f t="shared" si="21"/>
        <v>0</v>
      </c>
      <c r="BP52" s="2589"/>
      <c r="BQ52" s="2560"/>
      <c r="BR52" s="2560"/>
      <c r="BS52" s="1190"/>
      <c r="BT52" s="1190"/>
      <c r="BU52" s="1190"/>
      <c r="BV52" s="1190"/>
      <c r="BW52" s="1190"/>
      <c r="BX52" s="1190"/>
      <c r="BY52" s="1190"/>
      <c r="BZ52" s="1190"/>
      <c r="CA52" s="1190"/>
      <c r="CB52" s="1190"/>
      <c r="CC52" s="1190"/>
      <c r="CD52" s="1190"/>
      <c r="CE52" s="1190"/>
      <c r="CF52" s="1190"/>
      <c r="CG52" s="1190"/>
      <c r="CH52" s="1190"/>
      <c r="CI52" s="1190"/>
    </row>
    <row r="53" spans="2:87" ht="15.75" customHeight="1">
      <c r="B53" s="2037" t="s">
        <v>11128</v>
      </c>
      <c r="C53" s="2039"/>
      <c r="D53" s="1972"/>
      <c r="E53" s="1596"/>
      <c r="F53" s="1970"/>
      <c r="G53" s="1971"/>
      <c r="H53" s="1971"/>
      <c r="I53" s="1971"/>
      <c r="J53" s="1971"/>
      <c r="K53" s="1972"/>
      <c r="L53" s="1596"/>
      <c r="M53" s="1970"/>
      <c r="N53" s="1971"/>
      <c r="O53" s="1971"/>
      <c r="P53" s="1971"/>
      <c r="Q53" s="1971"/>
      <c r="R53" s="1972"/>
      <c r="S53" s="1596"/>
      <c r="T53" s="2056"/>
      <c r="U53" s="2057"/>
      <c r="V53" s="2057"/>
      <c r="W53" s="2057"/>
      <c r="X53" s="2057"/>
      <c r="Y53" s="2058"/>
      <c r="Z53" s="1596"/>
      <c r="AA53" s="2064"/>
      <c r="AB53" s="2065"/>
      <c r="AC53" s="2069"/>
      <c r="AD53" s="2069"/>
      <c r="AE53" s="1972"/>
      <c r="AF53" s="74"/>
      <c r="AG53" s="98" t="s">
        <v>11129</v>
      </c>
      <c r="AH53" s="74"/>
      <c r="AI53" s="79"/>
      <c r="AJ53" s="1190"/>
      <c r="AK53" s="2589"/>
      <c r="AL53" s="1121">
        <f t="shared" si="23"/>
        <v>0</v>
      </c>
      <c r="AM53" s="2589"/>
      <c r="AN53" s="252">
        <f t="shared" si="22"/>
        <v>0</v>
      </c>
      <c r="AO53" s="2560"/>
      <c r="AP53" s="252">
        <f t="shared" si="0"/>
        <v>0</v>
      </c>
      <c r="AQ53" s="252">
        <f t="shared" si="1"/>
        <v>0</v>
      </c>
      <c r="AR53" s="252">
        <f t="shared" si="2"/>
        <v>0</v>
      </c>
      <c r="AS53" s="252">
        <f t="shared" si="3"/>
        <v>0</v>
      </c>
      <c r="AT53" s="252">
        <f t="shared" si="4"/>
        <v>0</v>
      </c>
      <c r="AU53" s="252">
        <f t="shared" si="5"/>
        <v>0</v>
      </c>
      <c r="AV53" s="2560"/>
      <c r="AW53" s="252">
        <f t="shared" si="6"/>
        <v>0</v>
      </c>
      <c r="AX53" s="252">
        <f t="shared" si="7"/>
        <v>0</v>
      </c>
      <c r="AY53" s="252">
        <f t="shared" si="8"/>
        <v>0</v>
      </c>
      <c r="AZ53" s="252">
        <f t="shared" si="9"/>
        <v>0</v>
      </c>
      <c r="BA53" s="252">
        <f t="shared" si="10"/>
        <v>0</v>
      </c>
      <c r="BB53" s="252">
        <f t="shared" si="11"/>
        <v>0</v>
      </c>
      <c r="BC53" s="2560"/>
      <c r="BD53" s="252">
        <f t="shared" si="12"/>
        <v>0</v>
      </c>
      <c r="BE53" s="252">
        <f t="shared" si="13"/>
        <v>0</v>
      </c>
      <c r="BF53" s="252">
        <f t="shared" si="14"/>
        <v>0</v>
      </c>
      <c r="BG53" s="252">
        <f t="shared" si="15"/>
        <v>0</v>
      </c>
      <c r="BH53" s="252">
        <f t="shared" si="16"/>
        <v>0</v>
      </c>
      <c r="BI53" s="252">
        <f t="shared" si="17"/>
        <v>0</v>
      </c>
      <c r="BJ53" s="2560"/>
      <c r="BK53" s="252">
        <f t="shared" si="18"/>
        <v>0</v>
      </c>
      <c r="BL53" s="252">
        <f t="shared" si="19"/>
        <v>0</v>
      </c>
      <c r="BM53" s="2560"/>
      <c r="BN53" s="252">
        <f t="shared" si="20"/>
        <v>0</v>
      </c>
      <c r="BO53" s="252">
        <f t="shared" si="21"/>
        <v>0</v>
      </c>
      <c r="BP53" s="2589"/>
      <c r="BQ53" s="2560"/>
      <c r="BR53" s="2560"/>
      <c r="BS53" s="1190"/>
      <c r="BT53" s="1190"/>
      <c r="BU53" s="1190"/>
      <c r="BV53" s="1190"/>
      <c r="BW53" s="1190"/>
      <c r="BX53" s="1190"/>
      <c r="BY53" s="1190"/>
      <c r="BZ53" s="1190"/>
      <c r="CA53" s="1190"/>
      <c r="CB53" s="1190"/>
      <c r="CC53" s="1190"/>
      <c r="CD53" s="1190"/>
      <c r="CE53" s="1190"/>
      <c r="CF53" s="1190"/>
      <c r="CG53" s="1190"/>
      <c r="CH53" s="1190"/>
      <c r="CI53" s="1190"/>
    </row>
    <row r="54" spans="2:87" ht="15.75" customHeight="1">
      <c r="B54" s="2037" t="s">
        <v>11130</v>
      </c>
      <c r="C54" s="2039"/>
      <c r="D54" s="1972"/>
      <c r="E54" s="1596"/>
      <c r="F54" s="1970"/>
      <c r="G54" s="1971"/>
      <c r="H54" s="1971"/>
      <c r="I54" s="1971"/>
      <c r="J54" s="1971"/>
      <c r="K54" s="1972"/>
      <c r="L54" s="1596"/>
      <c r="M54" s="1970"/>
      <c r="N54" s="1971"/>
      <c r="O54" s="1971"/>
      <c r="P54" s="1971"/>
      <c r="Q54" s="1971"/>
      <c r="R54" s="1972"/>
      <c r="S54" s="1596"/>
      <c r="T54" s="2056"/>
      <c r="U54" s="2057"/>
      <c r="V54" s="2057"/>
      <c r="W54" s="2057"/>
      <c r="X54" s="2057"/>
      <c r="Y54" s="2058"/>
      <c r="Z54" s="1596"/>
      <c r="AA54" s="2064"/>
      <c r="AB54" s="2065"/>
      <c r="AC54" s="2069"/>
      <c r="AD54" s="2069"/>
      <c r="AE54" s="1972"/>
      <c r="AF54" s="74"/>
      <c r="AG54" s="98" t="s">
        <v>11131</v>
      </c>
      <c r="AH54" s="74"/>
      <c r="AI54" s="79"/>
      <c r="AJ54" s="1190"/>
      <c r="AK54" s="2589"/>
      <c r="AL54" s="1121">
        <f t="shared" si="23"/>
        <v>0</v>
      </c>
      <c r="AM54" s="2589"/>
      <c r="AN54" s="252">
        <f t="shared" si="22"/>
        <v>0</v>
      </c>
      <c r="AO54" s="2560"/>
      <c r="AP54" s="252">
        <f t="shared" si="0"/>
        <v>0</v>
      </c>
      <c r="AQ54" s="252">
        <f t="shared" si="1"/>
        <v>0</v>
      </c>
      <c r="AR54" s="252">
        <f t="shared" si="2"/>
        <v>0</v>
      </c>
      <c r="AS54" s="252">
        <f t="shared" si="3"/>
        <v>0</v>
      </c>
      <c r="AT54" s="252">
        <f t="shared" si="4"/>
        <v>0</v>
      </c>
      <c r="AU54" s="252">
        <f t="shared" si="5"/>
        <v>0</v>
      </c>
      <c r="AV54" s="2560"/>
      <c r="AW54" s="252">
        <f t="shared" si="6"/>
        <v>0</v>
      </c>
      <c r="AX54" s="252">
        <f t="shared" si="7"/>
        <v>0</v>
      </c>
      <c r="AY54" s="252">
        <f t="shared" si="8"/>
        <v>0</v>
      </c>
      <c r="AZ54" s="252">
        <f t="shared" si="9"/>
        <v>0</v>
      </c>
      <c r="BA54" s="252">
        <f t="shared" si="10"/>
        <v>0</v>
      </c>
      <c r="BB54" s="252">
        <f t="shared" si="11"/>
        <v>0</v>
      </c>
      <c r="BC54" s="2560"/>
      <c r="BD54" s="252">
        <f t="shared" si="12"/>
        <v>0</v>
      </c>
      <c r="BE54" s="252">
        <f t="shared" si="13"/>
        <v>0</v>
      </c>
      <c r="BF54" s="252">
        <f t="shared" si="14"/>
        <v>0</v>
      </c>
      <c r="BG54" s="252">
        <f t="shared" si="15"/>
        <v>0</v>
      </c>
      <c r="BH54" s="252">
        <f t="shared" si="16"/>
        <v>0</v>
      </c>
      <c r="BI54" s="252">
        <f t="shared" si="17"/>
        <v>0</v>
      </c>
      <c r="BJ54" s="2560"/>
      <c r="BK54" s="252">
        <f t="shared" si="18"/>
        <v>0</v>
      </c>
      <c r="BL54" s="252">
        <f t="shared" si="19"/>
        <v>0</v>
      </c>
      <c r="BM54" s="2560"/>
      <c r="BN54" s="252">
        <f t="shared" si="20"/>
        <v>0</v>
      </c>
      <c r="BO54" s="252">
        <f t="shared" si="21"/>
        <v>0</v>
      </c>
      <c r="BP54" s="2589"/>
      <c r="BQ54" s="2560"/>
      <c r="BR54" s="1190"/>
      <c r="BS54" s="1190"/>
      <c r="BT54" s="1190"/>
      <c r="BU54" s="1190"/>
      <c r="BV54" s="1190"/>
      <c r="BW54" s="1190"/>
      <c r="BX54" s="1190"/>
      <c r="BY54" s="1190"/>
      <c r="BZ54" s="1190"/>
      <c r="CA54" s="1190"/>
      <c r="CB54" s="1190"/>
      <c r="CC54" s="1190"/>
      <c r="CD54" s="1190"/>
      <c r="CE54" s="1190"/>
      <c r="CF54" s="1190"/>
      <c r="CG54" s="1190"/>
      <c r="CH54" s="1190"/>
      <c r="CI54" s="1190"/>
    </row>
    <row r="55" spans="2:87" ht="15.75" customHeight="1">
      <c r="B55" s="2037" t="s">
        <v>11132</v>
      </c>
      <c r="C55" s="2039"/>
      <c r="D55" s="1972"/>
      <c r="E55" s="1596"/>
      <c r="F55" s="1970"/>
      <c r="G55" s="1971"/>
      <c r="H55" s="1971"/>
      <c r="I55" s="1971"/>
      <c r="J55" s="1971"/>
      <c r="K55" s="1972"/>
      <c r="L55" s="1596"/>
      <c r="M55" s="1970"/>
      <c r="N55" s="1971"/>
      <c r="O55" s="1971"/>
      <c r="P55" s="1971"/>
      <c r="Q55" s="1971"/>
      <c r="R55" s="1972"/>
      <c r="S55" s="1596"/>
      <c r="T55" s="2056"/>
      <c r="U55" s="2057"/>
      <c r="V55" s="2057"/>
      <c r="W55" s="2057"/>
      <c r="X55" s="2057"/>
      <c r="Y55" s="2058"/>
      <c r="Z55" s="1596"/>
      <c r="AA55" s="2064"/>
      <c r="AB55" s="2065"/>
      <c r="AC55" s="2069"/>
      <c r="AD55" s="2069"/>
      <c r="AE55" s="1972"/>
      <c r="AF55" s="74"/>
      <c r="AG55" s="98" t="s">
        <v>11133</v>
      </c>
      <c r="AH55" s="74"/>
      <c r="AI55" s="79"/>
      <c r="AJ55" s="1190"/>
      <c r="AK55" s="2589"/>
      <c r="AL55" s="1121">
        <f t="shared" si="23"/>
        <v>0</v>
      </c>
      <c r="AM55" s="2589"/>
      <c r="AN55" s="252">
        <f t="shared" si="22"/>
        <v>0</v>
      </c>
      <c r="AO55" s="2560"/>
      <c r="AP55" s="252">
        <f t="shared" si="0"/>
        <v>0</v>
      </c>
      <c r="AQ55" s="252">
        <f t="shared" si="1"/>
        <v>0</v>
      </c>
      <c r="AR55" s="252">
        <f t="shared" si="2"/>
        <v>0</v>
      </c>
      <c r="AS55" s="252">
        <f t="shared" si="3"/>
        <v>0</v>
      </c>
      <c r="AT55" s="252">
        <f t="shared" si="4"/>
        <v>0</v>
      </c>
      <c r="AU55" s="252">
        <f t="shared" si="5"/>
        <v>0</v>
      </c>
      <c r="AV55" s="2560"/>
      <c r="AW55" s="252">
        <f t="shared" si="6"/>
        <v>0</v>
      </c>
      <c r="AX55" s="252">
        <f t="shared" si="7"/>
        <v>0</v>
      </c>
      <c r="AY55" s="252">
        <f t="shared" si="8"/>
        <v>0</v>
      </c>
      <c r="AZ55" s="252">
        <f t="shared" si="9"/>
        <v>0</v>
      </c>
      <c r="BA55" s="252">
        <f t="shared" si="10"/>
        <v>0</v>
      </c>
      <c r="BB55" s="252">
        <f t="shared" si="11"/>
        <v>0</v>
      </c>
      <c r="BC55" s="2560"/>
      <c r="BD55" s="252">
        <f t="shared" si="12"/>
        <v>0</v>
      </c>
      <c r="BE55" s="252">
        <f t="shared" si="13"/>
        <v>0</v>
      </c>
      <c r="BF55" s="252">
        <f t="shared" si="14"/>
        <v>0</v>
      </c>
      <c r="BG55" s="252">
        <f t="shared" si="15"/>
        <v>0</v>
      </c>
      <c r="BH55" s="252">
        <f t="shared" si="16"/>
        <v>0</v>
      </c>
      <c r="BI55" s="252">
        <f t="shared" si="17"/>
        <v>0</v>
      </c>
      <c r="BJ55" s="2560"/>
      <c r="BK55" s="252">
        <f t="shared" si="18"/>
        <v>0</v>
      </c>
      <c r="BL55" s="252">
        <f t="shared" si="19"/>
        <v>0</v>
      </c>
      <c r="BM55" s="2560"/>
      <c r="BN55" s="252">
        <f t="shared" si="20"/>
        <v>0</v>
      </c>
      <c r="BO55" s="252">
        <f t="shared" si="21"/>
        <v>0</v>
      </c>
      <c r="BP55" s="2589"/>
      <c r="BQ55" s="2560"/>
      <c r="BR55" s="1190"/>
      <c r="BS55" s="1190"/>
      <c r="BT55" s="1190"/>
      <c r="BU55" s="1190"/>
      <c r="BV55" s="1190"/>
      <c r="BW55" s="1190"/>
      <c r="BX55" s="1190"/>
      <c r="BY55" s="1190"/>
      <c r="BZ55" s="1190"/>
      <c r="CA55" s="1190"/>
      <c r="CB55" s="1190"/>
      <c r="CC55" s="1190"/>
      <c r="CD55" s="1190"/>
      <c r="CE55" s="1190"/>
      <c r="CF55" s="1190"/>
      <c r="CG55" s="1190"/>
      <c r="CH55" s="1190"/>
      <c r="CI55" s="1190"/>
    </row>
    <row r="56" spans="2:87" ht="15.75" customHeight="1">
      <c r="B56" s="2037" t="s">
        <v>11134</v>
      </c>
      <c r="C56" s="2039"/>
      <c r="D56" s="1972"/>
      <c r="E56" s="1596"/>
      <c r="F56" s="1970"/>
      <c r="G56" s="1971"/>
      <c r="H56" s="1971"/>
      <c r="I56" s="1971"/>
      <c r="J56" s="1971"/>
      <c r="K56" s="1972"/>
      <c r="L56" s="1596"/>
      <c r="M56" s="1970"/>
      <c r="N56" s="1971"/>
      <c r="O56" s="1971"/>
      <c r="P56" s="1971"/>
      <c r="Q56" s="1971"/>
      <c r="R56" s="1972"/>
      <c r="S56" s="1596"/>
      <c r="T56" s="2056"/>
      <c r="U56" s="2057"/>
      <c r="V56" s="2057"/>
      <c r="W56" s="2057"/>
      <c r="X56" s="2057"/>
      <c r="Y56" s="2058"/>
      <c r="Z56" s="1596"/>
      <c r="AA56" s="2064"/>
      <c r="AB56" s="2065"/>
      <c r="AC56" s="2069"/>
      <c r="AD56" s="2069"/>
      <c r="AE56" s="1972"/>
      <c r="AF56" s="74"/>
      <c r="AG56" s="98" t="s">
        <v>11135</v>
      </c>
      <c r="AH56" s="74"/>
      <c r="AI56" s="79"/>
      <c r="AJ56" s="1190"/>
      <c r="AK56" s="2589"/>
      <c r="AL56" s="1121">
        <f t="shared" si="23"/>
        <v>0</v>
      </c>
      <c r="AM56" s="2589"/>
      <c r="AN56" s="252">
        <f t="shared" si="22"/>
        <v>0</v>
      </c>
      <c r="AO56" s="2560"/>
      <c r="AP56" s="252">
        <f t="shared" si="0"/>
        <v>0</v>
      </c>
      <c r="AQ56" s="252">
        <f t="shared" si="1"/>
        <v>0</v>
      </c>
      <c r="AR56" s="252">
        <f t="shared" si="2"/>
        <v>0</v>
      </c>
      <c r="AS56" s="252">
        <f t="shared" si="3"/>
        <v>0</v>
      </c>
      <c r="AT56" s="252">
        <f t="shared" si="4"/>
        <v>0</v>
      </c>
      <c r="AU56" s="252">
        <f t="shared" si="5"/>
        <v>0</v>
      </c>
      <c r="AV56" s="2560"/>
      <c r="AW56" s="252">
        <f t="shared" si="6"/>
        <v>0</v>
      </c>
      <c r="AX56" s="252">
        <f t="shared" si="7"/>
        <v>0</v>
      </c>
      <c r="AY56" s="252">
        <f t="shared" si="8"/>
        <v>0</v>
      </c>
      <c r="AZ56" s="252">
        <f t="shared" si="9"/>
        <v>0</v>
      </c>
      <c r="BA56" s="252">
        <f t="shared" si="10"/>
        <v>0</v>
      </c>
      <c r="BB56" s="252">
        <f t="shared" si="11"/>
        <v>0</v>
      </c>
      <c r="BC56" s="2560"/>
      <c r="BD56" s="252">
        <f t="shared" si="12"/>
        <v>0</v>
      </c>
      <c r="BE56" s="252">
        <f t="shared" si="13"/>
        <v>0</v>
      </c>
      <c r="BF56" s="252">
        <f t="shared" si="14"/>
        <v>0</v>
      </c>
      <c r="BG56" s="252">
        <f t="shared" si="15"/>
        <v>0</v>
      </c>
      <c r="BH56" s="252">
        <f t="shared" si="16"/>
        <v>0</v>
      </c>
      <c r="BI56" s="252">
        <f t="shared" si="17"/>
        <v>0</v>
      </c>
      <c r="BJ56" s="2560"/>
      <c r="BK56" s="252">
        <f t="shared" si="18"/>
        <v>0</v>
      </c>
      <c r="BL56" s="252">
        <f t="shared" si="19"/>
        <v>0</v>
      </c>
      <c r="BM56" s="2560"/>
      <c r="BN56" s="252">
        <f t="shared" si="20"/>
        <v>0</v>
      </c>
      <c r="BO56" s="252">
        <f t="shared" si="21"/>
        <v>0</v>
      </c>
      <c r="BP56" s="2589"/>
      <c r="BQ56" s="2560"/>
      <c r="BR56" s="1190"/>
      <c r="BS56" s="1190"/>
      <c r="BT56" s="1190"/>
      <c r="BU56" s="1190"/>
      <c r="BV56" s="1190"/>
      <c r="BW56" s="1190"/>
      <c r="BX56" s="1190"/>
      <c r="BY56" s="1190"/>
      <c r="BZ56" s="1190"/>
      <c r="CA56" s="1190"/>
      <c r="CB56" s="1190"/>
      <c r="CC56" s="1190"/>
      <c r="CD56" s="1190"/>
      <c r="CE56" s="1190"/>
      <c r="CF56" s="1190"/>
      <c r="CG56" s="1190"/>
      <c r="CH56" s="1190"/>
      <c r="CI56" s="1190"/>
    </row>
    <row r="57" spans="2:87" ht="15.75" customHeight="1">
      <c r="B57" s="2037" t="s">
        <v>11136</v>
      </c>
      <c r="C57" s="2039"/>
      <c r="D57" s="1972"/>
      <c r="E57" s="1596"/>
      <c r="F57" s="1970"/>
      <c r="G57" s="1971"/>
      <c r="H57" s="1971"/>
      <c r="I57" s="1971"/>
      <c r="J57" s="1971"/>
      <c r="K57" s="1972"/>
      <c r="L57" s="1596"/>
      <c r="M57" s="1970"/>
      <c r="N57" s="1971"/>
      <c r="O57" s="1971"/>
      <c r="P57" s="1971"/>
      <c r="Q57" s="1971"/>
      <c r="R57" s="1972"/>
      <c r="S57" s="1596"/>
      <c r="T57" s="2056"/>
      <c r="U57" s="2057"/>
      <c r="V57" s="2057"/>
      <c r="W57" s="2057"/>
      <c r="X57" s="2057"/>
      <c r="Y57" s="2058"/>
      <c r="Z57" s="1596"/>
      <c r="AA57" s="2064"/>
      <c r="AB57" s="2065"/>
      <c r="AC57" s="2069"/>
      <c r="AD57" s="2069"/>
      <c r="AE57" s="1972"/>
      <c r="AF57" s="74"/>
      <c r="AG57" s="98" t="s">
        <v>11137</v>
      </c>
      <c r="AH57" s="74"/>
      <c r="AI57" s="79"/>
      <c r="AJ57" s="1190"/>
      <c r="AK57" s="2589"/>
      <c r="AL57" s="1121">
        <f t="shared" si="23"/>
        <v>0</v>
      </c>
      <c r="AM57" s="2589"/>
      <c r="AN57" s="252">
        <f t="shared" si="22"/>
        <v>0</v>
      </c>
      <c r="AO57" s="2560"/>
      <c r="AP57" s="252">
        <f t="shared" si="0"/>
        <v>0</v>
      </c>
      <c r="AQ57" s="252">
        <f t="shared" si="1"/>
        <v>0</v>
      </c>
      <c r="AR57" s="252">
        <f t="shared" si="2"/>
        <v>0</v>
      </c>
      <c r="AS57" s="252">
        <f t="shared" si="3"/>
        <v>0</v>
      </c>
      <c r="AT57" s="252">
        <f t="shared" si="4"/>
        <v>0</v>
      </c>
      <c r="AU57" s="252">
        <f t="shared" si="5"/>
        <v>0</v>
      </c>
      <c r="AV57" s="2560"/>
      <c r="AW57" s="252">
        <f t="shared" si="6"/>
        <v>0</v>
      </c>
      <c r="AX57" s="252">
        <f t="shared" si="7"/>
        <v>0</v>
      </c>
      <c r="AY57" s="252">
        <f t="shared" si="8"/>
        <v>0</v>
      </c>
      <c r="AZ57" s="252">
        <f t="shared" si="9"/>
        <v>0</v>
      </c>
      <c r="BA57" s="252">
        <f t="shared" si="10"/>
        <v>0</v>
      </c>
      <c r="BB57" s="252">
        <f t="shared" si="11"/>
        <v>0</v>
      </c>
      <c r="BC57" s="2560"/>
      <c r="BD57" s="252">
        <f t="shared" si="12"/>
        <v>0</v>
      </c>
      <c r="BE57" s="252">
        <f t="shared" si="13"/>
        <v>0</v>
      </c>
      <c r="BF57" s="252">
        <f t="shared" si="14"/>
        <v>0</v>
      </c>
      <c r="BG57" s="252">
        <f t="shared" si="15"/>
        <v>0</v>
      </c>
      <c r="BH57" s="252">
        <f t="shared" si="16"/>
        <v>0</v>
      </c>
      <c r="BI57" s="252">
        <f t="shared" si="17"/>
        <v>0</v>
      </c>
      <c r="BJ57" s="2560"/>
      <c r="BK57" s="252">
        <f t="shared" si="18"/>
        <v>0</v>
      </c>
      <c r="BL57" s="252">
        <f t="shared" si="19"/>
        <v>0</v>
      </c>
      <c r="BM57" s="2560"/>
      <c r="BN57" s="252">
        <f t="shared" si="20"/>
        <v>0</v>
      </c>
      <c r="BO57" s="252">
        <f t="shared" si="21"/>
        <v>0</v>
      </c>
      <c r="BP57" s="2589"/>
      <c r="BQ57" s="2560"/>
      <c r="BR57" s="1190"/>
      <c r="BS57" s="1190"/>
      <c r="BT57" s="1190"/>
      <c r="BU57" s="1190"/>
      <c r="BV57" s="1190"/>
      <c r="BW57" s="1190"/>
      <c r="BX57" s="1190"/>
      <c r="BY57" s="1190"/>
      <c r="BZ57" s="1190"/>
      <c r="CA57" s="1190"/>
      <c r="CB57" s="1190"/>
      <c r="CC57" s="1190"/>
      <c r="CD57" s="1190"/>
      <c r="CE57" s="1190"/>
      <c r="CF57" s="1190"/>
      <c r="CG57" s="1190"/>
      <c r="CH57" s="1190"/>
      <c r="CI57" s="1190"/>
    </row>
    <row r="58" spans="2:87" ht="15.75" customHeight="1">
      <c r="B58" s="2037" t="s">
        <v>11138</v>
      </c>
      <c r="C58" s="2039"/>
      <c r="D58" s="1972"/>
      <c r="E58" s="1596"/>
      <c r="F58" s="1970"/>
      <c r="G58" s="1971"/>
      <c r="H58" s="1971"/>
      <c r="I58" s="1971"/>
      <c r="J58" s="1971"/>
      <c r="K58" s="1972"/>
      <c r="L58" s="1596"/>
      <c r="M58" s="1970"/>
      <c r="N58" s="1971"/>
      <c r="O58" s="1971"/>
      <c r="P58" s="1971"/>
      <c r="Q58" s="1971"/>
      <c r="R58" s="1972"/>
      <c r="S58" s="1596"/>
      <c r="T58" s="2056"/>
      <c r="U58" s="2057"/>
      <c r="V58" s="2057"/>
      <c r="W58" s="2057"/>
      <c r="X58" s="2057"/>
      <c r="Y58" s="2058"/>
      <c r="Z58" s="1596"/>
      <c r="AA58" s="2064"/>
      <c r="AB58" s="2065"/>
      <c r="AC58" s="2069"/>
      <c r="AD58" s="2069"/>
      <c r="AE58" s="1972"/>
      <c r="AF58" s="74"/>
      <c r="AG58" s="98" t="s">
        <v>11139</v>
      </c>
      <c r="AH58" s="74"/>
      <c r="AI58" s="79"/>
      <c r="AJ58" s="1190"/>
      <c r="AK58" s="2589"/>
      <c r="AL58" s="1121">
        <f t="shared" si="23"/>
        <v>0</v>
      </c>
      <c r="AM58" s="2589"/>
      <c r="AN58" s="252">
        <f t="shared" si="22"/>
        <v>0</v>
      </c>
      <c r="AO58" s="2560"/>
      <c r="AP58" s="252">
        <f t="shared" si="0"/>
        <v>0</v>
      </c>
      <c r="AQ58" s="252">
        <f t="shared" si="1"/>
        <v>0</v>
      </c>
      <c r="AR58" s="252">
        <f t="shared" si="2"/>
        <v>0</v>
      </c>
      <c r="AS58" s="252">
        <f t="shared" si="3"/>
        <v>0</v>
      </c>
      <c r="AT58" s="252">
        <f t="shared" si="4"/>
        <v>0</v>
      </c>
      <c r="AU58" s="252">
        <f t="shared" si="5"/>
        <v>0</v>
      </c>
      <c r="AV58" s="2560"/>
      <c r="AW58" s="252">
        <f t="shared" si="6"/>
        <v>0</v>
      </c>
      <c r="AX58" s="252">
        <f t="shared" si="7"/>
        <v>0</v>
      </c>
      <c r="AY58" s="252">
        <f t="shared" si="8"/>
        <v>0</v>
      </c>
      <c r="AZ58" s="252">
        <f t="shared" si="9"/>
        <v>0</v>
      </c>
      <c r="BA58" s="252">
        <f t="shared" si="10"/>
        <v>0</v>
      </c>
      <c r="BB58" s="252">
        <f t="shared" si="11"/>
        <v>0</v>
      </c>
      <c r="BC58" s="2560"/>
      <c r="BD58" s="252">
        <f t="shared" si="12"/>
        <v>0</v>
      </c>
      <c r="BE58" s="252">
        <f t="shared" si="13"/>
        <v>0</v>
      </c>
      <c r="BF58" s="252">
        <f t="shared" si="14"/>
        <v>0</v>
      </c>
      <c r="BG58" s="252">
        <f t="shared" si="15"/>
        <v>0</v>
      </c>
      <c r="BH58" s="252">
        <f t="shared" si="16"/>
        <v>0</v>
      </c>
      <c r="BI58" s="252">
        <f t="shared" si="17"/>
        <v>0</v>
      </c>
      <c r="BJ58" s="2560"/>
      <c r="BK58" s="252">
        <f t="shared" si="18"/>
        <v>0</v>
      </c>
      <c r="BL58" s="252">
        <f t="shared" si="19"/>
        <v>0</v>
      </c>
      <c r="BM58" s="2560"/>
      <c r="BN58" s="252">
        <f t="shared" si="20"/>
        <v>0</v>
      </c>
      <c r="BO58" s="252">
        <f t="shared" si="21"/>
        <v>0</v>
      </c>
      <c r="BP58" s="2589"/>
      <c r="BQ58" s="2560"/>
      <c r="BR58" s="1190"/>
      <c r="BS58" s="1190"/>
      <c r="BT58" s="1190"/>
      <c r="BU58" s="1190"/>
      <c r="BV58" s="1190"/>
      <c r="BW58" s="1190"/>
      <c r="BX58" s="1190"/>
      <c r="BY58" s="1190"/>
      <c r="BZ58" s="1190"/>
      <c r="CA58" s="1190"/>
      <c r="CB58" s="1190"/>
      <c r="CC58" s="1190"/>
      <c r="CD58" s="1190"/>
      <c r="CE58" s="1190"/>
      <c r="CF58" s="1190"/>
      <c r="CG58" s="1190"/>
      <c r="CH58" s="1190"/>
      <c r="CI58" s="1190"/>
    </row>
    <row r="59" spans="2:87" ht="15.75" customHeight="1">
      <c r="B59" s="2037" t="s">
        <v>11140</v>
      </c>
      <c r="C59" s="2039"/>
      <c r="D59" s="1972"/>
      <c r="E59" s="1596"/>
      <c r="F59" s="1970"/>
      <c r="G59" s="1971"/>
      <c r="H59" s="1971"/>
      <c r="I59" s="1971"/>
      <c r="J59" s="1971"/>
      <c r="K59" s="1972"/>
      <c r="L59" s="1596"/>
      <c r="M59" s="1970"/>
      <c r="N59" s="1971"/>
      <c r="O59" s="1971"/>
      <c r="P59" s="1971"/>
      <c r="Q59" s="1971"/>
      <c r="R59" s="1972"/>
      <c r="S59" s="1596"/>
      <c r="T59" s="2056"/>
      <c r="U59" s="2057"/>
      <c r="V59" s="2057"/>
      <c r="W59" s="2057"/>
      <c r="X59" s="2057"/>
      <c r="Y59" s="2058"/>
      <c r="Z59" s="1596"/>
      <c r="AA59" s="2064"/>
      <c r="AB59" s="2065"/>
      <c r="AC59" s="2069"/>
      <c r="AD59" s="2069"/>
      <c r="AE59" s="1972"/>
      <c r="AF59" s="74"/>
      <c r="AG59" s="98" t="s">
        <v>11141</v>
      </c>
      <c r="AH59" s="74"/>
      <c r="AI59" s="79"/>
      <c r="AJ59" s="1190"/>
      <c r="AK59" s="2589"/>
      <c r="AL59" s="1121">
        <f t="shared" si="23"/>
        <v>0</v>
      </c>
      <c r="AM59" s="2589"/>
      <c r="AN59" s="252">
        <f t="shared" si="22"/>
        <v>0</v>
      </c>
      <c r="AO59" s="2560"/>
      <c r="AP59" s="252">
        <f t="shared" si="0"/>
        <v>0</v>
      </c>
      <c r="AQ59" s="252">
        <f t="shared" si="1"/>
        <v>0</v>
      </c>
      <c r="AR59" s="252">
        <f t="shared" si="2"/>
        <v>0</v>
      </c>
      <c r="AS59" s="252">
        <f t="shared" si="3"/>
        <v>0</v>
      </c>
      <c r="AT59" s="252">
        <f t="shared" si="4"/>
        <v>0</v>
      </c>
      <c r="AU59" s="252">
        <f t="shared" si="5"/>
        <v>0</v>
      </c>
      <c r="AV59" s="2560"/>
      <c r="AW59" s="252">
        <f t="shared" si="6"/>
        <v>0</v>
      </c>
      <c r="AX59" s="252">
        <f t="shared" si="7"/>
        <v>0</v>
      </c>
      <c r="AY59" s="252">
        <f t="shared" si="8"/>
        <v>0</v>
      </c>
      <c r="AZ59" s="252">
        <f t="shared" si="9"/>
        <v>0</v>
      </c>
      <c r="BA59" s="252">
        <f t="shared" si="10"/>
        <v>0</v>
      </c>
      <c r="BB59" s="252">
        <f t="shared" si="11"/>
        <v>0</v>
      </c>
      <c r="BC59" s="2560"/>
      <c r="BD59" s="252">
        <f t="shared" si="12"/>
        <v>0</v>
      </c>
      <c r="BE59" s="252">
        <f t="shared" si="13"/>
        <v>0</v>
      </c>
      <c r="BF59" s="252">
        <f t="shared" si="14"/>
        <v>0</v>
      </c>
      <c r="BG59" s="252">
        <f t="shared" si="15"/>
        <v>0</v>
      </c>
      <c r="BH59" s="252">
        <f t="shared" si="16"/>
        <v>0</v>
      </c>
      <c r="BI59" s="252">
        <f t="shared" si="17"/>
        <v>0</v>
      </c>
      <c r="BJ59" s="2560"/>
      <c r="BK59" s="252">
        <f t="shared" si="18"/>
        <v>0</v>
      </c>
      <c r="BL59" s="252">
        <f t="shared" si="19"/>
        <v>0</v>
      </c>
      <c r="BM59" s="2560"/>
      <c r="BN59" s="252">
        <f t="shared" si="20"/>
        <v>0</v>
      </c>
      <c r="BO59" s="252">
        <f t="shared" si="21"/>
        <v>0</v>
      </c>
      <c r="BP59" s="2589"/>
      <c r="BQ59" s="2560"/>
      <c r="BR59" s="1190"/>
      <c r="BS59" s="1190"/>
      <c r="BT59" s="1190"/>
      <c r="BU59" s="1190"/>
      <c r="BV59" s="1190"/>
      <c r="BW59" s="1190"/>
      <c r="BX59" s="1190"/>
      <c r="BY59" s="1190"/>
      <c r="BZ59" s="1190"/>
      <c r="CA59" s="1190"/>
      <c r="CB59" s="1190"/>
      <c r="CC59" s="1190"/>
      <c r="CD59" s="1190"/>
      <c r="CE59" s="1190"/>
      <c r="CF59" s="1190"/>
      <c r="CG59" s="1190"/>
      <c r="CH59" s="1190"/>
      <c r="CI59" s="1190"/>
    </row>
    <row r="60" spans="2:87" ht="15.75" customHeight="1">
      <c r="B60" s="2037" t="s">
        <v>11142</v>
      </c>
      <c r="C60" s="2039"/>
      <c r="D60" s="1972"/>
      <c r="E60" s="1596"/>
      <c r="F60" s="1970"/>
      <c r="G60" s="1971"/>
      <c r="H60" s="1971"/>
      <c r="I60" s="1971"/>
      <c r="J60" s="1971"/>
      <c r="K60" s="1972"/>
      <c r="L60" s="1596"/>
      <c r="M60" s="1970"/>
      <c r="N60" s="1971"/>
      <c r="O60" s="1971"/>
      <c r="P60" s="1971"/>
      <c r="Q60" s="1971"/>
      <c r="R60" s="1972"/>
      <c r="S60" s="1596"/>
      <c r="T60" s="2056"/>
      <c r="U60" s="2057"/>
      <c r="V60" s="2057"/>
      <c r="W60" s="2057"/>
      <c r="X60" s="2057"/>
      <c r="Y60" s="2058"/>
      <c r="Z60" s="1596"/>
      <c r="AA60" s="2064"/>
      <c r="AB60" s="2065"/>
      <c r="AC60" s="2069"/>
      <c r="AD60" s="2069"/>
      <c r="AE60" s="1972"/>
      <c r="AF60" s="74"/>
      <c r="AG60" s="98" t="s">
        <v>11143</v>
      </c>
      <c r="AH60" s="74"/>
      <c r="AI60" s="79"/>
      <c r="AJ60" s="1190"/>
      <c r="AK60" s="2589"/>
      <c r="AL60" s="1121">
        <f t="shared" si="23"/>
        <v>0</v>
      </c>
      <c r="AM60" s="2589"/>
      <c r="AN60" s="252">
        <f t="shared" si="22"/>
        <v>0</v>
      </c>
      <c r="AO60" s="2560"/>
      <c r="AP60" s="252">
        <f t="shared" si="0"/>
        <v>0</v>
      </c>
      <c r="AQ60" s="252">
        <f t="shared" si="1"/>
        <v>0</v>
      </c>
      <c r="AR60" s="252">
        <f t="shared" si="2"/>
        <v>0</v>
      </c>
      <c r="AS60" s="252">
        <f t="shared" si="3"/>
        <v>0</v>
      </c>
      <c r="AT60" s="252">
        <f t="shared" si="4"/>
        <v>0</v>
      </c>
      <c r="AU60" s="252">
        <f t="shared" si="5"/>
        <v>0</v>
      </c>
      <c r="AV60" s="2560"/>
      <c r="AW60" s="252">
        <f t="shared" si="6"/>
        <v>0</v>
      </c>
      <c r="AX60" s="252">
        <f t="shared" si="7"/>
        <v>0</v>
      </c>
      <c r="AY60" s="252">
        <f t="shared" si="8"/>
        <v>0</v>
      </c>
      <c r="AZ60" s="252">
        <f t="shared" si="9"/>
        <v>0</v>
      </c>
      <c r="BA60" s="252">
        <f t="shared" si="10"/>
        <v>0</v>
      </c>
      <c r="BB60" s="252">
        <f t="shared" si="11"/>
        <v>0</v>
      </c>
      <c r="BC60" s="2560"/>
      <c r="BD60" s="252">
        <f t="shared" si="12"/>
        <v>0</v>
      </c>
      <c r="BE60" s="252">
        <f t="shared" si="13"/>
        <v>0</v>
      </c>
      <c r="BF60" s="252">
        <f t="shared" si="14"/>
        <v>0</v>
      </c>
      <c r="BG60" s="252">
        <f t="shared" si="15"/>
        <v>0</v>
      </c>
      <c r="BH60" s="252">
        <f t="shared" si="16"/>
        <v>0</v>
      </c>
      <c r="BI60" s="252">
        <f t="shared" si="17"/>
        <v>0</v>
      </c>
      <c r="BJ60" s="2560"/>
      <c r="BK60" s="252">
        <f t="shared" si="18"/>
        <v>0</v>
      </c>
      <c r="BL60" s="252">
        <f t="shared" si="19"/>
        <v>0</v>
      </c>
      <c r="BM60" s="2560"/>
      <c r="BN60" s="252">
        <f t="shared" si="20"/>
        <v>0</v>
      </c>
      <c r="BO60" s="252">
        <f t="shared" si="21"/>
        <v>0</v>
      </c>
      <c r="BP60" s="2589"/>
      <c r="BQ60" s="2560"/>
      <c r="BR60" s="1190"/>
      <c r="BS60" s="1190"/>
      <c r="BT60" s="1190"/>
      <c r="BU60" s="1190"/>
      <c r="BV60" s="1190"/>
      <c r="BW60" s="1190"/>
      <c r="BX60" s="1190"/>
      <c r="BY60" s="1190"/>
      <c r="BZ60" s="1190"/>
      <c r="CA60" s="1190"/>
      <c r="CB60" s="1190"/>
      <c r="CC60" s="1190"/>
      <c r="CD60" s="1190"/>
      <c r="CE60" s="1190"/>
      <c r="CF60" s="1190"/>
      <c r="CG60" s="1190"/>
      <c r="CH60" s="1190"/>
      <c r="CI60" s="1190"/>
    </row>
    <row r="61" spans="2:87" ht="15.75" customHeight="1">
      <c r="B61" s="2037" t="s">
        <v>11144</v>
      </c>
      <c r="C61" s="2039"/>
      <c r="D61" s="1972"/>
      <c r="E61" s="1596"/>
      <c r="F61" s="1970"/>
      <c r="G61" s="1971"/>
      <c r="H61" s="1971"/>
      <c r="I61" s="1971"/>
      <c r="J61" s="1971"/>
      <c r="K61" s="1972"/>
      <c r="L61" s="1596"/>
      <c r="M61" s="1970"/>
      <c r="N61" s="1971"/>
      <c r="O61" s="1971"/>
      <c r="P61" s="1971"/>
      <c r="Q61" s="1971"/>
      <c r="R61" s="1972"/>
      <c r="S61" s="1596"/>
      <c r="T61" s="2056"/>
      <c r="U61" s="2057"/>
      <c r="V61" s="2057"/>
      <c r="W61" s="2057"/>
      <c r="X61" s="2057"/>
      <c r="Y61" s="2058"/>
      <c r="Z61" s="1596"/>
      <c r="AA61" s="2064"/>
      <c r="AB61" s="2065"/>
      <c r="AC61" s="2069"/>
      <c r="AD61" s="2069"/>
      <c r="AE61" s="1972"/>
      <c r="AF61" s="74"/>
      <c r="AG61" s="98" t="s">
        <v>11145</v>
      </c>
      <c r="AH61" s="74"/>
      <c r="AI61" s="79"/>
      <c r="AJ61" s="1190"/>
      <c r="AK61" s="2589"/>
      <c r="AL61" s="1121">
        <f t="shared" si="23"/>
        <v>0</v>
      </c>
      <c r="AM61" s="2589"/>
      <c r="AN61" s="252">
        <f t="shared" si="22"/>
        <v>0</v>
      </c>
      <c r="AO61" s="2560"/>
      <c r="AP61" s="252">
        <f t="shared" si="0"/>
        <v>0</v>
      </c>
      <c r="AQ61" s="252">
        <f t="shared" si="1"/>
        <v>0</v>
      </c>
      <c r="AR61" s="252">
        <f t="shared" si="2"/>
        <v>0</v>
      </c>
      <c r="AS61" s="252">
        <f t="shared" si="3"/>
        <v>0</v>
      </c>
      <c r="AT61" s="252">
        <f t="shared" si="4"/>
        <v>0</v>
      </c>
      <c r="AU61" s="252">
        <f t="shared" si="5"/>
        <v>0</v>
      </c>
      <c r="AV61" s="2560"/>
      <c r="AW61" s="252">
        <f t="shared" si="6"/>
        <v>0</v>
      </c>
      <c r="AX61" s="252">
        <f t="shared" si="7"/>
        <v>0</v>
      </c>
      <c r="AY61" s="252">
        <f t="shared" si="8"/>
        <v>0</v>
      </c>
      <c r="AZ61" s="252">
        <f t="shared" si="9"/>
        <v>0</v>
      </c>
      <c r="BA61" s="252">
        <f t="shared" si="10"/>
        <v>0</v>
      </c>
      <c r="BB61" s="252">
        <f t="shared" si="11"/>
        <v>0</v>
      </c>
      <c r="BC61" s="2560"/>
      <c r="BD61" s="252">
        <f t="shared" si="12"/>
        <v>0</v>
      </c>
      <c r="BE61" s="252">
        <f t="shared" si="13"/>
        <v>0</v>
      </c>
      <c r="BF61" s="252">
        <f t="shared" si="14"/>
        <v>0</v>
      </c>
      <c r="BG61" s="252">
        <f t="shared" si="15"/>
        <v>0</v>
      </c>
      <c r="BH61" s="252">
        <f t="shared" si="16"/>
        <v>0</v>
      </c>
      <c r="BI61" s="252">
        <f t="shared" si="17"/>
        <v>0</v>
      </c>
      <c r="BJ61" s="2560"/>
      <c r="BK61" s="252">
        <f t="shared" si="18"/>
        <v>0</v>
      </c>
      <c r="BL61" s="252">
        <f t="shared" si="19"/>
        <v>0</v>
      </c>
      <c r="BM61" s="2560"/>
      <c r="BN61" s="252">
        <f t="shared" si="20"/>
        <v>0</v>
      </c>
      <c r="BO61" s="252">
        <f t="shared" si="21"/>
        <v>0</v>
      </c>
      <c r="BP61" s="2589"/>
      <c r="BQ61" s="2560"/>
      <c r="BR61" s="1190"/>
      <c r="BS61" s="1190"/>
      <c r="BT61" s="1190"/>
      <c r="BU61" s="1190"/>
      <c r="BV61" s="1190"/>
      <c r="BW61" s="1190"/>
      <c r="BX61" s="1190"/>
      <c r="BY61" s="1190"/>
      <c r="BZ61" s="1190"/>
      <c r="CA61" s="1190"/>
      <c r="CB61" s="1190"/>
      <c r="CC61" s="1190"/>
      <c r="CD61" s="1190"/>
      <c r="CE61" s="1190"/>
      <c r="CF61" s="1190"/>
      <c r="CG61" s="1190"/>
      <c r="CH61" s="1190"/>
      <c r="CI61" s="1190"/>
    </row>
    <row r="62" spans="2:87" ht="15.75" customHeight="1" thickBot="1">
      <c r="B62" s="2041" t="s">
        <v>2112</v>
      </c>
      <c r="C62" s="2040"/>
      <c r="D62" s="1597"/>
      <c r="E62" s="1596"/>
      <c r="F62" s="1598">
        <f>IFERROR(SUM(F12:F61),0)</f>
        <v>0</v>
      </c>
      <c r="G62" s="1599">
        <f t="shared" ref="G62:K62" si="24">IFERROR(SUM(G12:G61),0)</f>
        <v>0</v>
      </c>
      <c r="H62" s="1599">
        <f t="shared" si="24"/>
        <v>0</v>
      </c>
      <c r="I62" s="1599">
        <f t="shared" si="24"/>
        <v>0</v>
      </c>
      <c r="J62" s="1599">
        <f t="shared" si="24"/>
        <v>0</v>
      </c>
      <c r="K62" s="1600">
        <f t="shared" si="24"/>
        <v>0</v>
      </c>
      <c r="L62" s="1596"/>
      <c r="M62" s="1598">
        <f t="shared" ref="M62:R62" si="25">IFERROR(SUM(M12:M61),0)</f>
        <v>0</v>
      </c>
      <c r="N62" s="1599">
        <f t="shared" si="25"/>
        <v>0</v>
      </c>
      <c r="O62" s="1599">
        <f t="shared" si="25"/>
        <v>0</v>
      </c>
      <c r="P62" s="1599">
        <f t="shared" si="25"/>
        <v>0</v>
      </c>
      <c r="Q62" s="1599">
        <f t="shared" si="25"/>
        <v>0</v>
      </c>
      <c r="R62" s="1600">
        <f t="shared" si="25"/>
        <v>0</v>
      </c>
      <c r="S62" s="1596"/>
      <c r="T62" s="2059">
        <f>IFERROR(SUM(T12:T61),0)</f>
        <v>0</v>
      </c>
      <c r="U62" s="2060">
        <f t="shared" ref="U62:Y62" si="26">IFERROR(SUM(U12:U61),0)</f>
        <v>0</v>
      </c>
      <c r="V62" s="2060">
        <f t="shared" si="26"/>
        <v>0</v>
      </c>
      <c r="W62" s="2060">
        <f t="shared" si="26"/>
        <v>0</v>
      </c>
      <c r="X62" s="2060">
        <f t="shared" si="26"/>
        <v>0</v>
      </c>
      <c r="Y62" s="2061">
        <f t="shared" si="26"/>
        <v>0</v>
      </c>
      <c r="Z62" s="1596"/>
      <c r="AA62" s="2066">
        <f>IFERROR(SUM(AA12:AA61),0)</f>
        <v>0</v>
      </c>
      <c r="AB62" s="2067"/>
      <c r="AC62" s="2070"/>
      <c r="AD62" s="2071">
        <f>IFERROR(SUM(AD12:AD61),0)</f>
        <v>0</v>
      </c>
      <c r="AE62" s="1600">
        <f>IFERROR(SUM(AE12:AE61),0)</f>
        <v>0</v>
      </c>
      <c r="AF62" s="74"/>
      <c r="AG62" s="98" t="s">
        <v>11146</v>
      </c>
      <c r="AH62" s="74"/>
      <c r="AI62" s="80"/>
      <c r="AJ62" s="1190"/>
      <c r="AK62" s="2589"/>
      <c r="AL62" s="2560"/>
      <c r="AM62" s="2589"/>
      <c r="AN62" s="2560"/>
      <c r="AO62" s="2560"/>
      <c r="AP62" s="2560"/>
      <c r="AQ62" s="2560"/>
      <c r="AR62" s="2560"/>
      <c r="AS62" s="2560"/>
      <c r="AT62" s="2560"/>
      <c r="AU62" s="2560"/>
      <c r="AV62" s="2560"/>
      <c r="AW62" s="2560"/>
      <c r="AX62" s="2560"/>
      <c r="AY62" s="2560"/>
      <c r="AZ62" s="2560"/>
      <c r="BA62" s="2560"/>
      <c r="BB62" s="2560"/>
      <c r="BC62" s="2560"/>
      <c r="BD62" s="2560"/>
      <c r="BE62" s="2560"/>
      <c r="BF62" s="2560"/>
      <c r="BG62" s="2560"/>
      <c r="BH62" s="2560"/>
      <c r="BI62" s="2560"/>
      <c r="BJ62" s="2560"/>
      <c r="BK62" s="2560"/>
      <c r="BL62" s="2560"/>
      <c r="BM62" s="2560"/>
      <c r="BN62" s="2560"/>
      <c r="BO62" s="2560"/>
      <c r="BP62" s="2589"/>
      <c r="BQ62" s="2560"/>
      <c r="BR62" s="1190"/>
      <c r="BS62" s="1190"/>
      <c r="BT62" s="1190"/>
      <c r="BU62" s="1190"/>
      <c r="BV62" s="1190"/>
      <c r="BW62" s="1190"/>
      <c r="BX62" s="1190"/>
      <c r="BY62" s="1190"/>
      <c r="BZ62" s="1190"/>
      <c r="CA62" s="1190"/>
      <c r="CB62" s="1190"/>
      <c r="CC62" s="1190"/>
      <c r="CD62" s="1190"/>
      <c r="CE62" s="1190"/>
      <c r="CF62" s="1190"/>
      <c r="CG62" s="1190"/>
      <c r="CH62" s="1190"/>
      <c r="CI62" s="1190"/>
    </row>
    <row r="63" spans="2:87" ht="14.5" thickTop="1">
      <c r="B63" s="1190"/>
      <c r="F63" s="1191"/>
      <c r="G63" s="1191"/>
      <c r="H63" s="1191"/>
      <c r="I63" s="1191"/>
      <c r="J63" s="1191"/>
      <c r="K63" s="1191"/>
      <c r="M63" s="1191"/>
      <c r="N63" s="1191"/>
      <c r="O63" s="1191"/>
      <c r="P63" s="1191"/>
      <c r="Q63" s="1191"/>
      <c r="R63" s="1191"/>
      <c r="T63" s="1191"/>
      <c r="U63" s="1191"/>
      <c r="V63" s="1191"/>
      <c r="W63" s="1191"/>
      <c r="X63" s="1191"/>
      <c r="Y63" s="1191"/>
      <c r="AA63" s="1190"/>
      <c r="AB63" s="1192"/>
      <c r="AC63" s="1192"/>
      <c r="AD63" s="1192"/>
      <c r="AE63" s="1192"/>
      <c r="AI63" s="1190"/>
      <c r="AJ63" s="1190"/>
      <c r="AK63" s="2560"/>
      <c r="AL63" s="2560"/>
      <c r="AM63" s="2560"/>
      <c r="AN63" s="2560"/>
      <c r="AO63" s="2560"/>
      <c r="AP63" s="2560"/>
      <c r="AQ63" s="2560"/>
      <c r="AR63" s="2560"/>
      <c r="AS63" s="2560"/>
      <c r="AT63" s="2560"/>
      <c r="AU63" s="2560"/>
      <c r="AV63" s="2560"/>
      <c r="AW63" s="2560"/>
      <c r="AX63" s="2560"/>
      <c r="AY63" s="2560"/>
      <c r="AZ63" s="2560"/>
      <c r="BA63" s="2560"/>
      <c r="BB63" s="2560"/>
      <c r="BC63" s="2560"/>
      <c r="BD63" s="2560"/>
      <c r="BE63" s="2560"/>
      <c r="BF63" s="2560"/>
      <c r="BG63" s="2560"/>
      <c r="BH63" s="2560"/>
      <c r="BI63" s="2560"/>
      <c r="BJ63" s="2560"/>
      <c r="BK63" s="2560"/>
      <c r="BL63" s="2560"/>
      <c r="BM63" s="2560"/>
      <c r="BN63" s="2560"/>
      <c r="BO63" s="2560"/>
      <c r="BP63" s="2560"/>
      <c r="BQ63" s="2560"/>
      <c r="BR63" s="1190"/>
      <c r="BS63" s="1190"/>
      <c r="BT63" s="1190"/>
      <c r="BU63" s="1190"/>
      <c r="BV63" s="1190"/>
      <c r="BW63" s="1190"/>
      <c r="BX63" s="1190"/>
      <c r="BY63" s="1190"/>
      <c r="BZ63" s="1190"/>
      <c r="CA63" s="1190"/>
      <c r="CB63" s="1190"/>
      <c r="CC63" s="1190"/>
      <c r="CD63" s="1190"/>
      <c r="CE63" s="1190"/>
      <c r="CF63" s="1190"/>
      <c r="CG63" s="1190"/>
      <c r="CH63" s="1190"/>
      <c r="CI63" s="1190"/>
    </row>
    <row r="65" spans="36:69">
      <c r="AJ65" s="2560"/>
      <c r="AK65" s="2560"/>
      <c r="AL65" s="2560"/>
      <c r="AM65" s="2560"/>
      <c r="AN65" s="2560"/>
      <c r="AO65" s="2560"/>
      <c r="AP65" s="2560"/>
      <c r="AQ65" s="2560"/>
      <c r="AR65" s="2560"/>
      <c r="AS65" s="2560"/>
      <c r="AT65" s="2560"/>
      <c r="AU65" s="2560"/>
      <c r="AV65" s="2560"/>
      <c r="AW65" s="2560"/>
      <c r="AX65" s="2560"/>
      <c r="AY65" s="2560"/>
      <c r="AZ65" s="2560"/>
      <c r="BA65" s="2560"/>
      <c r="BB65" s="2560"/>
      <c r="BC65" s="2560"/>
      <c r="BD65" s="2560"/>
      <c r="BE65" s="2560"/>
      <c r="BF65" s="2560"/>
      <c r="BG65" s="2560"/>
      <c r="BH65" s="2560"/>
      <c r="BI65" s="2560"/>
      <c r="BJ65" s="2560"/>
      <c r="BK65" s="2560"/>
      <c r="BL65" s="2560"/>
      <c r="BM65" s="2560"/>
      <c r="BN65" s="2560"/>
      <c r="BO65" s="2560"/>
      <c r="BP65" s="2560"/>
      <c r="BQ65" s="1184"/>
    </row>
    <row r="66" spans="36:69">
      <c r="AJ66" s="2560"/>
      <c r="AK66" s="2560"/>
      <c r="AL66" s="2560"/>
      <c r="AM66" s="2560"/>
      <c r="AN66" s="2560"/>
      <c r="AO66" s="2560"/>
      <c r="AP66" s="2560"/>
      <c r="AQ66" s="2560"/>
      <c r="AR66" s="2560"/>
      <c r="AS66" s="2560"/>
      <c r="AT66" s="2560"/>
      <c r="AU66" s="2560"/>
      <c r="AV66" s="2560"/>
      <c r="AW66" s="2560"/>
      <c r="AX66" s="2560"/>
      <c r="AY66" s="2560"/>
      <c r="AZ66" s="2560"/>
      <c r="BA66" s="2560"/>
      <c r="BB66" s="2560"/>
      <c r="BC66" s="2560"/>
      <c r="BD66" s="2560"/>
      <c r="BE66" s="2560"/>
      <c r="BF66" s="2560"/>
      <c r="BG66" s="2560"/>
      <c r="BH66" s="2560"/>
      <c r="BI66" s="2560"/>
      <c r="BJ66" s="2560"/>
      <c r="BK66" s="2560"/>
      <c r="BL66" s="2560"/>
      <c r="BM66" s="2560"/>
      <c r="BN66" s="2560"/>
      <c r="BO66" s="2560"/>
      <c r="BP66" s="2560"/>
      <c r="BQ66" s="1184"/>
    </row>
    <row r="67" spans="36:69">
      <c r="AJ67" s="2560"/>
      <c r="AK67" s="2560"/>
      <c r="AL67" s="2560"/>
      <c r="AM67" s="2560"/>
      <c r="AN67" s="2560"/>
      <c r="AO67" s="2560"/>
      <c r="AP67" s="2560"/>
      <c r="AQ67" s="2560"/>
      <c r="AR67" s="2560"/>
      <c r="AS67" s="2560"/>
      <c r="AT67" s="2560"/>
      <c r="AU67" s="2560"/>
      <c r="AV67" s="2560"/>
      <c r="AW67" s="2560"/>
      <c r="AX67" s="2560"/>
      <c r="AY67" s="2560"/>
      <c r="AZ67" s="2560"/>
      <c r="BA67" s="2560"/>
      <c r="BB67" s="2560"/>
      <c r="BC67" s="2560"/>
      <c r="BD67" s="2560"/>
      <c r="BE67" s="2560"/>
      <c r="BF67" s="2560"/>
      <c r="BG67" s="2560"/>
      <c r="BH67" s="2560"/>
      <c r="BI67" s="2560"/>
      <c r="BJ67" s="2560"/>
      <c r="BK67" s="2560"/>
      <c r="BL67" s="2560"/>
      <c r="BM67" s="2560"/>
      <c r="BN67" s="2560"/>
      <c r="BO67" s="2560"/>
      <c r="BP67" s="2560"/>
      <c r="BQ67" s="1184"/>
    </row>
    <row r="68" spans="36:69">
      <c r="AJ68" s="2560"/>
      <c r="AK68" s="2560"/>
      <c r="AL68" s="2560"/>
      <c r="AM68" s="2560"/>
      <c r="AN68" s="2560"/>
      <c r="AO68" s="2560"/>
      <c r="AP68" s="2560"/>
      <c r="AQ68" s="2560"/>
      <c r="AR68" s="2560"/>
      <c r="AS68" s="2560"/>
      <c r="AT68" s="2560"/>
      <c r="AU68" s="2560"/>
      <c r="AV68" s="2560"/>
      <c r="AW68" s="2560"/>
      <c r="AX68" s="2560"/>
      <c r="AY68" s="2560"/>
      <c r="AZ68" s="2560"/>
      <c r="BA68" s="2560"/>
      <c r="BB68" s="2560"/>
      <c r="BC68" s="2560"/>
      <c r="BD68" s="2560"/>
      <c r="BE68" s="2560"/>
      <c r="BF68" s="2560"/>
      <c r="BG68" s="2560"/>
      <c r="BH68" s="2560"/>
      <c r="BI68" s="2560"/>
      <c r="BJ68" s="2560"/>
      <c r="BK68" s="2560"/>
      <c r="BL68" s="2560"/>
      <c r="BM68" s="2560"/>
      <c r="BN68" s="2560"/>
      <c r="BO68" s="2560"/>
      <c r="BP68" s="2560"/>
      <c r="BQ68" s="1184"/>
    </row>
    <row r="69" spans="36:69">
      <c r="AJ69" s="2560"/>
      <c r="AK69" s="2560"/>
      <c r="AL69" s="2560"/>
      <c r="AM69" s="2560"/>
      <c r="AN69" s="2560"/>
      <c r="AO69" s="2560"/>
      <c r="AP69" s="2560"/>
      <c r="AQ69" s="2560"/>
      <c r="AR69" s="2560"/>
      <c r="AS69" s="2560"/>
      <c r="AT69" s="2560"/>
      <c r="AU69" s="2560"/>
      <c r="AV69" s="2560"/>
      <c r="AW69" s="2560"/>
      <c r="AX69" s="2560"/>
      <c r="AY69" s="2560"/>
      <c r="AZ69" s="2560"/>
      <c r="BA69" s="2560"/>
      <c r="BB69" s="2560"/>
      <c r="BC69" s="2560"/>
      <c r="BD69" s="2560"/>
      <c r="BE69" s="2560"/>
      <c r="BF69" s="2560"/>
      <c r="BG69" s="2560"/>
      <c r="BH69" s="2560"/>
      <c r="BI69" s="2560"/>
      <c r="BJ69" s="2560"/>
      <c r="BK69" s="2560"/>
      <c r="BL69" s="2560"/>
      <c r="BM69" s="2560"/>
      <c r="BN69" s="2560"/>
      <c r="BO69" s="2560"/>
      <c r="BP69" s="2560"/>
      <c r="BQ69" s="1184"/>
    </row>
    <row r="70" spans="36:69">
      <c r="AJ70" s="2560"/>
      <c r="AK70" s="2560"/>
      <c r="AL70" s="2560"/>
      <c r="AM70" s="2560"/>
      <c r="AN70" s="2560"/>
      <c r="AO70" s="2560"/>
      <c r="AP70" s="2560"/>
      <c r="AQ70" s="2560"/>
      <c r="AR70" s="2560"/>
      <c r="AS70" s="2560"/>
      <c r="AT70" s="2560"/>
      <c r="AU70" s="2560"/>
      <c r="AV70" s="2560"/>
      <c r="AW70" s="2560"/>
      <c r="AX70" s="2560"/>
      <c r="AY70" s="2560"/>
      <c r="AZ70" s="2560"/>
      <c r="BA70" s="2560"/>
      <c r="BB70" s="2560"/>
      <c r="BC70" s="2560"/>
      <c r="BD70" s="2560"/>
      <c r="BE70" s="2560"/>
      <c r="BF70" s="2560"/>
      <c r="BG70" s="2560"/>
      <c r="BH70" s="2560"/>
      <c r="BI70" s="2560"/>
      <c r="BJ70" s="2560"/>
      <c r="BK70" s="2560"/>
      <c r="BL70" s="2560"/>
      <c r="BM70" s="2560"/>
      <c r="BN70" s="2560"/>
      <c r="BO70" s="2560"/>
      <c r="BP70" s="2560"/>
      <c r="BQ70" s="1184"/>
    </row>
    <row r="71" spans="36:69">
      <c r="AJ71" s="2560"/>
      <c r="AK71" s="2560"/>
      <c r="AL71" s="2560"/>
      <c r="AM71" s="2560"/>
      <c r="AN71" s="2560"/>
      <c r="AO71" s="2560"/>
      <c r="AP71" s="2560"/>
      <c r="AQ71" s="2560"/>
      <c r="AR71" s="2560"/>
      <c r="AS71" s="2560"/>
      <c r="AT71" s="2560"/>
      <c r="AU71" s="2560"/>
      <c r="AV71" s="2560"/>
      <c r="AW71" s="2560"/>
      <c r="AX71" s="2560"/>
      <c r="AY71" s="2560"/>
      <c r="AZ71" s="2560"/>
      <c r="BA71" s="2560"/>
      <c r="BB71" s="2560"/>
      <c r="BC71" s="2560"/>
      <c r="BD71" s="2560"/>
      <c r="BE71" s="2560"/>
      <c r="BF71" s="2560"/>
      <c r="BG71" s="2560"/>
      <c r="BH71" s="2560"/>
      <c r="BI71" s="2560"/>
      <c r="BJ71" s="2560"/>
      <c r="BK71" s="2560"/>
      <c r="BL71" s="2560"/>
      <c r="BM71" s="2560"/>
      <c r="BN71" s="2560"/>
      <c r="BO71" s="2560"/>
      <c r="BP71" s="2560"/>
      <c r="BQ71" s="1184"/>
    </row>
    <row r="72" spans="36:69">
      <c r="AJ72" s="2560"/>
      <c r="AK72" s="2560"/>
      <c r="AL72" s="2560"/>
      <c r="AM72" s="2560"/>
      <c r="AN72" s="2560"/>
      <c r="AO72" s="2560"/>
      <c r="AP72" s="2560"/>
      <c r="AQ72" s="2560"/>
      <c r="AR72" s="2560"/>
      <c r="AS72" s="2560"/>
      <c r="AT72" s="2560"/>
      <c r="AU72" s="2560"/>
      <c r="AV72" s="2560"/>
      <c r="AW72" s="2560"/>
      <c r="AX72" s="2560"/>
      <c r="AY72" s="2560"/>
      <c r="AZ72" s="2560"/>
      <c r="BA72" s="2560"/>
      <c r="BB72" s="2560"/>
      <c r="BC72" s="2560"/>
      <c r="BD72" s="2560"/>
      <c r="BE72" s="2560"/>
      <c r="BF72" s="2560"/>
      <c r="BG72" s="2560"/>
      <c r="BH72" s="2560"/>
      <c r="BI72" s="2560"/>
      <c r="BJ72" s="2560"/>
      <c r="BK72" s="2560"/>
      <c r="BL72" s="2560"/>
      <c r="BM72" s="2560"/>
      <c r="BN72" s="2560"/>
      <c r="BO72" s="2560"/>
      <c r="BP72" s="2560"/>
      <c r="BQ72" s="1184"/>
    </row>
    <row r="73" spans="36:69">
      <c r="AJ73" s="2560"/>
      <c r="AK73" s="2560"/>
      <c r="AL73" s="2560"/>
      <c r="AM73" s="2560"/>
      <c r="AN73" s="2560"/>
      <c r="AO73" s="2560"/>
      <c r="AP73" s="2560"/>
      <c r="AQ73" s="2560"/>
      <c r="AR73" s="2560"/>
      <c r="AS73" s="2560"/>
      <c r="AT73" s="2560"/>
      <c r="AU73" s="2560"/>
      <c r="AV73" s="2560"/>
      <c r="AW73" s="2560"/>
      <c r="AX73" s="2560"/>
      <c r="AY73" s="2560"/>
      <c r="AZ73" s="2560"/>
      <c r="BA73" s="2560"/>
      <c r="BB73" s="2560"/>
      <c r="BC73" s="2560"/>
      <c r="BD73" s="2560"/>
      <c r="BE73" s="2560"/>
      <c r="BF73" s="2560"/>
      <c r="BG73" s="2560"/>
      <c r="BH73" s="2560"/>
      <c r="BI73" s="2560"/>
      <c r="BJ73" s="2560"/>
      <c r="BK73" s="2560"/>
      <c r="BL73" s="2560"/>
      <c r="BM73" s="2560"/>
      <c r="BN73" s="2560"/>
      <c r="BO73" s="2560"/>
      <c r="BP73" s="2560"/>
      <c r="BQ73" s="1184"/>
    </row>
    <row r="74" spans="36:69">
      <c r="AJ74" s="2560"/>
      <c r="AK74" s="2560"/>
      <c r="AL74" s="2560"/>
      <c r="AM74" s="2560"/>
      <c r="AN74" s="2560"/>
      <c r="AO74" s="2560"/>
      <c r="AP74" s="2560"/>
      <c r="AQ74" s="2560"/>
      <c r="AR74" s="2560"/>
      <c r="AS74" s="2560"/>
      <c r="AT74" s="2560"/>
      <c r="AU74" s="2560"/>
      <c r="AV74" s="2560"/>
      <c r="AW74" s="2560"/>
      <c r="AX74" s="2560"/>
      <c r="AY74" s="2560"/>
      <c r="AZ74" s="2560"/>
      <c r="BA74" s="2560"/>
      <c r="BB74" s="2560"/>
      <c r="BC74" s="2560"/>
      <c r="BD74" s="2560"/>
      <c r="BE74" s="2560"/>
      <c r="BF74" s="2560"/>
      <c r="BG74" s="2560"/>
      <c r="BH74" s="2560"/>
      <c r="BI74" s="2560"/>
      <c r="BJ74" s="2560"/>
      <c r="BK74" s="2560"/>
      <c r="BL74" s="2560"/>
      <c r="BM74" s="2560"/>
      <c r="BN74" s="2560"/>
      <c r="BO74" s="2560"/>
      <c r="BP74" s="2560"/>
      <c r="BQ74" s="1184"/>
    </row>
    <row r="75" spans="36:69">
      <c r="AJ75" s="2560"/>
      <c r="AK75" s="2560"/>
      <c r="AL75" s="2560"/>
      <c r="AM75" s="2560"/>
      <c r="AN75" s="2560"/>
      <c r="AO75" s="2560"/>
      <c r="AP75" s="2560"/>
      <c r="AQ75" s="2560"/>
      <c r="AR75" s="2560"/>
      <c r="AS75" s="2560"/>
      <c r="AT75" s="2560"/>
      <c r="AU75" s="2560"/>
      <c r="AV75" s="2560"/>
      <c r="AW75" s="2560"/>
      <c r="AX75" s="2560"/>
      <c r="AY75" s="2560"/>
      <c r="AZ75" s="2560"/>
      <c r="BA75" s="2560"/>
      <c r="BB75" s="2560"/>
      <c r="BC75" s="2560"/>
      <c r="BD75" s="2560"/>
      <c r="BE75" s="2560"/>
      <c r="BF75" s="2560"/>
      <c r="BG75" s="2560"/>
      <c r="BH75" s="2560"/>
      <c r="BI75" s="2560"/>
      <c r="BJ75" s="2560"/>
      <c r="BK75" s="2560"/>
      <c r="BL75" s="2560"/>
      <c r="BM75" s="2560"/>
      <c r="BN75" s="2560"/>
      <c r="BO75" s="2560"/>
      <c r="BP75" s="2560"/>
      <c r="BQ75" s="1184"/>
    </row>
    <row r="76" spans="36:69">
      <c r="AJ76" s="2560"/>
      <c r="AK76" s="2560"/>
      <c r="AL76" s="2560"/>
      <c r="AM76" s="2560"/>
      <c r="AN76" s="2560"/>
      <c r="AO76" s="2560"/>
      <c r="AP76" s="2560"/>
      <c r="AQ76" s="2560"/>
      <c r="AR76" s="2560"/>
      <c r="AS76" s="2560"/>
      <c r="AT76" s="2560"/>
      <c r="AU76" s="2560"/>
      <c r="AV76" s="2560"/>
      <c r="AW76" s="2560"/>
      <c r="AX76" s="2560"/>
      <c r="AY76" s="2560"/>
      <c r="AZ76" s="2560"/>
      <c r="BA76" s="2560"/>
      <c r="BB76" s="2560"/>
      <c r="BC76" s="2560"/>
      <c r="BD76" s="2560"/>
      <c r="BE76" s="2560"/>
      <c r="BF76" s="2560"/>
      <c r="BG76" s="2560"/>
      <c r="BH76" s="2560"/>
      <c r="BI76" s="2560"/>
      <c r="BJ76" s="2560"/>
      <c r="BK76" s="2560"/>
      <c r="BL76" s="2560"/>
      <c r="BM76" s="2560"/>
      <c r="BN76" s="2560"/>
      <c r="BO76" s="2560"/>
      <c r="BP76" s="2560"/>
      <c r="BQ76" s="1184"/>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7" priority="8" operator="equal">
      <formula>0</formula>
    </cfRule>
  </conditionalFormatting>
  <dataValidations count="2">
    <dataValidation type="list" allowBlank="1" showInputMessage="1" showErrorMessage="1" sqref="C71 C63 C12:C61"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zoomScaleNormal="100" zoomScaleSheetLayoutView="100" workbookViewId="0">
      <pane ySplit="6" topLeftCell="A7" activePane="bottomLeft" state="frozen"/>
      <selection pane="bottomLeft" activeCell="G23" sqref="G23"/>
    </sheetView>
  </sheetViews>
  <sheetFormatPr defaultColWidth="9.08203125" defaultRowHeight="14"/>
  <cols>
    <col min="1" max="1" width="1.58203125" style="220" customWidth="1"/>
    <col min="2" max="2" width="14" style="220" customWidth="1"/>
    <col min="3" max="3" width="32.58203125" style="220" customWidth="1"/>
    <col min="4" max="4" width="5.5" style="220" bestFit="1" customWidth="1"/>
    <col min="5" max="5" width="4.58203125" style="220" bestFit="1" customWidth="1"/>
    <col min="6" max="6" width="10.58203125" style="220" customWidth="1"/>
    <col min="7" max="7" width="18.5" style="220" customWidth="1"/>
    <col min="8" max="8" width="9.58203125" style="220" bestFit="1" customWidth="1"/>
    <col min="9" max="9" width="11.58203125" style="220" bestFit="1" customWidth="1"/>
    <col min="10" max="10" width="23.08203125" style="324" bestFit="1" customWidth="1"/>
    <col min="11" max="11" width="1.58203125" style="220" customWidth="1"/>
    <col min="12" max="12" width="15.58203125" style="220" bestFit="1" customWidth="1"/>
    <col min="13" max="13" width="1.58203125" style="220" customWidth="1"/>
    <col min="14" max="14" width="29.5" style="220" bestFit="1" customWidth="1"/>
    <col min="15" max="16" width="1.58203125" style="220" customWidth="1"/>
    <col min="17" max="17" width="20.08203125" style="220" bestFit="1" customWidth="1"/>
    <col min="18" max="18" width="1.58203125" style="230" customWidth="1"/>
    <col min="19" max="19" width="20.08203125" style="230" hidden="1" customWidth="1"/>
    <col min="20" max="22" width="1.58203125" style="230" hidden="1" customWidth="1"/>
    <col min="23" max="23" width="1.58203125" style="220" customWidth="1"/>
    <col min="24" max="24" width="30.08203125" style="220" bestFit="1" customWidth="1"/>
    <col min="25" max="25" width="19.58203125" style="220" customWidth="1"/>
    <col min="26" max="26" width="13.08203125" style="220" bestFit="1" customWidth="1"/>
    <col min="27" max="27" width="19.08203125" style="220" customWidth="1"/>
    <col min="28" max="28" width="10.58203125" style="220" bestFit="1" customWidth="1"/>
    <col min="29" max="29" width="11.58203125" style="220" bestFit="1" customWidth="1"/>
    <col min="30" max="30" width="23.08203125" style="220" bestFit="1" customWidth="1"/>
    <col min="31" max="31" width="1.58203125" style="220" customWidth="1"/>
    <col min="32" max="16384" width="9.08203125" style="220"/>
  </cols>
  <sheetData>
    <row r="1" spans="1:31" s="227" customFormat="1" ht="22.5">
      <c r="B1" s="2673" t="s">
        <v>2041</v>
      </c>
      <c r="C1" s="2673"/>
      <c r="D1" s="2673"/>
      <c r="E1" s="2673"/>
      <c r="F1" s="2673"/>
      <c r="G1" s="2673"/>
      <c r="H1" s="2673"/>
      <c r="I1" s="2673"/>
      <c r="J1" s="304"/>
      <c r="P1" s="305"/>
      <c r="Q1" s="2573"/>
      <c r="R1" s="2571"/>
      <c r="S1" s="2572"/>
      <c r="T1" s="2572"/>
      <c r="U1" s="2572"/>
      <c r="V1" s="2571"/>
      <c r="X1" s="2673" t="s">
        <v>1887</v>
      </c>
      <c r="Y1" s="2673"/>
      <c r="Z1" s="2673"/>
      <c r="AA1" s="2673"/>
      <c r="AB1" s="2673"/>
      <c r="AC1" s="2673"/>
      <c r="AD1" s="304"/>
      <c r="AE1" s="306"/>
    </row>
    <row r="2" spans="1:31" s="227" customFormat="1" ht="22.5">
      <c r="B2" s="2673" t="str">
        <f>SelectCompany!B4</f>
        <v>Yorkshire Water</v>
      </c>
      <c r="C2" s="2673"/>
      <c r="D2" s="2673"/>
      <c r="E2" s="2673"/>
      <c r="F2" s="2673"/>
      <c r="G2" s="2673"/>
      <c r="H2" s="2673"/>
      <c r="I2" s="2673"/>
      <c r="J2" s="304"/>
      <c r="P2" s="305"/>
      <c r="Q2" s="2573"/>
      <c r="R2" s="2571"/>
      <c r="S2" s="2572"/>
      <c r="T2" s="2572"/>
      <c r="U2" s="2572"/>
      <c r="V2" s="2571"/>
      <c r="X2" s="2673"/>
      <c r="Y2" s="2673"/>
      <c r="Z2" s="2673"/>
      <c r="AA2" s="2673"/>
      <c r="AB2" s="2673"/>
      <c r="AC2" s="2673"/>
      <c r="AD2" s="304"/>
      <c r="AE2" s="306"/>
    </row>
    <row r="3" spans="1:31" s="231" customFormat="1" ht="19">
      <c r="B3" s="2688" t="s">
        <v>2042</v>
      </c>
      <c r="C3" s="2689"/>
      <c r="D3" s="2689"/>
      <c r="E3" s="2689"/>
      <c r="F3" s="2689"/>
      <c r="G3" s="2689"/>
      <c r="H3" s="2689"/>
      <c r="I3" s="2689"/>
      <c r="J3" s="2689"/>
      <c r="K3" s="2689"/>
      <c r="L3" s="2689"/>
      <c r="M3" s="2689"/>
      <c r="N3" s="2689"/>
      <c r="P3" s="307"/>
      <c r="Q3" s="232" t="s">
        <v>1889</v>
      </c>
      <c r="R3" s="2571"/>
      <c r="S3" s="2572"/>
      <c r="T3" s="2572"/>
      <c r="U3" s="2572"/>
      <c r="V3" s="2571"/>
      <c r="X3" s="2690" t="s">
        <v>2042</v>
      </c>
      <c r="Y3" s="2691"/>
      <c r="Z3" s="2691"/>
      <c r="AA3" s="2691"/>
      <c r="AB3" s="2691"/>
      <c r="AC3" s="2691"/>
      <c r="AD3" s="2692"/>
      <c r="AE3" s="308"/>
    </row>
    <row r="4" spans="1:31" ht="16" thickBot="1">
      <c r="A4" s="2562"/>
      <c r="B4" s="233"/>
      <c r="C4" s="233"/>
      <c r="D4" s="233"/>
      <c r="E4" s="233"/>
      <c r="F4" s="2685"/>
      <c r="G4" s="2685"/>
      <c r="H4" s="2685"/>
      <c r="I4" s="2685"/>
      <c r="J4" s="309"/>
      <c r="K4" s="2562"/>
      <c r="L4" s="2562"/>
      <c r="M4" s="2562"/>
      <c r="N4" s="2562"/>
      <c r="O4" s="2562"/>
      <c r="P4" s="2576"/>
      <c r="Q4" s="2573"/>
      <c r="R4" s="2571"/>
      <c r="S4" s="2662" t="s">
        <v>1890</v>
      </c>
      <c r="T4" s="2662"/>
      <c r="U4" s="2662"/>
      <c r="V4" s="2571"/>
      <c r="W4" s="2562"/>
      <c r="X4" s="233"/>
      <c r="Y4" s="233"/>
      <c r="Z4" s="2685"/>
      <c r="AA4" s="2685"/>
      <c r="AB4" s="2685"/>
      <c r="AC4" s="2685"/>
      <c r="AD4" s="309"/>
      <c r="AE4" s="310"/>
    </row>
    <row r="5" spans="1:31" ht="16" thickTop="1">
      <c r="A5" s="197"/>
      <c r="B5" s="2686" t="s">
        <v>1891</v>
      </c>
      <c r="C5" s="2667"/>
      <c r="D5" s="2664" t="s">
        <v>1892</v>
      </c>
      <c r="E5" s="2664" t="s">
        <v>136</v>
      </c>
      <c r="F5" s="2667" t="s">
        <v>1893</v>
      </c>
      <c r="G5" s="2667" t="s">
        <v>1894</v>
      </c>
      <c r="H5" s="2667"/>
      <c r="I5" s="2667"/>
      <c r="J5" s="2669" t="s">
        <v>1895</v>
      </c>
      <c r="K5" s="197"/>
      <c r="L5" s="2671" t="s">
        <v>1896</v>
      </c>
      <c r="M5" s="197"/>
      <c r="N5" s="2671" t="s">
        <v>1897</v>
      </c>
      <c r="O5" s="197"/>
      <c r="P5" s="2576"/>
      <c r="Q5" s="2573"/>
      <c r="R5" s="2571"/>
      <c r="S5" s="236" t="s">
        <v>1898</v>
      </c>
      <c r="T5" s="237"/>
      <c r="U5" s="237"/>
      <c r="V5" s="2571"/>
      <c r="W5" s="2562"/>
      <c r="X5" s="2686" t="s">
        <v>1891</v>
      </c>
      <c r="Y5" s="2667"/>
      <c r="Z5" s="2667" t="s">
        <v>1893</v>
      </c>
      <c r="AA5" s="2667" t="s">
        <v>1894</v>
      </c>
      <c r="AB5" s="2667"/>
      <c r="AC5" s="2667"/>
      <c r="AD5" s="2669" t="s">
        <v>1895</v>
      </c>
      <c r="AE5" s="282"/>
    </row>
    <row r="6" spans="1:31" ht="62.5" thickBot="1">
      <c r="A6" s="197"/>
      <c r="B6" s="2687"/>
      <c r="C6" s="2668"/>
      <c r="D6" s="2666"/>
      <c r="E6" s="2666"/>
      <c r="F6" s="2668"/>
      <c r="G6" s="238" t="s">
        <v>1899</v>
      </c>
      <c r="H6" s="238" t="s">
        <v>1900</v>
      </c>
      <c r="I6" s="238" t="s">
        <v>1901</v>
      </c>
      <c r="J6" s="2670"/>
      <c r="K6" s="197"/>
      <c r="L6" s="2672"/>
      <c r="M6" s="197"/>
      <c r="N6" s="2672"/>
      <c r="O6" s="197"/>
      <c r="P6" s="2576"/>
      <c r="Q6" s="2573"/>
      <c r="R6" s="2571"/>
      <c r="S6" s="2562"/>
      <c r="T6" s="2562"/>
      <c r="U6" s="2562"/>
      <c r="V6" s="2571"/>
      <c r="W6" s="2562"/>
      <c r="X6" s="2687"/>
      <c r="Y6" s="2668"/>
      <c r="Z6" s="2668"/>
      <c r="AA6" s="238" t="s">
        <v>1899</v>
      </c>
      <c r="AB6" s="238" t="s">
        <v>1900</v>
      </c>
      <c r="AC6" s="238" t="s">
        <v>1901</v>
      </c>
      <c r="AD6" s="2670"/>
      <c r="AE6" s="282"/>
    </row>
    <row r="7" spans="1:31" ht="16.5" thickTop="1" thickBot="1">
      <c r="A7" s="197"/>
      <c r="B7" s="311"/>
      <c r="C7" s="312"/>
      <c r="D7" s="312"/>
      <c r="E7" s="312"/>
      <c r="F7" s="83"/>
      <c r="G7" s="83"/>
      <c r="H7" s="83"/>
      <c r="I7" s="83"/>
      <c r="J7" s="313"/>
      <c r="K7" s="197"/>
      <c r="L7" s="197"/>
      <c r="M7" s="197"/>
      <c r="N7" s="197"/>
      <c r="O7" s="197"/>
      <c r="P7" s="2576"/>
      <c r="Q7" s="2573"/>
      <c r="R7" s="2571"/>
      <c r="S7" s="2573"/>
      <c r="T7" s="2573"/>
      <c r="U7" s="2573"/>
      <c r="V7" s="2571"/>
      <c r="W7" s="2562"/>
      <c r="X7" s="311"/>
      <c r="Y7" s="312"/>
      <c r="Z7" s="83"/>
      <c r="AA7" s="83"/>
      <c r="AB7" s="83"/>
      <c r="AC7" s="83"/>
      <c r="AD7" s="313"/>
      <c r="AE7" s="313"/>
    </row>
    <row r="8" spans="1:31" ht="31.5" thickTop="1">
      <c r="A8" s="197"/>
      <c r="B8" s="2681" t="s">
        <v>1993</v>
      </c>
      <c r="C8" s="2682"/>
      <c r="D8" s="244" t="s">
        <v>137</v>
      </c>
      <c r="E8" s="244">
        <v>3</v>
      </c>
      <c r="F8" s="1817">
        <f>IFERROR('1A'!F21,0)</f>
        <v>544.21899999999982</v>
      </c>
      <c r="G8" s="1817">
        <f>IFERROR('1A'!G21,0)</f>
        <v>-35.31</v>
      </c>
      <c r="H8" s="1817">
        <f>IFERROR('1A'!H21,0)</f>
        <v>0.87000000000000144</v>
      </c>
      <c r="I8" s="1807">
        <f>IFERROR(G8-H8,0)</f>
        <v>-36.180000000000007</v>
      </c>
      <c r="J8" s="1818">
        <f>IFERROR(F8+I8,0)</f>
        <v>508.03899999999982</v>
      </c>
      <c r="K8" s="197"/>
      <c r="L8" s="248" t="s">
        <v>2043</v>
      </c>
      <c r="M8" s="197"/>
      <c r="N8" s="250"/>
      <c r="O8" s="197"/>
      <c r="P8" s="2576"/>
      <c r="Q8" s="251"/>
      <c r="R8" s="2571"/>
      <c r="S8" s="237"/>
      <c r="T8" s="237"/>
      <c r="U8" s="237"/>
      <c r="V8" s="2571"/>
      <c r="W8" s="2562"/>
      <c r="X8" s="2681" t="s">
        <v>1993</v>
      </c>
      <c r="Y8" s="2682"/>
      <c r="Z8" s="314" t="s">
        <v>1995</v>
      </c>
      <c r="AA8" s="314" t="s">
        <v>1996</v>
      </c>
      <c r="AB8" s="314" t="s">
        <v>1997</v>
      </c>
      <c r="AC8" s="246" t="s">
        <v>1998</v>
      </c>
      <c r="AD8" s="315" t="s">
        <v>1999</v>
      </c>
      <c r="AE8" s="316"/>
    </row>
    <row r="9" spans="1:31" ht="31">
      <c r="A9" s="197"/>
      <c r="B9" s="2641" t="s">
        <v>2044</v>
      </c>
      <c r="C9" s="2642"/>
      <c r="D9" s="290" t="s">
        <v>137</v>
      </c>
      <c r="E9" s="290">
        <v>3</v>
      </c>
      <c r="F9" s="254">
        <v>0.87</v>
      </c>
      <c r="G9" s="254">
        <v>0</v>
      </c>
      <c r="H9" s="254">
        <v>0</v>
      </c>
      <c r="I9" s="1811">
        <f t="shared" ref="I9:I11" si="0">IFERROR(G9-H9,0)</f>
        <v>0</v>
      </c>
      <c r="J9" s="1810">
        <f t="shared" ref="J9:J11" si="1">IFERROR(F9+I9,0)</f>
        <v>0.87</v>
      </c>
      <c r="K9" s="197"/>
      <c r="L9" s="257" t="s">
        <v>2045</v>
      </c>
      <c r="M9" s="197"/>
      <c r="N9" s="258"/>
      <c r="O9" s="197"/>
      <c r="P9" s="2576"/>
      <c r="Q9" s="251">
        <f>IF( SUM( S9:U9 ) = 0, 0, $S$5 )</f>
        <v>0</v>
      </c>
      <c r="R9" s="2571"/>
      <c r="S9" s="252">
        <f t="shared" ref="S9" si="2" xml:space="preserve"> IF( ISNUMBER( F9 ), 0, 1 )</f>
        <v>0</v>
      </c>
      <c r="T9" s="252">
        <f t="shared" ref="T9:T10" si="3" xml:space="preserve"> IF( ISNUMBER( G9 ), 0, 1 )</f>
        <v>0</v>
      </c>
      <c r="U9" s="252">
        <f t="shared" ref="U9:U10" si="4" xml:space="preserve"> IF( ISNUMBER( H9 ), 0, 1 )</f>
        <v>0</v>
      </c>
      <c r="V9" s="2571"/>
      <c r="W9" s="2562"/>
      <c r="X9" s="2641" t="s">
        <v>2044</v>
      </c>
      <c r="Y9" s="2642"/>
      <c r="Z9" s="254" t="s">
        <v>2046</v>
      </c>
      <c r="AA9" s="254" t="s">
        <v>2047</v>
      </c>
      <c r="AB9" s="254" t="s">
        <v>2048</v>
      </c>
      <c r="AC9" s="255" t="s">
        <v>2049</v>
      </c>
      <c r="AD9" s="278" t="s">
        <v>2050</v>
      </c>
      <c r="AE9" s="316"/>
    </row>
    <row r="10" spans="1:31" ht="31">
      <c r="A10" s="197"/>
      <c r="B10" s="2683" t="s">
        <v>2051</v>
      </c>
      <c r="C10" s="2684"/>
      <c r="D10" s="253" t="s">
        <v>137</v>
      </c>
      <c r="E10" s="253">
        <v>3</v>
      </c>
      <c r="F10" s="254">
        <v>-376.58600000000001</v>
      </c>
      <c r="G10" s="254">
        <v>0</v>
      </c>
      <c r="H10" s="254">
        <v>0</v>
      </c>
      <c r="I10" s="1811">
        <f t="shared" si="0"/>
        <v>0</v>
      </c>
      <c r="J10" s="1810">
        <f t="shared" si="1"/>
        <v>-376.58600000000001</v>
      </c>
      <c r="K10" s="197"/>
      <c r="L10" s="257" t="s">
        <v>2052</v>
      </c>
      <c r="M10" s="197"/>
      <c r="N10" s="258"/>
      <c r="O10" s="197"/>
      <c r="P10" s="2576"/>
      <c r="Q10" s="251">
        <f>IF( SUM( S10:U10 ) = 0, 0, $S$5 )</f>
        <v>0</v>
      </c>
      <c r="R10" s="2571"/>
      <c r="S10" s="252">
        <f t="shared" ref="S10" si="5" xml:space="preserve"> IF( ISNUMBER( F10 ), 0, 1 )</f>
        <v>0</v>
      </c>
      <c r="T10" s="252">
        <f t="shared" si="3"/>
        <v>0</v>
      </c>
      <c r="U10" s="252">
        <f t="shared" si="4"/>
        <v>0</v>
      </c>
      <c r="V10" s="2571"/>
      <c r="W10" s="2562"/>
      <c r="X10" s="2683" t="s">
        <v>2051</v>
      </c>
      <c r="Y10" s="2684"/>
      <c r="Z10" s="254" t="s">
        <v>2053</v>
      </c>
      <c r="AA10" s="254" t="s">
        <v>2054</v>
      </c>
      <c r="AB10" s="254" t="s">
        <v>2055</v>
      </c>
      <c r="AC10" s="255" t="s">
        <v>2056</v>
      </c>
      <c r="AD10" s="278" t="s">
        <v>2057</v>
      </c>
      <c r="AE10" s="316"/>
    </row>
    <row r="11" spans="1:31" ht="31.5" thickBot="1">
      <c r="A11" s="197"/>
      <c r="B11" s="2679" t="s">
        <v>2058</v>
      </c>
      <c r="C11" s="2680"/>
      <c r="D11" s="319" t="s">
        <v>137</v>
      </c>
      <c r="E11" s="319">
        <v>3</v>
      </c>
      <c r="F11" s="1813">
        <f>IFERROR(SUM( F8:F10 ),0)</f>
        <v>168.50299999999982</v>
      </c>
      <c r="G11" s="1813">
        <f>IFERROR(SUM( G8:G10 ),0)</f>
        <v>-35.31</v>
      </c>
      <c r="H11" s="1813">
        <f>IFERROR(SUM( H8:H10 ),0)</f>
        <v>0.87000000000000144</v>
      </c>
      <c r="I11" s="1813">
        <f t="shared" si="0"/>
        <v>-36.180000000000007</v>
      </c>
      <c r="J11" s="1806">
        <f t="shared" si="1"/>
        <v>132.32299999999981</v>
      </c>
      <c r="K11" s="197"/>
      <c r="L11" s="320" t="s">
        <v>2059</v>
      </c>
      <c r="M11" s="197"/>
      <c r="N11" s="269"/>
      <c r="O11" s="197"/>
      <c r="P11" s="2576"/>
      <c r="Q11" s="251"/>
      <c r="R11" s="2571"/>
      <c r="S11" s="237"/>
      <c r="T11" s="237"/>
      <c r="U11" s="237"/>
      <c r="V11" s="2571"/>
      <c r="W11" s="2562"/>
      <c r="X11" s="2679" t="s">
        <v>2058</v>
      </c>
      <c r="Y11" s="2680"/>
      <c r="Z11" s="265" t="s">
        <v>2060</v>
      </c>
      <c r="AA11" s="265" t="s">
        <v>2061</v>
      </c>
      <c r="AB11" s="265" t="s">
        <v>2062</v>
      </c>
      <c r="AC11" s="265" t="s">
        <v>2063</v>
      </c>
      <c r="AD11" s="280" t="s">
        <v>2064</v>
      </c>
      <c r="AE11" s="316"/>
    </row>
    <row r="12" spans="1:31" ht="14.5" thickTop="1">
      <c r="A12" s="2562"/>
      <c r="B12" s="2562"/>
      <c r="C12" s="2562"/>
      <c r="D12" s="2562"/>
      <c r="E12" s="2562"/>
      <c r="F12" s="2562"/>
      <c r="G12" s="2562"/>
      <c r="H12" s="2562"/>
      <c r="I12" s="2562"/>
      <c r="K12" s="2562"/>
      <c r="L12" s="2562"/>
      <c r="M12" s="2562"/>
      <c r="N12" s="2562"/>
      <c r="O12" s="2562"/>
      <c r="P12" s="2562"/>
      <c r="Q12" s="2562"/>
      <c r="R12" s="2572"/>
      <c r="S12" s="2572"/>
      <c r="T12" s="2572"/>
      <c r="U12" s="2572"/>
      <c r="V12" s="2572"/>
      <c r="W12" s="2562"/>
      <c r="X12" s="2562"/>
      <c r="Y12" s="2562"/>
      <c r="Z12" s="2562"/>
      <c r="AA12" s="2562"/>
      <c r="AB12" s="2562"/>
      <c r="AC12" s="2562"/>
      <c r="AD12" s="2562"/>
      <c r="AE12" s="2562"/>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0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Normal="100" zoomScaleSheetLayoutView="100" workbookViewId="0">
      <selection activeCell="I15" sqref="I15"/>
    </sheetView>
  </sheetViews>
  <sheetFormatPr defaultColWidth="9" defaultRowHeight="15.5"/>
  <cols>
    <col min="1" max="1" width="1.58203125" style="220" customWidth="1"/>
    <col min="2" max="2" width="75.58203125" style="220" bestFit="1" customWidth="1"/>
    <col min="3" max="3" width="5.5" style="220" bestFit="1" customWidth="1"/>
    <col min="4" max="4" width="4.5" style="220" customWidth="1"/>
    <col min="5" max="5" width="12.08203125" style="1199" customWidth="1"/>
    <col min="6" max="6" width="1.58203125" style="220" customWidth="1"/>
    <col min="7" max="7" width="10.08203125" style="220" bestFit="1" customWidth="1"/>
    <col min="8" max="8" width="1.58203125" style="228" customWidth="1"/>
    <col min="9" max="9" width="31.08203125" style="228" bestFit="1" customWidth="1"/>
    <col min="10" max="10" width="1.58203125" style="228" customWidth="1"/>
    <col min="11" max="11" width="1.58203125" style="219" customWidth="1"/>
    <col min="12" max="12" width="20.08203125" style="219" bestFit="1" customWidth="1"/>
    <col min="13" max="13" width="1.58203125" style="219" customWidth="1"/>
    <col min="14" max="14" width="19.58203125" style="219" hidden="1" customWidth="1"/>
    <col min="15" max="15" width="1.58203125" style="219" hidden="1" customWidth="1"/>
    <col min="16" max="16" width="1.58203125" style="220" customWidth="1"/>
    <col min="17" max="17" width="49" style="220" bestFit="1" customWidth="1"/>
    <col min="18" max="18" width="15.58203125" style="220" bestFit="1" customWidth="1"/>
    <col min="19" max="19" width="1.58203125" style="220" customWidth="1"/>
    <col min="20" max="16384" width="9" style="220"/>
  </cols>
  <sheetData>
    <row r="1" spans="2:20" s="351" customFormat="1" ht="30" customHeight="1">
      <c r="B1" s="1119" t="s">
        <v>11147</v>
      </c>
      <c r="C1" s="1119"/>
      <c r="D1" s="1119"/>
      <c r="E1" s="1119"/>
      <c r="F1" s="1119"/>
      <c r="G1" s="1119"/>
      <c r="H1" s="544"/>
      <c r="I1" s="544"/>
      <c r="J1" s="544"/>
      <c r="K1" s="2589"/>
      <c r="L1" s="2560"/>
      <c r="M1" s="2589"/>
      <c r="N1" s="2560"/>
      <c r="O1" s="2589"/>
      <c r="Q1" s="1119" t="s">
        <v>1887</v>
      </c>
      <c r="R1" s="1119"/>
      <c r="T1" s="2560"/>
    </row>
    <row r="2" spans="2:20" s="351" customFormat="1" ht="30" customHeight="1">
      <c r="B2" s="1119" t="str">
        <f>SelectCompany!B4</f>
        <v>Yorkshire Water</v>
      </c>
      <c r="C2" s="491"/>
      <c r="D2" s="491"/>
      <c r="E2" s="491"/>
      <c r="F2" s="491"/>
      <c r="G2" s="1193"/>
      <c r="H2" s="544"/>
      <c r="I2" s="544"/>
      <c r="J2" s="544"/>
      <c r="K2" s="2589"/>
      <c r="L2" s="2560"/>
      <c r="M2" s="2589"/>
      <c r="N2" s="2560"/>
      <c r="O2" s="2589"/>
      <c r="Q2" s="1119"/>
      <c r="R2" s="491"/>
      <c r="T2" s="2560"/>
    </row>
    <row r="3" spans="2:20" ht="45" customHeight="1">
      <c r="B3" s="2781" t="s">
        <v>11148</v>
      </c>
      <c r="C3" s="2781"/>
      <c r="D3" s="2781"/>
      <c r="E3" s="2781"/>
      <c r="F3" s="2781"/>
      <c r="G3" s="2781"/>
      <c r="H3" s="2781"/>
      <c r="I3" s="2781"/>
      <c r="K3" s="2589"/>
      <c r="L3" s="1129" t="s">
        <v>1889</v>
      </c>
      <c r="M3" s="2589"/>
      <c r="N3" s="2560"/>
      <c r="O3" s="2589"/>
      <c r="P3" s="2562"/>
      <c r="Q3" s="2781" t="s">
        <v>11148</v>
      </c>
      <c r="R3" s="2781"/>
      <c r="S3" s="2562"/>
      <c r="T3" s="2560"/>
    </row>
    <row r="4" spans="2:20" ht="15" customHeight="1" thickBot="1">
      <c r="B4" s="594"/>
      <c r="C4" s="594"/>
      <c r="D4" s="594"/>
      <c r="E4" s="594"/>
      <c r="F4" s="2590"/>
      <c r="G4" s="1194"/>
      <c r="K4" s="2589"/>
      <c r="L4" s="2560"/>
      <c r="M4" s="2589"/>
      <c r="N4" s="2603" t="s">
        <v>1890</v>
      </c>
      <c r="O4" s="2589"/>
      <c r="P4" s="2562"/>
      <c r="Q4" s="594"/>
      <c r="R4" s="594"/>
      <c r="S4" s="2562"/>
      <c r="T4" s="2560"/>
    </row>
    <row r="5" spans="2:20" s="197" customFormat="1" ht="47.5" thickTop="1" thickBot="1">
      <c r="B5" s="407" t="s">
        <v>1891</v>
      </c>
      <c r="C5" s="408" t="s">
        <v>1892</v>
      </c>
      <c r="D5" s="408" t="s">
        <v>136</v>
      </c>
      <c r="E5" s="409" t="s">
        <v>11149</v>
      </c>
      <c r="F5" s="635"/>
      <c r="G5" s="411" t="s">
        <v>1896</v>
      </c>
      <c r="I5" s="411" t="s">
        <v>1897</v>
      </c>
      <c r="K5" s="2589"/>
      <c r="L5" s="2560"/>
      <c r="M5" s="2589"/>
      <c r="N5" s="236" t="s">
        <v>1898</v>
      </c>
      <c r="O5" s="2589"/>
      <c r="Q5" s="407" t="s">
        <v>1891</v>
      </c>
      <c r="R5" s="409" t="s">
        <v>11149</v>
      </c>
      <c r="T5" s="2560"/>
    </row>
    <row r="6" spans="2:20" s="197" customFormat="1" ht="15.75" customHeight="1" thickTop="1" thickBot="1">
      <c r="B6" s="377"/>
      <c r="C6" s="377"/>
      <c r="D6" s="377"/>
      <c r="E6" s="313"/>
      <c r="F6" s="106"/>
      <c r="G6" s="544"/>
      <c r="K6" s="2589"/>
      <c r="L6" s="2560"/>
      <c r="M6" s="2589"/>
      <c r="N6" s="2560"/>
      <c r="O6" s="2589"/>
      <c r="Q6" s="377"/>
      <c r="R6" s="313"/>
      <c r="T6" s="2560"/>
    </row>
    <row r="7" spans="2:20" s="197" customFormat="1" ht="15.75" customHeight="1" thickTop="1" thickBot="1">
      <c r="B7" s="355" t="s">
        <v>11150</v>
      </c>
      <c r="C7" s="222"/>
      <c r="D7" s="222"/>
      <c r="E7" s="444"/>
      <c r="F7" s="106"/>
      <c r="G7" s="544"/>
      <c r="K7" s="2589"/>
      <c r="L7" s="2560"/>
      <c r="M7" s="2589"/>
      <c r="N7" s="2560"/>
      <c r="O7" s="2589"/>
      <c r="Q7" s="355" t="s">
        <v>11150</v>
      </c>
      <c r="R7" s="444"/>
      <c r="T7" s="2560"/>
    </row>
    <row r="8" spans="2:20" s="197" customFormat="1" ht="15.75" customHeight="1">
      <c r="B8" s="413" t="s">
        <v>11151</v>
      </c>
      <c r="C8" s="244" t="s">
        <v>1387</v>
      </c>
      <c r="D8" s="244">
        <v>3</v>
      </c>
      <c r="E8" s="621">
        <v>2147.8380000000002</v>
      </c>
      <c r="F8" s="106"/>
      <c r="G8" s="935" t="s">
        <v>11152</v>
      </c>
      <c r="I8" s="250"/>
      <c r="K8" s="2589"/>
      <c r="L8" s="1121">
        <f t="shared" ref="L8:L13" si="0">IF( SUM( N8:N8 ) = 0, 0, $N$5 )</f>
        <v>0</v>
      </c>
      <c r="M8" s="2589"/>
      <c r="N8" s="252">
        <f xml:space="preserve"> IF( ISNUMBER(E8 ), 0, 1 )</f>
        <v>0</v>
      </c>
      <c r="O8" s="2589"/>
      <c r="Q8" s="413" t="s">
        <v>11151</v>
      </c>
      <c r="R8" s="621" t="s">
        <v>11153</v>
      </c>
      <c r="T8" s="2560"/>
    </row>
    <row r="9" spans="2:20" s="197" customFormat="1" ht="15.75" customHeight="1">
      <c r="B9" s="422" t="s">
        <v>11154</v>
      </c>
      <c r="C9" s="253" t="s">
        <v>1387</v>
      </c>
      <c r="D9" s="253">
        <v>3</v>
      </c>
      <c r="E9" s="367">
        <v>1465.931</v>
      </c>
      <c r="F9" s="106"/>
      <c r="G9" s="936" t="s">
        <v>11155</v>
      </c>
      <c r="I9" s="258"/>
      <c r="K9" s="2589"/>
      <c r="L9" s="1121">
        <f t="shared" si="0"/>
        <v>0</v>
      </c>
      <c r="M9" s="2589"/>
      <c r="N9" s="252">
        <f t="shared" ref="N9:N13" si="1" xml:space="preserve"> IF( ISNUMBER(E9 ), 0, 1 )</f>
        <v>0</v>
      </c>
      <c r="O9" s="2589"/>
      <c r="Q9" s="422" t="s">
        <v>11154</v>
      </c>
      <c r="R9" s="367" t="s">
        <v>11156</v>
      </c>
      <c r="T9" s="2560"/>
    </row>
    <row r="10" spans="2:20" s="197" customFormat="1" ht="15.75" customHeight="1">
      <c r="B10" s="422" t="s">
        <v>11157</v>
      </c>
      <c r="C10" s="253" t="s">
        <v>1387</v>
      </c>
      <c r="D10" s="253">
        <v>3</v>
      </c>
      <c r="E10" s="367">
        <v>3344.9870000000001</v>
      </c>
      <c r="F10" s="106"/>
      <c r="G10" s="936" t="s">
        <v>11158</v>
      </c>
      <c r="I10" s="258"/>
      <c r="K10" s="2589"/>
      <c r="L10" s="1121">
        <f t="shared" si="0"/>
        <v>0</v>
      </c>
      <c r="M10" s="2589"/>
      <c r="N10" s="252">
        <f t="shared" si="1"/>
        <v>0</v>
      </c>
      <c r="O10" s="2589"/>
      <c r="Q10" s="422" t="s">
        <v>11157</v>
      </c>
      <c r="R10" s="367" t="s">
        <v>11159</v>
      </c>
      <c r="T10" s="2560"/>
    </row>
    <row r="11" spans="2:20" s="197" customFormat="1" ht="15.75" customHeight="1">
      <c r="B11" s="422" t="s">
        <v>11160</v>
      </c>
      <c r="C11" s="253" t="s">
        <v>1387</v>
      </c>
      <c r="D11" s="253">
        <v>3</v>
      </c>
      <c r="E11" s="367">
        <v>5937.7929999999997</v>
      </c>
      <c r="F11" s="106"/>
      <c r="G11" s="936" t="s">
        <v>11161</v>
      </c>
      <c r="I11" s="258"/>
      <c r="K11" s="2589"/>
      <c r="L11" s="1121">
        <f t="shared" si="0"/>
        <v>0</v>
      </c>
      <c r="M11" s="2589"/>
      <c r="N11" s="252">
        <f t="shared" si="1"/>
        <v>0</v>
      </c>
      <c r="O11" s="2589"/>
      <c r="Q11" s="422" t="s">
        <v>11160</v>
      </c>
      <c r="R11" s="367" t="s">
        <v>11162</v>
      </c>
      <c r="T11" s="2560"/>
    </row>
    <row r="12" spans="2:20" s="197" customFormat="1" ht="27" customHeight="1">
      <c r="B12" s="422" t="s">
        <v>11163</v>
      </c>
      <c r="C12" s="253" t="s">
        <v>1387</v>
      </c>
      <c r="D12" s="253">
        <v>3</v>
      </c>
      <c r="E12" s="367">
        <v>11849.888000000001</v>
      </c>
      <c r="F12" s="106"/>
      <c r="G12" s="936" t="s">
        <v>11164</v>
      </c>
      <c r="I12" s="258"/>
      <c r="K12" s="2589"/>
      <c r="L12" s="1121">
        <f t="shared" si="0"/>
        <v>0</v>
      </c>
      <c r="M12" s="2589"/>
      <c r="N12" s="252">
        <f t="shared" si="1"/>
        <v>0</v>
      </c>
      <c r="O12" s="2589"/>
      <c r="Q12" s="422" t="s">
        <v>11163</v>
      </c>
      <c r="R12" s="367" t="s">
        <v>11165</v>
      </c>
      <c r="T12" s="2560"/>
    </row>
    <row r="13" spans="2:20" s="197" customFormat="1" ht="15.75" customHeight="1">
      <c r="B13" s="422" t="s">
        <v>11166</v>
      </c>
      <c r="C13" s="253" t="s">
        <v>1387</v>
      </c>
      <c r="D13" s="253">
        <v>3</v>
      </c>
      <c r="E13" s="367">
        <v>1204.5820000000001</v>
      </c>
      <c r="F13" s="106"/>
      <c r="G13" s="936" t="s">
        <v>11167</v>
      </c>
      <c r="I13" s="258"/>
      <c r="K13" s="2589"/>
      <c r="L13" s="1121">
        <f t="shared" si="0"/>
        <v>0</v>
      </c>
      <c r="M13" s="2589"/>
      <c r="N13" s="252">
        <f t="shared" si="1"/>
        <v>0</v>
      </c>
      <c r="O13" s="2589"/>
      <c r="Q13" s="422" t="s">
        <v>11166</v>
      </c>
      <c r="R13" s="367" t="s">
        <v>11168</v>
      </c>
      <c r="T13" s="2560"/>
    </row>
    <row r="14" spans="2:20" s="197" customFormat="1" ht="15.75" customHeight="1" thickBot="1">
      <c r="B14" s="425" t="s">
        <v>11169</v>
      </c>
      <c r="C14" s="319" t="s">
        <v>1387</v>
      </c>
      <c r="D14" s="319">
        <v>3</v>
      </c>
      <c r="E14" s="266">
        <f>IFERROR(SUM(E8:E13),0)</f>
        <v>25951.018999999997</v>
      </c>
      <c r="F14" s="106"/>
      <c r="G14" s="938" t="s">
        <v>11170</v>
      </c>
      <c r="I14" s="269"/>
      <c r="K14" s="2589"/>
      <c r="L14" s="2560"/>
      <c r="M14" s="2589"/>
      <c r="N14" s="2560"/>
      <c r="O14" s="2589"/>
      <c r="Q14" s="425" t="s">
        <v>11171</v>
      </c>
      <c r="R14" s="266" t="s">
        <v>11172</v>
      </c>
      <c r="T14" s="2560"/>
    </row>
    <row r="15" spans="2:20" s="197" customFormat="1" ht="15.75" customHeight="1" thickTop="1" thickBot="1">
      <c r="B15" s="1161"/>
      <c r="C15" s="1195"/>
      <c r="D15" s="1195"/>
      <c r="E15" s="329"/>
      <c r="F15" s="106"/>
      <c r="G15" s="527"/>
      <c r="K15" s="2589"/>
      <c r="L15" s="2560"/>
      <c r="M15" s="2589"/>
      <c r="N15" s="2560"/>
      <c r="O15" s="2589"/>
      <c r="Q15" s="1161"/>
      <c r="R15" s="329"/>
      <c r="T15" s="2560"/>
    </row>
    <row r="16" spans="2:20" s="197" customFormat="1" ht="15.75" customHeight="1" thickTop="1" thickBot="1">
      <c r="B16" s="355" t="s">
        <v>11173</v>
      </c>
      <c r="C16" s="1196"/>
      <c r="D16" s="1196"/>
      <c r="E16" s="281"/>
      <c r="F16" s="106"/>
      <c r="G16" s="544"/>
      <c r="K16" s="2589"/>
      <c r="L16" s="2560"/>
      <c r="M16" s="2589"/>
      <c r="N16" s="2560"/>
      <c r="O16" s="2589"/>
      <c r="Q16" s="355" t="s">
        <v>11173</v>
      </c>
      <c r="R16" s="281"/>
      <c r="T16" s="2560"/>
    </row>
    <row r="17" spans="1:20" s="197" customFormat="1" ht="15.75" customHeight="1" thickTop="1">
      <c r="B17" s="413" t="s">
        <v>11174</v>
      </c>
      <c r="C17" s="244" t="s">
        <v>1387</v>
      </c>
      <c r="D17" s="244">
        <v>3</v>
      </c>
      <c r="E17" s="1197">
        <f>IFERROR('7B'!CG22,0)</f>
        <v>2602.3000000000002</v>
      </c>
      <c r="F17" s="106"/>
      <c r="G17" s="935" t="s">
        <v>11175</v>
      </c>
      <c r="I17" s="250"/>
      <c r="K17" s="2589"/>
      <c r="L17" s="2560"/>
      <c r="M17" s="2589"/>
      <c r="N17" s="2560"/>
      <c r="O17" s="2589"/>
      <c r="Q17" s="413" t="s">
        <v>11174</v>
      </c>
      <c r="R17" s="1197" t="s">
        <v>11176</v>
      </c>
      <c r="T17" s="2560"/>
    </row>
    <row r="18" spans="1:20" s="197" customFormat="1" ht="15.75" customHeight="1">
      <c r="B18" s="422" t="s">
        <v>11177</v>
      </c>
      <c r="C18" s="253" t="s">
        <v>1387</v>
      </c>
      <c r="D18" s="253">
        <v>3</v>
      </c>
      <c r="E18" s="362">
        <f>IFERROR('7B'!CG23,0)</f>
        <v>1513.8400000000001</v>
      </c>
      <c r="F18" s="106"/>
      <c r="G18" s="936" t="s">
        <v>11178</v>
      </c>
      <c r="I18" s="258"/>
      <c r="K18" s="2589"/>
      <c r="L18" s="2560"/>
      <c r="M18" s="2589"/>
      <c r="N18" s="2560"/>
      <c r="O18" s="2589"/>
      <c r="Q18" s="422" t="s">
        <v>11177</v>
      </c>
      <c r="R18" s="362" t="s">
        <v>11179</v>
      </c>
      <c r="T18" s="2560"/>
    </row>
    <row r="19" spans="1:20" s="197" customFormat="1" ht="15.75" customHeight="1">
      <c r="B19" s="422" t="s">
        <v>11180</v>
      </c>
      <c r="C19" s="253" t="s">
        <v>1387</v>
      </c>
      <c r="D19" s="253">
        <v>3</v>
      </c>
      <c r="E19" s="362">
        <f>IFERROR('7B'!CG24,0)</f>
        <v>57400.760000000009</v>
      </c>
      <c r="F19" s="106"/>
      <c r="G19" s="936" t="s">
        <v>11181</v>
      </c>
      <c r="I19" s="258"/>
      <c r="K19" s="2589"/>
      <c r="L19" s="2560"/>
      <c r="M19" s="2589"/>
      <c r="N19" s="2560"/>
      <c r="O19" s="2589"/>
      <c r="Q19" s="422" t="s">
        <v>11180</v>
      </c>
      <c r="R19" s="362" t="s">
        <v>11182</v>
      </c>
      <c r="T19" s="2560"/>
    </row>
    <row r="20" spans="1:20" s="197" customFormat="1" ht="15.75" customHeight="1">
      <c r="B20" s="422" t="s">
        <v>11183</v>
      </c>
      <c r="C20" s="253" t="s">
        <v>1387</v>
      </c>
      <c r="D20" s="253">
        <v>3</v>
      </c>
      <c r="E20" s="362">
        <f>IFERROR('7B'!CG25,0)</f>
        <v>61516.9</v>
      </c>
      <c r="F20" s="106"/>
      <c r="G20" s="936" t="s">
        <v>11184</v>
      </c>
      <c r="I20" s="258"/>
      <c r="K20" s="2589"/>
      <c r="L20" s="2560"/>
      <c r="M20" s="2589"/>
      <c r="N20" s="2560"/>
      <c r="O20" s="2589"/>
      <c r="Q20" s="422" t="s">
        <v>11183</v>
      </c>
      <c r="R20" s="362" t="s">
        <v>11185</v>
      </c>
      <c r="T20" s="2560"/>
    </row>
    <row r="21" spans="1:20" s="197" customFormat="1" ht="15.75" customHeight="1">
      <c r="B21" s="422" t="s">
        <v>11186</v>
      </c>
      <c r="C21" s="253" t="s">
        <v>1387</v>
      </c>
      <c r="D21" s="253">
        <v>3</v>
      </c>
      <c r="E21" s="362">
        <f>IFERROR('7B'!CG26,0)</f>
        <v>3020.9500000000007</v>
      </c>
      <c r="F21" s="106"/>
      <c r="G21" s="936" t="s">
        <v>11187</v>
      </c>
      <c r="I21" s="258"/>
      <c r="K21" s="2589"/>
      <c r="L21" s="2560"/>
      <c r="M21" s="2589"/>
      <c r="N21" s="2560"/>
      <c r="O21" s="2589"/>
      <c r="Q21" s="422" t="s">
        <v>11186</v>
      </c>
      <c r="R21" s="362" t="s">
        <v>11188</v>
      </c>
      <c r="T21" s="2560"/>
    </row>
    <row r="22" spans="1:20" s="197" customFormat="1" ht="15.75" customHeight="1" thickBot="1">
      <c r="B22" s="425" t="s">
        <v>11189</v>
      </c>
      <c r="C22" s="319" t="s">
        <v>1387</v>
      </c>
      <c r="D22" s="319">
        <v>3</v>
      </c>
      <c r="E22" s="1198">
        <f>IFERROR('7B'!CG27,0)</f>
        <v>64537.85</v>
      </c>
      <c r="F22" s="106"/>
      <c r="G22" s="938" t="s">
        <v>11190</v>
      </c>
      <c r="I22" s="269"/>
      <c r="K22" s="2589"/>
      <c r="L22" s="2560"/>
      <c r="M22" s="2589"/>
      <c r="N22" s="2560"/>
      <c r="O22" s="2589"/>
      <c r="Q22" s="425" t="s">
        <v>11191</v>
      </c>
      <c r="R22" s="1198" t="s">
        <v>11192</v>
      </c>
      <c r="T22" s="2560"/>
    </row>
    <row r="23" spans="1:20" s="197" customFormat="1" ht="15.75" customHeight="1" thickTop="1" thickBot="1">
      <c r="B23" s="1161"/>
      <c r="C23" s="1161"/>
      <c r="D23" s="1161"/>
      <c r="E23" s="329"/>
      <c r="F23" s="106"/>
      <c r="G23" s="527"/>
      <c r="K23" s="2589"/>
      <c r="L23" s="2560"/>
      <c r="M23" s="2589"/>
      <c r="N23" s="2560"/>
      <c r="O23" s="2589"/>
      <c r="Q23" s="1161"/>
      <c r="R23" s="329"/>
    </row>
    <row r="24" spans="1:20" s="197" customFormat="1" ht="15.75" customHeight="1" thickTop="1" thickBot="1">
      <c r="B24" s="355" t="s">
        <v>11193</v>
      </c>
      <c r="C24" s="222"/>
      <c r="D24" s="222"/>
      <c r="E24" s="281"/>
      <c r="F24" s="106"/>
      <c r="G24" s="544"/>
      <c r="K24" s="2589"/>
      <c r="L24" s="2560"/>
      <c r="M24" s="2589"/>
      <c r="N24" s="2560"/>
      <c r="O24" s="2589"/>
      <c r="Q24" s="355" t="s">
        <v>11194</v>
      </c>
      <c r="R24" s="281"/>
    </row>
    <row r="25" spans="1:20" ht="15.75" customHeight="1" thickTop="1" thickBot="1">
      <c r="A25" s="197"/>
      <c r="B25" s="431" t="s">
        <v>11195</v>
      </c>
      <c r="C25" s="333" t="s">
        <v>1387</v>
      </c>
      <c r="D25" s="333">
        <v>3</v>
      </c>
      <c r="E25" s="433">
        <f>IFERROR(E14+E22,0)</f>
        <v>90488.868999999992</v>
      </c>
      <c r="F25" s="106"/>
      <c r="G25" s="943" t="s">
        <v>11196</v>
      </c>
      <c r="H25" s="197"/>
      <c r="I25" s="337"/>
      <c r="J25" s="197"/>
      <c r="K25" s="2589"/>
      <c r="L25" s="2560"/>
      <c r="M25" s="2589"/>
      <c r="N25" s="2560"/>
      <c r="O25" s="2589"/>
      <c r="P25" s="2562"/>
      <c r="Q25" s="431" t="s">
        <v>11197</v>
      </c>
      <c r="R25" s="433" t="s">
        <v>11198</v>
      </c>
      <c r="S25" s="2562"/>
      <c r="T25" s="2562"/>
    </row>
    <row r="26" spans="1:20" ht="8.25" customHeight="1" thickTop="1">
      <c r="A26" s="197"/>
      <c r="B26" s="197"/>
      <c r="C26" s="197"/>
      <c r="D26" s="197"/>
      <c r="E26" s="597"/>
      <c r="F26" s="197"/>
      <c r="G26" s="197"/>
      <c r="K26" s="2560"/>
      <c r="L26" s="2560"/>
      <c r="M26" s="2560"/>
      <c r="N26" s="2560"/>
      <c r="O26" s="2560"/>
      <c r="P26" s="2562"/>
      <c r="Q26" s="2562"/>
      <c r="R26" s="2562"/>
      <c r="S26" s="2562"/>
      <c r="T26" s="2562"/>
    </row>
    <row r="27" spans="1:20">
      <c r="A27" s="197"/>
      <c r="B27" s="197"/>
      <c r="C27" s="197"/>
      <c r="D27" s="197"/>
      <c r="E27" s="597"/>
      <c r="F27" s="197"/>
      <c r="G27" s="197"/>
      <c r="K27" s="2560"/>
      <c r="L27" s="2560"/>
      <c r="M27" s="2560"/>
      <c r="N27" s="2560"/>
      <c r="O27" s="2560"/>
      <c r="P27" s="2562"/>
      <c r="Q27" s="2562"/>
      <c r="R27" s="2562"/>
      <c r="S27" s="2562"/>
      <c r="T27" s="2562"/>
    </row>
    <row r="28" spans="1:20">
      <c r="A28" s="197"/>
      <c r="B28" s="197"/>
      <c r="C28" s="197"/>
      <c r="D28" s="197"/>
      <c r="E28" s="597"/>
      <c r="F28" s="197"/>
      <c r="G28" s="197"/>
      <c r="K28" s="2560"/>
      <c r="L28" s="2560"/>
      <c r="M28" s="2560"/>
      <c r="N28" s="2560"/>
      <c r="O28" s="2560"/>
      <c r="P28" s="2562"/>
      <c r="Q28" s="2562"/>
      <c r="R28" s="2562"/>
      <c r="S28" s="2562"/>
      <c r="T28" s="2562"/>
    </row>
    <row r="29" spans="1:20">
      <c r="A29" s="197"/>
      <c r="B29" s="197"/>
      <c r="C29" s="197"/>
      <c r="D29" s="197"/>
      <c r="E29" s="597"/>
      <c r="F29" s="197"/>
      <c r="G29" s="197"/>
      <c r="K29" s="2560"/>
      <c r="L29" s="2560"/>
      <c r="M29" s="2560"/>
      <c r="N29" s="2560"/>
      <c r="O29" s="2560"/>
      <c r="P29" s="2562"/>
      <c r="Q29" s="2562"/>
      <c r="R29" s="2562"/>
      <c r="S29" s="2562"/>
      <c r="T29" s="2562"/>
    </row>
    <row r="30" spans="1:20">
      <c r="A30" s="197"/>
      <c r="B30" s="197"/>
      <c r="C30" s="197"/>
      <c r="D30" s="197"/>
      <c r="E30" s="597"/>
      <c r="F30" s="197"/>
      <c r="G30" s="197"/>
      <c r="K30" s="2560"/>
      <c r="L30" s="2560"/>
      <c r="M30" s="2560"/>
      <c r="N30" s="2560"/>
      <c r="O30" s="2560"/>
      <c r="P30" s="2562"/>
      <c r="Q30" s="2562"/>
      <c r="R30" s="2562"/>
      <c r="S30" s="2562"/>
      <c r="T30" s="2562"/>
    </row>
  </sheetData>
  <sheetProtection formatColumns="0" formatRows="0"/>
  <mergeCells count="2">
    <mergeCell ref="B3:I3"/>
    <mergeCell ref="Q3:R3"/>
  </mergeCells>
  <conditionalFormatting sqref="L8:L13">
    <cfRule type="cellIs" dxfId="56"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80" zoomScaleNormal="80" zoomScaleSheetLayoutView="100" workbookViewId="0"/>
  </sheetViews>
  <sheetFormatPr defaultColWidth="9.08203125" defaultRowHeight="15.5"/>
  <cols>
    <col min="1" max="1" width="1.58203125" style="220" customWidth="1"/>
    <col min="2" max="2" width="46" style="220" bestFit="1" customWidth="1"/>
    <col min="3" max="3" width="10.08203125" style="220" bestFit="1" customWidth="1"/>
    <col min="4" max="4" width="7.08203125" style="220" customWidth="1"/>
    <col min="5" max="85" width="12.58203125" style="220" customWidth="1"/>
    <col min="86" max="86" width="1.58203125" style="220" customWidth="1"/>
    <col min="87" max="87" width="12.58203125" style="228" customWidth="1"/>
    <col min="88" max="88" width="1.58203125" style="220" customWidth="1"/>
    <col min="89" max="89" width="33.58203125" style="220" customWidth="1"/>
    <col min="90" max="91" width="1.58203125" style="220" customWidth="1"/>
    <col min="92" max="92" width="25.08203125" style="220" customWidth="1"/>
    <col min="93" max="93" width="1.58203125" style="220" customWidth="1"/>
    <col min="94" max="174" width="6.58203125" style="220" hidden="1" customWidth="1"/>
    <col min="175" max="175" width="1.58203125" style="220" hidden="1" customWidth="1"/>
    <col min="176" max="176" width="17.08203125" style="220" customWidth="1"/>
    <col min="177" max="16384" width="9.08203125" style="220"/>
  </cols>
  <sheetData>
    <row r="1" spans="2:177" s="227" customFormat="1" ht="30" customHeight="1">
      <c r="B1" s="1119" t="s">
        <v>11199</v>
      </c>
      <c r="C1" s="1119"/>
      <c r="D1" s="1119"/>
      <c r="E1" s="1119"/>
      <c r="F1" s="1119"/>
      <c r="G1" s="1119"/>
      <c r="H1" s="1119"/>
      <c r="I1" s="1119"/>
      <c r="J1" s="1119"/>
      <c r="K1" s="1119"/>
      <c r="L1" s="1119"/>
      <c r="M1" s="1119"/>
      <c r="N1" s="1119"/>
      <c r="O1" s="1119"/>
      <c r="P1" s="1119"/>
      <c r="Q1" s="1119"/>
      <c r="R1" s="1119"/>
      <c r="S1" s="1119"/>
      <c r="T1" s="1119"/>
      <c r="U1" s="1119"/>
      <c r="V1" s="1119"/>
      <c r="W1" s="1119"/>
      <c r="X1" s="1119"/>
      <c r="Y1" s="1119"/>
      <c r="Z1" s="1119"/>
      <c r="AA1" s="1119"/>
      <c r="AB1" s="1119"/>
      <c r="AC1" s="1119"/>
      <c r="AD1" s="1119"/>
      <c r="AE1" s="1119"/>
      <c r="AF1" s="1119"/>
      <c r="AG1" s="1119"/>
      <c r="AH1" s="1119"/>
      <c r="AI1" s="1119"/>
      <c r="AJ1" s="1119"/>
      <c r="AK1" s="1119"/>
      <c r="AL1" s="1119"/>
      <c r="AM1" s="1119"/>
      <c r="AN1" s="1119"/>
      <c r="AO1" s="1119"/>
      <c r="AP1" s="1119"/>
      <c r="AQ1" s="1119"/>
      <c r="AR1" s="1119"/>
      <c r="AS1" s="1119"/>
      <c r="AT1" s="1119"/>
      <c r="AU1" s="1119"/>
      <c r="AV1" s="1119"/>
      <c r="AW1" s="1119"/>
      <c r="AX1" s="1119"/>
      <c r="AY1" s="1119"/>
      <c r="AZ1" s="1119"/>
      <c r="BA1" s="1119"/>
      <c r="BB1" s="1119"/>
      <c r="BC1" s="1119"/>
      <c r="BD1" s="1119"/>
      <c r="BE1" s="1119"/>
      <c r="BF1" s="1119"/>
      <c r="BG1" s="1119"/>
      <c r="BH1" s="1119"/>
      <c r="BI1" s="1119"/>
      <c r="BJ1" s="1119"/>
      <c r="BK1" s="1119"/>
      <c r="BL1" s="1119"/>
      <c r="BM1" s="1119"/>
      <c r="BN1" s="1119"/>
      <c r="BO1" s="1119"/>
      <c r="BP1" s="1119"/>
      <c r="BQ1" s="1119"/>
      <c r="BR1" s="1119"/>
      <c r="BS1" s="1119"/>
      <c r="BT1" s="1119"/>
      <c r="BU1" s="1119"/>
      <c r="BV1" s="1119"/>
      <c r="BW1" s="1119"/>
      <c r="BX1" s="1119"/>
      <c r="BY1" s="1119"/>
      <c r="BZ1" s="1119"/>
      <c r="CA1" s="1119"/>
      <c r="CB1" s="1119"/>
      <c r="CC1" s="1119"/>
      <c r="CD1" s="1119"/>
      <c r="CE1" s="1119"/>
      <c r="CF1" s="1119"/>
      <c r="CG1" s="1119"/>
      <c r="CI1" s="228"/>
      <c r="CM1" s="2589"/>
      <c r="CN1" s="2560"/>
      <c r="CO1" s="2589"/>
      <c r="CP1" s="2560"/>
      <c r="CQ1" s="2560"/>
      <c r="CR1" s="2560"/>
      <c r="CS1" s="2560"/>
      <c r="CT1" s="2560"/>
      <c r="CU1" s="2560"/>
      <c r="CV1" s="2560"/>
      <c r="CW1" s="2560"/>
      <c r="CX1" s="2560"/>
      <c r="CY1" s="2560"/>
      <c r="CZ1" s="2560"/>
      <c r="DA1" s="2560"/>
      <c r="DB1" s="2560"/>
      <c r="DC1" s="2560"/>
      <c r="DD1" s="2560"/>
      <c r="DE1" s="2560"/>
      <c r="DF1" s="2560"/>
      <c r="DG1" s="2560"/>
      <c r="DH1" s="2560"/>
      <c r="DI1" s="2560"/>
      <c r="DJ1" s="2560"/>
      <c r="DK1" s="2560"/>
      <c r="DL1" s="2560"/>
      <c r="DM1" s="2560"/>
      <c r="DN1" s="2560"/>
      <c r="DO1" s="2560"/>
      <c r="DP1" s="2560"/>
      <c r="DQ1" s="2560"/>
      <c r="DR1" s="2560"/>
      <c r="DS1" s="2560"/>
      <c r="DT1" s="2560"/>
      <c r="DU1" s="2560"/>
      <c r="DV1" s="2560"/>
      <c r="DW1" s="2560"/>
      <c r="DX1" s="2560"/>
      <c r="DY1" s="2560"/>
      <c r="DZ1" s="2560"/>
      <c r="EA1" s="2560"/>
      <c r="EB1" s="2560"/>
      <c r="EC1" s="2560"/>
      <c r="ED1" s="2560"/>
      <c r="EE1" s="2560"/>
      <c r="EF1" s="2560"/>
      <c r="EG1" s="2560"/>
      <c r="EH1" s="2560"/>
      <c r="EI1" s="2560"/>
      <c r="EJ1" s="2560"/>
      <c r="EK1" s="2560"/>
      <c r="EL1" s="2560"/>
      <c r="EM1" s="2560"/>
      <c r="EN1" s="2560"/>
      <c r="EO1" s="2560"/>
      <c r="EP1" s="2560"/>
      <c r="EQ1" s="2560"/>
      <c r="ER1" s="2560"/>
      <c r="ES1" s="2560"/>
      <c r="ET1" s="2560"/>
      <c r="EU1" s="2560"/>
      <c r="EV1" s="2560"/>
      <c r="EW1" s="2560"/>
      <c r="EX1" s="2560"/>
      <c r="EY1" s="2560"/>
      <c r="EZ1" s="2560"/>
      <c r="FA1" s="2560"/>
      <c r="FB1" s="2560"/>
      <c r="FC1" s="2560"/>
      <c r="FD1" s="2560"/>
      <c r="FE1" s="2560"/>
      <c r="FF1" s="2560"/>
      <c r="FG1" s="2560"/>
      <c r="FH1" s="2560"/>
      <c r="FI1" s="2560"/>
      <c r="FJ1" s="2560"/>
      <c r="FK1" s="2560"/>
      <c r="FL1" s="2560"/>
      <c r="FM1" s="2560"/>
      <c r="FN1" s="2560"/>
      <c r="FO1" s="2560"/>
      <c r="FP1" s="2560"/>
      <c r="FQ1" s="2560"/>
      <c r="FR1" s="2560"/>
      <c r="FS1" s="2589"/>
    </row>
    <row r="2" spans="2:177" s="227" customFormat="1" ht="30" customHeight="1">
      <c r="B2" s="1119" t="str">
        <f>SelectCompany!B4</f>
        <v>Yorkshire Water</v>
      </c>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491"/>
      <c r="BV2" s="491"/>
      <c r="BW2" s="491"/>
      <c r="BX2" s="491"/>
      <c r="BY2" s="491"/>
      <c r="BZ2" s="491"/>
      <c r="CA2" s="491"/>
      <c r="CB2" s="491"/>
      <c r="CC2" s="491"/>
      <c r="CD2" s="491"/>
      <c r="CE2" s="491"/>
      <c r="CF2" s="491"/>
      <c r="CG2" s="491"/>
      <c r="CI2" s="228"/>
      <c r="CM2" s="2589"/>
      <c r="CN2" s="1200"/>
      <c r="CO2" s="2589"/>
      <c r="CP2" s="2560"/>
      <c r="CQ2" s="2560"/>
      <c r="CR2" s="2560"/>
      <c r="CS2" s="2560"/>
      <c r="CT2" s="2560"/>
      <c r="CU2" s="2560"/>
      <c r="CV2" s="2560"/>
      <c r="CW2" s="2560"/>
      <c r="CX2" s="2560"/>
      <c r="CY2" s="2560"/>
      <c r="CZ2" s="2560"/>
      <c r="DA2" s="2560"/>
      <c r="DB2" s="2560"/>
      <c r="DC2" s="2560"/>
      <c r="DD2" s="2560"/>
      <c r="DE2" s="2560"/>
      <c r="DF2" s="2560"/>
      <c r="DG2" s="2560"/>
      <c r="DH2" s="2560"/>
      <c r="DI2" s="2560"/>
      <c r="DJ2" s="2560"/>
      <c r="DK2" s="2560"/>
      <c r="DL2" s="2560"/>
      <c r="DM2" s="2560"/>
      <c r="DN2" s="2560"/>
      <c r="DO2" s="2560"/>
      <c r="DP2" s="2560"/>
      <c r="DQ2" s="2560"/>
      <c r="DR2" s="2560"/>
      <c r="DS2" s="2560"/>
      <c r="DT2" s="2560"/>
      <c r="DU2" s="2560"/>
      <c r="DV2" s="2560"/>
      <c r="DW2" s="2560"/>
      <c r="DX2" s="2560"/>
      <c r="DY2" s="2560"/>
      <c r="DZ2" s="2560"/>
      <c r="EA2" s="2560"/>
      <c r="EB2" s="2560"/>
      <c r="EC2" s="2560"/>
      <c r="ED2" s="2560"/>
      <c r="EE2" s="2560"/>
      <c r="EF2" s="2560"/>
      <c r="EG2" s="2560"/>
      <c r="EH2" s="2560"/>
      <c r="EI2" s="2560"/>
      <c r="EJ2" s="2560"/>
      <c r="EK2" s="2560"/>
      <c r="EL2" s="2560"/>
      <c r="EM2" s="2560"/>
      <c r="EN2" s="2560"/>
      <c r="EO2" s="2560"/>
      <c r="EP2" s="2560"/>
      <c r="EQ2" s="2560"/>
      <c r="ER2" s="2560"/>
      <c r="ES2" s="2560"/>
      <c r="ET2" s="2560"/>
      <c r="EU2" s="2560"/>
      <c r="EV2" s="2560"/>
      <c r="EW2" s="2560"/>
      <c r="EX2" s="2560"/>
      <c r="EY2" s="2560"/>
      <c r="EZ2" s="2560"/>
      <c r="FA2" s="2560"/>
      <c r="FB2" s="2560"/>
      <c r="FC2" s="2560"/>
      <c r="FD2" s="2560"/>
      <c r="FE2" s="2560"/>
      <c r="FF2" s="2560"/>
      <c r="FG2" s="2560"/>
      <c r="FH2" s="2560"/>
      <c r="FI2" s="2560"/>
      <c r="FJ2" s="2560"/>
      <c r="FK2" s="2560"/>
      <c r="FL2" s="2560"/>
      <c r="FM2" s="2560"/>
      <c r="FN2" s="2560"/>
      <c r="FO2" s="2560"/>
      <c r="FP2" s="2560"/>
      <c r="FQ2" s="2560"/>
      <c r="FR2" s="2560"/>
      <c r="FS2" s="2589"/>
    </row>
    <row r="3" spans="2:177" s="1201" customFormat="1" ht="47.25" customHeight="1">
      <c r="B3" s="2882" t="s">
        <v>11200</v>
      </c>
      <c r="C3" s="2882"/>
      <c r="D3" s="2882"/>
      <c r="E3" s="2882"/>
      <c r="F3" s="2882"/>
      <c r="G3" s="2882"/>
      <c r="H3" s="2882"/>
      <c r="I3" s="2882"/>
      <c r="J3" s="2882"/>
      <c r="K3" s="2882"/>
      <c r="L3" s="2882"/>
      <c r="M3" s="2882"/>
      <c r="N3" s="2882"/>
      <c r="O3" s="2882"/>
      <c r="P3" s="2882"/>
      <c r="Q3" s="2882"/>
      <c r="R3" s="2882"/>
      <c r="S3" s="2882"/>
      <c r="T3" s="2882"/>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2031"/>
      <c r="BH3" s="2031"/>
      <c r="BI3" s="2031"/>
      <c r="BJ3" s="2031"/>
      <c r="BK3" s="2031"/>
      <c r="BL3" s="2031"/>
      <c r="BM3" s="2031"/>
      <c r="BN3" s="2031"/>
      <c r="BO3" s="2031"/>
      <c r="BP3" s="2031"/>
      <c r="BQ3" s="2031"/>
      <c r="BR3" s="2031"/>
      <c r="BS3" s="2031"/>
      <c r="BT3" s="2031"/>
      <c r="BU3" s="2031"/>
      <c r="BV3" s="2031"/>
      <c r="BW3" s="2031"/>
      <c r="BX3" s="2031"/>
      <c r="BY3" s="2031"/>
      <c r="BZ3" s="2031"/>
      <c r="CA3" s="2031"/>
      <c r="CB3" s="2031"/>
      <c r="CC3" s="2031"/>
      <c r="CD3" s="2031"/>
      <c r="CE3" s="2031"/>
      <c r="CF3" s="2031"/>
      <c r="CG3" s="2031"/>
      <c r="CH3" s="2031"/>
      <c r="CI3" s="2031"/>
      <c r="CJ3" s="2031"/>
      <c r="CK3" s="2031"/>
      <c r="CM3" s="2589"/>
      <c r="CN3" s="1129" t="s">
        <v>1889</v>
      </c>
      <c r="CO3" s="2589"/>
      <c r="CP3" s="2560"/>
      <c r="CQ3" s="2560"/>
      <c r="CR3" s="2560"/>
      <c r="CS3" s="2560"/>
      <c r="CT3" s="2560"/>
      <c r="CU3" s="2560"/>
      <c r="CV3" s="2560"/>
      <c r="CW3" s="2560"/>
      <c r="CX3" s="2560"/>
      <c r="CY3" s="2560"/>
      <c r="CZ3" s="2560"/>
      <c r="DA3" s="2560"/>
      <c r="DB3" s="2560"/>
      <c r="DC3" s="2560"/>
      <c r="DD3" s="2560"/>
      <c r="DE3" s="2560"/>
      <c r="DF3" s="2560"/>
      <c r="DG3" s="2560"/>
      <c r="DH3" s="2560"/>
      <c r="DI3" s="2560"/>
      <c r="DJ3" s="2560"/>
      <c r="DK3" s="2560"/>
      <c r="DL3" s="2560"/>
      <c r="DM3" s="2560"/>
      <c r="DN3" s="2560"/>
      <c r="DO3" s="2560"/>
      <c r="DP3" s="2560"/>
      <c r="DQ3" s="2560"/>
      <c r="DR3" s="2560"/>
      <c r="DS3" s="2560"/>
      <c r="DT3" s="2560"/>
      <c r="DU3" s="2560"/>
      <c r="DV3" s="2560"/>
      <c r="DW3" s="2560"/>
      <c r="DX3" s="2560"/>
      <c r="DY3" s="2560"/>
      <c r="DZ3" s="2560"/>
      <c r="EA3" s="2560"/>
      <c r="EB3" s="2560"/>
      <c r="EC3" s="2560"/>
      <c r="ED3" s="2560"/>
      <c r="EE3" s="2560"/>
      <c r="EF3" s="2560"/>
      <c r="EG3" s="2560"/>
      <c r="EH3" s="2560"/>
      <c r="EI3" s="2560"/>
      <c r="EJ3" s="2560"/>
      <c r="EK3" s="2560"/>
      <c r="EL3" s="2560"/>
      <c r="EM3" s="2560"/>
      <c r="EN3" s="2560"/>
      <c r="EO3" s="2560"/>
      <c r="EP3" s="2560"/>
      <c r="EQ3" s="2560"/>
      <c r="ER3" s="2560"/>
      <c r="ES3" s="2560"/>
      <c r="ET3" s="2560"/>
      <c r="EU3" s="2560"/>
      <c r="EV3" s="2560"/>
      <c r="EW3" s="2560"/>
      <c r="EX3" s="2560"/>
      <c r="EY3" s="2560"/>
      <c r="EZ3" s="2560"/>
      <c r="FA3" s="2560"/>
      <c r="FB3" s="2560"/>
      <c r="FC3" s="2560"/>
      <c r="FD3" s="2560"/>
      <c r="FE3" s="2560"/>
      <c r="FF3" s="2560"/>
      <c r="FG3" s="2560"/>
      <c r="FH3" s="2560"/>
      <c r="FI3" s="2560"/>
      <c r="FJ3" s="2560"/>
      <c r="FK3" s="2560"/>
      <c r="FL3" s="2560"/>
      <c r="FM3" s="2560"/>
      <c r="FN3" s="2560"/>
      <c r="FO3" s="2560"/>
      <c r="FP3" s="2560"/>
      <c r="FQ3" s="2560"/>
      <c r="FR3" s="2560"/>
      <c r="FS3" s="2589"/>
      <c r="FT3" s="2031"/>
    </row>
    <row r="4" spans="2:177" ht="17" thickBot="1">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c r="AF4" s="1202"/>
      <c r="AG4" s="1202"/>
      <c r="AH4" s="1202"/>
      <c r="AI4" s="1202"/>
      <c r="AJ4" s="1202"/>
      <c r="AK4" s="1202"/>
      <c r="AL4" s="1202"/>
      <c r="AM4" s="1202"/>
      <c r="AN4" s="1202"/>
      <c r="AO4" s="1202"/>
      <c r="AP4" s="1202"/>
      <c r="AQ4" s="1202"/>
      <c r="AR4" s="1202"/>
      <c r="AS4" s="1202"/>
      <c r="AT4" s="1202"/>
      <c r="AU4" s="1202"/>
      <c r="AV4" s="1202"/>
      <c r="AW4" s="1202"/>
      <c r="AX4" s="1202"/>
      <c r="AY4" s="1202"/>
      <c r="AZ4" s="1202"/>
      <c r="BA4" s="1202"/>
      <c r="BB4" s="1202"/>
      <c r="BC4" s="1202"/>
      <c r="BD4" s="1202"/>
      <c r="BE4" s="1202"/>
      <c r="BF4" s="1202"/>
      <c r="BG4" s="1202"/>
      <c r="BH4" s="1202"/>
      <c r="BI4" s="1202"/>
      <c r="BJ4" s="1202"/>
      <c r="BK4" s="1202"/>
      <c r="BL4" s="1202"/>
      <c r="BM4" s="1202"/>
      <c r="BN4" s="1202"/>
      <c r="BO4" s="1202"/>
      <c r="BP4" s="1202"/>
      <c r="BQ4" s="1202"/>
      <c r="BR4" s="1202"/>
      <c r="BS4" s="1202"/>
      <c r="BT4" s="1202"/>
      <c r="BU4" s="1202"/>
      <c r="BV4" s="1202"/>
      <c r="BW4" s="1202"/>
      <c r="BX4" s="1202"/>
      <c r="BY4" s="1202"/>
      <c r="BZ4" s="1202"/>
      <c r="CA4" s="1202"/>
      <c r="CB4" s="1202"/>
      <c r="CC4" s="1202"/>
      <c r="CD4" s="1202"/>
      <c r="CE4" s="1202"/>
      <c r="CF4" s="2562"/>
      <c r="CG4" s="2562"/>
      <c r="CH4" s="2562"/>
      <c r="CJ4" s="2562"/>
      <c r="CK4" s="2562"/>
      <c r="CL4" s="2562"/>
      <c r="CM4" s="2589"/>
      <c r="CN4" s="2560"/>
      <c r="CO4" s="2589"/>
      <c r="CP4" s="2560"/>
      <c r="CQ4" s="2560"/>
      <c r="CR4" s="2560"/>
      <c r="CS4" s="2560"/>
      <c r="CT4" s="2560"/>
      <c r="CU4" s="2560"/>
      <c r="CV4" s="2560"/>
      <c r="CW4" s="2560"/>
      <c r="CX4" s="2560"/>
      <c r="CY4" s="2560"/>
      <c r="CZ4" s="2560"/>
      <c r="DA4" s="2560"/>
      <c r="DB4" s="2560"/>
      <c r="DC4" s="2560"/>
      <c r="DD4" s="2560"/>
      <c r="DE4" s="2560"/>
      <c r="DF4" s="2560"/>
      <c r="DG4" s="2560"/>
      <c r="DH4" s="2560"/>
      <c r="DI4" s="2560"/>
      <c r="DJ4" s="2560"/>
      <c r="DK4" s="2560"/>
      <c r="DL4" s="2560"/>
      <c r="DM4" s="2560"/>
      <c r="DN4" s="2560"/>
      <c r="DO4" s="2560"/>
      <c r="DP4" s="2560"/>
      <c r="DQ4" s="2560"/>
      <c r="DR4" s="2560"/>
      <c r="DS4" s="2560"/>
      <c r="DT4" s="2560"/>
      <c r="DU4" s="2560"/>
      <c r="DV4" s="2560"/>
      <c r="DW4" s="2560"/>
      <c r="DX4" s="2560"/>
      <c r="DY4" s="2560"/>
      <c r="DZ4" s="2560"/>
      <c r="EA4" s="2560"/>
      <c r="EB4" s="2560"/>
      <c r="EC4" s="2560"/>
      <c r="ED4" s="2560"/>
      <c r="EE4" s="2560"/>
      <c r="EF4" s="2560"/>
      <c r="EG4" s="2560"/>
      <c r="EH4" s="2560"/>
      <c r="EI4" s="2560"/>
      <c r="EJ4" s="2560"/>
      <c r="EK4" s="2560"/>
      <c r="EL4" s="2560"/>
      <c r="EM4" s="2560"/>
      <c r="EN4" s="2560"/>
      <c r="EO4" s="2560"/>
      <c r="EP4" s="2560"/>
      <c r="EQ4" s="2560"/>
      <c r="ER4" s="2560"/>
      <c r="ES4" s="2560"/>
      <c r="ET4" s="2560"/>
      <c r="EU4" s="2560"/>
      <c r="EV4" s="2560"/>
      <c r="EW4" s="2560"/>
      <c r="EX4" s="2560"/>
      <c r="EY4" s="2560"/>
      <c r="EZ4" s="2560"/>
      <c r="FA4" s="2560"/>
      <c r="FB4" s="2560"/>
      <c r="FC4" s="2560"/>
      <c r="FD4" s="2560"/>
      <c r="FE4" s="2560"/>
      <c r="FF4" s="2560"/>
      <c r="FG4" s="2560"/>
      <c r="FH4" s="2560"/>
      <c r="FI4" s="2560"/>
      <c r="FJ4" s="2560"/>
      <c r="FK4" s="2560"/>
      <c r="FL4" s="2560"/>
      <c r="FM4" s="2560"/>
      <c r="FN4" s="2560"/>
      <c r="FO4" s="2560"/>
      <c r="FP4" s="2560"/>
      <c r="FQ4" s="2560"/>
      <c r="FR4" s="2560"/>
      <c r="FS4" s="2589"/>
      <c r="FT4" s="2562"/>
      <c r="FU4" s="2562"/>
    </row>
    <row r="5" spans="2:177" s="197" customFormat="1" ht="47.5" thickTop="1" thickBot="1">
      <c r="B5" s="407" t="s">
        <v>1891</v>
      </c>
      <c r="C5" s="408" t="s">
        <v>1892</v>
      </c>
      <c r="D5" s="408" t="s">
        <v>136</v>
      </c>
      <c r="E5" s="408" t="s">
        <v>6</v>
      </c>
      <c r="F5" s="408" t="s">
        <v>9</v>
      </c>
      <c r="G5" s="408" t="s">
        <v>13</v>
      </c>
      <c r="H5" s="408" t="s">
        <v>17</v>
      </c>
      <c r="I5" s="408" t="s">
        <v>20</v>
      </c>
      <c r="J5" s="408" t="s">
        <v>22</v>
      </c>
      <c r="K5" s="408" t="s">
        <v>24</v>
      </c>
      <c r="L5" s="408" t="s">
        <v>27</v>
      </c>
      <c r="M5" s="408" t="s">
        <v>30</v>
      </c>
      <c r="N5" s="408" t="s">
        <v>32</v>
      </c>
      <c r="O5" s="408" t="s">
        <v>34</v>
      </c>
      <c r="P5" s="408" t="s">
        <v>36</v>
      </c>
      <c r="Q5" s="408" t="s">
        <v>38</v>
      </c>
      <c r="R5" s="408" t="s">
        <v>40</v>
      </c>
      <c r="S5" s="408" t="s">
        <v>42</v>
      </c>
      <c r="T5" s="408" t="s">
        <v>44</v>
      </c>
      <c r="U5" s="408" t="s">
        <v>45</v>
      </c>
      <c r="V5" s="408" t="s">
        <v>47</v>
      </c>
      <c r="W5" s="408" t="s">
        <v>49</v>
      </c>
      <c r="X5" s="408" t="s">
        <v>51</v>
      </c>
      <c r="Y5" s="408" t="s">
        <v>53</v>
      </c>
      <c r="Z5" s="408" t="s">
        <v>55</v>
      </c>
      <c r="AA5" s="408" t="s">
        <v>56</v>
      </c>
      <c r="AB5" s="408" t="s">
        <v>57</v>
      </c>
      <c r="AC5" s="408" t="s">
        <v>59</v>
      </c>
      <c r="AD5" s="408" t="s">
        <v>61</v>
      </c>
      <c r="AE5" s="408" t="s">
        <v>63</v>
      </c>
      <c r="AF5" s="408" t="s">
        <v>65</v>
      </c>
      <c r="AG5" s="408" t="s">
        <v>66</v>
      </c>
      <c r="AH5" s="408" t="s">
        <v>68</v>
      </c>
      <c r="AI5" s="408" t="s">
        <v>70</v>
      </c>
      <c r="AJ5" s="408" t="s">
        <v>71</v>
      </c>
      <c r="AK5" s="408" t="s">
        <v>72</v>
      </c>
      <c r="AL5" s="408" t="s">
        <v>74</v>
      </c>
      <c r="AM5" s="408" t="s">
        <v>76</v>
      </c>
      <c r="AN5" s="408" t="s">
        <v>78</v>
      </c>
      <c r="AO5" s="408" t="s">
        <v>80</v>
      </c>
      <c r="AP5" s="408" t="s">
        <v>82</v>
      </c>
      <c r="AQ5" s="408" t="s">
        <v>83</v>
      </c>
      <c r="AR5" s="408" t="s">
        <v>85</v>
      </c>
      <c r="AS5" s="408" t="s">
        <v>86</v>
      </c>
      <c r="AT5" s="408" t="s">
        <v>88</v>
      </c>
      <c r="AU5" s="408" t="s">
        <v>90</v>
      </c>
      <c r="AV5" s="408" t="s">
        <v>91</v>
      </c>
      <c r="AW5" s="408" t="s">
        <v>93</v>
      </c>
      <c r="AX5" s="408" t="s">
        <v>94</v>
      </c>
      <c r="AY5" s="408" t="s">
        <v>96</v>
      </c>
      <c r="AZ5" s="408" t="s">
        <v>98</v>
      </c>
      <c r="BA5" s="408" t="s">
        <v>100</v>
      </c>
      <c r="BB5" s="408" t="s">
        <v>101</v>
      </c>
      <c r="BC5" s="408" t="s">
        <v>102</v>
      </c>
      <c r="BD5" s="408" t="s">
        <v>103</v>
      </c>
      <c r="BE5" s="408" t="s">
        <v>104</v>
      </c>
      <c r="BF5" s="408" t="s">
        <v>105</v>
      </c>
      <c r="BG5" s="408" t="s">
        <v>106</v>
      </c>
      <c r="BH5" s="408" t="s">
        <v>107</v>
      </c>
      <c r="BI5" s="408" t="s">
        <v>108</v>
      </c>
      <c r="BJ5" s="408" t="s">
        <v>109</v>
      </c>
      <c r="BK5" s="408" t="s">
        <v>110</v>
      </c>
      <c r="BL5" s="408" t="s">
        <v>111</v>
      </c>
      <c r="BM5" s="408" t="s">
        <v>112</v>
      </c>
      <c r="BN5" s="408" t="s">
        <v>113</v>
      </c>
      <c r="BO5" s="408" t="s">
        <v>114</v>
      </c>
      <c r="BP5" s="408" t="s">
        <v>115</v>
      </c>
      <c r="BQ5" s="408" t="s">
        <v>116</v>
      </c>
      <c r="BR5" s="408" t="s">
        <v>117</v>
      </c>
      <c r="BS5" s="408" t="s">
        <v>118</v>
      </c>
      <c r="BT5" s="408" t="s">
        <v>119</v>
      </c>
      <c r="BU5" s="408" t="s">
        <v>120</v>
      </c>
      <c r="BV5" s="408" t="s">
        <v>121</v>
      </c>
      <c r="BW5" s="408" t="s">
        <v>122</v>
      </c>
      <c r="BX5" s="408" t="s">
        <v>123</v>
      </c>
      <c r="BY5" s="408" t="s">
        <v>124</v>
      </c>
      <c r="BZ5" s="408" t="s">
        <v>125</v>
      </c>
      <c r="CA5" s="408" t="s">
        <v>126</v>
      </c>
      <c r="CB5" s="408" t="s">
        <v>127</v>
      </c>
      <c r="CC5" s="408" t="s">
        <v>128</v>
      </c>
      <c r="CD5" s="408" t="s">
        <v>129</v>
      </c>
      <c r="CE5" s="408" t="s">
        <v>130</v>
      </c>
      <c r="CF5" s="408" t="s">
        <v>131</v>
      </c>
      <c r="CG5" s="409" t="s">
        <v>2112</v>
      </c>
      <c r="CH5" s="1203"/>
      <c r="CI5" s="411" t="s">
        <v>1896</v>
      </c>
      <c r="CK5" s="411" t="s">
        <v>1897</v>
      </c>
      <c r="CM5" s="2589"/>
      <c r="CN5" s="2560"/>
      <c r="CO5" s="2589"/>
      <c r="CP5" s="2869" t="s">
        <v>1890</v>
      </c>
      <c r="CQ5" s="2869"/>
      <c r="CR5" s="2869"/>
      <c r="CS5" s="2869"/>
      <c r="CT5" s="2869"/>
      <c r="CU5" s="2869"/>
      <c r="CV5" s="2869"/>
      <c r="CW5" s="2869"/>
      <c r="CX5" s="2869"/>
      <c r="CY5" s="2869"/>
      <c r="CZ5" s="2869"/>
      <c r="DA5" s="2869"/>
      <c r="DB5" s="2869"/>
      <c r="DC5" s="2869"/>
      <c r="DD5" s="2869"/>
      <c r="DE5" s="2869"/>
      <c r="DF5" s="2869"/>
      <c r="DG5" s="2869"/>
      <c r="DH5" s="2869"/>
      <c r="DI5" s="2869"/>
      <c r="DJ5" s="2869"/>
      <c r="DK5" s="2869"/>
      <c r="DL5" s="2869"/>
      <c r="DM5" s="2869"/>
      <c r="DN5" s="2869"/>
      <c r="DO5" s="2869"/>
      <c r="DP5" s="2869"/>
      <c r="DQ5" s="2869"/>
      <c r="DR5" s="2869"/>
      <c r="DS5" s="2869"/>
      <c r="DT5" s="2869"/>
      <c r="DU5" s="2869"/>
      <c r="DV5" s="2869"/>
      <c r="DW5" s="2869"/>
      <c r="DX5" s="2869"/>
      <c r="DY5" s="2869"/>
      <c r="DZ5" s="2869"/>
      <c r="EA5" s="2869"/>
      <c r="EB5" s="2869"/>
      <c r="EC5" s="2869"/>
      <c r="ED5" s="2869"/>
      <c r="EE5" s="2869"/>
      <c r="EF5" s="2869"/>
      <c r="EG5" s="2869"/>
      <c r="EH5" s="2869"/>
      <c r="EI5" s="2869"/>
      <c r="EJ5" s="2869"/>
      <c r="EK5" s="2869"/>
      <c r="EL5" s="2869"/>
      <c r="EM5" s="2869"/>
      <c r="EN5" s="2869"/>
      <c r="EO5" s="2869"/>
      <c r="EP5" s="2869"/>
      <c r="EQ5" s="2869"/>
      <c r="ER5" s="2869"/>
      <c r="ES5" s="2869"/>
      <c r="ET5" s="2869"/>
      <c r="EU5" s="2869"/>
      <c r="EV5" s="2869"/>
      <c r="EW5" s="2869"/>
      <c r="EX5" s="2869"/>
      <c r="EY5" s="2869"/>
      <c r="EZ5" s="2869"/>
      <c r="FA5" s="2869"/>
      <c r="FB5" s="2869"/>
      <c r="FC5" s="2869"/>
      <c r="FD5" s="2869"/>
      <c r="FE5" s="2869"/>
      <c r="FF5" s="2869"/>
      <c r="FG5" s="2869"/>
      <c r="FH5" s="2869"/>
      <c r="FI5" s="2869"/>
      <c r="FJ5" s="2869"/>
      <c r="FK5" s="2869"/>
      <c r="FL5" s="2869"/>
      <c r="FM5" s="2869"/>
      <c r="FN5" s="2869"/>
      <c r="FO5" s="2869"/>
      <c r="FP5" s="2869"/>
      <c r="FQ5" s="2869"/>
      <c r="FR5" s="2869"/>
      <c r="FS5" s="2589"/>
      <c r="FT5" s="409" t="s">
        <v>2112</v>
      </c>
    </row>
    <row r="6" spans="2:177" s="197" customFormat="1" ht="15.75" customHeight="1" thickTop="1" thickBot="1">
      <c r="B6" s="756"/>
      <c r="C6" s="1203"/>
      <c r="D6" s="1203"/>
      <c r="E6" s="1203"/>
      <c r="F6" s="1203"/>
      <c r="G6" s="1203"/>
      <c r="H6" s="1203"/>
      <c r="I6" s="1203"/>
      <c r="J6" s="1203"/>
      <c r="K6" s="1203"/>
      <c r="L6" s="1203"/>
      <c r="M6" s="1203"/>
      <c r="N6" s="1203"/>
      <c r="O6" s="1203"/>
      <c r="P6" s="1203"/>
      <c r="Q6" s="1203"/>
      <c r="R6" s="1203"/>
      <c r="S6" s="1203"/>
      <c r="T6" s="1203"/>
      <c r="U6" s="1203"/>
      <c r="V6" s="1203"/>
      <c r="W6" s="1203"/>
      <c r="X6" s="1203"/>
      <c r="Y6" s="1203"/>
      <c r="Z6" s="1203"/>
      <c r="AA6" s="1203"/>
      <c r="AB6" s="1203"/>
      <c r="AC6" s="1203"/>
      <c r="AD6" s="1203"/>
      <c r="AE6" s="1203"/>
      <c r="AF6" s="1203"/>
      <c r="AG6" s="1203"/>
      <c r="AH6" s="1203"/>
      <c r="AI6" s="1203"/>
      <c r="AJ6" s="1203"/>
      <c r="AK6" s="1203"/>
      <c r="AL6" s="1203"/>
      <c r="AM6" s="1203"/>
      <c r="AN6" s="1203"/>
      <c r="AO6" s="1203"/>
      <c r="AP6" s="1203"/>
      <c r="AQ6" s="1203"/>
      <c r="AR6" s="1203"/>
      <c r="AS6" s="1203"/>
      <c r="AT6" s="1203"/>
      <c r="AU6" s="1203"/>
      <c r="AV6" s="1203"/>
      <c r="AW6" s="1203"/>
      <c r="AX6" s="1203"/>
      <c r="AY6" s="1203"/>
      <c r="AZ6" s="1203"/>
      <c r="BA6" s="1203"/>
      <c r="BB6" s="1203"/>
      <c r="BC6" s="1203"/>
      <c r="BD6" s="1203"/>
      <c r="BE6" s="1203"/>
      <c r="BF6" s="1203"/>
      <c r="BG6" s="1203"/>
      <c r="BH6" s="1203"/>
      <c r="BI6" s="1203"/>
      <c r="BJ6" s="1203"/>
      <c r="BK6" s="1203"/>
      <c r="BL6" s="1203"/>
      <c r="BM6" s="1203"/>
      <c r="BN6" s="1203"/>
      <c r="BO6" s="1203"/>
      <c r="BP6" s="1203"/>
      <c r="BQ6" s="1203"/>
      <c r="BR6" s="1203"/>
      <c r="BS6" s="1203"/>
      <c r="BT6" s="1203"/>
      <c r="BU6" s="1203"/>
      <c r="BV6" s="1203"/>
      <c r="BW6" s="1203"/>
      <c r="BX6" s="1203"/>
      <c r="BY6" s="1203"/>
      <c r="BZ6" s="1203"/>
      <c r="CA6" s="1203"/>
      <c r="CB6" s="1203"/>
      <c r="CC6" s="1203"/>
      <c r="CD6" s="1203"/>
      <c r="CE6" s="1203"/>
      <c r="CF6" s="1203"/>
      <c r="CG6" s="1203"/>
      <c r="CH6" s="1203"/>
      <c r="CI6" s="228"/>
      <c r="CM6" s="2589"/>
      <c r="CN6" s="2560"/>
      <c r="CO6" s="2589"/>
      <c r="CP6" s="236" t="s">
        <v>1898</v>
      </c>
      <c r="CQ6" s="236"/>
      <c r="CR6" s="2560"/>
      <c r="CS6" s="2560"/>
      <c r="CT6" s="2560"/>
      <c r="CU6" s="2560"/>
      <c r="CV6" s="2560"/>
      <c r="CW6" s="2560"/>
      <c r="CX6" s="2560"/>
      <c r="CY6" s="2560"/>
      <c r="CZ6" s="2560"/>
      <c r="DA6" s="2560"/>
      <c r="DB6" s="2560"/>
      <c r="DC6" s="2560"/>
      <c r="DD6" s="2560"/>
      <c r="DE6" s="2560"/>
      <c r="DF6" s="2560"/>
      <c r="DG6" s="2560"/>
      <c r="DH6" s="2560"/>
      <c r="DI6" s="2560"/>
      <c r="DJ6" s="2560"/>
      <c r="DK6" s="2560"/>
      <c r="DL6" s="2560"/>
      <c r="DM6" s="2560"/>
      <c r="DN6" s="2560"/>
      <c r="DO6" s="2560"/>
      <c r="DP6" s="2560"/>
      <c r="DQ6" s="2560"/>
      <c r="DR6" s="2560"/>
      <c r="DS6" s="2560"/>
      <c r="DT6" s="2560"/>
      <c r="DU6" s="2560"/>
      <c r="DV6" s="2560"/>
      <c r="DW6" s="2560"/>
      <c r="DX6" s="2560"/>
      <c r="DY6" s="2560"/>
      <c r="DZ6" s="2560"/>
      <c r="EA6" s="2560"/>
      <c r="EB6" s="2560"/>
      <c r="EC6" s="2560"/>
      <c r="ED6" s="2560"/>
      <c r="EE6" s="2560"/>
      <c r="EF6" s="2560"/>
      <c r="EG6" s="2560"/>
      <c r="EH6" s="2560"/>
      <c r="EI6" s="2560"/>
      <c r="EJ6" s="2560"/>
      <c r="EK6" s="2560"/>
      <c r="EL6" s="2560"/>
      <c r="EM6" s="2560"/>
      <c r="EN6" s="2560"/>
      <c r="EO6" s="2560"/>
      <c r="EP6" s="2560"/>
      <c r="EQ6" s="2560"/>
      <c r="ER6" s="2560"/>
      <c r="ES6" s="2560"/>
      <c r="ET6" s="2560"/>
      <c r="EU6" s="2560"/>
      <c r="EV6" s="2560"/>
      <c r="EW6" s="2560"/>
      <c r="EX6" s="2560"/>
      <c r="EY6" s="2560"/>
      <c r="EZ6" s="2560"/>
      <c r="FA6" s="2560"/>
      <c r="FB6" s="2560"/>
      <c r="FC6" s="2560"/>
      <c r="FD6" s="2560"/>
      <c r="FE6" s="2560"/>
      <c r="FF6" s="2560"/>
      <c r="FG6" s="2560"/>
      <c r="FH6" s="2560"/>
      <c r="FI6" s="2560"/>
      <c r="FJ6" s="2560"/>
      <c r="FK6" s="2560"/>
      <c r="FL6" s="2560"/>
      <c r="FM6" s="2560"/>
      <c r="FN6" s="2560"/>
      <c r="FO6" s="2560"/>
      <c r="FP6" s="2560"/>
      <c r="FQ6" s="2560"/>
      <c r="FR6" s="2560"/>
      <c r="FS6" s="2589"/>
      <c r="FT6" s="1203"/>
    </row>
    <row r="7" spans="2:177" s="197" customFormat="1" ht="15.75" customHeight="1" thickTop="1" thickBot="1">
      <c r="B7" s="355" t="s">
        <v>11201</v>
      </c>
      <c r="C7" s="444"/>
      <c r="D7" s="444"/>
      <c r="E7" s="893"/>
      <c r="F7" s="893"/>
      <c r="G7" s="893"/>
      <c r="H7" s="893"/>
      <c r="I7" s="893"/>
      <c r="J7" s="893"/>
      <c r="K7" s="893"/>
      <c r="L7" s="893"/>
      <c r="M7" s="893"/>
      <c r="N7" s="893"/>
      <c r="O7" s="893"/>
      <c r="P7" s="893"/>
      <c r="Q7" s="893"/>
      <c r="R7" s="893"/>
      <c r="S7" s="893"/>
      <c r="T7" s="893"/>
      <c r="U7" s="893"/>
      <c r="V7" s="893"/>
      <c r="W7" s="893"/>
      <c r="X7" s="893"/>
      <c r="Y7" s="893"/>
      <c r="Z7" s="893"/>
      <c r="AA7" s="893"/>
      <c r="AB7" s="893"/>
      <c r="AC7" s="893"/>
      <c r="AD7" s="893"/>
      <c r="AE7" s="893"/>
      <c r="AF7" s="893"/>
      <c r="AG7" s="893"/>
      <c r="AH7" s="893"/>
      <c r="AI7" s="893"/>
      <c r="AJ7" s="893"/>
      <c r="AK7" s="893"/>
      <c r="AL7" s="893"/>
      <c r="AM7" s="893"/>
      <c r="AN7" s="893"/>
      <c r="AO7" s="893"/>
      <c r="AP7" s="893"/>
      <c r="AQ7" s="893"/>
      <c r="AR7" s="893"/>
      <c r="AS7" s="893"/>
      <c r="AT7" s="893"/>
      <c r="AU7" s="893"/>
      <c r="AV7" s="893"/>
      <c r="AW7" s="893"/>
      <c r="AX7" s="893"/>
      <c r="AY7" s="893"/>
      <c r="AZ7" s="893"/>
      <c r="BA7" s="893"/>
      <c r="BB7" s="893"/>
      <c r="BC7" s="893"/>
      <c r="BD7" s="893"/>
      <c r="BE7" s="893"/>
      <c r="BF7" s="893"/>
      <c r="BG7" s="893"/>
      <c r="BH7" s="893"/>
      <c r="BI7" s="893"/>
      <c r="BJ7" s="893"/>
      <c r="BK7" s="893"/>
      <c r="BL7" s="893"/>
      <c r="BM7" s="893"/>
      <c r="BN7" s="893"/>
      <c r="BO7" s="893"/>
      <c r="BP7" s="893"/>
      <c r="BQ7" s="893"/>
      <c r="BR7" s="893"/>
      <c r="BS7" s="893"/>
      <c r="BT7" s="893"/>
      <c r="BU7" s="893"/>
      <c r="BV7" s="893"/>
      <c r="BW7" s="893"/>
      <c r="BX7" s="893"/>
      <c r="BY7" s="893"/>
      <c r="BZ7" s="893"/>
      <c r="CA7" s="893"/>
      <c r="CB7" s="893"/>
      <c r="CC7" s="893"/>
      <c r="CD7" s="893"/>
      <c r="CE7" s="893"/>
      <c r="CF7" s="893"/>
      <c r="CG7" s="893"/>
      <c r="CI7" s="228"/>
      <c r="CM7" s="2589"/>
      <c r="CN7" s="1121"/>
      <c r="CO7" s="2589"/>
      <c r="CP7" s="2560"/>
      <c r="CQ7" s="2560"/>
      <c r="CR7" s="2560"/>
      <c r="CS7" s="2560"/>
      <c r="CT7" s="2560"/>
      <c r="CU7" s="2560"/>
      <c r="CV7" s="2560"/>
      <c r="CW7" s="2560"/>
      <c r="CX7" s="2560"/>
      <c r="CY7" s="2560"/>
      <c r="CZ7" s="2560"/>
      <c r="DA7" s="2560"/>
      <c r="DB7" s="2560"/>
      <c r="DC7" s="2560"/>
      <c r="DD7" s="2560"/>
      <c r="DE7" s="2560"/>
      <c r="DF7" s="2560"/>
      <c r="DG7" s="2560"/>
      <c r="DH7" s="2560"/>
      <c r="DI7" s="2560"/>
      <c r="DJ7" s="2560"/>
      <c r="DK7" s="2560"/>
      <c r="DL7" s="2560"/>
      <c r="DM7" s="2560"/>
      <c r="DN7" s="2560"/>
      <c r="DO7" s="2560"/>
      <c r="DP7" s="2560"/>
      <c r="DQ7" s="2560"/>
      <c r="DR7" s="2560"/>
      <c r="DS7" s="2560"/>
      <c r="DT7" s="2560"/>
      <c r="DU7" s="2560"/>
      <c r="DV7" s="2560"/>
      <c r="DW7" s="2560"/>
      <c r="DX7" s="2560"/>
      <c r="DY7" s="2560"/>
      <c r="DZ7" s="2560"/>
      <c r="EA7" s="2560"/>
      <c r="EB7" s="2560"/>
      <c r="EC7" s="2560"/>
      <c r="ED7" s="2560"/>
      <c r="EE7" s="2560"/>
      <c r="EF7" s="2560"/>
      <c r="EG7" s="2560"/>
      <c r="EH7" s="2560"/>
      <c r="EI7" s="2560"/>
      <c r="EJ7" s="2560"/>
      <c r="EK7" s="2560"/>
      <c r="EL7" s="2560"/>
      <c r="EM7" s="2560"/>
      <c r="EN7" s="2560"/>
      <c r="EO7" s="2560"/>
      <c r="EP7" s="2560"/>
      <c r="EQ7" s="2560"/>
      <c r="ER7" s="2560"/>
      <c r="ES7" s="2560"/>
      <c r="ET7" s="2560"/>
      <c r="EU7" s="2560"/>
      <c r="EV7" s="2560"/>
      <c r="EW7" s="2560"/>
      <c r="EX7" s="2560"/>
      <c r="EY7" s="2560"/>
      <c r="EZ7" s="2560"/>
      <c r="FA7" s="2560"/>
      <c r="FB7" s="2560"/>
      <c r="FC7" s="2560"/>
      <c r="FD7" s="2560"/>
      <c r="FE7" s="2560"/>
      <c r="FF7" s="2560"/>
      <c r="FG7" s="2560"/>
      <c r="FH7" s="2560"/>
      <c r="FI7" s="2560"/>
      <c r="FJ7" s="2560"/>
      <c r="FK7" s="2560"/>
      <c r="FL7" s="2560"/>
      <c r="FM7" s="2560"/>
      <c r="FN7" s="2560"/>
      <c r="FO7" s="2560"/>
      <c r="FP7" s="2560"/>
      <c r="FQ7" s="2560"/>
      <c r="FR7" s="2560"/>
      <c r="FS7" s="2589"/>
      <c r="FT7" s="893"/>
    </row>
    <row r="8" spans="2:177" s="197" customFormat="1" ht="62.5" thickTop="1">
      <c r="B8" s="413" t="s">
        <v>11202</v>
      </c>
      <c r="C8" s="244" t="s">
        <v>11203</v>
      </c>
      <c r="D8" s="244">
        <v>0</v>
      </c>
      <c r="E8" s="1612" t="s">
        <v>7</v>
      </c>
      <c r="F8" s="1612" t="s">
        <v>10</v>
      </c>
      <c r="G8" s="1612" t="s">
        <v>14</v>
      </c>
      <c r="H8" s="1612" t="s">
        <v>23</v>
      </c>
      <c r="I8" s="1612" t="s">
        <v>25</v>
      </c>
      <c r="J8" s="1612" t="s">
        <v>28</v>
      </c>
      <c r="K8" s="1612" t="s">
        <v>31</v>
      </c>
      <c r="L8" s="1612" t="s">
        <v>33</v>
      </c>
      <c r="M8" s="1612" t="s">
        <v>35</v>
      </c>
      <c r="N8" s="1612" t="s">
        <v>37</v>
      </c>
      <c r="O8" s="1612" t="s">
        <v>39</v>
      </c>
      <c r="P8" s="1612" t="s">
        <v>41</v>
      </c>
      <c r="Q8" s="1612" t="s">
        <v>43</v>
      </c>
      <c r="R8" s="1612" t="s">
        <v>46</v>
      </c>
      <c r="S8" s="1612" t="s">
        <v>48</v>
      </c>
      <c r="T8" s="1612" t="s">
        <v>52</v>
      </c>
      <c r="U8" s="1612" t="s">
        <v>54</v>
      </c>
      <c r="V8" s="1612" t="s">
        <v>58</v>
      </c>
      <c r="W8" s="1612" t="s">
        <v>60</v>
      </c>
      <c r="X8" s="1612" t="s">
        <v>62</v>
      </c>
      <c r="Y8" s="1612" t="s">
        <v>64</v>
      </c>
      <c r="Z8" s="1612" t="s">
        <v>67</v>
      </c>
      <c r="AA8" s="1612" t="s">
        <v>69</v>
      </c>
      <c r="AB8" s="1612" t="s">
        <v>73</v>
      </c>
      <c r="AC8" s="1612" t="s">
        <v>75</v>
      </c>
      <c r="AD8" s="1612" t="s">
        <v>77</v>
      </c>
      <c r="AE8" s="1612" t="s">
        <v>79</v>
      </c>
      <c r="AF8" s="1612" t="s">
        <v>81</v>
      </c>
      <c r="AG8" s="1612" t="s">
        <v>84</v>
      </c>
      <c r="AH8" s="1612" t="s">
        <v>87</v>
      </c>
      <c r="AI8" s="1612" t="s">
        <v>89</v>
      </c>
      <c r="AJ8" s="1612" t="s">
        <v>92</v>
      </c>
      <c r="AK8" s="1612" t="s">
        <v>95</v>
      </c>
      <c r="AL8" s="1612" t="s">
        <v>97</v>
      </c>
      <c r="AM8" s="1612" t="s">
        <v>99</v>
      </c>
      <c r="AN8" s="1612"/>
      <c r="AO8" s="1612"/>
      <c r="AP8" s="1612"/>
      <c r="AQ8" s="1612"/>
      <c r="AR8" s="1612"/>
      <c r="AS8" s="1612"/>
      <c r="AT8" s="1612"/>
      <c r="AU8" s="1612"/>
      <c r="AV8" s="1612"/>
      <c r="AW8" s="1612"/>
      <c r="AX8" s="1612"/>
      <c r="AY8" s="1612"/>
      <c r="AZ8" s="1612"/>
      <c r="BA8" s="1612"/>
      <c r="BB8" s="1612"/>
      <c r="BC8" s="1612"/>
      <c r="BD8" s="1612"/>
      <c r="BE8" s="1612"/>
      <c r="BF8" s="1612"/>
      <c r="BG8" s="1612"/>
      <c r="BH8" s="1612"/>
      <c r="BI8" s="1612"/>
      <c r="BJ8" s="1612"/>
      <c r="BK8" s="1612"/>
      <c r="BL8" s="1612"/>
      <c r="BM8" s="1612"/>
      <c r="BN8" s="1612"/>
      <c r="BO8" s="1612"/>
      <c r="BP8" s="1612"/>
      <c r="BQ8" s="1612"/>
      <c r="BR8" s="1612"/>
      <c r="BS8" s="1612"/>
      <c r="BT8" s="1612"/>
      <c r="BU8" s="1612"/>
      <c r="BV8" s="1612"/>
      <c r="BW8" s="1612"/>
      <c r="BX8" s="1612"/>
      <c r="BY8" s="1612"/>
      <c r="BZ8" s="1612"/>
      <c r="CA8" s="1612"/>
      <c r="CB8" s="1612"/>
      <c r="CC8" s="1612"/>
      <c r="CD8" s="1612"/>
      <c r="CE8" s="1612"/>
      <c r="CF8" s="1612"/>
      <c r="CG8" s="1602"/>
      <c r="CH8" s="228"/>
      <c r="CI8" s="2879" t="s">
        <v>11204</v>
      </c>
      <c r="CK8" s="1204"/>
      <c r="CM8" s="2589"/>
      <c r="CN8" s="1121"/>
      <c r="CO8" s="2589"/>
      <c r="CP8" s="2560"/>
      <c r="CQ8" s="2560"/>
      <c r="CR8" s="2560"/>
      <c r="CS8" s="2560"/>
      <c r="CT8" s="2560"/>
      <c r="CU8" s="2560"/>
      <c r="CV8" s="2560"/>
      <c r="CW8" s="2560"/>
      <c r="CX8" s="2560"/>
      <c r="CY8" s="2560"/>
      <c r="CZ8" s="2560"/>
      <c r="DA8" s="2560"/>
      <c r="DB8" s="2560"/>
      <c r="DC8" s="2560"/>
      <c r="DD8" s="2560"/>
      <c r="DE8" s="2560"/>
      <c r="DF8" s="2560"/>
      <c r="DG8" s="2560"/>
      <c r="DH8" s="2560"/>
      <c r="DI8" s="2560"/>
      <c r="DJ8" s="2560"/>
      <c r="DK8" s="2560"/>
      <c r="DL8" s="2560"/>
      <c r="DM8" s="2560"/>
      <c r="DN8" s="2560"/>
      <c r="DO8" s="2560"/>
      <c r="DP8" s="2560"/>
      <c r="DQ8" s="2560"/>
      <c r="DR8" s="2560"/>
      <c r="DS8" s="2560"/>
      <c r="DT8" s="2560"/>
      <c r="DU8" s="2560"/>
      <c r="DV8" s="2560"/>
      <c r="DW8" s="2560"/>
      <c r="DX8" s="2560"/>
      <c r="DY8" s="2560"/>
      <c r="DZ8" s="2560"/>
      <c r="EA8" s="2560"/>
      <c r="EB8" s="2560"/>
      <c r="EC8" s="2560"/>
      <c r="ED8" s="2560"/>
      <c r="EE8" s="2560"/>
      <c r="EF8" s="2560"/>
      <c r="EG8" s="2560"/>
      <c r="EH8" s="2560"/>
      <c r="EI8" s="2560"/>
      <c r="EJ8" s="2560"/>
      <c r="EK8" s="2560"/>
      <c r="EL8" s="2560"/>
      <c r="EM8" s="2560"/>
      <c r="EN8" s="2560"/>
      <c r="EO8" s="2560"/>
      <c r="EP8" s="2560"/>
      <c r="EQ8" s="2560"/>
      <c r="ER8" s="2560"/>
      <c r="ES8" s="2560"/>
      <c r="ET8" s="2560"/>
      <c r="EU8" s="2560"/>
      <c r="EV8" s="2560"/>
      <c r="EW8" s="2560"/>
      <c r="EX8" s="2560"/>
      <c r="EY8" s="2560"/>
      <c r="EZ8" s="2560"/>
      <c r="FA8" s="2560"/>
      <c r="FB8" s="2560"/>
      <c r="FC8" s="2560"/>
      <c r="FD8" s="2560"/>
      <c r="FE8" s="2560"/>
      <c r="FF8" s="2560"/>
      <c r="FG8" s="2560"/>
      <c r="FH8" s="2560"/>
      <c r="FI8" s="2560"/>
      <c r="FJ8" s="2560"/>
      <c r="FK8" s="2560"/>
      <c r="FL8" s="2560"/>
      <c r="FM8" s="2560"/>
      <c r="FN8" s="2560"/>
      <c r="FO8" s="2560"/>
      <c r="FP8" s="2560"/>
      <c r="FQ8" s="2560"/>
      <c r="FR8" s="2560"/>
      <c r="FS8" s="2589"/>
      <c r="FT8" s="1602"/>
      <c r="FU8" s="1728"/>
    </row>
    <row r="9" spans="2:177" s="197" customFormat="1" ht="15.75" customHeight="1">
      <c r="B9" s="1724" t="s">
        <v>11205</v>
      </c>
      <c r="C9" s="1725" t="s">
        <v>11203</v>
      </c>
      <c r="D9" s="1725">
        <v>0</v>
      </c>
      <c r="E9" s="1729"/>
      <c r="F9" s="1729"/>
      <c r="G9" s="1729"/>
      <c r="H9" s="1729"/>
      <c r="I9" s="1729"/>
      <c r="J9" s="1729"/>
      <c r="K9" s="1729"/>
      <c r="L9" s="1729"/>
      <c r="M9" s="1729"/>
      <c r="N9" s="1729"/>
      <c r="O9" s="1729"/>
      <c r="P9" s="1729"/>
      <c r="Q9" s="1729"/>
      <c r="R9" s="1729"/>
      <c r="S9" s="1729"/>
      <c r="T9" s="1729"/>
      <c r="U9" s="1729"/>
      <c r="V9" s="1729"/>
      <c r="W9" s="1729"/>
      <c r="X9" s="1729"/>
      <c r="Y9" s="1729"/>
      <c r="Z9" s="1729"/>
      <c r="AA9" s="1729"/>
      <c r="AB9" s="1729"/>
      <c r="AC9" s="1729"/>
      <c r="AD9" s="1729"/>
      <c r="AE9" s="1729"/>
      <c r="AF9" s="1729"/>
      <c r="AG9" s="1729"/>
      <c r="AH9" s="1729"/>
      <c r="AI9" s="1729"/>
      <c r="AJ9" s="1729"/>
      <c r="AK9" s="1729"/>
      <c r="AL9" s="1729"/>
      <c r="AM9" s="1729"/>
      <c r="AN9" s="1729"/>
      <c r="AO9" s="1729"/>
      <c r="AP9" s="1729"/>
      <c r="AQ9" s="1729"/>
      <c r="AR9" s="1729"/>
      <c r="AS9" s="1729"/>
      <c r="AT9" s="1729"/>
      <c r="AU9" s="1729"/>
      <c r="AV9" s="1729"/>
      <c r="AW9" s="1729"/>
      <c r="AX9" s="1729"/>
      <c r="AY9" s="1729"/>
      <c r="AZ9" s="1729"/>
      <c r="BA9" s="1729"/>
      <c r="BB9" s="1729"/>
      <c r="BC9" s="1729"/>
      <c r="BD9" s="1729"/>
      <c r="BE9" s="1729"/>
      <c r="BF9" s="1729"/>
      <c r="BG9" s="1729"/>
      <c r="BH9" s="1729"/>
      <c r="BI9" s="1729"/>
      <c r="BJ9" s="1729"/>
      <c r="BK9" s="1729"/>
      <c r="BL9" s="1729"/>
      <c r="BM9" s="1729"/>
      <c r="BN9" s="1729"/>
      <c r="BO9" s="1729"/>
      <c r="BP9" s="1729"/>
      <c r="BQ9" s="1729"/>
      <c r="BR9" s="1729"/>
      <c r="BS9" s="1729"/>
      <c r="BT9" s="1729"/>
      <c r="BU9" s="1729"/>
      <c r="BV9" s="1729"/>
      <c r="BW9" s="1729"/>
      <c r="BX9" s="1729"/>
      <c r="BY9" s="1729"/>
      <c r="BZ9" s="1729"/>
      <c r="CA9" s="1729"/>
      <c r="CB9" s="1729"/>
      <c r="CC9" s="1729"/>
      <c r="CD9" s="1729"/>
      <c r="CE9" s="1729"/>
      <c r="CF9" s="1729"/>
      <c r="CG9" s="1726"/>
      <c r="CH9" s="228"/>
      <c r="CI9" s="2880"/>
      <c r="CK9" s="1727"/>
      <c r="CM9" s="2589"/>
      <c r="CN9" s="1121"/>
      <c r="CO9" s="2589"/>
      <c r="CP9" s="2560"/>
      <c r="CQ9" s="2560"/>
      <c r="CR9" s="2560"/>
      <c r="CS9" s="2560"/>
      <c r="CT9" s="2560"/>
      <c r="CU9" s="2560"/>
      <c r="CV9" s="2560"/>
      <c r="CW9" s="2560"/>
      <c r="CX9" s="2560"/>
      <c r="CY9" s="2560"/>
      <c r="CZ9" s="2560"/>
      <c r="DA9" s="2560"/>
      <c r="DB9" s="2560"/>
      <c r="DC9" s="2560"/>
      <c r="DD9" s="2560"/>
      <c r="DE9" s="2560"/>
      <c r="DF9" s="2560"/>
      <c r="DG9" s="2560"/>
      <c r="DH9" s="2560"/>
      <c r="DI9" s="2560"/>
      <c r="DJ9" s="2560"/>
      <c r="DK9" s="2560"/>
      <c r="DL9" s="2560"/>
      <c r="DM9" s="2560"/>
      <c r="DN9" s="2560"/>
      <c r="DO9" s="2560"/>
      <c r="DP9" s="2560"/>
      <c r="DQ9" s="2560"/>
      <c r="DR9" s="2560"/>
      <c r="DS9" s="2560"/>
      <c r="DT9" s="2560"/>
      <c r="DU9" s="2560"/>
      <c r="DV9" s="2560"/>
      <c r="DW9" s="2560"/>
      <c r="DX9" s="2560"/>
      <c r="DY9" s="2560"/>
      <c r="DZ9" s="2560"/>
      <c r="EA9" s="2560"/>
      <c r="EB9" s="2560"/>
      <c r="EC9" s="2560"/>
      <c r="ED9" s="2560"/>
      <c r="EE9" s="2560"/>
      <c r="EF9" s="2560"/>
      <c r="EG9" s="2560"/>
      <c r="EH9" s="2560"/>
      <c r="EI9" s="2560"/>
      <c r="EJ9" s="2560"/>
      <c r="EK9" s="2560"/>
      <c r="EL9" s="2560"/>
      <c r="EM9" s="2560"/>
      <c r="EN9" s="2560"/>
      <c r="EO9" s="2560"/>
      <c r="EP9" s="2560"/>
      <c r="EQ9" s="2560"/>
      <c r="ER9" s="2560"/>
      <c r="ES9" s="2560"/>
      <c r="ET9" s="2560"/>
      <c r="EU9" s="2560"/>
      <c r="EV9" s="2560"/>
      <c r="EW9" s="2560"/>
      <c r="EX9" s="2560"/>
      <c r="EY9" s="2560"/>
      <c r="EZ9" s="2560"/>
      <c r="FA9" s="2560"/>
      <c r="FB9" s="2560"/>
      <c r="FC9" s="2560"/>
      <c r="FD9" s="2560"/>
      <c r="FE9" s="2560"/>
      <c r="FF9" s="2560"/>
      <c r="FG9" s="2560"/>
      <c r="FH9" s="2560"/>
      <c r="FI9" s="2560"/>
      <c r="FJ9" s="2560"/>
      <c r="FK9" s="2560"/>
      <c r="FL9" s="2560"/>
      <c r="FM9" s="2560"/>
      <c r="FN9" s="2560"/>
      <c r="FO9" s="2560"/>
      <c r="FP9" s="2560"/>
      <c r="FQ9" s="2560"/>
      <c r="FR9" s="2560"/>
      <c r="FS9" s="2589"/>
      <c r="FT9" s="1726"/>
    </row>
    <row r="10" spans="2:177" s="197" customFormat="1" ht="62">
      <c r="B10" s="1724" t="s">
        <v>11206</v>
      </c>
      <c r="C10" s="1725" t="s">
        <v>11203</v>
      </c>
      <c r="D10" s="1725">
        <v>0</v>
      </c>
      <c r="E10" s="1905" t="str">
        <f>IFERROR(IF(IF(E8="Other (Specify Below)",E9,E8)=0,"",IF(E8="Other (Specify Below)",E9,E8)),"")</f>
        <v>ALDWARKE/STW</v>
      </c>
      <c r="F10" s="1905" t="str">
        <f t="shared" ref="F10:BQ10" si="0">IFERROR(IF(IF(F8="Other (Specify Below)",F9,F8)=0,"",IF(F8="Other (Specify Below)",F9,F8)),"")</f>
        <v>BEVERLEY/STW</v>
      </c>
      <c r="G10" s="1905" t="str">
        <f t="shared" si="0"/>
        <v>BLACKBURN MEADOWS/STW</v>
      </c>
      <c r="H10" s="1905" t="str">
        <f t="shared" si="0"/>
        <v>BRADFORD ESHOLT/NO 2 STW</v>
      </c>
      <c r="I10" s="1905" t="str">
        <f t="shared" si="0"/>
        <v>BRIDLINGTON STW</v>
      </c>
      <c r="J10" s="1905" t="str">
        <f t="shared" si="0"/>
        <v>BRIGHOUSE/UPPER STW</v>
      </c>
      <c r="K10" s="1905" t="str">
        <f t="shared" si="0"/>
        <v>CALDER VALE/STW</v>
      </c>
      <c r="L10" s="1905" t="str">
        <f t="shared" si="0"/>
        <v>CASTLEFORD/STW</v>
      </c>
      <c r="M10" s="1905" t="str">
        <f t="shared" si="0"/>
        <v>DEIGHTON/STW</v>
      </c>
      <c r="N10" s="1905" t="str">
        <f t="shared" si="0"/>
        <v>DENABY/NO 2 STW</v>
      </c>
      <c r="O10" s="1905" t="str">
        <f t="shared" si="0"/>
        <v>DEWSBURY/STW</v>
      </c>
      <c r="P10" s="1905" t="str">
        <f t="shared" si="0"/>
        <v>DOWLEY GAP/STW</v>
      </c>
      <c r="Q10" s="1905" t="str">
        <f t="shared" si="0"/>
        <v>GARFORTH/STW</v>
      </c>
      <c r="R10" s="1905" t="str">
        <f t="shared" si="0"/>
        <v>HARROGATE NORTH/STW</v>
      </c>
      <c r="S10" s="1905" t="str">
        <f t="shared" si="0"/>
        <v>HARROGATE SOUTH/STW</v>
      </c>
      <c r="T10" s="1905" t="str">
        <f t="shared" si="0"/>
        <v>HULL/STW</v>
      </c>
      <c r="U10" s="1905" t="str">
        <f t="shared" si="0"/>
        <v>KEIGHLEY MARLEY/STW</v>
      </c>
      <c r="V10" s="1905" t="str">
        <f t="shared" si="0"/>
        <v>KNOSTROP/STW</v>
      </c>
      <c r="W10" s="1905" t="str">
        <f t="shared" si="0"/>
        <v>LEMONROYD/STW</v>
      </c>
      <c r="X10" s="1905" t="str">
        <f t="shared" si="0"/>
        <v>LUNDWOOD/STW</v>
      </c>
      <c r="Y10" s="1905" t="str">
        <f t="shared" si="0"/>
        <v>MALTON/STW</v>
      </c>
      <c r="Z10" s="1905" t="str">
        <f t="shared" si="0"/>
        <v>NEILEY/NO 2 STW</v>
      </c>
      <c r="AA10" s="1905" t="str">
        <f t="shared" si="0"/>
        <v>NORMANTON/STW</v>
      </c>
      <c r="AB10" s="1905" t="str">
        <f t="shared" si="0"/>
        <v>OLD WHITTINGTON/STW</v>
      </c>
      <c r="AC10" s="1905" t="str">
        <f t="shared" si="0"/>
        <v>RAWCLIFFE YORK/STW</v>
      </c>
      <c r="AD10" s="1905" t="str">
        <f t="shared" si="0"/>
        <v>SALTERHEBBLE</v>
      </c>
      <c r="AE10" s="1905" t="str">
        <f t="shared" si="0"/>
        <v>SANDALL/STW</v>
      </c>
      <c r="AF10" s="1905" t="str">
        <f t="shared" si="0"/>
        <v>SCARBOROUGH/STW</v>
      </c>
      <c r="AG10" s="1905" t="str">
        <f t="shared" si="0"/>
        <v>SOUTH ELMSALL/STW</v>
      </c>
      <c r="AH10" s="1905" t="str">
        <f t="shared" si="0"/>
        <v>STAVELEY/STW</v>
      </c>
      <c r="AI10" s="1905" t="str">
        <f t="shared" si="0"/>
        <v>SUTTON/STW</v>
      </c>
      <c r="AJ10" s="1905" t="str">
        <f t="shared" si="0"/>
        <v>THORNE/STW</v>
      </c>
      <c r="AK10" s="1905" t="str">
        <f t="shared" si="0"/>
        <v>WOMBWELL/STW</v>
      </c>
      <c r="AL10" s="1905" t="str">
        <f t="shared" si="0"/>
        <v>WOODHOUSE MILL/STW</v>
      </c>
      <c r="AM10" s="1905" t="str">
        <f t="shared" si="0"/>
        <v>YORK NABURN/STW</v>
      </c>
      <c r="AN10" s="1905" t="str">
        <f t="shared" si="0"/>
        <v/>
      </c>
      <c r="AO10" s="1905" t="str">
        <f t="shared" si="0"/>
        <v/>
      </c>
      <c r="AP10" s="1905" t="str">
        <f t="shared" si="0"/>
        <v/>
      </c>
      <c r="AQ10" s="1905" t="str">
        <f t="shared" si="0"/>
        <v/>
      </c>
      <c r="AR10" s="1905" t="str">
        <f t="shared" si="0"/>
        <v/>
      </c>
      <c r="AS10" s="1905" t="str">
        <f t="shared" si="0"/>
        <v/>
      </c>
      <c r="AT10" s="1905" t="str">
        <f t="shared" si="0"/>
        <v/>
      </c>
      <c r="AU10" s="1905" t="str">
        <f t="shared" si="0"/>
        <v/>
      </c>
      <c r="AV10" s="1905" t="str">
        <f t="shared" si="0"/>
        <v/>
      </c>
      <c r="AW10" s="1905" t="str">
        <f t="shared" si="0"/>
        <v/>
      </c>
      <c r="AX10" s="1905" t="str">
        <f t="shared" si="0"/>
        <v/>
      </c>
      <c r="AY10" s="1905" t="str">
        <f t="shared" si="0"/>
        <v/>
      </c>
      <c r="AZ10" s="1905" t="str">
        <f t="shared" si="0"/>
        <v/>
      </c>
      <c r="BA10" s="1905" t="str">
        <f t="shared" si="0"/>
        <v/>
      </c>
      <c r="BB10" s="1905" t="str">
        <f t="shared" si="0"/>
        <v/>
      </c>
      <c r="BC10" s="1905" t="str">
        <f t="shared" si="0"/>
        <v/>
      </c>
      <c r="BD10" s="1905" t="str">
        <f t="shared" si="0"/>
        <v/>
      </c>
      <c r="BE10" s="1905" t="str">
        <f t="shared" si="0"/>
        <v/>
      </c>
      <c r="BF10" s="1905" t="str">
        <f t="shared" si="0"/>
        <v/>
      </c>
      <c r="BG10" s="1905" t="str">
        <f t="shared" si="0"/>
        <v/>
      </c>
      <c r="BH10" s="1905" t="str">
        <f t="shared" si="0"/>
        <v/>
      </c>
      <c r="BI10" s="1905" t="str">
        <f t="shared" si="0"/>
        <v/>
      </c>
      <c r="BJ10" s="1905" t="str">
        <f t="shared" si="0"/>
        <v/>
      </c>
      <c r="BK10" s="1905" t="str">
        <f t="shared" si="0"/>
        <v/>
      </c>
      <c r="BL10" s="1905" t="str">
        <f t="shared" si="0"/>
        <v/>
      </c>
      <c r="BM10" s="1905" t="str">
        <f t="shared" si="0"/>
        <v/>
      </c>
      <c r="BN10" s="1905" t="str">
        <f t="shared" si="0"/>
        <v/>
      </c>
      <c r="BO10" s="1905" t="str">
        <f t="shared" si="0"/>
        <v/>
      </c>
      <c r="BP10" s="1905" t="str">
        <f t="shared" si="0"/>
        <v/>
      </c>
      <c r="BQ10" s="1905" t="str">
        <f t="shared" si="0"/>
        <v/>
      </c>
      <c r="BR10" s="1905" t="str">
        <f t="shared" ref="BR10:CF10" si="1">IFERROR(IF(IF(BR8="Other (Specify Below)",BR9,BR8)=0,"",IF(BR8="Other (Specify Below)",BR9,BR8)),"")</f>
        <v/>
      </c>
      <c r="BS10" s="1905" t="str">
        <f t="shared" si="1"/>
        <v/>
      </c>
      <c r="BT10" s="1905" t="str">
        <f t="shared" si="1"/>
        <v/>
      </c>
      <c r="BU10" s="1905" t="str">
        <f t="shared" si="1"/>
        <v/>
      </c>
      <c r="BV10" s="1905" t="str">
        <f t="shared" si="1"/>
        <v/>
      </c>
      <c r="BW10" s="1905" t="str">
        <f t="shared" si="1"/>
        <v/>
      </c>
      <c r="BX10" s="1905" t="str">
        <f t="shared" si="1"/>
        <v/>
      </c>
      <c r="BY10" s="1905" t="str">
        <f t="shared" si="1"/>
        <v/>
      </c>
      <c r="BZ10" s="1905" t="str">
        <f t="shared" si="1"/>
        <v/>
      </c>
      <c r="CA10" s="1905" t="str">
        <f t="shared" si="1"/>
        <v/>
      </c>
      <c r="CB10" s="1905" t="str">
        <f t="shared" si="1"/>
        <v/>
      </c>
      <c r="CC10" s="1905" t="str">
        <f t="shared" si="1"/>
        <v/>
      </c>
      <c r="CD10" s="1905" t="str">
        <f t="shared" si="1"/>
        <v/>
      </c>
      <c r="CE10" s="1905" t="str">
        <f t="shared" si="1"/>
        <v/>
      </c>
      <c r="CF10" s="1905" t="str">
        <f t="shared" si="1"/>
        <v/>
      </c>
      <c r="CG10" s="1726"/>
      <c r="CH10" s="228"/>
      <c r="CI10" s="2881"/>
      <c r="CK10" s="1727"/>
      <c r="CM10" s="2589"/>
      <c r="CN10" s="1121"/>
      <c r="CO10" s="2589"/>
      <c r="CP10" s="2560"/>
      <c r="CQ10" s="2560"/>
      <c r="CR10" s="2560"/>
      <c r="CS10" s="2560"/>
      <c r="CT10" s="2560"/>
      <c r="CU10" s="2560"/>
      <c r="CV10" s="2560"/>
      <c r="CW10" s="2560"/>
      <c r="CX10" s="2560"/>
      <c r="CY10" s="2560"/>
      <c r="CZ10" s="2560"/>
      <c r="DA10" s="2560"/>
      <c r="DB10" s="2560"/>
      <c r="DC10" s="2560"/>
      <c r="DD10" s="2560"/>
      <c r="DE10" s="2560"/>
      <c r="DF10" s="2560"/>
      <c r="DG10" s="2560"/>
      <c r="DH10" s="2560"/>
      <c r="DI10" s="2560"/>
      <c r="DJ10" s="2560"/>
      <c r="DK10" s="2560"/>
      <c r="DL10" s="2560"/>
      <c r="DM10" s="2560"/>
      <c r="DN10" s="2560"/>
      <c r="DO10" s="2560"/>
      <c r="DP10" s="2560"/>
      <c r="DQ10" s="2560"/>
      <c r="DR10" s="2560"/>
      <c r="DS10" s="2560"/>
      <c r="DT10" s="2560"/>
      <c r="DU10" s="2560"/>
      <c r="DV10" s="2560"/>
      <c r="DW10" s="2560"/>
      <c r="DX10" s="2560"/>
      <c r="DY10" s="2560"/>
      <c r="DZ10" s="2560"/>
      <c r="EA10" s="2560"/>
      <c r="EB10" s="2560"/>
      <c r="EC10" s="2560"/>
      <c r="ED10" s="2560"/>
      <c r="EE10" s="2560"/>
      <c r="EF10" s="2560"/>
      <c r="EG10" s="2560"/>
      <c r="EH10" s="2560"/>
      <c r="EI10" s="2560"/>
      <c r="EJ10" s="2560"/>
      <c r="EK10" s="2560"/>
      <c r="EL10" s="2560"/>
      <c r="EM10" s="2560"/>
      <c r="EN10" s="2560"/>
      <c r="EO10" s="2560"/>
      <c r="EP10" s="2560"/>
      <c r="EQ10" s="2560"/>
      <c r="ER10" s="2560"/>
      <c r="ES10" s="2560"/>
      <c r="ET10" s="2560"/>
      <c r="EU10" s="2560"/>
      <c r="EV10" s="2560"/>
      <c r="EW10" s="2560"/>
      <c r="EX10" s="2560"/>
      <c r="EY10" s="2560"/>
      <c r="EZ10" s="2560"/>
      <c r="FA10" s="2560"/>
      <c r="FB10" s="2560"/>
      <c r="FC10" s="2560"/>
      <c r="FD10" s="2560"/>
      <c r="FE10" s="2560"/>
      <c r="FF10" s="2560"/>
      <c r="FG10" s="2560"/>
      <c r="FH10" s="2560"/>
      <c r="FI10" s="2560"/>
      <c r="FJ10" s="2560"/>
      <c r="FK10" s="2560"/>
      <c r="FL10" s="2560"/>
      <c r="FM10" s="2560"/>
      <c r="FN10" s="2560"/>
      <c r="FO10" s="2560"/>
      <c r="FP10" s="2560"/>
      <c r="FQ10" s="2560"/>
      <c r="FR10" s="2560"/>
      <c r="FS10" s="2589"/>
      <c r="FT10" s="1726"/>
    </row>
    <row r="11" spans="2:177" s="197" customFormat="1" ht="46.5">
      <c r="B11" s="422" t="s">
        <v>4</v>
      </c>
      <c r="C11" s="253" t="s">
        <v>11203</v>
      </c>
      <c r="D11" s="253">
        <v>0</v>
      </c>
      <c r="E11" s="1601" t="s">
        <v>11</v>
      </c>
      <c r="F11" s="1601" t="s">
        <v>11</v>
      </c>
      <c r="G11" s="1601" t="s">
        <v>11</v>
      </c>
      <c r="H11" s="1601" t="s">
        <v>21</v>
      </c>
      <c r="I11" s="1601" t="s">
        <v>21</v>
      </c>
      <c r="J11" s="1601" t="s">
        <v>11</v>
      </c>
      <c r="K11" s="1601" t="s">
        <v>11</v>
      </c>
      <c r="L11" s="1601" t="s">
        <v>11</v>
      </c>
      <c r="M11" s="1601" t="s">
        <v>21</v>
      </c>
      <c r="N11" s="1601" t="s">
        <v>11</v>
      </c>
      <c r="O11" s="1601" t="s">
        <v>11</v>
      </c>
      <c r="P11" s="1601" t="s">
        <v>15</v>
      </c>
      <c r="Q11" s="1601" t="s">
        <v>18</v>
      </c>
      <c r="R11" s="1601" t="s">
        <v>26</v>
      </c>
      <c r="S11" s="1601" t="s">
        <v>11</v>
      </c>
      <c r="T11" s="1601" t="s">
        <v>11</v>
      </c>
      <c r="U11" s="1601" t="s">
        <v>15</v>
      </c>
      <c r="V11" s="1601" t="s">
        <v>11</v>
      </c>
      <c r="W11" s="1601" t="s">
        <v>18</v>
      </c>
      <c r="X11" s="1601" t="s">
        <v>21</v>
      </c>
      <c r="Y11" s="1601" t="s">
        <v>21</v>
      </c>
      <c r="Z11" s="1601" t="s">
        <v>11</v>
      </c>
      <c r="AA11" s="1601" t="s">
        <v>15</v>
      </c>
      <c r="AB11" s="1601" t="s">
        <v>11</v>
      </c>
      <c r="AC11" s="1601" t="s">
        <v>18</v>
      </c>
      <c r="AD11" s="1601" t="s">
        <v>21</v>
      </c>
      <c r="AE11" s="1601" t="s">
        <v>11</v>
      </c>
      <c r="AF11" s="1601" t="s">
        <v>21</v>
      </c>
      <c r="AG11" s="1601" t="s">
        <v>11</v>
      </c>
      <c r="AH11" s="1601" t="s">
        <v>11</v>
      </c>
      <c r="AI11" s="1601" t="s">
        <v>15</v>
      </c>
      <c r="AJ11" s="1601" t="s">
        <v>11</v>
      </c>
      <c r="AK11" s="1601" t="s">
        <v>11</v>
      </c>
      <c r="AL11" s="1601" t="s">
        <v>11</v>
      </c>
      <c r="AM11" s="1601" t="s">
        <v>11</v>
      </c>
      <c r="AN11" s="1601"/>
      <c r="AO11" s="1601"/>
      <c r="AP11" s="1601"/>
      <c r="AQ11" s="1601"/>
      <c r="AR11" s="1601"/>
      <c r="AS11" s="1601"/>
      <c r="AT11" s="1601"/>
      <c r="AU11" s="1601"/>
      <c r="AV11" s="1601"/>
      <c r="AW11" s="1601"/>
      <c r="AX11" s="1601"/>
      <c r="AY11" s="1601"/>
      <c r="AZ11" s="1601"/>
      <c r="BA11" s="1601"/>
      <c r="BB11" s="1601"/>
      <c r="BC11" s="1601"/>
      <c r="BD11" s="1601"/>
      <c r="BE11" s="1601"/>
      <c r="BF11" s="1601"/>
      <c r="BG11" s="1601"/>
      <c r="BH11" s="1601"/>
      <c r="BI11" s="1601"/>
      <c r="BJ11" s="1601"/>
      <c r="BK11" s="1601"/>
      <c r="BL11" s="1601"/>
      <c r="BM11" s="1601"/>
      <c r="BN11" s="1601"/>
      <c r="BO11" s="1601"/>
      <c r="BP11" s="1601"/>
      <c r="BQ11" s="1601"/>
      <c r="BR11" s="1601"/>
      <c r="BS11" s="1601"/>
      <c r="BT11" s="1601"/>
      <c r="BU11" s="1601"/>
      <c r="BV11" s="1601"/>
      <c r="BW11" s="1601"/>
      <c r="BX11" s="1601"/>
      <c r="BY11" s="1601"/>
      <c r="BZ11" s="1601"/>
      <c r="CA11" s="1601"/>
      <c r="CB11" s="1601"/>
      <c r="CC11" s="1601"/>
      <c r="CD11" s="1601"/>
      <c r="CE11" s="1601"/>
      <c r="CF11" s="1601"/>
      <c r="CG11" s="1603"/>
      <c r="CH11" s="228"/>
      <c r="CI11" s="936" t="s">
        <v>11207</v>
      </c>
      <c r="CK11" s="739"/>
      <c r="CM11" s="2589"/>
      <c r="CN11" s="1121"/>
      <c r="CO11" s="2589"/>
      <c r="CP11" s="252">
        <f xml:space="preserve"> IF( OR(ISNUMBER(E11 ),E$8=""), 0, 1 )</f>
        <v>1</v>
      </c>
      <c r="CQ11" s="252">
        <f t="shared" ref="CQ11" si="2" xml:space="preserve"> IF( OR(ISNUMBER(F11 ),F$8=""), 0, 1 )</f>
        <v>1</v>
      </c>
      <c r="CR11" s="252">
        <f t="shared" ref="CR11" si="3" xml:space="preserve"> IF( OR(ISNUMBER(G11 ),G$8=""), 0, 1 )</f>
        <v>1</v>
      </c>
      <c r="CS11" s="252">
        <f t="shared" ref="CS11" si="4" xml:space="preserve"> IF( OR(ISNUMBER(H11 ),H$8=""), 0, 1 )</f>
        <v>1</v>
      </c>
      <c r="CT11" s="252">
        <f t="shared" ref="CT11" si="5" xml:space="preserve"> IF( OR(ISNUMBER(I11 ),I$8=""), 0, 1 )</f>
        <v>1</v>
      </c>
      <c r="CU11" s="252">
        <f t="shared" ref="CU11" si="6" xml:space="preserve"> IF( OR(ISNUMBER(J11 ),J$8=""), 0, 1 )</f>
        <v>1</v>
      </c>
      <c r="CV11" s="252">
        <f t="shared" ref="CV11" si="7" xml:space="preserve"> IF( OR(ISNUMBER(K11 ),K$8=""), 0, 1 )</f>
        <v>1</v>
      </c>
      <c r="CW11" s="252">
        <f t="shared" ref="CW11" si="8" xml:space="preserve"> IF( OR(ISNUMBER(L11 ),L$8=""), 0, 1 )</f>
        <v>1</v>
      </c>
      <c r="CX11" s="252">
        <f t="shared" ref="CX11" si="9" xml:space="preserve"> IF( OR(ISNUMBER(M11 ),M$8=""), 0, 1 )</f>
        <v>1</v>
      </c>
      <c r="CY11" s="252">
        <f t="shared" ref="CY11" si="10" xml:space="preserve"> IF( OR(ISNUMBER(N11 ),N$8=""), 0, 1 )</f>
        <v>1</v>
      </c>
      <c r="CZ11" s="252">
        <f t="shared" ref="CZ11" si="11" xml:space="preserve"> IF( OR(ISNUMBER(O11 ),O$8=""), 0, 1 )</f>
        <v>1</v>
      </c>
      <c r="DA11" s="252">
        <f t="shared" ref="DA11" si="12" xml:space="preserve"> IF( OR(ISNUMBER(P11 ),P$8=""), 0, 1 )</f>
        <v>1</v>
      </c>
      <c r="DB11" s="252">
        <f t="shared" ref="DB11" si="13" xml:space="preserve"> IF( OR(ISNUMBER(Q11 ),Q$8=""), 0, 1 )</f>
        <v>1</v>
      </c>
      <c r="DC11" s="252">
        <f t="shared" ref="DC11" si="14" xml:space="preserve"> IF( OR(ISNUMBER(R11 ),R$8=""), 0, 1 )</f>
        <v>1</v>
      </c>
      <c r="DD11" s="252">
        <f t="shared" ref="DD11" si="15" xml:space="preserve"> IF( OR(ISNUMBER(S11 ),S$8=""), 0, 1 )</f>
        <v>1</v>
      </c>
      <c r="DE11" s="252">
        <f t="shared" ref="DE11" si="16" xml:space="preserve"> IF( OR(ISNUMBER(T11 ),T$8=""), 0, 1 )</f>
        <v>1</v>
      </c>
      <c r="DF11" s="252">
        <f t="shared" ref="DF11" si="17" xml:space="preserve"> IF( OR(ISNUMBER(U11 ),U$8=""), 0, 1 )</f>
        <v>1</v>
      </c>
      <c r="DG11" s="252">
        <f t="shared" ref="DG11" si="18" xml:space="preserve"> IF( OR(ISNUMBER(V11 ),V$8=""), 0, 1 )</f>
        <v>1</v>
      </c>
      <c r="DH11" s="252">
        <f t="shared" ref="DH11" si="19" xml:space="preserve"> IF( OR(ISNUMBER(W11 ),W$8=""), 0, 1 )</f>
        <v>1</v>
      </c>
      <c r="DI11" s="252">
        <f t="shared" ref="DI11" si="20" xml:space="preserve"> IF( OR(ISNUMBER(X11 ),X$8=""), 0, 1 )</f>
        <v>1</v>
      </c>
      <c r="DJ11" s="252">
        <f t="shared" ref="DJ11" si="21" xml:space="preserve"> IF( OR(ISNUMBER(Y11 ),Y$8=""), 0, 1 )</f>
        <v>1</v>
      </c>
      <c r="DK11" s="252">
        <f t="shared" ref="DK11" si="22" xml:space="preserve"> IF( OR(ISNUMBER(Z11 ),Z$8=""), 0, 1 )</f>
        <v>1</v>
      </c>
      <c r="DL11" s="252">
        <f t="shared" ref="DL11" si="23" xml:space="preserve"> IF( OR(ISNUMBER(AA11 ),AA$8=""), 0, 1 )</f>
        <v>1</v>
      </c>
      <c r="DM11" s="252">
        <f t="shared" ref="DM11" si="24" xml:space="preserve"> IF( OR(ISNUMBER(AB11 ),AB$8=""), 0, 1 )</f>
        <v>1</v>
      </c>
      <c r="DN11" s="252">
        <f t="shared" ref="DN11" si="25" xml:space="preserve"> IF( OR(ISNUMBER(AC11 ),AC$8=""), 0, 1 )</f>
        <v>1</v>
      </c>
      <c r="DO11" s="252">
        <f t="shared" ref="DO11" si="26" xml:space="preserve"> IF( OR(ISNUMBER(AD11 ),AD$8=""), 0, 1 )</f>
        <v>1</v>
      </c>
      <c r="DP11" s="252">
        <f t="shared" ref="DP11" si="27" xml:space="preserve"> IF( OR(ISNUMBER(AE11 ),AE$8=""), 0, 1 )</f>
        <v>1</v>
      </c>
      <c r="DQ11" s="252">
        <f t="shared" ref="DQ11" si="28" xml:space="preserve"> IF( OR(ISNUMBER(AF11 ),AF$8=""), 0, 1 )</f>
        <v>1</v>
      </c>
      <c r="DR11" s="252">
        <f t="shared" ref="DR11" si="29" xml:space="preserve"> IF( OR(ISNUMBER(AG11 ),AG$8=""), 0, 1 )</f>
        <v>1</v>
      </c>
      <c r="DS11" s="252">
        <f t="shared" ref="DS11" si="30" xml:space="preserve"> IF( OR(ISNUMBER(AH11 ),AH$8=""), 0, 1 )</f>
        <v>1</v>
      </c>
      <c r="DT11" s="252">
        <f t="shared" ref="DT11" si="31" xml:space="preserve"> IF( OR(ISNUMBER(AI11 ),AI$8=""), 0, 1 )</f>
        <v>1</v>
      </c>
      <c r="DU11" s="252">
        <f t="shared" ref="DU11" si="32" xml:space="preserve"> IF( OR(ISNUMBER(AJ11 ),AJ$8=""), 0, 1 )</f>
        <v>1</v>
      </c>
      <c r="DV11" s="252">
        <f t="shared" ref="DV11" si="33" xml:space="preserve"> IF( OR(ISNUMBER(AK11 ),AK$8=""), 0, 1 )</f>
        <v>1</v>
      </c>
      <c r="DW11" s="252">
        <f t="shared" ref="DW11" si="34" xml:space="preserve"> IF( OR(ISNUMBER(AL11 ),AL$8=""), 0, 1 )</f>
        <v>1</v>
      </c>
      <c r="DX11" s="252">
        <f t="shared" ref="DX11" si="35" xml:space="preserve"> IF( OR(ISNUMBER(AM11 ),AM$8=""), 0, 1 )</f>
        <v>1</v>
      </c>
      <c r="DY11" s="252">
        <f t="shared" ref="DY11" si="36" xml:space="preserve"> IF( OR(ISNUMBER(AN11 ),AN$8=""), 0, 1 )</f>
        <v>0</v>
      </c>
      <c r="DZ11" s="252">
        <f t="shared" ref="DZ11" si="37" xml:space="preserve"> IF( OR(ISNUMBER(AO11 ),AO$8=""), 0, 1 )</f>
        <v>0</v>
      </c>
      <c r="EA11" s="252">
        <f t="shared" ref="EA11" si="38" xml:space="preserve"> IF( OR(ISNUMBER(AP11 ),AP$8=""), 0, 1 )</f>
        <v>0</v>
      </c>
      <c r="EB11" s="252">
        <f t="shared" ref="EB11" si="39" xml:space="preserve"> IF( OR(ISNUMBER(AQ11 ),AQ$8=""), 0, 1 )</f>
        <v>0</v>
      </c>
      <c r="EC11" s="252">
        <f t="shared" ref="EC11" si="40" xml:space="preserve"> IF( OR(ISNUMBER(AR11 ),AR$8=""), 0, 1 )</f>
        <v>0</v>
      </c>
      <c r="ED11" s="252">
        <f t="shared" ref="ED11" si="41" xml:space="preserve"> IF( OR(ISNUMBER(AS11 ),AS$8=""), 0, 1 )</f>
        <v>0</v>
      </c>
      <c r="EE11" s="252">
        <f t="shared" ref="EE11" si="42" xml:space="preserve"> IF( OR(ISNUMBER(AT11 ),AT$8=""), 0, 1 )</f>
        <v>0</v>
      </c>
      <c r="EF11" s="252">
        <f t="shared" ref="EF11" si="43" xml:space="preserve"> IF( OR(ISNUMBER(AU11 ),AU$8=""), 0, 1 )</f>
        <v>0</v>
      </c>
      <c r="EG11" s="252">
        <f t="shared" ref="EG11" si="44" xml:space="preserve"> IF( OR(ISNUMBER(AV11 ),AV$8=""), 0, 1 )</f>
        <v>0</v>
      </c>
      <c r="EH11" s="252">
        <f t="shared" ref="EH11" si="45" xml:space="preserve"> IF( OR(ISNUMBER(AW11 ),AW$8=""), 0, 1 )</f>
        <v>0</v>
      </c>
      <c r="EI11" s="252">
        <f t="shared" ref="EI11" si="46" xml:space="preserve"> IF( OR(ISNUMBER(AX11 ),AX$8=""), 0, 1 )</f>
        <v>0</v>
      </c>
      <c r="EJ11" s="252">
        <f t="shared" ref="EJ11" si="47" xml:space="preserve"> IF( OR(ISNUMBER(AY11 ),AY$8=""), 0, 1 )</f>
        <v>0</v>
      </c>
      <c r="EK11" s="252">
        <f t="shared" ref="EK11" si="48" xml:space="preserve"> IF( OR(ISNUMBER(AZ11 ),AZ$8=""), 0, 1 )</f>
        <v>0</v>
      </c>
      <c r="EL11" s="252">
        <f t="shared" ref="EL11" si="49" xml:space="preserve"> IF( OR(ISNUMBER(BA11 ),BA$8=""), 0, 1 )</f>
        <v>0</v>
      </c>
      <c r="EM11" s="252">
        <f t="shared" ref="EM11" si="50" xml:space="preserve"> IF( OR(ISNUMBER(BB11 ),BB$8=""), 0, 1 )</f>
        <v>0</v>
      </c>
      <c r="EN11" s="252">
        <f t="shared" ref="EN11" si="51" xml:space="preserve"> IF( OR(ISNUMBER(BC11 ),BC$8=""), 0, 1 )</f>
        <v>0</v>
      </c>
      <c r="EO11" s="252">
        <f t="shared" ref="EO11" si="52" xml:space="preserve"> IF( OR(ISNUMBER(BD11 ),BD$8=""), 0, 1 )</f>
        <v>0</v>
      </c>
      <c r="EP11" s="252">
        <f t="shared" ref="EP11" si="53" xml:space="preserve"> IF( OR(ISNUMBER(BE11 ),BE$8=""), 0, 1 )</f>
        <v>0</v>
      </c>
      <c r="EQ11" s="252">
        <f t="shared" ref="EQ11" si="54" xml:space="preserve"> IF( OR(ISNUMBER(BF11 ),BF$8=""), 0, 1 )</f>
        <v>0</v>
      </c>
      <c r="ER11" s="252">
        <f t="shared" ref="ER11" si="55" xml:space="preserve"> IF( OR(ISNUMBER(BG11 ),BG$8=""), 0, 1 )</f>
        <v>0</v>
      </c>
      <c r="ES11" s="252">
        <f t="shared" ref="ES11" si="56" xml:space="preserve"> IF( OR(ISNUMBER(BH11 ),BH$8=""), 0, 1 )</f>
        <v>0</v>
      </c>
      <c r="ET11" s="252">
        <f t="shared" ref="ET11" si="57" xml:space="preserve"> IF( OR(ISNUMBER(BI11 ),BI$8=""), 0, 1 )</f>
        <v>0</v>
      </c>
      <c r="EU11" s="252">
        <f t="shared" ref="EU11" si="58" xml:space="preserve"> IF( OR(ISNUMBER(BJ11 ),BJ$8=""), 0, 1 )</f>
        <v>0</v>
      </c>
      <c r="EV11" s="252">
        <f t="shared" ref="EV11" si="59" xml:space="preserve"> IF( OR(ISNUMBER(BK11 ),BK$8=""), 0, 1 )</f>
        <v>0</v>
      </c>
      <c r="EW11" s="252">
        <f t="shared" ref="EW11" si="60" xml:space="preserve"> IF( OR(ISNUMBER(BL11 ),BL$8=""), 0, 1 )</f>
        <v>0</v>
      </c>
      <c r="EX11" s="252">
        <f t="shared" ref="EX11" si="61" xml:space="preserve"> IF( OR(ISNUMBER(BM11 ),BM$8=""), 0, 1 )</f>
        <v>0</v>
      </c>
      <c r="EY11" s="252">
        <f t="shared" ref="EY11" si="62" xml:space="preserve"> IF( OR(ISNUMBER(BN11 ),BN$8=""), 0, 1 )</f>
        <v>0</v>
      </c>
      <c r="EZ11" s="252">
        <f t="shared" ref="EZ11" si="63" xml:space="preserve"> IF( OR(ISNUMBER(BO11 ),BO$8=""), 0, 1 )</f>
        <v>0</v>
      </c>
      <c r="FA11" s="252">
        <f t="shared" ref="FA11" si="64" xml:space="preserve"> IF( OR(ISNUMBER(BP11 ),BP$8=""), 0, 1 )</f>
        <v>0</v>
      </c>
      <c r="FB11" s="252">
        <f t="shared" ref="FB11" si="65" xml:space="preserve"> IF( OR(ISNUMBER(BQ11 ),BQ$8=""), 0, 1 )</f>
        <v>0</v>
      </c>
      <c r="FC11" s="252">
        <f t="shared" ref="FC11" si="66" xml:space="preserve"> IF( OR(ISNUMBER(BR11 ),BR$8=""), 0, 1 )</f>
        <v>0</v>
      </c>
      <c r="FD11" s="252">
        <f t="shared" ref="FD11" si="67" xml:space="preserve"> IF( OR(ISNUMBER(BS11 ),BS$8=""), 0, 1 )</f>
        <v>0</v>
      </c>
      <c r="FE11" s="252">
        <f t="shared" ref="FE11" si="68" xml:space="preserve"> IF( OR(ISNUMBER(BT11 ),BT$8=""), 0, 1 )</f>
        <v>0</v>
      </c>
      <c r="FF11" s="252">
        <f t="shared" ref="FF11" si="69" xml:space="preserve"> IF( OR(ISNUMBER(BU11 ),BU$8=""), 0, 1 )</f>
        <v>0</v>
      </c>
      <c r="FG11" s="252">
        <f t="shared" ref="FG11" si="70" xml:space="preserve"> IF( OR(ISNUMBER(BV11 ),BV$8=""), 0, 1 )</f>
        <v>0</v>
      </c>
      <c r="FH11" s="252">
        <f t="shared" ref="FH11" si="71" xml:space="preserve"> IF( OR(ISNUMBER(BW11 ),BW$8=""), 0, 1 )</f>
        <v>0</v>
      </c>
      <c r="FI11" s="252">
        <f t="shared" ref="FI11" si="72" xml:space="preserve"> IF( OR(ISNUMBER(BX11 ),BX$8=""), 0, 1 )</f>
        <v>0</v>
      </c>
      <c r="FJ11" s="252">
        <f t="shared" ref="FJ11" si="73" xml:space="preserve"> IF( OR(ISNUMBER(BY11 ),BY$8=""), 0, 1 )</f>
        <v>0</v>
      </c>
      <c r="FK11" s="252">
        <f t="shared" ref="FK11" si="74" xml:space="preserve"> IF( OR(ISNUMBER(BZ11 ),BZ$8=""), 0, 1 )</f>
        <v>0</v>
      </c>
      <c r="FL11" s="252">
        <f t="shared" ref="FL11" si="75" xml:space="preserve"> IF( OR(ISNUMBER(CA11 ),CA$8=""), 0, 1 )</f>
        <v>0</v>
      </c>
      <c r="FM11" s="252">
        <f t="shared" ref="FM11" si="76" xml:space="preserve"> IF( OR(ISNUMBER(CB11 ),CB$8=""), 0, 1 )</f>
        <v>0</v>
      </c>
      <c r="FN11" s="252">
        <f t="shared" ref="FN11" si="77" xml:space="preserve"> IF( OR(ISNUMBER(CC11 ),CC$8=""), 0, 1 )</f>
        <v>0</v>
      </c>
      <c r="FO11" s="252">
        <f t="shared" ref="FO11" si="78" xml:space="preserve"> IF( OR(ISNUMBER(CD11 ),CD$8=""), 0, 1 )</f>
        <v>0</v>
      </c>
      <c r="FP11" s="252">
        <f t="shared" ref="FP11" si="79" xml:space="preserve"> IF( OR(ISNUMBER(CE11 ),CE$8=""), 0, 1 )</f>
        <v>0</v>
      </c>
      <c r="FQ11" s="252">
        <f t="shared" ref="FQ11" si="80" xml:space="preserve"> IF( OR(ISNUMBER(CF11 ),CF$8=""), 0, 1 )</f>
        <v>0</v>
      </c>
      <c r="FR11" s="2560"/>
      <c r="FS11" s="2589"/>
      <c r="FT11" s="1603"/>
    </row>
    <row r="12" spans="2:177" s="197" customFormat="1" ht="15.75" customHeight="1">
      <c r="B12" s="422" t="s">
        <v>11208</v>
      </c>
      <c r="C12" s="253" t="s">
        <v>1387</v>
      </c>
      <c r="D12" s="253">
        <v>2</v>
      </c>
      <c r="E12" s="1614">
        <v>113.62</v>
      </c>
      <c r="F12" s="1614">
        <v>37.909999999999997</v>
      </c>
      <c r="G12" s="1614">
        <v>556.36</v>
      </c>
      <c r="H12" s="1614">
        <v>424.26</v>
      </c>
      <c r="I12" s="1614">
        <v>45.51</v>
      </c>
      <c r="J12" s="1614">
        <v>53.53</v>
      </c>
      <c r="K12" s="1614">
        <v>131.35</v>
      </c>
      <c r="L12" s="1614">
        <v>35.46</v>
      </c>
      <c r="M12" s="1614">
        <v>214.41</v>
      </c>
      <c r="N12" s="1614">
        <v>32.28</v>
      </c>
      <c r="O12" s="1614">
        <v>372.51</v>
      </c>
      <c r="P12" s="1614">
        <v>39.85</v>
      </c>
      <c r="Q12" s="1614">
        <v>39.54</v>
      </c>
      <c r="R12" s="1614">
        <v>44.12</v>
      </c>
      <c r="S12" s="1614">
        <v>40.89</v>
      </c>
      <c r="T12" s="1614">
        <v>531.14</v>
      </c>
      <c r="U12" s="1614">
        <v>91.24</v>
      </c>
      <c r="V12" s="1614">
        <v>758.67</v>
      </c>
      <c r="W12" s="1614">
        <v>31.7</v>
      </c>
      <c r="X12" s="1614">
        <v>90.09</v>
      </c>
      <c r="Y12" s="1614">
        <v>28.09</v>
      </c>
      <c r="Z12" s="1614">
        <v>31.91</v>
      </c>
      <c r="AA12" s="1614">
        <v>48.33</v>
      </c>
      <c r="AB12" s="1614">
        <v>117.21</v>
      </c>
      <c r="AC12" s="1614">
        <v>27.23</v>
      </c>
      <c r="AD12" s="1614">
        <v>153.66</v>
      </c>
      <c r="AE12" s="1614">
        <v>102.49</v>
      </c>
      <c r="AF12" s="1614">
        <v>59.46</v>
      </c>
      <c r="AG12" s="1614">
        <v>37.31</v>
      </c>
      <c r="AH12" s="1614">
        <v>30.14</v>
      </c>
      <c r="AI12" s="1614">
        <v>60.2</v>
      </c>
      <c r="AJ12" s="1614">
        <v>39.869999999999997</v>
      </c>
      <c r="AK12" s="1614">
        <v>49.44</v>
      </c>
      <c r="AL12" s="1614">
        <v>132.16</v>
      </c>
      <c r="AM12" s="1614">
        <v>191.34</v>
      </c>
      <c r="AN12" s="1614"/>
      <c r="AO12" s="1614"/>
      <c r="AP12" s="1614"/>
      <c r="AQ12" s="1614"/>
      <c r="AR12" s="1614"/>
      <c r="AS12" s="1614"/>
      <c r="AT12" s="1614"/>
      <c r="AU12" s="1614"/>
      <c r="AV12" s="1614"/>
      <c r="AW12" s="1614"/>
      <c r="AX12" s="1614"/>
      <c r="AY12" s="1614"/>
      <c r="AZ12" s="1614"/>
      <c r="BA12" s="1614"/>
      <c r="BB12" s="1614"/>
      <c r="BC12" s="1614"/>
      <c r="BD12" s="1614"/>
      <c r="BE12" s="1614"/>
      <c r="BF12" s="1614"/>
      <c r="BG12" s="1614"/>
      <c r="BH12" s="1614"/>
      <c r="BI12" s="1614"/>
      <c r="BJ12" s="1614"/>
      <c r="BK12" s="1614"/>
      <c r="BL12" s="1614"/>
      <c r="BM12" s="1614"/>
      <c r="BN12" s="1614"/>
      <c r="BO12" s="1614"/>
      <c r="BP12" s="1614"/>
      <c r="BQ12" s="1614"/>
      <c r="BR12" s="1614"/>
      <c r="BS12" s="1614"/>
      <c r="BT12" s="1614"/>
      <c r="BU12" s="1614"/>
      <c r="BV12" s="1614"/>
      <c r="BW12" s="1614"/>
      <c r="BX12" s="1614"/>
      <c r="BY12" s="1614"/>
      <c r="BZ12" s="1614"/>
      <c r="CA12" s="1614"/>
      <c r="CB12" s="1614"/>
      <c r="CC12" s="1614"/>
      <c r="CD12" s="1614"/>
      <c r="CE12" s="1614"/>
      <c r="CF12" s="1614"/>
      <c r="CG12" s="1615"/>
      <c r="CH12" s="228"/>
      <c r="CI12" s="936" t="s">
        <v>11209</v>
      </c>
      <c r="CK12" s="739"/>
      <c r="CM12" s="2589"/>
      <c r="CN12" s="1121"/>
      <c r="CO12" s="2589"/>
      <c r="CP12" s="252">
        <f xml:space="preserve"> IF( OR(ISNUMBER(E12 ),E$8=""), 0, 1 )</f>
        <v>0</v>
      </c>
      <c r="CQ12" s="252">
        <f t="shared" ref="CQ12:CQ17" si="81" xml:space="preserve"> IF( OR(ISNUMBER(F12 ),F$8=""), 0, 1 )</f>
        <v>0</v>
      </c>
      <c r="CR12" s="252">
        <f t="shared" ref="CR12:CR17" si="82" xml:space="preserve"> IF( OR(ISNUMBER(G12 ),G$8=""), 0, 1 )</f>
        <v>0</v>
      </c>
      <c r="CS12" s="252">
        <f t="shared" ref="CS12:CS17" si="83" xml:space="preserve"> IF( OR(ISNUMBER(H12 ),H$8=""), 0, 1 )</f>
        <v>0</v>
      </c>
      <c r="CT12" s="252">
        <f t="shared" ref="CT12:CT17" si="84" xml:space="preserve"> IF( OR(ISNUMBER(I12 ),I$8=""), 0, 1 )</f>
        <v>0</v>
      </c>
      <c r="CU12" s="252">
        <f t="shared" ref="CU12:CU17" si="85" xml:space="preserve"> IF( OR(ISNUMBER(J12 ),J$8=""), 0, 1 )</f>
        <v>0</v>
      </c>
      <c r="CV12" s="252">
        <f t="shared" ref="CV12:CV17" si="86" xml:space="preserve"> IF( OR(ISNUMBER(K12 ),K$8=""), 0, 1 )</f>
        <v>0</v>
      </c>
      <c r="CW12" s="252">
        <f t="shared" ref="CW12:CW17" si="87" xml:space="preserve"> IF( OR(ISNUMBER(L12 ),L$8=""), 0, 1 )</f>
        <v>0</v>
      </c>
      <c r="CX12" s="252">
        <f t="shared" ref="CX12:CX17" si="88" xml:space="preserve"> IF( OR(ISNUMBER(M12 ),M$8=""), 0, 1 )</f>
        <v>0</v>
      </c>
      <c r="CY12" s="252">
        <f t="shared" ref="CY12:CY17" si="89" xml:space="preserve"> IF( OR(ISNUMBER(N12 ),N$8=""), 0, 1 )</f>
        <v>0</v>
      </c>
      <c r="CZ12" s="252">
        <f t="shared" ref="CZ12:CZ17" si="90" xml:space="preserve"> IF( OR(ISNUMBER(O12 ),O$8=""), 0, 1 )</f>
        <v>0</v>
      </c>
      <c r="DA12" s="252">
        <f t="shared" ref="DA12:DA17" si="91" xml:space="preserve"> IF( OR(ISNUMBER(P12 ),P$8=""), 0, 1 )</f>
        <v>0</v>
      </c>
      <c r="DB12" s="252">
        <f t="shared" ref="DB12:DB17" si="92" xml:space="preserve"> IF( OR(ISNUMBER(Q12 ),Q$8=""), 0, 1 )</f>
        <v>0</v>
      </c>
      <c r="DC12" s="252">
        <f t="shared" ref="DC12:DC17" si="93" xml:space="preserve"> IF( OR(ISNUMBER(R12 ),R$8=""), 0, 1 )</f>
        <v>0</v>
      </c>
      <c r="DD12" s="252">
        <f t="shared" ref="DD12:DD17" si="94" xml:space="preserve"> IF( OR(ISNUMBER(S12 ),S$8=""), 0, 1 )</f>
        <v>0</v>
      </c>
      <c r="DE12" s="252">
        <f t="shared" ref="DE12:DE17" si="95" xml:space="preserve"> IF( OR(ISNUMBER(T12 ),T$8=""), 0, 1 )</f>
        <v>0</v>
      </c>
      <c r="DF12" s="252">
        <f t="shared" ref="DF12:DF17" si="96" xml:space="preserve"> IF( OR(ISNUMBER(U12 ),U$8=""), 0, 1 )</f>
        <v>0</v>
      </c>
      <c r="DG12" s="252">
        <f t="shared" ref="DG12:DG17" si="97" xml:space="preserve"> IF( OR(ISNUMBER(V12 ),V$8=""), 0, 1 )</f>
        <v>0</v>
      </c>
      <c r="DH12" s="252">
        <f t="shared" ref="DH12:DH17" si="98" xml:space="preserve"> IF( OR(ISNUMBER(W12 ),W$8=""), 0, 1 )</f>
        <v>0</v>
      </c>
      <c r="DI12" s="252">
        <f t="shared" ref="DI12:DI17" si="99" xml:space="preserve"> IF( OR(ISNUMBER(X12 ),X$8=""), 0, 1 )</f>
        <v>0</v>
      </c>
      <c r="DJ12" s="252">
        <f t="shared" ref="DJ12:DJ17" si="100" xml:space="preserve"> IF( OR(ISNUMBER(Y12 ),Y$8=""), 0, 1 )</f>
        <v>0</v>
      </c>
      <c r="DK12" s="252">
        <f t="shared" ref="DK12:DK17" si="101" xml:space="preserve"> IF( OR(ISNUMBER(Z12 ),Z$8=""), 0, 1 )</f>
        <v>0</v>
      </c>
      <c r="DL12" s="252">
        <f t="shared" ref="DL12:DL17" si="102" xml:space="preserve"> IF( OR(ISNUMBER(AA12 ),AA$8=""), 0, 1 )</f>
        <v>0</v>
      </c>
      <c r="DM12" s="252">
        <f t="shared" ref="DM12:DM17" si="103" xml:space="preserve"> IF( OR(ISNUMBER(AB12 ),AB$8=""), 0, 1 )</f>
        <v>0</v>
      </c>
      <c r="DN12" s="252">
        <f t="shared" ref="DN12:DN17" si="104" xml:space="preserve"> IF( OR(ISNUMBER(AC12 ),AC$8=""), 0, 1 )</f>
        <v>0</v>
      </c>
      <c r="DO12" s="252">
        <f t="shared" ref="DO12:DO17" si="105" xml:space="preserve"> IF( OR(ISNUMBER(AD12 ),AD$8=""), 0, 1 )</f>
        <v>0</v>
      </c>
      <c r="DP12" s="252">
        <f t="shared" ref="DP12:DP17" si="106" xml:space="preserve"> IF( OR(ISNUMBER(AE12 ),AE$8=""), 0, 1 )</f>
        <v>0</v>
      </c>
      <c r="DQ12" s="252">
        <f t="shared" ref="DQ12:DQ17" si="107" xml:space="preserve"> IF( OR(ISNUMBER(AF12 ),AF$8=""), 0, 1 )</f>
        <v>0</v>
      </c>
      <c r="DR12" s="252">
        <f t="shared" ref="DR12:DR17" si="108" xml:space="preserve"> IF( OR(ISNUMBER(AG12 ),AG$8=""), 0, 1 )</f>
        <v>0</v>
      </c>
      <c r="DS12" s="252">
        <f t="shared" ref="DS12:DS17" si="109" xml:space="preserve"> IF( OR(ISNUMBER(AH12 ),AH$8=""), 0, 1 )</f>
        <v>0</v>
      </c>
      <c r="DT12" s="252">
        <f t="shared" ref="DT12:DT17" si="110" xml:space="preserve"> IF( OR(ISNUMBER(AI12 ),AI$8=""), 0, 1 )</f>
        <v>0</v>
      </c>
      <c r="DU12" s="252">
        <f t="shared" ref="DU12:DU17" si="111" xml:space="preserve"> IF( OR(ISNUMBER(AJ12 ),AJ$8=""), 0, 1 )</f>
        <v>0</v>
      </c>
      <c r="DV12" s="252">
        <f t="shared" ref="DV12:DV17" si="112" xml:space="preserve"> IF( OR(ISNUMBER(AK12 ),AK$8=""), 0, 1 )</f>
        <v>0</v>
      </c>
      <c r="DW12" s="252">
        <f t="shared" ref="DW12:DW17" si="113" xml:space="preserve"> IF( OR(ISNUMBER(AL12 ),AL$8=""), 0, 1 )</f>
        <v>0</v>
      </c>
      <c r="DX12" s="252">
        <f t="shared" ref="DX12:DX17" si="114" xml:space="preserve"> IF( OR(ISNUMBER(AM12 ),AM$8=""), 0, 1 )</f>
        <v>0</v>
      </c>
      <c r="DY12" s="252">
        <f t="shared" ref="DY12:DY17" si="115" xml:space="preserve"> IF( OR(ISNUMBER(AN12 ),AN$8=""), 0, 1 )</f>
        <v>0</v>
      </c>
      <c r="DZ12" s="252">
        <f t="shared" ref="DZ12:DZ17" si="116" xml:space="preserve"> IF( OR(ISNUMBER(AO12 ),AO$8=""), 0, 1 )</f>
        <v>0</v>
      </c>
      <c r="EA12" s="252">
        <f t="shared" ref="EA12:EA17" si="117" xml:space="preserve"> IF( OR(ISNUMBER(AP12 ),AP$8=""), 0, 1 )</f>
        <v>0</v>
      </c>
      <c r="EB12" s="252">
        <f t="shared" ref="EB12:EB17" si="118" xml:space="preserve"> IF( OR(ISNUMBER(AQ12 ),AQ$8=""), 0, 1 )</f>
        <v>0</v>
      </c>
      <c r="EC12" s="252">
        <f t="shared" ref="EC12:EC17" si="119" xml:space="preserve"> IF( OR(ISNUMBER(AR12 ),AR$8=""), 0, 1 )</f>
        <v>0</v>
      </c>
      <c r="ED12" s="252">
        <f t="shared" ref="ED12:ED17" si="120" xml:space="preserve"> IF( OR(ISNUMBER(AS12 ),AS$8=""), 0, 1 )</f>
        <v>0</v>
      </c>
      <c r="EE12" s="252">
        <f t="shared" ref="EE12:EE17" si="121" xml:space="preserve"> IF( OR(ISNUMBER(AT12 ),AT$8=""), 0, 1 )</f>
        <v>0</v>
      </c>
      <c r="EF12" s="252">
        <f t="shared" ref="EF12:EF17" si="122" xml:space="preserve"> IF( OR(ISNUMBER(AU12 ),AU$8=""), 0, 1 )</f>
        <v>0</v>
      </c>
      <c r="EG12" s="252">
        <f t="shared" ref="EG12:EG17" si="123" xml:space="preserve"> IF( OR(ISNUMBER(AV12 ),AV$8=""), 0, 1 )</f>
        <v>0</v>
      </c>
      <c r="EH12" s="252">
        <f t="shared" ref="EH12:EH17" si="124" xml:space="preserve"> IF( OR(ISNUMBER(AW12 ),AW$8=""), 0, 1 )</f>
        <v>0</v>
      </c>
      <c r="EI12" s="252">
        <f t="shared" ref="EI12:EI17" si="125" xml:space="preserve"> IF( OR(ISNUMBER(AX12 ),AX$8=""), 0, 1 )</f>
        <v>0</v>
      </c>
      <c r="EJ12" s="252">
        <f t="shared" ref="EJ12:EJ17" si="126" xml:space="preserve"> IF( OR(ISNUMBER(AY12 ),AY$8=""), 0, 1 )</f>
        <v>0</v>
      </c>
      <c r="EK12" s="252">
        <f t="shared" ref="EK12:EK17" si="127" xml:space="preserve"> IF( OR(ISNUMBER(AZ12 ),AZ$8=""), 0, 1 )</f>
        <v>0</v>
      </c>
      <c r="EL12" s="252">
        <f t="shared" ref="EL12:EL17" si="128" xml:space="preserve"> IF( OR(ISNUMBER(BA12 ),BA$8=""), 0, 1 )</f>
        <v>0</v>
      </c>
      <c r="EM12" s="252">
        <f t="shared" ref="EM12:EM17" si="129" xml:space="preserve"> IF( OR(ISNUMBER(BB12 ),BB$8=""), 0, 1 )</f>
        <v>0</v>
      </c>
      <c r="EN12" s="252">
        <f t="shared" ref="EN12:EN17" si="130" xml:space="preserve"> IF( OR(ISNUMBER(BC12 ),BC$8=""), 0, 1 )</f>
        <v>0</v>
      </c>
      <c r="EO12" s="252">
        <f t="shared" ref="EO12:EO17" si="131" xml:space="preserve"> IF( OR(ISNUMBER(BD12 ),BD$8=""), 0, 1 )</f>
        <v>0</v>
      </c>
      <c r="EP12" s="252">
        <f t="shared" ref="EP12:EP17" si="132" xml:space="preserve"> IF( OR(ISNUMBER(BE12 ),BE$8=""), 0, 1 )</f>
        <v>0</v>
      </c>
      <c r="EQ12" s="252">
        <f t="shared" ref="EQ12:EQ17" si="133" xml:space="preserve"> IF( OR(ISNUMBER(BF12 ),BF$8=""), 0, 1 )</f>
        <v>0</v>
      </c>
      <c r="ER12" s="252">
        <f t="shared" ref="ER12:ER17" si="134" xml:space="preserve"> IF( OR(ISNUMBER(BG12 ),BG$8=""), 0, 1 )</f>
        <v>0</v>
      </c>
      <c r="ES12" s="252">
        <f t="shared" ref="ES12:ES17" si="135" xml:space="preserve"> IF( OR(ISNUMBER(BH12 ),BH$8=""), 0, 1 )</f>
        <v>0</v>
      </c>
      <c r="ET12" s="252">
        <f t="shared" ref="ET12:ET17" si="136" xml:space="preserve"> IF( OR(ISNUMBER(BI12 ),BI$8=""), 0, 1 )</f>
        <v>0</v>
      </c>
      <c r="EU12" s="252">
        <f t="shared" ref="EU12:EU17" si="137" xml:space="preserve"> IF( OR(ISNUMBER(BJ12 ),BJ$8=""), 0, 1 )</f>
        <v>0</v>
      </c>
      <c r="EV12" s="252">
        <f t="shared" ref="EV12:EV17" si="138" xml:space="preserve"> IF( OR(ISNUMBER(BK12 ),BK$8=""), 0, 1 )</f>
        <v>0</v>
      </c>
      <c r="EW12" s="252">
        <f t="shared" ref="EW12:EW17" si="139" xml:space="preserve"> IF( OR(ISNUMBER(BL12 ),BL$8=""), 0, 1 )</f>
        <v>0</v>
      </c>
      <c r="EX12" s="252">
        <f t="shared" ref="EX12:EX17" si="140" xml:space="preserve"> IF( OR(ISNUMBER(BM12 ),BM$8=""), 0, 1 )</f>
        <v>0</v>
      </c>
      <c r="EY12" s="252">
        <f t="shared" ref="EY12:EY17" si="141" xml:space="preserve"> IF( OR(ISNUMBER(BN12 ),BN$8=""), 0, 1 )</f>
        <v>0</v>
      </c>
      <c r="EZ12" s="252">
        <f t="shared" ref="EZ12:EZ17" si="142" xml:space="preserve"> IF( OR(ISNUMBER(BO12 ),BO$8=""), 0, 1 )</f>
        <v>0</v>
      </c>
      <c r="FA12" s="252">
        <f t="shared" ref="FA12:FA17" si="143" xml:space="preserve"> IF( OR(ISNUMBER(BP12 ),BP$8=""), 0, 1 )</f>
        <v>0</v>
      </c>
      <c r="FB12" s="252">
        <f t="shared" ref="FB12:FB17" si="144" xml:space="preserve"> IF( OR(ISNUMBER(BQ12 ),BQ$8=""), 0, 1 )</f>
        <v>0</v>
      </c>
      <c r="FC12" s="252">
        <f t="shared" ref="FC12:FC17" si="145" xml:space="preserve"> IF( OR(ISNUMBER(BR12 ),BR$8=""), 0, 1 )</f>
        <v>0</v>
      </c>
      <c r="FD12" s="252">
        <f t="shared" ref="FD12:FD17" si="146" xml:space="preserve"> IF( OR(ISNUMBER(BS12 ),BS$8=""), 0, 1 )</f>
        <v>0</v>
      </c>
      <c r="FE12" s="252">
        <f t="shared" ref="FE12:FE17" si="147" xml:space="preserve"> IF( OR(ISNUMBER(BT12 ),BT$8=""), 0, 1 )</f>
        <v>0</v>
      </c>
      <c r="FF12" s="252">
        <f t="shared" ref="FF12:FF17" si="148" xml:space="preserve"> IF( OR(ISNUMBER(BU12 ),BU$8=""), 0, 1 )</f>
        <v>0</v>
      </c>
      <c r="FG12" s="252">
        <f t="shared" ref="FG12:FG17" si="149" xml:space="preserve"> IF( OR(ISNUMBER(BV12 ),BV$8=""), 0, 1 )</f>
        <v>0</v>
      </c>
      <c r="FH12" s="252">
        <f t="shared" ref="FH12:FH17" si="150" xml:space="preserve"> IF( OR(ISNUMBER(BW12 ),BW$8=""), 0, 1 )</f>
        <v>0</v>
      </c>
      <c r="FI12" s="252">
        <f t="shared" ref="FI12:FI17" si="151" xml:space="preserve"> IF( OR(ISNUMBER(BX12 ),BX$8=""), 0, 1 )</f>
        <v>0</v>
      </c>
      <c r="FJ12" s="252">
        <f t="shared" ref="FJ12:FJ17" si="152" xml:space="preserve"> IF( OR(ISNUMBER(BY12 ),BY$8=""), 0, 1 )</f>
        <v>0</v>
      </c>
      <c r="FK12" s="252">
        <f t="shared" ref="FK12:FK17" si="153" xml:space="preserve"> IF( OR(ISNUMBER(BZ12 ),BZ$8=""), 0, 1 )</f>
        <v>0</v>
      </c>
      <c r="FL12" s="252">
        <f t="shared" ref="FL12:FL17" si="154" xml:space="preserve"> IF( OR(ISNUMBER(CA12 ),CA$8=""), 0, 1 )</f>
        <v>0</v>
      </c>
      <c r="FM12" s="252">
        <f t="shared" ref="FM12:FM17" si="155" xml:space="preserve"> IF( OR(ISNUMBER(CB12 ),CB$8=""), 0, 1 )</f>
        <v>0</v>
      </c>
      <c r="FN12" s="252">
        <f t="shared" ref="FN12:FN17" si="156" xml:space="preserve"> IF( OR(ISNUMBER(CC12 ),CC$8=""), 0, 1 )</f>
        <v>0</v>
      </c>
      <c r="FO12" s="252">
        <f t="shared" ref="FO12:FO17" si="157" xml:space="preserve"> IF( OR(ISNUMBER(CD12 ),CD$8=""), 0, 1 )</f>
        <v>0</v>
      </c>
      <c r="FP12" s="252">
        <f t="shared" ref="FP12:FP17" si="158" xml:space="preserve"> IF( OR(ISNUMBER(CE12 ),CE$8=""), 0, 1 )</f>
        <v>0</v>
      </c>
      <c r="FQ12" s="252">
        <f t="shared" ref="FQ12:FQ17" si="159" xml:space="preserve"> IF( OR(ISNUMBER(CF12 ),CF$8=""), 0, 1 )</f>
        <v>0</v>
      </c>
      <c r="FR12" s="2560"/>
      <c r="FS12" s="2589"/>
      <c r="FT12" s="1615"/>
    </row>
    <row r="13" spans="2:177" s="197" customFormat="1" ht="15.75" customHeight="1">
      <c r="B13" s="422" t="s">
        <v>11210</v>
      </c>
      <c r="C13" s="253" t="s">
        <v>11211</v>
      </c>
      <c r="D13" s="253">
        <v>0</v>
      </c>
      <c r="E13" s="1601">
        <v>40</v>
      </c>
      <c r="F13" s="1601">
        <v>60</v>
      </c>
      <c r="G13" s="1601">
        <v>30</v>
      </c>
      <c r="H13" s="1601">
        <v>20</v>
      </c>
      <c r="I13" s="1601">
        <v>60</v>
      </c>
      <c r="J13" s="1601">
        <v>30</v>
      </c>
      <c r="K13" s="1601">
        <v>30</v>
      </c>
      <c r="L13" s="1601">
        <v>65</v>
      </c>
      <c r="M13" s="1601">
        <v>30</v>
      </c>
      <c r="N13" s="1601">
        <v>35</v>
      </c>
      <c r="O13" s="1601">
        <v>65</v>
      </c>
      <c r="P13" s="1601">
        <v>75</v>
      </c>
      <c r="Q13" s="1601">
        <v>30</v>
      </c>
      <c r="R13" s="1601">
        <v>40</v>
      </c>
      <c r="S13" s="1601">
        <v>30</v>
      </c>
      <c r="T13" s="1601" t="s">
        <v>4435</v>
      </c>
      <c r="U13" s="1601">
        <v>45</v>
      </c>
      <c r="V13" s="1601">
        <v>50</v>
      </c>
      <c r="W13" s="1601">
        <v>45</v>
      </c>
      <c r="X13" s="1601">
        <v>40</v>
      </c>
      <c r="Y13" s="1601">
        <v>50</v>
      </c>
      <c r="Z13" s="1601">
        <v>70</v>
      </c>
      <c r="AA13" s="1601">
        <v>40</v>
      </c>
      <c r="AB13" s="1601">
        <v>25</v>
      </c>
      <c r="AC13" s="1601">
        <v>50</v>
      </c>
      <c r="AD13" s="1601">
        <v>50</v>
      </c>
      <c r="AE13" s="1601">
        <v>60</v>
      </c>
      <c r="AF13" s="1601">
        <v>60</v>
      </c>
      <c r="AG13" s="1601">
        <v>30</v>
      </c>
      <c r="AH13" s="1601">
        <v>25</v>
      </c>
      <c r="AI13" s="1601">
        <v>35</v>
      </c>
      <c r="AJ13" s="1601">
        <v>150</v>
      </c>
      <c r="AK13" s="1601">
        <v>30</v>
      </c>
      <c r="AL13" s="1601">
        <v>40</v>
      </c>
      <c r="AM13" s="1601">
        <v>55</v>
      </c>
      <c r="AN13" s="1601"/>
      <c r="AO13" s="1601"/>
      <c r="AP13" s="1601"/>
      <c r="AQ13" s="1601"/>
      <c r="AR13" s="1601"/>
      <c r="AS13" s="1601"/>
      <c r="AT13" s="1601"/>
      <c r="AU13" s="1601"/>
      <c r="AV13" s="1601"/>
      <c r="AW13" s="1601"/>
      <c r="AX13" s="1601"/>
      <c r="AY13" s="1601"/>
      <c r="AZ13" s="1601"/>
      <c r="BA13" s="1601"/>
      <c r="BB13" s="1601"/>
      <c r="BC13" s="1601"/>
      <c r="BD13" s="1601"/>
      <c r="BE13" s="1601"/>
      <c r="BF13" s="1601"/>
      <c r="BG13" s="1601"/>
      <c r="BH13" s="1601"/>
      <c r="BI13" s="1601"/>
      <c r="BJ13" s="1601"/>
      <c r="BK13" s="1601"/>
      <c r="BL13" s="1601"/>
      <c r="BM13" s="1601"/>
      <c r="BN13" s="1601"/>
      <c r="BO13" s="1601"/>
      <c r="BP13" s="1601"/>
      <c r="BQ13" s="1601"/>
      <c r="BR13" s="1601"/>
      <c r="BS13" s="1601"/>
      <c r="BT13" s="1601"/>
      <c r="BU13" s="1601"/>
      <c r="BV13" s="1601"/>
      <c r="BW13" s="1601"/>
      <c r="BX13" s="1601"/>
      <c r="BY13" s="1601"/>
      <c r="BZ13" s="1601"/>
      <c r="CA13" s="1601"/>
      <c r="CB13" s="1601"/>
      <c r="CC13" s="1601"/>
      <c r="CD13" s="1601"/>
      <c r="CE13" s="1601"/>
      <c r="CF13" s="1601"/>
      <c r="CG13" s="1604"/>
      <c r="CH13" s="228"/>
      <c r="CI13" s="936" t="s">
        <v>11212</v>
      </c>
      <c r="CK13" s="739"/>
      <c r="CM13" s="2589"/>
      <c r="CN13" s="1121"/>
      <c r="CO13" s="2589"/>
      <c r="CP13" s="252">
        <f t="shared" ref="CP13:CP17" si="160" xml:space="preserve"> IF( OR(ISNUMBER(E13 ),E$8=""), 0, 1 )</f>
        <v>0</v>
      </c>
      <c r="CQ13" s="252">
        <f t="shared" si="81"/>
        <v>0</v>
      </c>
      <c r="CR13" s="252">
        <f t="shared" si="82"/>
        <v>0</v>
      </c>
      <c r="CS13" s="252">
        <f t="shared" si="83"/>
        <v>0</v>
      </c>
      <c r="CT13" s="252">
        <f t="shared" si="84"/>
        <v>0</v>
      </c>
      <c r="CU13" s="252">
        <f t="shared" si="85"/>
        <v>0</v>
      </c>
      <c r="CV13" s="252">
        <f t="shared" si="86"/>
        <v>0</v>
      </c>
      <c r="CW13" s="252">
        <f t="shared" si="87"/>
        <v>0</v>
      </c>
      <c r="CX13" s="252">
        <f t="shared" si="88"/>
        <v>0</v>
      </c>
      <c r="CY13" s="252">
        <f t="shared" si="89"/>
        <v>0</v>
      </c>
      <c r="CZ13" s="252">
        <f t="shared" si="90"/>
        <v>0</v>
      </c>
      <c r="DA13" s="252">
        <f t="shared" si="91"/>
        <v>0</v>
      </c>
      <c r="DB13" s="252">
        <f t="shared" si="92"/>
        <v>0</v>
      </c>
      <c r="DC13" s="252">
        <f t="shared" si="93"/>
        <v>0</v>
      </c>
      <c r="DD13" s="252">
        <f t="shared" si="94"/>
        <v>0</v>
      </c>
      <c r="DE13" s="252">
        <f t="shared" si="95"/>
        <v>1</v>
      </c>
      <c r="DF13" s="252">
        <f t="shared" si="96"/>
        <v>0</v>
      </c>
      <c r="DG13" s="252">
        <f t="shared" si="97"/>
        <v>0</v>
      </c>
      <c r="DH13" s="252">
        <f t="shared" si="98"/>
        <v>0</v>
      </c>
      <c r="DI13" s="252">
        <f t="shared" si="99"/>
        <v>0</v>
      </c>
      <c r="DJ13" s="252">
        <f t="shared" si="100"/>
        <v>0</v>
      </c>
      <c r="DK13" s="252">
        <f t="shared" si="101"/>
        <v>0</v>
      </c>
      <c r="DL13" s="252">
        <f t="shared" si="102"/>
        <v>0</v>
      </c>
      <c r="DM13" s="252">
        <f t="shared" si="103"/>
        <v>0</v>
      </c>
      <c r="DN13" s="252">
        <f t="shared" si="104"/>
        <v>0</v>
      </c>
      <c r="DO13" s="252">
        <f t="shared" si="105"/>
        <v>0</v>
      </c>
      <c r="DP13" s="252">
        <f t="shared" si="106"/>
        <v>0</v>
      </c>
      <c r="DQ13" s="252">
        <f t="shared" si="107"/>
        <v>0</v>
      </c>
      <c r="DR13" s="252">
        <f t="shared" si="108"/>
        <v>0</v>
      </c>
      <c r="DS13" s="252">
        <f t="shared" si="109"/>
        <v>0</v>
      </c>
      <c r="DT13" s="252">
        <f t="shared" si="110"/>
        <v>0</v>
      </c>
      <c r="DU13" s="252">
        <f t="shared" si="111"/>
        <v>0</v>
      </c>
      <c r="DV13" s="252">
        <f t="shared" si="112"/>
        <v>0</v>
      </c>
      <c r="DW13" s="252">
        <f t="shared" si="113"/>
        <v>0</v>
      </c>
      <c r="DX13" s="252">
        <f t="shared" si="114"/>
        <v>0</v>
      </c>
      <c r="DY13" s="252">
        <f t="shared" si="115"/>
        <v>0</v>
      </c>
      <c r="DZ13" s="252">
        <f t="shared" si="116"/>
        <v>0</v>
      </c>
      <c r="EA13" s="252">
        <f t="shared" si="117"/>
        <v>0</v>
      </c>
      <c r="EB13" s="252">
        <f t="shared" si="118"/>
        <v>0</v>
      </c>
      <c r="EC13" s="252">
        <f t="shared" si="119"/>
        <v>0</v>
      </c>
      <c r="ED13" s="252">
        <f t="shared" si="120"/>
        <v>0</v>
      </c>
      <c r="EE13" s="252">
        <f t="shared" si="121"/>
        <v>0</v>
      </c>
      <c r="EF13" s="252">
        <f t="shared" si="122"/>
        <v>0</v>
      </c>
      <c r="EG13" s="252">
        <f t="shared" si="123"/>
        <v>0</v>
      </c>
      <c r="EH13" s="252">
        <f t="shared" si="124"/>
        <v>0</v>
      </c>
      <c r="EI13" s="252">
        <f t="shared" si="125"/>
        <v>0</v>
      </c>
      <c r="EJ13" s="252">
        <f t="shared" si="126"/>
        <v>0</v>
      </c>
      <c r="EK13" s="252">
        <f t="shared" si="127"/>
        <v>0</v>
      </c>
      <c r="EL13" s="252">
        <f t="shared" si="128"/>
        <v>0</v>
      </c>
      <c r="EM13" s="252">
        <f t="shared" si="129"/>
        <v>0</v>
      </c>
      <c r="EN13" s="252">
        <f t="shared" si="130"/>
        <v>0</v>
      </c>
      <c r="EO13" s="252">
        <f t="shared" si="131"/>
        <v>0</v>
      </c>
      <c r="EP13" s="252">
        <f t="shared" si="132"/>
        <v>0</v>
      </c>
      <c r="EQ13" s="252">
        <f t="shared" si="133"/>
        <v>0</v>
      </c>
      <c r="ER13" s="252">
        <f t="shared" si="134"/>
        <v>0</v>
      </c>
      <c r="ES13" s="252">
        <f t="shared" si="135"/>
        <v>0</v>
      </c>
      <c r="ET13" s="252">
        <f t="shared" si="136"/>
        <v>0</v>
      </c>
      <c r="EU13" s="252">
        <f t="shared" si="137"/>
        <v>0</v>
      </c>
      <c r="EV13" s="252">
        <f t="shared" si="138"/>
        <v>0</v>
      </c>
      <c r="EW13" s="252">
        <f t="shared" si="139"/>
        <v>0</v>
      </c>
      <c r="EX13" s="252">
        <f t="shared" si="140"/>
        <v>0</v>
      </c>
      <c r="EY13" s="252">
        <f t="shared" si="141"/>
        <v>0</v>
      </c>
      <c r="EZ13" s="252">
        <f t="shared" si="142"/>
        <v>0</v>
      </c>
      <c r="FA13" s="252">
        <f t="shared" si="143"/>
        <v>0</v>
      </c>
      <c r="FB13" s="252">
        <f t="shared" si="144"/>
        <v>0</v>
      </c>
      <c r="FC13" s="252">
        <f t="shared" si="145"/>
        <v>0</v>
      </c>
      <c r="FD13" s="252">
        <f t="shared" si="146"/>
        <v>0</v>
      </c>
      <c r="FE13" s="252">
        <f t="shared" si="147"/>
        <v>0</v>
      </c>
      <c r="FF13" s="252">
        <f t="shared" si="148"/>
        <v>0</v>
      </c>
      <c r="FG13" s="252">
        <f t="shared" si="149"/>
        <v>0</v>
      </c>
      <c r="FH13" s="252">
        <f t="shared" si="150"/>
        <v>0</v>
      </c>
      <c r="FI13" s="252">
        <f t="shared" si="151"/>
        <v>0</v>
      </c>
      <c r="FJ13" s="252">
        <f t="shared" si="152"/>
        <v>0</v>
      </c>
      <c r="FK13" s="252">
        <f t="shared" si="153"/>
        <v>0</v>
      </c>
      <c r="FL13" s="252">
        <f t="shared" si="154"/>
        <v>0</v>
      </c>
      <c r="FM13" s="252">
        <f t="shared" si="155"/>
        <v>0</v>
      </c>
      <c r="FN13" s="252">
        <f t="shared" si="156"/>
        <v>0</v>
      </c>
      <c r="FO13" s="252">
        <f t="shared" si="157"/>
        <v>0</v>
      </c>
      <c r="FP13" s="252">
        <f t="shared" si="158"/>
        <v>0</v>
      </c>
      <c r="FQ13" s="252">
        <f t="shared" si="159"/>
        <v>0</v>
      </c>
      <c r="FR13" s="2560"/>
      <c r="FS13" s="2589"/>
      <c r="FT13" s="1604"/>
    </row>
    <row r="14" spans="2:177" s="197" customFormat="1" ht="15.75" customHeight="1">
      <c r="B14" s="422" t="s">
        <v>11213</v>
      </c>
      <c r="C14" s="253" t="s">
        <v>11211</v>
      </c>
      <c r="D14" s="253">
        <v>0</v>
      </c>
      <c r="E14" s="1601">
        <v>30</v>
      </c>
      <c r="F14" s="1601">
        <v>40</v>
      </c>
      <c r="G14" s="1601">
        <v>15</v>
      </c>
      <c r="H14" s="1601">
        <v>10</v>
      </c>
      <c r="I14" s="1601"/>
      <c r="J14" s="1601">
        <v>20</v>
      </c>
      <c r="K14" s="1601">
        <v>20</v>
      </c>
      <c r="L14" s="1601">
        <v>45</v>
      </c>
      <c r="M14" s="1601">
        <v>20</v>
      </c>
      <c r="N14" s="1601">
        <v>25</v>
      </c>
      <c r="O14" s="1601">
        <v>38</v>
      </c>
      <c r="P14" s="1601">
        <v>40</v>
      </c>
      <c r="Q14" s="1601">
        <v>13</v>
      </c>
      <c r="R14" s="1601">
        <v>14</v>
      </c>
      <c r="S14" s="1601">
        <v>20</v>
      </c>
      <c r="T14" s="1601" t="s">
        <v>4435</v>
      </c>
      <c r="U14" s="1601">
        <v>25</v>
      </c>
      <c r="V14" s="1601">
        <v>18</v>
      </c>
      <c r="W14" s="1601">
        <v>25</v>
      </c>
      <c r="X14" s="1601">
        <v>20</v>
      </c>
      <c r="Y14" s="1601">
        <v>25</v>
      </c>
      <c r="Z14" s="1601">
        <v>21</v>
      </c>
      <c r="AA14" s="1601">
        <v>35</v>
      </c>
      <c r="AB14" s="1601">
        <v>15</v>
      </c>
      <c r="AC14" s="1601">
        <v>30</v>
      </c>
      <c r="AD14" s="1601">
        <v>35</v>
      </c>
      <c r="AE14" s="1601">
        <v>40</v>
      </c>
      <c r="AF14" s="1601"/>
      <c r="AG14" s="1601">
        <v>15</v>
      </c>
      <c r="AH14" s="1601">
        <v>15</v>
      </c>
      <c r="AI14" s="1601">
        <v>25</v>
      </c>
      <c r="AJ14" s="1601">
        <v>150</v>
      </c>
      <c r="AK14" s="1601">
        <v>14</v>
      </c>
      <c r="AL14" s="1601">
        <v>20</v>
      </c>
      <c r="AM14" s="1601">
        <v>35</v>
      </c>
      <c r="AN14" s="1601"/>
      <c r="AO14" s="1601"/>
      <c r="AP14" s="1601"/>
      <c r="AQ14" s="1601"/>
      <c r="AR14" s="1601"/>
      <c r="AS14" s="1601"/>
      <c r="AT14" s="1601"/>
      <c r="AU14" s="1601"/>
      <c r="AV14" s="1601"/>
      <c r="AW14" s="1601"/>
      <c r="AX14" s="1601"/>
      <c r="AY14" s="1601"/>
      <c r="AZ14" s="1601"/>
      <c r="BA14" s="1601"/>
      <c r="BB14" s="1601"/>
      <c r="BC14" s="1601"/>
      <c r="BD14" s="1601"/>
      <c r="BE14" s="1601"/>
      <c r="BF14" s="1601"/>
      <c r="BG14" s="1601"/>
      <c r="BH14" s="1601"/>
      <c r="BI14" s="1601"/>
      <c r="BJ14" s="1601"/>
      <c r="BK14" s="1601"/>
      <c r="BL14" s="1601"/>
      <c r="BM14" s="1601"/>
      <c r="BN14" s="1601"/>
      <c r="BO14" s="1601"/>
      <c r="BP14" s="1601"/>
      <c r="BQ14" s="1601"/>
      <c r="BR14" s="1601"/>
      <c r="BS14" s="1601"/>
      <c r="BT14" s="1601"/>
      <c r="BU14" s="1601"/>
      <c r="BV14" s="1601"/>
      <c r="BW14" s="1601"/>
      <c r="BX14" s="1601"/>
      <c r="BY14" s="1601"/>
      <c r="BZ14" s="1601"/>
      <c r="CA14" s="1601"/>
      <c r="CB14" s="1601"/>
      <c r="CC14" s="1601"/>
      <c r="CD14" s="1601"/>
      <c r="CE14" s="1601"/>
      <c r="CF14" s="1601"/>
      <c r="CG14" s="1604"/>
      <c r="CH14" s="228"/>
      <c r="CI14" s="936" t="s">
        <v>11214</v>
      </c>
      <c r="CK14" s="739"/>
      <c r="CM14" s="2589"/>
      <c r="CN14" s="1121"/>
      <c r="CO14" s="2589"/>
      <c r="CP14" s="252">
        <f t="shared" si="160"/>
        <v>0</v>
      </c>
      <c r="CQ14" s="252">
        <f t="shared" si="81"/>
        <v>0</v>
      </c>
      <c r="CR14" s="252">
        <f t="shared" si="82"/>
        <v>0</v>
      </c>
      <c r="CS14" s="252">
        <f t="shared" si="83"/>
        <v>0</v>
      </c>
      <c r="CT14" s="252">
        <f t="shared" si="84"/>
        <v>1</v>
      </c>
      <c r="CU14" s="252">
        <f t="shared" si="85"/>
        <v>0</v>
      </c>
      <c r="CV14" s="252">
        <f t="shared" si="86"/>
        <v>0</v>
      </c>
      <c r="CW14" s="252">
        <f t="shared" si="87"/>
        <v>0</v>
      </c>
      <c r="CX14" s="252">
        <f t="shared" si="88"/>
        <v>0</v>
      </c>
      <c r="CY14" s="252">
        <f t="shared" si="89"/>
        <v>0</v>
      </c>
      <c r="CZ14" s="252">
        <f t="shared" si="90"/>
        <v>0</v>
      </c>
      <c r="DA14" s="252">
        <f t="shared" si="91"/>
        <v>0</v>
      </c>
      <c r="DB14" s="252">
        <f t="shared" si="92"/>
        <v>0</v>
      </c>
      <c r="DC14" s="252">
        <f t="shared" si="93"/>
        <v>0</v>
      </c>
      <c r="DD14" s="252">
        <f t="shared" si="94"/>
        <v>0</v>
      </c>
      <c r="DE14" s="252">
        <f t="shared" si="95"/>
        <v>1</v>
      </c>
      <c r="DF14" s="252">
        <f t="shared" si="96"/>
        <v>0</v>
      </c>
      <c r="DG14" s="252">
        <f t="shared" si="97"/>
        <v>0</v>
      </c>
      <c r="DH14" s="252">
        <f t="shared" si="98"/>
        <v>0</v>
      </c>
      <c r="DI14" s="252">
        <f t="shared" si="99"/>
        <v>0</v>
      </c>
      <c r="DJ14" s="252">
        <f t="shared" si="100"/>
        <v>0</v>
      </c>
      <c r="DK14" s="252">
        <f t="shared" si="101"/>
        <v>0</v>
      </c>
      <c r="DL14" s="252">
        <f t="shared" si="102"/>
        <v>0</v>
      </c>
      <c r="DM14" s="252">
        <f t="shared" si="103"/>
        <v>0</v>
      </c>
      <c r="DN14" s="252">
        <f t="shared" si="104"/>
        <v>0</v>
      </c>
      <c r="DO14" s="252">
        <f t="shared" si="105"/>
        <v>0</v>
      </c>
      <c r="DP14" s="252">
        <f t="shared" si="106"/>
        <v>0</v>
      </c>
      <c r="DQ14" s="252">
        <f t="shared" si="107"/>
        <v>1</v>
      </c>
      <c r="DR14" s="252">
        <f t="shared" si="108"/>
        <v>0</v>
      </c>
      <c r="DS14" s="252">
        <f t="shared" si="109"/>
        <v>0</v>
      </c>
      <c r="DT14" s="252">
        <f t="shared" si="110"/>
        <v>0</v>
      </c>
      <c r="DU14" s="252">
        <f t="shared" si="111"/>
        <v>0</v>
      </c>
      <c r="DV14" s="252">
        <f t="shared" si="112"/>
        <v>0</v>
      </c>
      <c r="DW14" s="252">
        <f t="shared" si="113"/>
        <v>0</v>
      </c>
      <c r="DX14" s="252">
        <f t="shared" si="114"/>
        <v>0</v>
      </c>
      <c r="DY14" s="252">
        <f t="shared" si="115"/>
        <v>0</v>
      </c>
      <c r="DZ14" s="252">
        <f t="shared" si="116"/>
        <v>0</v>
      </c>
      <c r="EA14" s="252">
        <f t="shared" si="117"/>
        <v>0</v>
      </c>
      <c r="EB14" s="252">
        <f t="shared" si="118"/>
        <v>0</v>
      </c>
      <c r="EC14" s="252">
        <f t="shared" si="119"/>
        <v>0</v>
      </c>
      <c r="ED14" s="252">
        <f t="shared" si="120"/>
        <v>0</v>
      </c>
      <c r="EE14" s="252">
        <f t="shared" si="121"/>
        <v>0</v>
      </c>
      <c r="EF14" s="252">
        <f t="shared" si="122"/>
        <v>0</v>
      </c>
      <c r="EG14" s="252">
        <f t="shared" si="123"/>
        <v>0</v>
      </c>
      <c r="EH14" s="252">
        <f t="shared" si="124"/>
        <v>0</v>
      </c>
      <c r="EI14" s="252">
        <f t="shared" si="125"/>
        <v>0</v>
      </c>
      <c r="EJ14" s="252">
        <f t="shared" si="126"/>
        <v>0</v>
      </c>
      <c r="EK14" s="252">
        <f t="shared" si="127"/>
        <v>0</v>
      </c>
      <c r="EL14" s="252">
        <f t="shared" si="128"/>
        <v>0</v>
      </c>
      <c r="EM14" s="252">
        <f t="shared" si="129"/>
        <v>0</v>
      </c>
      <c r="EN14" s="252">
        <f t="shared" si="130"/>
        <v>0</v>
      </c>
      <c r="EO14" s="252">
        <f t="shared" si="131"/>
        <v>0</v>
      </c>
      <c r="EP14" s="252">
        <f t="shared" si="132"/>
        <v>0</v>
      </c>
      <c r="EQ14" s="252">
        <f t="shared" si="133"/>
        <v>0</v>
      </c>
      <c r="ER14" s="252">
        <f t="shared" si="134"/>
        <v>0</v>
      </c>
      <c r="ES14" s="252">
        <f t="shared" si="135"/>
        <v>0</v>
      </c>
      <c r="ET14" s="252">
        <f t="shared" si="136"/>
        <v>0</v>
      </c>
      <c r="EU14" s="252">
        <f t="shared" si="137"/>
        <v>0</v>
      </c>
      <c r="EV14" s="252">
        <f t="shared" si="138"/>
        <v>0</v>
      </c>
      <c r="EW14" s="252">
        <f t="shared" si="139"/>
        <v>0</v>
      </c>
      <c r="EX14" s="252">
        <f t="shared" si="140"/>
        <v>0</v>
      </c>
      <c r="EY14" s="252">
        <f t="shared" si="141"/>
        <v>0</v>
      </c>
      <c r="EZ14" s="252">
        <f t="shared" si="142"/>
        <v>0</v>
      </c>
      <c r="FA14" s="252">
        <f t="shared" si="143"/>
        <v>0</v>
      </c>
      <c r="FB14" s="252">
        <f t="shared" si="144"/>
        <v>0</v>
      </c>
      <c r="FC14" s="252">
        <f t="shared" si="145"/>
        <v>0</v>
      </c>
      <c r="FD14" s="252">
        <f t="shared" si="146"/>
        <v>0</v>
      </c>
      <c r="FE14" s="252">
        <f t="shared" si="147"/>
        <v>0</v>
      </c>
      <c r="FF14" s="252">
        <f t="shared" si="148"/>
        <v>0</v>
      </c>
      <c r="FG14" s="252">
        <f t="shared" si="149"/>
        <v>0</v>
      </c>
      <c r="FH14" s="252">
        <f t="shared" si="150"/>
        <v>0</v>
      </c>
      <c r="FI14" s="252">
        <f t="shared" si="151"/>
        <v>0</v>
      </c>
      <c r="FJ14" s="252">
        <f t="shared" si="152"/>
        <v>0</v>
      </c>
      <c r="FK14" s="252">
        <f t="shared" si="153"/>
        <v>0</v>
      </c>
      <c r="FL14" s="252">
        <f t="shared" si="154"/>
        <v>0</v>
      </c>
      <c r="FM14" s="252">
        <f t="shared" si="155"/>
        <v>0</v>
      </c>
      <c r="FN14" s="252">
        <f t="shared" si="156"/>
        <v>0</v>
      </c>
      <c r="FO14" s="252">
        <f t="shared" si="157"/>
        <v>0</v>
      </c>
      <c r="FP14" s="252">
        <f t="shared" si="158"/>
        <v>0</v>
      </c>
      <c r="FQ14" s="252">
        <f t="shared" si="159"/>
        <v>0</v>
      </c>
      <c r="FR14" s="2560"/>
      <c r="FS14" s="2589"/>
      <c r="FT14" s="1604"/>
    </row>
    <row r="15" spans="2:177" s="197" customFormat="1" ht="15.75" customHeight="1">
      <c r="B15" s="422" t="s">
        <v>11215</v>
      </c>
      <c r="C15" s="253" t="s">
        <v>11211</v>
      </c>
      <c r="D15" s="253">
        <v>0</v>
      </c>
      <c r="E15" s="1601">
        <v>3</v>
      </c>
      <c r="F15" s="1601">
        <v>10</v>
      </c>
      <c r="G15" s="1601">
        <v>3</v>
      </c>
      <c r="H15" s="1601">
        <v>3</v>
      </c>
      <c r="I15" s="1601"/>
      <c r="J15" s="1601">
        <v>5</v>
      </c>
      <c r="K15" s="1601">
        <v>3</v>
      </c>
      <c r="L15" s="1601">
        <v>10</v>
      </c>
      <c r="M15" s="1601">
        <v>5</v>
      </c>
      <c r="N15" s="1601">
        <v>9</v>
      </c>
      <c r="O15" s="1601">
        <v>5</v>
      </c>
      <c r="P15" s="1601">
        <v>10</v>
      </c>
      <c r="Q15" s="1601">
        <v>6</v>
      </c>
      <c r="R15" s="1601">
        <v>10</v>
      </c>
      <c r="S15" s="1601">
        <v>3</v>
      </c>
      <c r="T15" s="1601" t="s">
        <v>4435</v>
      </c>
      <c r="U15" s="1601">
        <v>10</v>
      </c>
      <c r="V15" s="1601">
        <v>2</v>
      </c>
      <c r="W15" s="1601">
        <v>5</v>
      </c>
      <c r="X15" s="1601">
        <v>1</v>
      </c>
      <c r="Y15" s="1601">
        <v>11</v>
      </c>
      <c r="Z15" s="1601">
        <v>3</v>
      </c>
      <c r="AA15" s="1601">
        <v>14</v>
      </c>
      <c r="AB15" s="1601">
        <v>3</v>
      </c>
      <c r="AC15" s="1601">
        <v>21</v>
      </c>
      <c r="AD15" s="1601">
        <v>5</v>
      </c>
      <c r="AE15" s="1601">
        <v>10</v>
      </c>
      <c r="AF15" s="1601"/>
      <c r="AG15" s="1601">
        <v>5</v>
      </c>
      <c r="AH15" s="1601">
        <v>5</v>
      </c>
      <c r="AI15" s="1601">
        <v>8</v>
      </c>
      <c r="AJ15" s="1601">
        <v>50</v>
      </c>
      <c r="AK15" s="1601">
        <v>2</v>
      </c>
      <c r="AL15" s="1601">
        <v>3</v>
      </c>
      <c r="AM15" s="1601">
        <v>6</v>
      </c>
      <c r="AN15" s="1601"/>
      <c r="AO15" s="1601"/>
      <c r="AP15" s="1601"/>
      <c r="AQ15" s="1601"/>
      <c r="AR15" s="1601"/>
      <c r="AS15" s="1601"/>
      <c r="AT15" s="1601"/>
      <c r="AU15" s="1601"/>
      <c r="AV15" s="1601"/>
      <c r="AW15" s="1601"/>
      <c r="AX15" s="1601"/>
      <c r="AY15" s="1601"/>
      <c r="AZ15" s="1601"/>
      <c r="BA15" s="1601"/>
      <c r="BB15" s="1601"/>
      <c r="BC15" s="1601"/>
      <c r="BD15" s="1601"/>
      <c r="BE15" s="1601"/>
      <c r="BF15" s="1601"/>
      <c r="BG15" s="1601"/>
      <c r="BH15" s="1601"/>
      <c r="BI15" s="1601"/>
      <c r="BJ15" s="1601"/>
      <c r="BK15" s="1601"/>
      <c r="BL15" s="1601"/>
      <c r="BM15" s="1601"/>
      <c r="BN15" s="1601"/>
      <c r="BO15" s="1601"/>
      <c r="BP15" s="1601"/>
      <c r="BQ15" s="1601"/>
      <c r="BR15" s="1601"/>
      <c r="BS15" s="1601"/>
      <c r="BT15" s="1601"/>
      <c r="BU15" s="1601"/>
      <c r="BV15" s="1601"/>
      <c r="BW15" s="1601"/>
      <c r="BX15" s="1601"/>
      <c r="BY15" s="1601"/>
      <c r="BZ15" s="1601"/>
      <c r="CA15" s="1601"/>
      <c r="CB15" s="1601"/>
      <c r="CC15" s="1601"/>
      <c r="CD15" s="1601"/>
      <c r="CE15" s="1601"/>
      <c r="CF15" s="1601"/>
      <c r="CG15" s="1604"/>
      <c r="CH15" s="228"/>
      <c r="CI15" s="936" t="s">
        <v>11216</v>
      </c>
      <c r="CK15" s="739"/>
      <c r="CM15" s="2589"/>
      <c r="CN15" s="1121"/>
      <c r="CO15" s="2589"/>
      <c r="CP15" s="252">
        <f t="shared" si="160"/>
        <v>0</v>
      </c>
      <c r="CQ15" s="252">
        <f t="shared" si="81"/>
        <v>0</v>
      </c>
      <c r="CR15" s="252">
        <f t="shared" si="82"/>
        <v>0</v>
      </c>
      <c r="CS15" s="252">
        <f t="shared" si="83"/>
        <v>0</v>
      </c>
      <c r="CT15" s="252">
        <f t="shared" si="84"/>
        <v>1</v>
      </c>
      <c r="CU15" s="252">
        <f t="shared" si="85"/>
        <v>0</v>
      </c>
      <c r="CV15" s="252">
        <f t="shared" si="86"/>
        <v>0</v>
      </c>
      <c r="CW15" s="252">
        <f t="shared" si="87"/>
        <v>0</v>
      </c>
      <c r="CX15" s="252">
        <f t="shared" si="88"/>
        <v>0</v>
      </c>
      <c r="CY15" s="252">
        <f t="shared" si="89"/>
        <v>0</v>
      </c>
      <c r="CZ15" s="252">
        <f t="shared" si="90"/>
        <v>0</v>
      </c>
      <c r="DA15" s="252">
        <f t="shared" si="91"/>
        <v>0</v>
      </c>
      <c r="DB15" s="252">
        <f t="shared" si="92"/>
        <v>0</v>
      </c>
      <c r="DC15" s="252">
        <f t="shared" si="93"/>
        <v>0</v>
      </c>
      <c r="DD15" s="252">
        <f t="shared" si="94"/>
        <v>0</v>
      </c>
      <c r="DE15" s="252">
        <f t="shared" si="95"/>
        <v>1</v>
      </c>
      <c r="DF15" s="252">
        <f t="shared" si="96"/>
        <v>0</v>
      </c>
      <c r="DG15" s="252">
        <f t="shared" si="97"/>
        <v>0</v>
      </c>
      <c r="DH15" s="252">
        <f t="shared" si="98"/>
        <v>0</v>
      </c>
      <c r="DI15" s="252">
        <f t="shared" si="99"/>
        <v>0</v>
      </c>
      <c r="DJ15" s="252">
        <f t="shared" si="100"/>
        <v>0</v>
      </c>
      <c r="DK15" s="252">
        <f t="shared" si="101"/>
        <v>0</v>
      </c>
      <c r="DL15" s="252">
        <f t="shared" si="102"/>
        <v>0</v>
      </c>
      <c r="DM15" s="252">
        <f t="shared" si="103"/>
        <v>0</v>
      </c>
      <c r="DN15" s="252">
        <f t="shared" si="104"/>
        <v>0</v>
      </c>
      <c r="DO15" s="252">
        <f t="shared" si="105"/>
        <v>0</v>
      </c>
      <c r="DP15" s="252">
        <f t="shared" si="106"/>
        <v>0</v>
      </c>
      <c r="DQ15" s="252">
        <f t="shared" si="107"/>
        <v>1</v>
      </c>
      <c r="DR15" s="252">
        <f t="shared" si="108"/>
        <v>0</v>
      </c>
      <c r="DS15" s="252">
        <f t="shared" si="109"/>
        <v>0</v>
      </c>
      <c r="DT15" s="252">
        <f t="shared" si="110"/>
        <v>0</v>
      </c>
      <c r="DU15" s="252">
        <f t="shared" si="111"/>
        <v>0</v>
      </c>
      <c r="DV15" s="252">
        <f t="shared" si="112"/>
        <v>0</v>
      </c>
      <c r="DW15" s="252">
        <f t="shared" si="113"/>
        <v>0</v>
      </c>
      <c r="DX15" s="252">
        <f t="shared" si="114"/>
        <v>0</v>
      </c>
      <c r="DY15" s="252">
        <f t="shared" si="115"/>
        <v>0</v>
      </c>
      <c r="DZ15" s="252">
        <f t="shared" si="116"/>
        <v>0</v>
      </c>
      <c r="EA15" s="252">
        <f t="shared" si="117"/>
        <v>0</v>
      </c>
      <c r="EB15" s="252">
        <f t="shared" si="118"/>
        <v>0</v>
      </c>
      <c r="EC15" s="252">
        <f t="shared" si="119"/>
        <v>0</v>
      </c>
      <c r="ED15" s="252">
        <f t="shared" si="120"/>
        <v>0</v>
      </c>
      <c r="EE15" s="252">
        <f t="shared" si="121"/>
        <v>0</v>
      </c>
      <c r="EF15" s="252">
        <f t="shared" si="122"/>
        <v>0</v>
      </c>
      <c r="EG15" s="252">
        <f t="shared" si="123"/>
        <v>0</v>
      </c>
      <c r="EH15" s="252">
        <f t="shared" si="124"/>
        <v>0</v>
      </c>
      <c r="EI15" s="252">
        <f t="shared" si="125"/>
        <v>0</v>
      </c>
      <c r="EJ15" s="252">
        <f t="shared" si="126"/>
        <v>0</v>
      </c>
      <c r="EK15" s="252">
        <f t="shared" si="127"/>
        <v>0</v>
      </c>
      <c r="EL15" s="252">
        <f t="shared" si="128"/>
        <v>0</v>
      </c>
      <c r="EM15" s="252">
        <f t="shared" si="129"/>
        <v>0</v>
      </c>
      <c r="EN15" s="252">
        <f t="shared" si="130"/>
        <v>0</v>
      </c>
      <c r="EO15" s="252">
        <f t="shared" si="131"/>
        <v>0</v>
      </c>
      <c r="EP15" s="252">
        <f t="shared" si="132"/>
        <v>0</v>
      </c>
      <c r="EQ15" s="252">
        <f t="shared" si="133"/>
        <v>0</v>
      </c>
      <c r="ER15" s="252">
        <f t="shared" si="134"/>
        <v>0</v>
      </c>
      <c r="ES15" s="252">
        <f t="shared" si="135"/>
        <v>0</v>
      </c>
      <c r="ET15" s="252">
        <f t="shared" si="136"/>
        <v>0</v>
      </c>
      <c r="EU15" s="252">
        <f t="shared" si="137"/>
        <v>0</v>
      </c>
      <c r="EV15" s="252">
        <f t="shared" si="138"/>
        <v>0</v>
      </c>
      <c r="EW15" s="252">
        <f t="shared" si="139"/>
        <v>0</v>
      </c>
      <c r="EX15" s="252">
        <f t="shared" si="140"/>
        <v>0</v>
      </c>
      <c r="EY15" s="252">
        <f t="shared" si="141"/>
        <v>0</v>
      </c>
      <c r="EZ15" s="252">
        <f t="shared" si="142"/>
        <v>0</v>
      </c>
      <c r="FA15" s="252">
        <f t="shared" si="143"/>
        <v>0</v>
      </c>
      <c r="FB15" s="252">
        <f t="shared" si="144"/>
        <v>0</v>
      </c>
      <c r="FC15" s="252">
        <f t="shared" si="145"/>
        <v>0</v>
      </c>
      <c r="FD15" s="252">
        <f t="shared" si="146"/>
        <v>0</v>
      </c>
      <c r="FE15" s="252">
        <f t="shared" si="147"/>
        <v>0</v>
      </c>
      <c r="FF15" s="252">
        <f t="shared" si="148"/>
        <v>0</v>
      </c>
      <c r="FG15" s="252">
        <f t="shared" si="149"/>
        <v>0</v>
      </c>
      <c r="FH15" s="252">
        <f t="shared" si="150"/>
        <v>0</v>
      </c>
      <c r="FI15" s="252">
        <f t="shared" si="151"/>
        <v>0</v>
      </c>
      <c r="FJ15" s="252">
        <f t="shared" si="152"/>
        <v>0</v>
      </c>
      <c r="FK15" s="252">
        <f t="shared" si="153"/>
        <v>0</v>
      </c>
      <c r="FL15" s="252">
        <f t="shared" si="154"/>
        <v>0</v>
      </c>
      <c r="FM15" s="252">
        <f t="shared" si="155"/>
        <v>0</v>
      </c>
      <c r="FN15" s="252">
        <f t="shared" si="156"/>
        <v>0</v>
      </c>
      <c r="FO15" s="252">
        <f t="shared" si="157"/>
        <v>0</v>
      </c>
      <c r="FP15" s="252">
        <f t="shared" si="158"/>
        <v>0</v>
      </c>
      <c r="FQ15" s="252">
        <f t="shared" si="159"/>
        <v>0</v>
      </c>
      <c r="FR15" s="2560"/>
      <c r="FS15" s="2589"/>
      <c r="FT15" s="1604"/>
    </row>
    <row r="16" spans="2:177" s="197" customFormat="1" ht="15.75" customHeight="1">
      <c r="B16" s="422" t="s">
        <v>11217</v>
      </c>
      <c r="C16" s="253" t="s">
        <v>11211</v>
      </c>
      <c r="D16" s="253">
        <v>2</v>
      </c>
      <c r="E16" s="1614"/>
      <c r="F16" s="1614"/>
      <c r="G16" s="1614"/>
      <c r="H16" s="1614"/>
      <c r="I16" s="1614"/>
      <c r="J16" s="1614"/>
      <c r="K16" s="1614"/>
      <c r="L16" s="1614"/>
      <c r="M16" s="1614"/>
      <c r="N16" s="1614"/>
      <c r="O16" s="1614"/>
      <c r="P16" s="1614"/>
      <c r="Q16" s="1614"/>
      <c r="R16" s="1614"/>
      <c r="S16" s="1614"/>
      <c r="T16" s="1614"/>
      <c r="U16" s="1614"/>
      <c r="V16" s="1614"/>
      <c r="W16" s="1614"/>
      <c r="X16" s="1614"/>
      <c r="Y16" s="1614">
        <v>1</v>
      </c>
      <c r="Z16" s="1614"/>
      <c r="AA16" s="1614"/>
      <c r="AB16" s="1614"/>
      <c r="AC16" s="1614"/>
      <c r="AD16" s="1614"/>
      <c r="AE16" s="1614"/>
      <c r="AF16" s="1614"/>
      <c r="AG16" s="1614"/>
      <c r="AH16" s="1614"/>
      <c r="AI16" s="1614"/>
      <c r="AJ16" s="1614"/>
      <c r="AK16" s="1614"/>
      <c r="AL16" s="1614"/>
      <c r="AM16" s="1614"/>
      <c r="AN16" s="1614"/>
      <c r="AO16" s="1614"/>
      <c r="AP16" s="1614"/>
      <c r="AQ16" s="1614"/>
      <c r="AR16" s="1614"/>
      <c r="AS16" s="1614"/>
      <c r="AT16" s="1614"/>
      <c r="AU16" s="1614"/>
      <c r="AV16" s="1614"/>
      <c r="AW16" s="1614"/>
      <c r="AX16" s="1614"/>
      <c r="AY16" s="1614"/>
      <c r="AZ16" s="1614"/>
      <c r="BA16" s="1614"/>
      <c r="BB16" s="1614"/>
      <c r="BC16" s="1614"/>
      <c r="BD16" s="1614"/>
      <c r="BE16" s="1614"/>
      <c r="BF16" s="1614"/>
      <c r="BG16" s="1614"/>
      <c r="BH16" s="1614"/>
      <c r="BI16" s="1614"/>
      <c r="BJ16" s="1614"/>
      <c r="BK16" s="1614"/>
      <c r="BL16" s="1614"/>
      <c r="BM16" s="1614"/>
      <c r="BN16" s="1614"/>
      <c r="BO16" s="1614"/>
      <c r="BP16" s="1614"/>
      <c r="BQ16" s="1614"/>
      <c r="BR16" s="1614"/>
      <c r="BS16" s="1614"/>
      <c r="BT16" s="1614"/>
      <c r="BU16" s="1614"/>
      <c r="BV16" s="1614"/>
      <c r="BW16" s="1614"/>
      <c r="BX16" s="1614"/>
      <c r="BY16" s="1614"/>
      <c r="BZ16" s="1614"/>
      <c r="CA16" s="1614"/>
      <c r="CB16" s="1614"/>
      <c r="CC16" s="1614"/>
      <c r="CD16" s="1614"/>
      <c r="CE16" s="1614"/>
      <c r="CF16" s="1614"/>
      <c r="CG16" s="1604"/>
      <c r="CH16" s="228"/>
      <c r="CI16" s="936" t="s">
        <v>11218</v>
      </c>
      <c r="CK16" s="739"/>
      <c r="CM16" s="2589"/>
      <c r="CN16" s="1121"/>
      <c r="CO16" s="2589"/>
      <c r="CP16" s="252">
        <f t="shared" si="160"/>
        <v>1</v>
      </c>
      <c r="CQ16" s="252">
        <f t="shared" si="81"/>
        <v>1</v>
      </c>
      <c r="CR16" s="252">
        <f t="shared" si="82"/>
        <v>1</v>
      </c>
      <c r="CS16" s="252">
        <f t="shared" si="83"/>
        <v>1</v>
      </c>
      <c r="CT16" s="252">
        <f t="shared" si="84"/>
        <v>1</v>
      </c>
      <c r="CU16" s="252">
        <f t="shared" si="85"/>
        <v>1</v>
      </c>
      <c r="CV16" s="252">
        <f t="shared" si="86"/>
        <v>1</v>
      </c>
      <c r="CW16" s="252">
        <f t="shared" si="87"/>
        <v>1</v>
      </c>
      <c r="CX16" s="252">
        <f t="shared" si="88"/>
        <v>1</v>
      </c>
      <c r="CY16" s="252">
        <f t="shared" si="89"/>
        <v>1</v>
      </c>
      <c r="CZ16" s="252">
        <f t="shared" si="90"/>
        <v>1</v>
      </c>
      <c r="DA16" s="252">
        <f t="shared" si="91"/>
        <v>1</v>
      </c>
      <c r="DB16" s="252">
        <f t="shared" si="92"/>
        <v>1</v>
      </c>
      <c r="DC16" s="252">
        <f t="shared" si="93"/>
        <v>1</v>
      </c>
      <c r="DD16" s="252">
        <f t="shared" si="94"/>
        <v>1</v>
      </c>
      <c r="DE16" s="252">
        <f t="shared" si="95"/>
        <v>1</v>
      </c>
      <c r="DF16" s="252">
        <f t="shared" si="96"/>
        <v>1</v>
      </c>
      <c r="DG16" s="252">
        <f t="shared" si="97"/>
        <v>1</v>
      </c>
      <c r="DH16" s="252">
        <f t="shared" si="98"/>
        <v>1</v>
      </c>
      <c r="DI16" s="252">
        <f t="shared" si="99"/>
        <v>1</v>
      </c>
      <c r="DJ16" s="252">
        <f t="shared" si="100"/>
        <v>0</v>
      </c>
      <c r="DK16" s="252">
        <f t="shared" si="101"/>
        <v>1</v>
      </c>
      <c r="DL16" s="252">
        <f t="shared" si="102"/>
        <v>1</v>
      </c>
      <c r="DM16" s="252">
        <f t="shared" si="103"/>
        <v>1</v>
      </c>
      <c r="DN16" s="252">
        <f t="shared" si="104"/>
        <v>1</v>
      </c>
      <c r="DO16" s="252">
        <f t="shared" si="105"/>
        <v>1</v>
      </c>
      <c r="DP16" s="252">
        <f t="shared" si="106"/>
        <v>1</v>
      </c>
      <c r="DQ16" s="252">
        <f t="shared" si="107"/>
        <v>1</v>
      </c>
      <c r="DR16" s="252">
        <f t="shared" si="108"/>
        <v>1</v>
      </c>
      <c r="DS16" s="252">
        <f t="shared" si="109"/>
        <v>1</v>
      </c>
      <c r="DT16" s="252">
        <f t="shared" si="110"/>
        <v>1</v>
      </c>
      <c r="DU16" s="252">
        <f t="shared" si="111"/>
        <v>1</v>
      </c>
      <c r="DV16" s="252">
        <f t="shared" si="112"/>
        <v>1</v>
      </c>
      <c r="DW16" s="252">
        <f t="shared" si="113"/>
        <v>1</v>
      </c>
      <c r="DX16" s="252">
        <f t="shared" si="114"/>
        <v>1</v>
      </c>
      <c r="DY16" s="252">
        <f t="shared" si="115"/>
        <v>0</v>
      </c>
      <c r="DZ16" s="252">
        <f t="shared" si="116"/>
        <v>0</v>
      </c>
      <c r="EA16" s="252">
        <f t="shared" si="117"/>
        <v>0</v>
      </c>
      <c r="EB16" s="252">
        <f t="shared" si="118"/>
        <v>0</v>
      </c>
      <c r="EC16" s="252">
        <f t="shared" si="119"/>
        <v>0</v>
      </c>
      <c r="ED16" s="252">
        <f t="shared" si="120"/>
        <v>0</v>
      </c>
      <c r="EE16" s="252">
        <f t="shared" si="121"/>
        <v>0</v>
      </c>
      <c r="EF16" s="252">
        <f t="shared" si="122"/>
        <v>0</v>
      </c>
      <c r="EG16" s="252">
        <f t="shared" si="123"/>
        <v>0</v>
      </c>
      <c r="EH16" s="252">
        <f t="shared" si="124"/>
        <v>0</v>
      </c>
      <c r="EI16" s="252">
        <f t="shared" si="125"/>
        <v>0</v>
      </c>
      <c r="EJ16" s="252">
        <f t="shared" si="126"/>
        <v>0</v>
      </c>
      <c r="EK16" s="252">
        <f t="shared" si="127"/>
        <v>0</v>
      </c>
      <c r="EL16" s="252">
        <f t="shared" si="128"/>
        <v>0</v>
      </c>
      <c r="EM16" s="252">
        <f t="shared" si="129"/>
        <v>0</v>
      </c>
      <c r="EN16" s="252">
        <f t="shared" si="130"/>
        <v>0</v>
      </c>
      <c r="EO16" s="252">
        <f t="shared" si="131"/>
        <v>0</v>
      </c>
      <c r="EP16" s="252">
        <f t="shared" si="132"/>
        <v>0</v>
      </c>
      <c r="EQ16" s="252">
        <f t="shared" si="133"/>
        <v>0</v>
      </c>
      <c r="ER16" s="252">
        <f t="shared" si="134"/>
        <v>0</v>
      </c>
      <c r="ES16" s="252">
        <f t="shared" si="135"/>
        <v>0</v>
      </c>
      <c r="ET16" s="252">
        <f t="shared" si="136"/>
        <v>0</v>
      </c>
      <c r="EU16" s="252">
        <f t="shared" si="137"/>
        <v>0</v>
      </c>
      <c r="EV16" s="252">
        <f t="shared" si="138"/>
        <v>0</v>
      </c>
      <c r="EW16" s="252">
        <f t="shared" si="139"/>
        <v>0</v>
      </c>
      <c r="EX16" s="252">
        <f t="shared" si="140"/>
        <v>0</v>
      </c>
      <c r="EY16" s="252">
        <f t="shared" si="141"/>
        <v>0</v>
      </c>
      <c r="EZ16" s="252">
        <f t="shared" si="142"/>
        <v>0</v>
      </c>
      <c r="FA16" s="252">
        <f t="shared" si="143"/>
        <v>0</v>
      </c>
      <c r="FB16" s="252">
        <f t="shared" si="144"/>
        <v>0</v>
      </c>
      <c r="FC16" s="252">
        <f t="shared" si="145"/>
        <v>0</v>
      </c>
      <c r="FD16" s="252">
        <f t="shared" si="146"/>
        <v>0</v>
      </c>
      <c r="FE16" s="252">
        <f t="shared" si="147"/>
        <v>0</v>
      </c>
      <c r="FF16" s="252">
        <f t="shared" si="148"/>
        <v>0</v>
      </c>
      <c r="FG16" s="252">
        <f t="shared" si="149"/>
        <v>0</v>
      </c>
      <c r="FH16" s="252">
        <f t="shared" si="150"/>
        <v>0</v>
      </c>
      <c r="FI16" s="252">
        <f t="shared" si="151"/>
        <v>0</v>
      </c>
      <c r="FJ16" s="252">
        <f t="shared" si="152"/>
        <v>0</v>
      </c>
      <c r="FK16" s="252">
        <f t="shared" si="153"/>
        <v>0</v>
      </c>
      <c r="FL16" s="252">
        <f t="shared" si="154"/>
        <v>0</v>
      </c>
      <c r="FM16" s="252">
        <f t="shared" si="155"/>
        <v>0</v>
      </c>
      <c r="FN16" s="252">
        <f t="shared" si="156"/>
        <v>0</v>
      </c>
      <c r="FO16" s="252">
        <f t="shared" si="157"/>
        <v>0</v>
      </c>
      <c r="FP16" s="252">
        <f t="shared" si="158"/>
        <v>0</v>
      </c>
      <c r="FQ16" s="252">
        <f t="shared" si="159"/>
        <v>0</v>
      </c>
      <c r="FR16" s="2560"/>
      <c r="FS16" s="2589"/>
      <c r="FT16" s="1604"/>
    </row>
    <row r="17" spans="1:176" s="197" customFormat="1" ht="15.75" customHeight="1">
      <c r="B17" s="422" t="s">
        <v>11219</v>
      </c>
      <c r="C17" s="253" t="s">
        <v>11220</v>
      </c>
      <c r="D17" s="253">
        <v>0</v>
      </c>
      <c r="E17" s="1601"/>
      <c r="F17" s="1601"/>
      <c r="G17" s="1601"/>
      <c r="H17" s="1601"/>
      <c r="I17" s="1601">
        <v>20</v>
      </c>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v>16</v>
      </c>
      <c r="AG17" s="1601"/>
      <c r="AH17" s="1601"/>
      <c r="AI17" s="1601"/>
      <c r="AJ17" s="1601"/>
      <c r="AK17" s="1601"/>
      <c r="AL17" s="1601"/>
      <c r="AM17" s="1601"/>
      <c r="AN17" s="1601"/>
      <c r="AO17" s="1601"/>
      <c r="AP17" s="1601"/>
      <c r="AQ17" s="1601"/>
      <c r="AR17" s="1601"/>
      <c r="AS17" s="1601"/>
      <c r="AT17" s="1601"/>
      <c r="AU17" s="1601"/>
      <c r="AV17" s="1601"/>
      <c r="AW17" s="1601"/>
      <c r="AX17" s="1601"/>
      <c r="AY17" s="1601"/>
      <c r="AZ17" s="1601"/>
      <c r="BA17" s="1601"/>
      <c r="BB17" s="1601"/>
      <c r="BC17" s="1601"/>
      <c r="BD17" s="1601"/>
      <c r="BE17" s="1601"/>
      <c r="BF17" s="1601"/>
      <c r="BG17" s="1601"/>
      <c r="BH17" s="1601"/>
      <c r="BI17" s="1601"/>
      <c r="BJ17" s="1601"/>
      <c r="BK17" s="1601"/>
      <c r="BL17" s="1601"/>
      <c r="BM17" s="1601"/>
      <c r="BN17" s="1601"/>
      <c r="BO17" s="1601"/>
      <c r="BP17" s="1601"/>
      <c r="BQ17" s="1601"/>
      <c r="BR17" s="1601"/>
      <c r="BS17" s="1601"/>
      <c r="BT17" s="1601"/>
      <c r="BU17" s="1601"/>
      <c r="BV17" s="1601"/>
      <c r="BW17" s="1601"/>
      <c r="BX17" s="1601"/>
      <c r="BY17" s="1601"/>
      <c r="BZ17" s="1601"/>
      <c r="CA17" s="1601"/>
      <c r="CB17" s="1601"/>
      <c r="CC17" s="1601"/>
      <c r="CD17" s="1601"/>
      <c r="CE17" s="1601"/>
      <c r="CF17" s="1601"/>
      <c r="CG17" s="1604"/>
      <c r="CH17" s="228"/>
      <c r="CI17" s="936" t="s">
        <v>11221</v>
      </c>
      <c r="CK17" s="739"/>
      <c r="CM17" s="2589"/>
      <c r="CN17" s="1121"/>
      <c r="CO17" s="2589"/>
      <c r="CP17" s="252">
        <f t="shared" si="160"/>
        <v>1</v>
      </c>
      <c r="CQ17" s="252">
        <f t="shared" si="81"/>
        <v>1</v>
      </c>
      <c r="CR17" s="252">
        <f t="shared" si="82"/>
        <v>1</v>
      </c>
      <c r="CS17" s="252">
        <f t="shared" si="83"/>
        <v>1</v>
      </c>
      <c r="CT17" s="252">
        <f t="shared" si="84"/>
        <v>0</v>
      </c>
      <c r="CU17" s="252">
        <f t="shared" si="85"/>
        <v>1</v>
      </c>
      <c r="CV17" s="252">
        <f t="shared" si="86"/>
        <v>1</v>
      </c>
      <c r="CW17" s="252">
        <f t="shared" si="87"/>
        <v>1</v>
      </c>
      <c r="CX17" s="252">
        <f t="shared" si="88"/>
        <v>1</v>
      </c>
      <c r="CY17" s="252">
        <f t="shared" si="89"/>
        <v>1</v>
      </c>
      <c r="CZ17" s="252">
        <f t="shared" si="90"/>
        <v>1</v>
      </c>
      <c r="DA17" s="252">
        <f t="shared" si="91"/>
        <v>1</v>
      </c>
      <c r="DB17" s="252">
        <f t="shared" si="92"/>
        <v>1</v>
      </c>
      <c r="DC17" s="252">
        <f t="shared" si="93"/>
        <v>1</v>
      </c>
      <c r="DD17" s="252">
        <f t="shared" si="94"/>
        <v>1</v>
      </c>
      <c r="DE17" s="252">
        <f t="shared" si="95"/>
        <v>1</v>
      </c>
      <c r="DF17" s="252">
        <f t="shared" si="96"/>
        <v>1</v>
      </c>
      <c r="DG17" s="252">
        <f t="shared" si="97"/>
        <v>1</v>
      </c>
      <c r="DH17" s="252">
        <f t="shared" si="98"/>
        <v>1</v>
      </c>
      <c r="DI17" s="252">
        <f t="shared" si="99"/>
        <v>1</v>
      </c>
      <c r="DJ17" s="252">
        <f t="shared" si="100"/>
        <v>1</v>
      </c>
      <c r="DK17" s="252">
        <f t="shared" si="101"/>
        <v>1</v>
      </c>
      <c r="DL17" s="252">
        <f t="shared" si="102"/>
        <v>1</v>
      </c>
      <c r="DM17" s="252">
        <f t="shared" si="103"/>
        <v>1</v>
      </c>
      <c r="DN17" s="252">
        <f t="shared" si="104"/>
        <v>1</v>
      </c>
      <c r="DO17" s="252">
        <f t="shared" si="105"/>
        <v>1</v>
      </c>
      <c r="DP17" s="252">
        <f t="shared" si="106"/>
        <v>1</v>
      </c>
      <c r="DQ17" s="252">
        <f t="shared" si="107"/>
        <v>0</v>
      </c>
      <c r="DR17" s="252">
        <f t="shared" si="108"/>
        <v>1</v>
      </c>
      <c r="DS17" s="252">
        <f t="shared" si="109"/>
        <v>1</v>
      </c>
      <c r="DT17" s="252">
        <f t="shared" si="110"/>
        <v>1</v>
      </c>
      <c r="DU17" s="252">
        <f t="shared" si="111"/>
        <v>1</v>
      </c>
      <c r="DV17" s="252">
        <f t="shared" si="112"/>
        <v>1</v>
      </c>
      <c r="DW17" s="252">
        <f t="shared" si="113"/>
        <v>1</v>
      </c>
      <c r="DX17" s="252">
        <f t="shared" si="114"/>
        <v>1</v>
      </c>
      <c r="DY17" s="252">
        <f t="shared" si="115"/>
        <v>0</v>
      </c>
      <c r="DZ17" s="252">
        <f t="shared" si="116"/>
        <v>0</v>
      </c>
      <c r="EA17" s="252">
        <f t="shared" si="117"/>
        <v>0</v>
      </c>
      <c r="EB17" s="252">
        <f t="shared" si="118"/>
        <v>0</v>
      </c>
      <c r="EC17" s="252">
        <f t="shared" si="119"/>
        <v>0</v>
      </c>
      <c r="ED17" s="252">
        <f t="shared" si="120"/>
        <v>0</v>
      </c>
      <c r="EE17" s="252">
        <f t="shared" si="121"/>
        <v>0</v>
      </c>
      <c r="EF17" s="252">
        <f t="shared" si="122"/>
        <v>0</v>
      </c>
      <c r="EG17" s="252">
        <f t="shared" si="123"/>
        <v>0</v>
      </c>
      <c r="EH17" s="252">
        <f t="shared" si="124"/>
        <v>0</v>
      </c>
      <c r="EI17" s="252">
        <f t="shared" si="125"/>
        <v>0</v>
      </c>
      <c r="EJ17" s="252">
        <f t="shared" si="126"/>
        <v>0</v>
      </c>
      <c r="EK17" s="252">
        <f t="shared" si="127"/>
        <v>0</v>
      </c>
      <c r="EL17" s="252">
        <f t="shared" si="128"/>
        <v>0</v>
      </c>
      <c r="EM17" s="252">
        <f t="shared" si="129"/>
        <v>0</v>
      </c>
      <c r="EN17" s="252">
        <f t="shared" si="130"/>
        <v>0</v>
      </c>
      <c r="EO17" s="252">
        <f t="shared" si="131"/>
        <v>0</v>
      </c>
      <c r="EP17" s="252">
        <f t="shared" si="132"/>
        <v>0</v>
      </c>
      <c r="EQ17" s="252">
        <f t="shared" si="133"/>
        <v>0</v>
      </c>
      <c r="ER17" s="252">
        <f t="shared" si="134"/>
        <v>0</v>
      </c>
      <c r="ES17" s="252">
        <f t="shared" si="135"/>
        <v>0</v>
      </c>
      <c r="ET17" s="252">
        <f t="shared" si="136"/>
        <v>0</v>
      </c>
      <c r="EU17" s="252">
        <f t="shared" si="137"/>
        <v>0</v>
      </c>
      <c r="EV17" s="252">
        <f t="shared" si="138"/>
        <v>0</v>
      </c>
      <c r="EW17" s="252">
        <f t="shared" si="139"/>
        <v>0</v>
      </c>
      <c r="EX17" s="252">
        <f t="shared" si="140"/>
        <v>0</v>
      </c>
      <c r="EY17" s="252">
        <f t="shared" si="141"/>
        <v>0</v>
      </c>
      <c r="EZ17" s="252">
        <f t="shared" si="142"/>
        <v>0</v>
      </c>
      <c r="FA17" s="252">
        <f t="shared" si="143"/>
        <v>0</v>
      </c>
      <c r="FB17" s="252">
        <f t="shared" si="144"/>
        <v>0</v>
      </c>
      <c r="FC17" s="252">
        <f t="shared" si="145"/>
        <v>0</v>
      </c>
      <c r="FD17" s="252">
        <f t="shared" si="146"/>
        <v>0</v>
      </c>
      <c r="FE17" s="252">
        <f t="shared" si="147"/>
        <v>0</v>
      </c>
      <c r="FF17" s="252">
        <f t="shared" si="148"/>
        <v>0</v>
      </c>
      <c r="FG17" s="252">
        <f t="shared" si="149"/>
        <v>0</v>
      </c>
      <c r="FH17" s="252">
        <f t="shared" si="150"/>
        <v>0</v>
      </c>
      <c r="FI17" s="252">
        <f t="shared" si="151"/>
        <v>0</v>
      </c>
      <c r="FJ17" s="252">
        <f t="shared" si="152"/>
        <v>0</v>
      </c>
      <c r="FK17" s="252">
        <f t="shared" si="153"/>
        <v>0</v>
      </c>
      <c r="FL17" s="252">
        <f t="shared" si="154"/>
        <v>0</v>
      </c>
      <c r="FM17" s="252">
        <f t="shared" si="155"/>
        <v>0</v>
      </c>
      <c r="FN17" s="252">
        <f t="shared" si="156"/>
        <v>0</v>
      </c>
      <c r="FO17" s="252">
        <f t="shared" si="157"/>
        <v>0</v>
      </c>
      <c r="FP17" s="252">
        <f t="shared" si="158"/>
        <v>0</v>
      </c>
      <c r="FQ17" s="252">
        <f t="shared" si="159"/>
        <v>0</v>
      </c>
      <c r="FR17" s="2560"/>
      <c r="FS17" s="2589"/>
      <c r="FT17" s="1604"/>
    </row>
    <row r="18" spans="1:176" s="197" customFormat="1" ht="15.75" customHeight="1">
      <c r="B18" s="422" t="s">
        <v>11222</v>
      </c>
      <c r="C18" s="253" t="s">
        <v>11223</v>
      </c>
      <c r="D18" s="253">
        <v>0</v>
      </c>
      <c r="E18" s="1605">
        <f>IFERROR(E12*0.06*1000,0)</f>
        <v>6817.2</v>
      </c>
      <c r="F18" s="1605">
        <f t="shared" ref="F18:BQ18" si="161">IFERROR(F12*0.06*1000,0)</f>
        <v>2274.5999999999995</v>
      </c>
      <c r="G18" s="1605">
        <f t="shared" si="161"/>
        <v>33381.599999999999</v>
      </c>
      <c r="H18" s="1605">
        <f t="shared" si="161"/>
        <v>25455.599999999999</v>
      </c>
      <c r="I18" s="1605">
        <f t="shared" si="161"/>
        <v>2730.6</v>
      </c>
      <c r="J18" s="1605">
        <f t="shared" si="161"/>
        <v>3211.7999999999997</v>
      </c>
      <c r="K18" s="1605">
        <f t="shared" si="161"/>
        <v>7880.9999999999991</v>
      </c>
      <c r="L18" s="1605">
        <f t="shared" si="161"/>
        <v>2127.6000000000004</v>
      </c>
      <c r="M18" s="1605">
        <f t="shared" si="161"/>
        <v>12864.599999999999</v>
      </c>
      <c r="N18" s="1605">
        <f t="shared" si="161"/>
        <v>1936.8000000000002</v>
      </c>
      <c r="O18" s="1605">
        <f t="shared" si="161"/>
        <v>22350.6</v>
      </c>
      <c r="P18" s="1605">
        <f t="shared" si="161"/>
        <v>2391</v>
      </c>
      <c r="Q18" s="1605">
        <f t="shared" si="161"/>
        <v>2372.3999999999996</v>
      </c>
      <c r="R18" s="1605">
        <f t="shared" si="161"/>
        <v>2647.2</v>
      </c>
      <c r="S18" s="1605">
        <f t="shared" si="161"/>
        <v>2453.3999999999996</v>
      </c>
      <c r="T18" s="1605">
        <f t="shared" si="161"/>
        <v>31868.399999999998</v>
      </c>
      <c r="U18" s="1605">
        <f t="shared" si="161"/>
        <v>5474.4</v>
      </c>
      <c r="V18" s="1605">
        <f t="shared" si="161"/>
        <v>45520.2</v>
      </c>
      <c r="W18" s="1605">
        <f t="shared" si="161"/>
        <v>1902</v>
      </c>
      <c r="X18" s="1605">
        <f t="shared" si="161"/>
        <v>5405.4000000000005</v>
      </c>
      <c r="Y18" s="1605">
        <f t="shared" si="161"/>
        <v>1685.4</v>
      </c>
      <c r="Z18" s="1605">
        <f t="shared" si="161"/>
        <v>1914.6</v>
      </c>
      <c r="AA18" s="1605">
        <f t="shared" si="161"/>
        <v>2899.7999999999997</v>
      </c>
      <c r="AB18" s="1605">
        <f t="shared" si="161"/>
        <v>7032.5999999999995</v>
      </c>
      <c r="AC18" s="1605">
        <f t="shared" si="161"/>
        <v>1633.8</v>
      </c>
      <c r="AD18" s="1605">
        <f t="shared" si="161"/>
        <v>9219.6</v>
      </c>
      <c r="AE18" s="1605">
        <f t="shared" si="161"/>
        <v>6149.3999999999987</v>
      </c>
      <c r="AF18" s="1605">
        <f t="shared" si="161"/>
        <v>3567.6</v>
      </c>
      <c r="AG18" s="1605">
        <f t="shared" si="161"/>
        <v>2238.6</v>
      </c>
      <c r="AH18" s="1605">
        <f t="shared" si="161"/>
        <v>1808.4</v>
      </c>
      <c r="AI18" s="1605">
        <f t="shared" si="161"/>
        <v>3612</v>
      </c>
      <c r="AJ18" s="1605">
        <f t="shared" si="161"/>
        <v>2392.1999999999998</v>
      </c>
      <c r="AK18" s="1605">
        <f t="shared" si="161"/>
        <v>2966.3999999999996</v>
      </c>
      <c r="AL18" s="1605">
        <f t="shared" si="161"/>
        <v>7929.5999999999995</v>
      </c>
      <c r="AM18" s="1605">
        <f t="shared" si="161"/>
        <v>11480.4</v>
      </c>
      <c r="AN18" s="1605">
        <f t="shared" si="161"/>
        <v>0</v>
      </c>
      <c r="AO18" s="1605">
        <f t="shared" si="161"/>
        <v>0</v>
      </c>
      <c r="AP18" s="1605">
        <f t="shared" si="161"/>
        <v>0</v>
      </c>
      <c r="AQ18" s="1605">
        <f t="shared" si="161"/>
        <v>0</v>
      </c>
      <c r="AR18" s="1605">
        <f t="shared" si="161"/>
        <v>0</v>
      </c>
      <c r="AS18" s="1605">
        <f t="shared" si="161"/>
        <v>0</v>
      </c>
      <c r="AT18" s="1605">
        <f t="shared" si="161"/>
        <v>0</v>
      </c>
      <c r="AU18" s="1605">
        <f t="shared" si="161"/>
        <v>0</v>
      </c>
      <c r="AV18" s="1605">
        <f t="shared" si="161"/>
        <v>0</v>
      </c>
      <c r="AW18" s="1605">
        <f t="shared" si="161"/>
        <v>0</v>
      </c>
      <c r="AX18" s="1605">
        <f t="shared" si="161"/>
        <v>0</v>
      </c>
      <c r="AY18" s="1605">
        <f t="shared" si="161"/>
        <v>0</v>
      </c>
      <c r="AZ18" s="1605">
        <f t="shared" si="161"/>
        <v>0</v>
      </c>
      <c r="BA18" s="1605">
        <f t="shared" si="161"/>
        <v>0</v>
      </c>
      <c r="BB18" s="1605">
        <f t="shared" si="161"/>
        <v>0</v>
      </c>
      <c r="BC18" s="1605">
        <f t="shared" si="161"/>
        <v>0</v>
      </c>
      <c r="BD18" s="1605">
        <f t="shared" si="161"/>
        <v>0</v>
      </c>
      <c r="BE18" s="1605">
        <f t="shared" si="161"/>
        <v>0</v>
      </c>
      <c r="BF18" s="1605">
        <f t="shared" si="161"/>
        <v>0</v>
      </c>
      <c r="BG18" s="1605">
        <f t="shared" si="161"/>
        <v>0</v>
      </c>
      <c r="BH18" s="1605">
        <f t="shared" si="161"/>
        <v>0</v>
      </c>
      <c r="BI18" s="1605">
        <f t="shared" si="161"/>
        <v>0</v>
      </c>
      <c r="BJ18" s="1605">
        <f t="shared" si="161"/>
        <v>0</v>
      </c>
      <c r="BK18" s="1605">
        <f t="shared" si="161"/>
        <v>0</v>
      </c>
      <c r="BL18" s="1605">
        <f t="shared" si="161"/>
        <v>0</v>
      </c>
      <c r="BM18" s="1605">
        <f t="shared" si="161"/>
        <v>0</v>
      </c>
      <c r="BN18" s="1605">
        <f t="shared" si="161"/>
        <v>0</v>
      </c>
      <c r="BO18" s="1605">
        <f t="shared" si="161"/>
        <v>0</v>
      </c>
      <c r="BP18" s="1605">
        <f t="shared" si="161"/>
        <v>0</v>
      </c>
      <c r="BQ18" s="1605">
        <f t="shared" si="161"/>
        <v>0</v>
      </c>
      <c r="BR18" s="1605">
        <f t="shared" ref="BR18:CF18" si="162">IFERROR(BR12*0.06*1000,0)</f>
        <v>0</v>
      </c>
      <c r="BS18" s="1605">
        <f t="shared" si="162"/>
        <v>0</v>
      </c>
      <c r="BT18" s="1605">
        <f t="shared" si="162"/>
        <v>0</v>
      </c>
      <c r="BU18" s="1605">
        <f t="shared" si="162"/>
        <v>0</v>
      </c>
      <c r="BV18" s="1605">
        <f t="shared" si="162"/>
        <v>0</v>
      </c>
      <c r="BW18" s="1605">
        <f t="shared" si="162"/>
        <v>0</v>
      </c>
      <c r="BX18" s="1605">
        <f t="shared" si="162"/>
        <v>0</v>
      </c>
      <c r="BY18" s="1605">
        <f t="shared" si="162"/>
        <v>0</v>
      </c>
      <c r="BZ18" s="1605">
        <f t="shared" si="162"/>
        <v>0</v>
      </c>
      <c r="CA18" s="1605">
        <f t="shared" si="162"/>
        <v>0</v>
      </c>
      <c r="CB18" s="1605">
        <f t="shared" si="162"/>
        <v>0</v>
      </c>
      <c r="CC18" s="1605">
        <f t="shared" si="162"/>
        <v>0</v>
      </c>
      <c r="CD18" s="1605">
        <f t="shared" si="162"/>
        <v>0</v>
      </c>
      <c r="CE18" s="1605">
        <f t="shared" si="162"/>
        <v>0</v>
      </c>
      <c r="CF18" s="1605">
        <f t="shared" si="162"/>
        <v>0</v>
      </c>
      <c r="CG18" s="1604"/>
      <c r="CH18" s="83"/>
      <c r="CI18" s="936" t="s">
        <v>11224</v>
      </c>
      <c r="CJ18" s="83"/>
      <c r="CK18" s="1206"/>
      <c r="CL18" s="83"/>
      <c r="CM18" s="2589"/>
      <c r="CN18" s="2560"/>
      <c r="CO18" s="2589"/>
      <c r="CP18" s="2560"/>
      <c r="CQ18" s="2560"/>
      <c r="CR18" s="2560"/>
      <c r="CS18" s="2560"/>
      <c r="CT18" s="2560"/>
      <c r="CU18" s="2560"/>
      <c r="CV18" s="2560"/>
      <c r="CW18" s="2560"/>
      <c r="CX18" s="2560"/>
      <c r="CY18" s="2560"/>
      <c r="CZ18" s="2560"/>
      <c r="DA18" s="2560"/>
      <c r="DB18" s="2560"/>
      <c r="DC18" s="2560"/>
      <c r="DD18" s="2560"/>
      <c r="DE18" s="2560"/>
      <c r="DF18" s="2560"/>
      <c r="DG18" s="2560"/>
      <c r="DH18" s="2560"/>
      <c r="DI18" s="2560"/>
      <c r="DJ18" s="2560"/>
      <c r="DK18" s="2560"/>
      <c r="DL18" s="2560"/>
      <c r="DM18" s="2560"/>
      <c r="DN18" s="2560"/>
      <c r="DO18" s="2560"/>
      <c r="DP18" s="2560"/>
      <c r="DQ18" s="2560"/>
      <c r="DR18" s="2560"/>
      <c r="DS18" s="2560"/>
      <c r="DT18" s="2560"/>
      <c r="DU18" s="2560"/>
      <c r="DV18" s="2560"/>
      <c r="DW18" s="2560"/>
      <c r="DX18" s="2560"/>
      <c r="DY18" s="2560"/>
      <c r="DZ18" s="2560"/>
      <c r="EA18" s="2560"/>
      <c r="EB18" s="2560"/>
      <c r="EC18" s="2560"/>
      <c r="ED18" s="2560"/>
      <c r="EE18" s="2560"/>
      <c r="EF18" s="2560"/>
      <c r="EG18" s="2560"/>
      <c r="EH18" s="2560"/>
      <c r="EI18" s="2560"/>
      <c r="EJ18" s="2560"/>
      <c r="EK18" s="2560"/>
      <c r="EL18" s="2560"/>
      <c r="EM18" s="2560"/>
      <c r="EN18" s="2560"/>
      <c r="EO18" s="2560"/>
      <c r="EP18" s="2560"/>
      <c r="EQ18" s="2560"/>
      <c r="ER18" s="2560"/>
      <c r="ES18" s="2560"/>
      <c r="ET18" s="2560"/>
      <c r="EU18" s="2560"/>
      <c r="EV18" s="2560"/>
      <c r="EW18" s="2560"/>
      <c r="EX18" s="2560"/>
      <c r="EY18" s="2560"/>
      <c r="EZ18" s="2560"/>
      <c r="FA18" s="2560"/>
      <c r="FB18" s="2560"/>
      <c r="FC18" s="2560"/>
      <c r="FD18" s="2560"/>
      <c r="FE18" s="2560"/>
      <c r="FF18" s="2560"/>
      <c r="FG18" s="2560"/>
      <c r="FH18" s="2560"/>
      <c r="FI18" s="2560"/>
      <c r="FJ18" s="2560"/>
      <c r="FK18" s="2560"/>
      <c r="FL18" s="2560"/>
      <c r="FM18" s="2560"/>
      <c r="FN18" s="2560"/>
      <c r="FO18" s="2560"/>
      <c r="FP18" s="2560"/>
      <c r="FQ18" s="2560"/>
      <c r="FR18" s="2560"/>
      <c r="FS18" s="2589"/>
      <c r="FT18" s="1604"/>
    </row>
    <row r="19" spans="1:176" s="197" customFormat="1" ht="15.75" customHeight="1" thickBot="1">
      <c r="B19" s="425" t="s">
        <v>11225</v>
      </c>
      <c r="C19" s="319" t="s">
        <v>11226</v>
      </c>
      <c r="D19" s="319">
        <v>0</v>
      </c>
      <c r="E19" s="1606">
        <v>37880</v>
      </c>
      <c r="F19" s="1606">
        <v>11145</v>
      </c>
      <c r="G19" s="1606">
        <v>188995</v>
      </c>
      <c r="H19" s="1606">
        <v>126799</v>
      </c>
      <c r="I19" s="1606">
        <v>9424</v>
      </c>
      <c r="J19" s="1606">
        <v>20401</v>
      </c>
      <c r="K19" s="1606">
        <v>37844</v>
      </c>
      <c r="L19" s="1606">
        <v>11491</v>
      </c>
      <c r="M19" s="1606">
        <v>88934</v>
      </c>
      <c r="N19" s="1606">
        <v>7431</v>
      </c>
      <c r="O19" s="1606">
        <v>89224</v>
      </c>
      <c r="P19" s="1606">
        <v>11975</v>
      </c>
      <c r="Q19" s="1606">
        <v>8837</v>
      </c>
      <c r="R19" s="1606">
        <v>12550</v>
      </c>
      <c r="S19" s="1606">
        <v>12333</v>
      </c>
      <c r="T19" s="1606">
        <v>105378</v>
      </c>
      <c r="U19" s="1606">
        <v>33112</v>
      </c>
      <c r="V19" s="1606">
        <v>227304</v>
      </c>
      <c r="W19" s="1606">
        <v>8747</v>
      </c>
      <c r="X19" s="1606">
        <v>21574</v>
      </c>
      <c r="Y19" s="1606">
        <v>5449</v>
      </c>
      <c r="Z19" s="1606">
        <v>10187</v>
      </c>
      <c r="AA19" s="1606">
        <v>15775</v>
      </c>
      <c r="AB19" s="1606">
        <v>32255</v>
      </c>
      <c r="AC19" s="1606">
        <v>5322</v>
      </c>
      <c r="AD19" s="1606">
        <v>56313</v>
      </c>
      <c r="AE19" s="1606">
        <v>25449</v>
      </c>
      <c r="AF19" s="1606">
        <v>17391</v>
      </c>
      <c r="AG19" s="1606">
        <v>9509</v>
      </c>
      <c r="AH19" s="1606">
        <v>7474</v>
      </c>
      <c r="AI19" s="1606">
        <v>10557</v>
      </c>
      <c r="AJ19" s="1606">
        <v>9788</v>
      </c>
      <c r="AK19" s="1606">
        <v>13010</v>
      </c>
      <c r="AL19" s="1606">
        <v>31557</v>
      </c>
      <c r="AM19" s="1606">
        <v>54594</v>
      </c>
      <c r="AN19" s="1606"/>
      <c r="AO19" s="1606"/>
      <c r="AP19" s="1606"/>
      <c r="AQ19" s="1606"/>
      <c r="AR19" s="1606"/>
      <c r="AS19" s="1606"/>
      <c r="AT19" s="1606"/>
      <c r="AU19" s="1606"/>
      <c r="AV19" s="1606"/>
      <c r="AW19" s="1606"/>
      <c r="AX19" s="1606"/>
      <c r="AY19" s="1606"/>
      <c r="AZ19" s="1606"/>
      <c r="BA19" s="1606"/>
      <c r="BB19" s="1606"/>
      <c r="BC19" s="1606"/>
      <c r="BD19" s="1606"/>
      <c r="BE19" s="1606"/>
      <c r="BF19" s="1606"/>
      <c r="BG19" s="1606"/>
      <c r="BH19" s="1606"/>
      <c r="BI19" s="1606"/>
      <c r="BJ19" s="1606"/>
      <c r="BK19" s="1606"/>
      <c r="BL19" s="1606"/>
      <c r="BM19" s="1606"/>
      <c r="BN19" s="1606"/>
      <c r="BO19" s="1606"/>
      <c r="BP19" s="1606"/>
      <c r="BQ19" s="1606"/>
      <c r="BR19" s="1606"/>
      <c r="BS19" s="1606"/>
      <c r="BT19" s="1606"/>
      <c r="BU19" s="1606"/>
      <c r="BV19" s="1606"/>
      <c r="BW19" s="1606"/>
      <c r="BX19" s="1606"/>
      <c r="BY19" s="1606"/>
      <c r="BZ19" s="1606"/>
      <c r="CA19" s="1606"/>
      <c r="CB19" s="1606"/>
      <c r="CC19" s="1606"/>
      <c r="CD19" s="1606"/>
      <c r="CE19" s="1606"/>
      <c r="CF19" s="1606"/>
      <c r="CG19" s="1607"/>
      <c r="CH19" s="228"/>
      <c r="CI19" s="938" t="s">
        <v>11227</v>
      </c>
      <c r="CK19" s="1207"/>
      <c r="CM19" s="2589"/>
      <c r="CN19" s="1121">
        <f>IF( SUM( CP19:FR19 ) = 0, 0, $CP$6 )</f>
        <v>0</v>
      </c>
      <c r="CO19" s="2589"/>
      <c r="CP19" s="252">
        <f t="shared" ref="CP19" si="163" xml:space="preserve"> IF( OR(ISNUMBER(E19 ),E$8=""), 0, 1 )</f>
        <v>0</v>
      </c>
      <c r="CQ19" s="252">
        <f t="shared" ref="CQ19" si="164" xml:space="preserve"> IF( OR(ISNUMBER(F19 ),F$8=""), 0, 1 )</f>
        <v>0</v>
      </c>
      <c r="CR19" s="252">
        <f t="shared" ref="CR19" si="165" xml:space="preserve"> IF( OR(ISNUMBER(G19 ),G$8=""), 0, 1 )</f>
        <v>0</v>
      </c>
      <c r="CS19" s="252">
        <f t="shared" ref="CS19" si="166" xml:space="preserve"> IF( OR(ISNUMBER(H19 ),H$8=""), 0, 1 )</f>
        <v>0</v>
      </c>
      <c r="CT19" s="252">
        <f t="shared" ref="CT19" si="167" xml:space="preserve"> IF( OR(ISNUMBER(I19 ),I$8=""), 0, 1 )</f>
        <v>0</v>
      </c>
      <c r="CU19" s="252">
        <f t="shared" ref="CU19" si="168" xml:space="preserve"> IF( OR(ISNUMBER(J19 ),J$8=""), 0, 1 )</f>
        <v>0</v>
      </c>
      <c r="CV19" s="252">
        <f t="shared" ref="CV19" si="169" xml:space="preserve"> IF( OR(ISNUMBER(K19 ),K$8=""), 0, 1 )</f>
        <v>0</v>
      </c>
      <c r="CW19" s="252">
        <f t="shared" ref="CW19" si="170" xml:space="preserve"> IF( OR(ISNUMBER(L19 ),L$8=""), 0, 1 )</f>
        <v>0</v>
      </c>
      <c r="CX19" s="252">
        <f t="shared" ref="CX19" si="171" xml:space="preserve"> IF( OR(ISNUMBER(M19 ),M$8=""), 0, 1 )</f>
        <v>0</v>
      </c>
      <c r="CY19" s="252">
        <f t="shared" ref="CY19" si="172" xml:space="preserve"> IF( OR(ISNUMBER(N19 ),N$8=""), 0, 1 )</f>
        <v>0</v>
      </c>
      <c r="CZ19" s="252">
        <f t="shared" ref="CZ19" si="173" xml:space="preserve"> IF( OR(ISNUMBER(O19 ),O$8=""), 0, 1 )</f>
        <v>0</v>
      </c>
      <c r="DA19" s="252">
        <f t="shared" ref="DA19" si="174" xml:space="preserve"> IF( OR(ISNUMBER(P19 ),P$8=""), 0, 1 )</f>
        <v>0</v>
      </c>
      <c r="DB19" s="252">
        <f t="shared" ref="DB19" si="175" xml:space="preserve"> IF( OR(ISNUMBER(Q19 ),Q$8=""), 0, 1 )</f>
        <v>0</v>
      </c>
      <c r="DC19" s="252">
        <f t="shared" ref="DC19" si="176" xml:space="preserve"> IF( OR(ISNUMBER(R19 ),R$8=""), 0, 1 )</f>
        <v>0</v>
      </c>
      <c r="DD19" s="252">
        <f t="shared" ref="DD19" si="177" xml:space="preserve"> IF( OR(ISNUMBER(S19 ),S$8=""), 0, 1 )</f>
        <v>0</v>
      </c>
      <c r="DE19" s="252">
        <f t="shared" ref="DE19" si="178" xml:space="preserve"> IF( OR(ISNUMBER(T19 ),T$8=""), 0, 1 )</f>
        <v>0</v>
      </c>
      <c r="DF19" s="252">
        <f t="shared" ref="DF19" si="179" xml:space="preserve"> IF( OR(ISNUMBER(U19 ),U$8=""), 0, 1 )</f>
        <v>0</v>
      </c>
      <c r="DG19" s="252">
        <f t="shared" ref="DG19" si="180" xml:space="preserve"> IF( OR(ISNUMBER(V19 ),V$8=""), 0, 1 )</f>
        <v>0</v>
      </c>
      <c r="DH19" s="252">
        <f t="shared" ref="DH19" si="181" xml:space="preserve"> IF( OR(ISNUMBER(W19 ),W$8=""), 0, 1 )</f>
        <v>0</v>
      </c>
      <c r="DI19" s="252">
        <f t="shared" ref="DI19" si="182" xml:space="preserve"> IF( OR(ISNUMBER(X19 ),X$8=""), 0, 1 )</f>
        <v>0</v>
      </c>
      <c r="DJ19" s="252">
        <f t="shared" ref="DJ19" si="183" xml:space="preserve"> IF( OR(ISNUMBER(Y19 ),Y$8=""), 0, 1 )</f>
        <v>0</v>
      </c>
      <c r="DK19" s="252">
        <f t="shared" ref="DK19" si="184" xml:space="preserve"> IF( OR(ISNUMBER(Z19 ),Z$8=""), 0, 1 )</f>
        <v>0</v>
      </c>
      <c r="DL19" s="252">
        <f t="shared" ref="DL19" si="185" xml:space="preserve"> IF( OR(ISNUMBER(AA19 ),AA$8=""), 0, 1 )</f>
        <v>0</v>
      </c>
      <c r="DM19" s="252">
        <f t="shared" ref="DM19" si="186" xml:space="preserve"> IF( OR(ISNUMBER(AB19 ),AB$8=""), 0, 1 )</f>
        <v>0</v>
      </c>
      <c r="DN19" s="252">
        <f t="shared" ref="DN19" si="187" xml:space="preserve"> IF( OR(ISNUMBER(AC19 ),AC$8=""), 0, 1 )</f>
        <v>0</v>
      </c>
      <c r="DO19" s="252">
        <f t="shared" ref="DO19" si="188" xml:space="preserve"> IF( OR(ISNUMBER(AD19 ),AD$8=""), 0, 1 )</f>
        <v>0</v>
      </c>
      <c r="DP19" s="252">
        <f t="shared" ref="DP19" si="189" xml:space="preserve"> IF( OR(ISNUMBER(AE19 ),AE$8=""), 0, 1 )</f>
        <v>0</v>
      </c>
      <c r="DQ19" s="252">
        <f t="shared" ref="DQ19" si="190" xml:space="preserve"> IF( OR(ISNUMBER(AF19 ),AF$8=""), 0, 1 )</f>
        <v>0</v>
      </c>
      <c r="DR19" s="252">
        <f t="shared" ref="DR19" si="191" xml:space="preserve"> IF( OR(ISNUMBER(AG19 ),AG$8=""), 0, 1 )</f>
        <v>0</v>
      </c>
      <c r="DS19" s="252">
        <f t="shared" ref="DS19" si="192" xml:space="preserve"> IF( OR(ISNUMBER(AH19 ),AH$8=""), 0, 1 )</f>
        <v>0</v>
      </c>
      <c r="DT19" s="252">
        <f t="shared" ref="DT19" si="193" xml:space="preserve"> IF( OR(ISNUMBER(AI19 ),AI$8=""), 0, 1 )</f>
        <v>0</v>
      </c>
      <c r="DU19" s="252">
        <f t="shared" ref="DU19" si="194" xml:space="preserve"> IF( OR(ISNUMBER(AJ19 ),AJ$8=""), 0, 1 )</f>
        <v>0</v>
      </c>
      <c r="DV19" s="252">
        <f t="shared" ref="DV19" si="195" xml:space="preserve"> IF( OR(ISNUMBER(AK19 ),AK$8=""), 0, 1 )</f>
        <v>0</v>
      </c>
      <c r="DW19" s="252">
        <f t="shared" ref="DW19" si="196" xml:space="preserve"> IF( OR(ISNUMBER(AL19 ),AL$8=""), 0, 1 )</f>
        <v>0</v>
      </c>
      <c r="DX19" s="252">
        <f t="shared" ref="DX19" si="197" xml:space="preserve"> IF( OR(ISNUMBER(AM19 ),AM$8=""), 0, 1 )</f>
        <v>0</v>
      </c>
      <c r="DY19" s="252">
        <f t="shared" ref="DY19" si="198" xml:space="preserve"> IF( OR(ISNUMBER(AN19 ),AN$8=""), 0, 1 )</f>
        <v>0</v>
      </c>
      <c r="DZ19" s="252">
        <f t="shared" ref="DZ19" si="199" xml:space="preserve"> IF( OR(ISNUMBER(AO19 ),AO$8=""), 0, 1 )</f>
        <v>0</v>
      </c>
      <c r="EA19" s="252">
        <f t="shared" ref="EA19" si="200" xml:space="preserve"> IF( OR(ISNUMBER(AP19 ),AP$8=""), 0, 1 )</f>
        <v>0</v>
      </c>
      <c r="EB19" s="252">
        <f t="shared" ref="EB19" si="201" xml:space="preserve"> IF( OR(ISNUMBER(AQ19 ),AQ$8=""), 0, 1 )</f>
        <v>0</v>
      </c>
      <c r="EC19" s="252">
        <f t="shared" ref="EC19" si="202" xml:space="preserve"> IF( OR(ISNUMBER(AR19 ),AR$8=""), 0, 1 )</f>
        <v>0</v>
      </c>
      <c r="ED19" s="252">
        <f t="shared" ref="ED19" si="203" xml:space="preserve"> IF( OR(ISNUMBER(AS19 ),AS$8=""), 0, 1 )</f>
        <v>0</v>
      </c>
      <c r="EE19" s="252">
        <f t="shared" ref="EE19" si="204" xml:space="preserve"> IF( OR(ISNUMBER(AT19 ),AT$8=""), 0, 1 )</f>
        <v>0</v>
      </c>
      <c r="EF19" s="252">
        <f t="shared" ref="EF19" si="205" xml:space="preserve"> IF( OR(ISNUMBER(AU19 ),AU$8=""), 0, 1 )</f>
        <v>0</v>
      </c>
      <c r="EG19" s="252">
        <f t="shared" ref="EG19" si="206" xml:space="preserve"> IF( OR(ISNUMBER(AV19 ),AV$8=""), 0, 1 )</f>
        <v>0</v>
      </c>
      <c r="EH19" s="252">
        <f t="shared" ref="EH19" si="207" xml:space="preserve"> IF( OR(ISNUMBER(AW19 ),AW$8=""), 0, 1 )</f>
        <v>0</v>
      </c>
      <c r="EI19" s="252">
        <f t="shared" ref="EI19" si="208" xml:space="preserve"> IF( OR(ISNUMBER(AX19 ),AX$8=""), 0, 1 )</f>
        <v>0</v>
      </c>
      <c r="EJ19" s="252">
        <f t="shared" ref="EJ19" si="209" xml:space="preserve"> IF( OR(ISNUMBER(AY19 ),AY$8=""), 0, 1 )</f>
        <v>0</v>
      </c>
      <c r="EK19" s="252">
        <f t="shared" ref="EK19" si="210" xml:space="preserve"> IF( OR(ISNUMBER(AZ19 ),AZ$8=""), 0, 1 )</f>
        <v>0</v>
      </c>
      <c r="EL19" s="252">
        <f t="shared" ref="EL19" si="211" xml:space="preserve"> IF( OR(ISNUMBER(BA19 ),BA$8=""), 0, 1 )</f>
        <v>0</v>
      </c>
      <c r="EM19" s="252">
        <f t="shared" ref="EM19" si="212" xml:space="preserve"> IF( OR(ISNUMBER(BB19 ),BB$8=""), 0, 1 )</f>
        <v>0</v>
      </c>
      <c r="EN19" s="252">
        <f t="shared" ref="EN19" si="213" xml:space="preserve"> IF( OR(ISNUMBER(BC19 ),BC$8=""), 0, 1 )</f>
        <v>0</v>
      </c>
      <c r="EO19" s="252">
        <f t="shared" ref="EO19" si="214" xml:space="preserve"> IF( OR(ISNUMBER(BD19 ),BD$8=""), 0, 1 )</f>
        <v>0</v>
      </c>
      <c r="EP19" s="252">
        <f t="shared" ref="EP19" si="215" xml:space="preserve"> IF( OR(ISNUMBER(BE19 ),BE$8=""), 0, 1 )</f>
        <v>0</v>
      </c>
      <c r="EQ19" s="252">
        <f t="shared" ref="EQ19" si="216" xml:space="preserve"> IF( OR(ISNUMBER(BF19 ),BF$8=""), 0, 1 )</f>
        <v>0</v>
      </c>
      <c r="ER19" s="252">
        <f t="shared" ref="ER19" si="217" xml:space="preserve"> IF( OR(ISNUMBER(BG19 ),BG$8=""), 0, 1 )</f>
        <v>0</v>
      </c>
      <c r="ES19" s="252">
        <f t="shared" ref="ES19" si="218" xml:space="preserve"> IF( OR(ISNUMBER(BH19 ),BH$8=""), 0, 1 )</f>
        <v>0</v>
      </c>
      <c r="ET19" s="252">
        <f t="shared" ref="ET19" si="219" xml:space="preserve"> IF( OR(ISNUMBER(BI19 ),BI$8=""), 0, 1 )</f>
        <v>0</v>
      </c>
      <c r="EU19" s="252">
        <f t="shared" ref="EU19" si="220" xml:space="preserve"> IF( OR(ISNUMBER(BJ19 ),BJ$8=""), 0, 1 )</f>
        <v>0</v>
      </c>
      <c r="EV19" s="252">
        <f t="shared" ref="EV19" si="221" xml:space="preserve"> IF( OR(ISNUMBER(BK19 ),BK$8=""), 0, 1 )</f>
        <v>0</v>
      </c>
      <c r="EW19" s="252">
        <f t="shared" ref="EW19" si="222" xml:space="preserve"> IF( OR(ISNUMBER(BL19 ),BL$8=""), 0, 1 )</f>
        <v>0</v>
      </c>
      <c r="EX19" s="252">
        <f t="shared" ref="EX19" si="223" xml:space="preserve"> IF( OR(ISNUMBER(BM19 ),BM$8=""), 0, 1 )</f>
        <v>0</v>
      </c>
      <c r="EY19" s="252">
        <f t="shared" ref="EY19" si="224" xml:space="preserve"> IF( OR(ISNUMBER(BN19 ),BN$8=""), 0, 1 )</f>
        <v>0</v>
      </c>
      <c r="EZ19" s="252">
        <f t="shared" ref="EZ19" si="225" xml:space="preserve"> IF( OR(ISNUMBER(BO19 ),BO$8=""), 0, 1 )</f>
        <v>0</v>
      </c>
      <c r="FA19" s="252">
        <f t="shared" ref="FA19" si="226" xml:space="preserve"> IF( OR(ISNUMBER(BP19 ),BP$8=""), 0, 1 )</f>
        <v>0</v>
      </c>
      <c r="FB19" s="252">
        <f t="shared" ref="FB19" si="227" xml:space="preserve"> IF( OR(ISNUMBER(BQ19 ),BQ$8=""), 0, 1 )</f>
        <v>0</v>
      </c>
      <c r="FC19" s="252">
        <f t="shared" ref="FC19" si="228" xml:space="preserve"> IF( OR(ISNUMBER(BR19 ),BR$8=""), 0, 1 )</f>
        <v>0</v>
      </c>
      <c r="FD19" s="252">
        <f t="shared" ref="FD19" si="229" xml:space="preserve"> IF( OR(ISNUMBER(BS19 ),BS$8=""), 0, 1 )</f>
        <v>0</v>
      </c>
      <c r="FE19" s="252">
        <f t="shared" ref="FE19" si="230" xml:space="preserve"> IF( OR(ISNUMBER(BT19 ),BT$8=""), 0, 1 )</f>
        <v>0</v>
      </c>
      <c r="FF19" s="252">
        <f t="shared" ref="FF19" si="231" xml:space="preserve"> IF( OR(ISNUMBER(BU19 ),BU$8=""), 0, 1 )</f>
        <v>0</v>
      </c>
      <c r="FG19" s="252">
        <f t="shared" ref="FG19" si="232" xml:space="preserve"> IF( OR(ISNUMBER(BV19 ),BV$8=""), 0, 1 )</f>
        <v>0</v>
      </c>
      <c r="FH19" s="252">
        <f t="shared" ref="FH19" si="233" xml:space="preserve"> IF( OR(ISNUMBER(BW19 ),BW$8=""), 0, 1 )</f>
        <v>0</v>
      </c>
      <c r="FI19" s="252">
        <f t="shared" ref="FI19" si="234" xml:space="preserve"> IF( OR(ISNUMBER(BX19 ),BX$8=""), 0, 1 )</f>
        <v>0</v>
      </c>
      <c r="FJ19" s="252">
        <f t="shared" ref="FJ19" si="235" xml:space="preserve"> IF( OR(ISNUMBER(BY19 ),BY$8=""), 0, 1 )</f>
        <v>0</v>
      </c>
      <c r="FK19" s="252">
        <f t="shared" ref="FK19" si="236" xml:space="preserve"> IF( OR(ISNUMBER(BZ19 ),BZ$8=""), 0, 1 )</f>
        <v>0</v>
      </c>
      <c r="FL19" s="252">
        <f t="shared" ref="FL19" si="237" xml:space="preserve"> IF( OR(ISNUMBER(CA19 ),CA$8=""), 0, 1 )</f>
        <v>0</v>
      </c>
      <c r="FM19" s="252">
        <f t="shared" ref="FM19" si="238" xml:space="preserve"> IF( OR(ISNUMBER(CB19 ),CB$8=""), 0, 1 )</f>
        <v>0</v>
      </c>
      <c r="FN19" s="252">
        <f t="shared" ref="FN19" si="239" xml:space="preserve"> IF( OR(ISNUMBER(CC19 ),CC$8=""), 0, 1 )</f>
        <v>0</v>
      </c>
      <c r="FO19" s="252">
        <f t="shared" ref="FO19" si="240" xml:space="preserve"> IF( OR(ISNUMBER(CD19 ),CD$8=""), 0, 1 )</f>
        <v>0</v>
      </c>
      <c r="FP19" s="252">
        <f t="shared" ref="FP19" si="241" xml:space="preserve"> IF( OR(ISNUMBER(CE19 ),CE$8=""), 0, 1 )</f>
        <v>0</v>
      </c>
      <c r="FQ19" s="252">
        <f t="shared" ref="FQ19" si="242" xml:space="preserve"> IF( OR(ISNUMBER(CF19 ),CF$8=""), 0, 1 )</f>
        <v>0</v>
      </c>
      <c r="FR19" s="2560"/>
      <c r="FS19" s="2589"/>
      <c r="FT19" s="1607"/>
    </row>
    <row r="20" spans="1:176" s="197" customFormat="1" ht="15.75" customHeight="1" thickTop="1" thickBot="1">
      <c r="B20" s="1208"/>
      <c r="C20" s="1209"/>
      <c r="D20" s="1209"/>
      <c r="E20" s="1608"/>
      <c r="F20" s="1608"/>
      <c r="G20" s="1609"/>
      <c r="H20" s="1609"/>
      <c r="I20" s="1609"/>
      <c r="J20" s="1609"/>
      <c r="K20" s="1609"/>
      <c r="L20" s="1609"/>
      <c r="M20" s="1609"/>
      <c r="N20" s="1609"/>
      <c r="O20" s="1609"/>
      <c r="P20" s="1609"/>
      <c r="Q20" s="1609"/>
      <c r="R20" s="1609"/>
      <c r="S20" s="1609"/>
      <c r="T20" s="1609"/>
      <c r="U20" s="1609"/>
      <c r="V20" s="1609"/>
      <c r="W20" s="1609"/>
      <c r="X20" s="1609"/>
      <c r="Y20" s="1609"/>
      <c r="Z20" s="1609"/>
      <c r="AA20" s="1609"/>
      <c r="AB20" s="1609"/>
      <c r="AC20" s="1609"/>
      <c r="AD20" s="1609"/>
      <c r="AE20" s="1609"/>
      <c r="AF20" s="1609"/>
      <c r="AG20" s="1609"/>
      <c r="AH20" s="1609"/>
      <c r="AI20" s="1609"/>
      <c r="AJ20" s="1609"/>
      <c r="AK20" s="1609"/>
      <c r="AL20" s="1609"/>
      <c r="AM20" s="1609"/>
      <c r="AN20" s="1609"/>
      <c r="AO20" s="1609"/>
      <c r="AP20" s="1609"/>
      <c r="AQ20" s="1609"/>
      <c r="AR20" s="1609"/>
      <c r="AS20" s="1609"/>
      <c r="AT20" s="1609"/>
      <c r="AU20" s="1609"/>
      <c r="AV20" s="1609"/>
      <c r="AW20" s="1609"/>
      <c r="AX20" s="1609"/>
      <c r="AY20" s="1609"/>
      <c r="AZ20" s="1609"/>
      <c r="BA20" s="1609"/>
      <c r="BB20" s="1609"/>
      <c r="BC20" s="1609"/>
      <c r="BD20" s="1609"/>
      <c r="BE20" s="1609"/>
      <c r="BF20" s="1609"/>
      <c r="BG20" s="1609"/>
      <c r="BH20" s="1609"/>
      <c r="BI20" s="1609"/>
      <c r="BJ20" s="1609"/>
      <c r="BK20" s="1609"/>
      <c r="BL20" s="1609"/>
      <c r="BM20" s="1609"/>
      <c r="BN20" s="1609"/>
      <c r="BO20" s="1609"/>
      <c r="BP20" s="1609"/>
      <c r="BQ20" s="1609"/>
      <c r="BR20" s="1609"/>
      <c r="BS20" s="1609"/>
      <c r="BT20" s="1609"/>
      <c r="BU20" s="1609"/>
      <c r="BV20" s="1609"/>
      <c r="BW20" s="1609"/>
      <c r="BX20" s="1609"/>
      <c r="BY20" s="1609"/>
      <c r="BZ20" s="1609"/>
      <c r="CA20" s="1609"/>
      <c r="CB20" s="1609"/>
      <c r="CC20" s="1609"/>
      <c r="CD20" s="1609"/>
      <c r="CE20" s="1609"/>
      <c r="CF20" s="1610"/>
      <c r="CG20" s="1611"/>
      <c r="CH20" s="228"/>
      <c r="CM20" s="2589"/>
      <c r="CN20" s="2560"/>
      <c r="CO20" s="2589"/>
      <c r="CP20" s="2560"/>
      <c r="CQ20" s="2560"/>
      <c r="CR20" s="2560"/>
      <c r="CS20" s="2560"/>
      <c r="CT20" s="2560"/>
      <c r="CU20" s="2560"/>
      <c r="CV20" s="2560"/>
      <c r="CW20" s="2560"/>
      <c r="CX20" s="2560"/>
      <c r="CY20" s="2560"/>
      <c r="CZ20" s="2560"/>
      <c r="DA20" s="2560"/>
      <c r="DB20" s="2560"/>
      <c r="DC20" s="2560"/>
      <c r="DD20" s="2560"/>
      <c r="DE20" s="2560"/>
      <c r="DF20" s="2560"/>
      <c r="DG20" s="2560"/>
      <c r="DH20" s="2560"/>
      <c r="DI20" s="2560"/>
      <c r="DJ20" s="2560"/>
      <c r="DK20" s="2560"/>
      <c r="DL20" s="2560"/>
      <c r="DM20" s="2560"/>
      <c r="DN20" s="2560"/>
      <c r="DO20" s="2560"/>
      <c r="DP20" s="2560"/>
      <c r="DQ20" s="2560"/>
      <c r="DR20" s="2560"/>
      <c r="DS20" s="2560"/>
      <c r="DT20" s="2560"/>
      <c r="DU20" s="2560"/>
      <c r="DV20" s="2560"/>
      <c r="DW20" s="2560"/>
      <c r="DX20" s="2560"/>
      <c r="DY20" s="2560"/>
      <c r="DZ20" s="2560"/>
      <c r="EA20" s="2560"/>
      <c r="EB20" s="2560"/>
      <c r="EC20" s="2560"/>
      <c r="ED20" s="2560"/>
      <c r="EE20" s="2560"/>
      <c r="EF20" s="2560"/>
      <c r="EG20" s="2560"/>
      <c r="EH20" s="2560"/>
      <c r="EI20" s="2560"/>
      <c r="EJ20" s="2560"/>
      <c r="EK20" s="2560"/>
      <c r="EL20" s="2560"/>
      <c r="EM20" s="2560"/>
      <c r="EN20" s="2560"/>
      <c r="EO20" s="2560"/>
      <c r="EP20" s="2560"/>
      <c r="EQ20" s="2560"/>
      <c r="ER20" s="2560"/>
      <c r="ES20" s="2560"/>
      <c r="ET20" s="2560"/>
      <c r="EU20" s="2560"/>
      <c r="EV20" s="2560"/>
      <c r="EW20" s="2560"/>
      <c r="EX20" s="2560"/>
      <c r="EY20" s="2560"/>
      <c r="EZ20" s="2560"/>
      <c r="FA20" s="2560"/>
      <c r="FB20" s="2560"/>
      <c r="FC20" s="2560"/>
      <c r="FD20" s="2560"/>
      <c r="FE20" s="2560"/>
      <c r="FF20" s="2560"/>
      <c r="FG20" s="2560"/>
      <c r="FH20" s="2560"/>
      <c r="FI20" s="2560"/>
      <c r="FJ20" s="2560"/>
      <c r="FK20" s="2560"/>
      <c r="FL20" s="2560"/>
      <c r="FM20" s="2560"/>
      <c r="FN20" s="2560"/>
      <c r="FO20" s="2560"/>
      <c r="FP20" s="2560"/>
      <c r="FQ20" s="2560"/>
      <c r="FR20" s="2560"/>
      <c r="FS20" s="2589"/>
      <c r="FT20" s="1611"/>
    </row>
    <row r="21" spans="1:176" s="197" customFormat="1" ht="15.75" customHeight="1">
      <c r="B21" s="355" t="s">
        <v>11228</v>
      </c>
      <c r="C21" s="444"/>
      <c r="D21" s="444"/>
      <c r="E21" s="1608"/>
      <c r="F21" s="1608"/>
      <c r="G21" s="1609"/>
      <c r="H21" s="1609"/>
      <c r="I21" s="1609"/>
      <c r="J21" s="1609"/>
      <c r="K21" s="1609"/>
      <c r="L21" s="1609"/>
      <c r="M21" s="1609"/>
      <c r="N21" s="1609"/>
      <c r="O21" s="1609"/>
      <c r="P21" s="1609"/>
      <c r="Q21" s="1609"/>
      <c r="R21" s="1609"/>
      <c r="S21" s="1609"/>
      <c r="T21" s="1609"/>
      <c r="U21" s="1609"/>
      <c r="V21" s="1609"/>
      <c r="W21" s="1609"/>
      <c r="X21" s="1609"/>
      <c r="Y21" s="1609"/>
      <c r="Z21" s="1609"/>
      <c r="AA21" s="1609"/>
      <c r="AB21" s="1609"/>
      <c r="AC21" s="1609"/>
      <c r="AD21" s="1609"/>
      <c r="AE21" s="1609"/>
      <c r="AF21" s="1609"/>
      <c r="AG21" s="1609"/>
      <c r="AH21" s="1609"/>
      <c r="AI21" s="1609"/>
      <c r="AJ21" s="1609"/>
      <c r="AK21" s="1609"/>
      <c r="AL21" s="1609"/>
      <c r="AM21" s="1609"/>
      <c r="AN21" s="1609"/>
      <c r="AO21" s="1609"/>
      <c r="AP21" s="1609"/>
      <c r="AQ21" s="1609"/>
      <c r="AR21" s="1609"/>
      <c r="AS21" s="1609"/>
      <c r="AT21" s="1609"/>
      <c r="AU21" s="1609"/>
      <c r="AV21" s="1609"/>
      <c r="AW21" s="1609"/>
      <c r="AX21" s="1609"/>
      <c r="AY21" s="1609"/>
      <c r="AZ21" s="1609"/>
      <c r="BA21" s="1609"/>
      <c r="BB21" s="1609"/>
      <c r="BC21" s="1609"/>
      <c r="BD21" s="1609"/>
      <c r="BE21" s="1609"/>
      <c r="BF21" s="1609"/>
      <c r="BG21" s="1609"/>
      <c r="BH21" s="1609"/>
      <c r="BI21" s="1609"/>
      <c r="BJ21" s="1609"/>
      <c r="BK21" s="1609"/>
      <c r="BL21" s="1609"/>
      <c r="BM21" s="1609"/>
      <c r="BN21" s="1609"/>
      <c r="BO21" s="1609"/>
      <c r="BP21" s="1609"/>
      <c r="BQ21" s="1609"/>
      <c r="BR21" s="1609"/>
      <c r="BS21" s="1609"/>
      <c r="BT21" s="1609"/>
      <c r="BU21" s="1609"/>
      <c r="BV21" s="1609"/>
      <c r="BW21" s="1609"/>
      <c r="BX21" s="1609"/>
      <c r="BY21" s="1609"/>
      <c r="BZ21" s="1609"/>
      <c r="CA21" s="1609"/>
      <c r="CB21" s="1609"/>
      <c r="CC21" s="1609"/>
      <c r="CD21" s="1609"/>
      <c r="CE21" s="1609"/>
      <c r="CF21" s="1610"/>
      <c r="CG21" s="1611"/>
      <c r="CH21" s="228"/>
      <c r="CI21" s="228"/>
      <c r="CK21" s="839"/>
      <c r="CM21" s="2589"/>
      <c r="CN21" s="2560"/>
      <c r="CO21" s="2589"/>
      <c r="CP21" s="2560"/>
      <c r="CQ21" s="2560"/>
      <c r="CR21" s="2560"/>
      <c r="CS21" s="2560"/>
      <c r="CT21" s="2560"/>
      <c r="CU21" s="2560"/>
      <c r="CV21" s="2560"/>
      <c r="CW21" s="2560"/>
      <c r="CX21" s="2560"/>
      <c r="CY21" s="2560"/>
      <c r="CZ21" s="2560"/>
      <c r="DA21" s="2560"/>
      <c r="DB21" s="2560"/>
      <c r="DC21" s="2560"/>
      <c r="DD21" s="2560"/>
      <c r="DE21" s="2560"/>
      <c r="DF21" s="2560"/>
      <c r="DG21" s="2560"/>
      <c r="DH21" s="2560"/>
      <c r="DI21" s="2560"/>
      <c r="DJ21" s="2560"/>
      <c r="DK21" s="2560"/>
      <c r="DL21" s="2560"/>
      <c r="DM21" s="2560"/>
      <c r="DN21" s="2560"/>
      <c r="DO21" s="2560"/>
      <c r="DP21" s="2560"/>
      <c r="DQ21" s="2560"/>
      <c r="DR21" s="2560"/>
      <c r="DS21" s="2560"/>
      <c r="DT21" s="2560"/>
      <c r="DU21" s="2560"/>
      <c r="DV21" s="2560"/>
      <c r="DW21" s="2560"/>
      <c r="DX21" s="2560"/>
      <c r="DY21" s="2560"/>
      <c r="DZ21" s="2560"/>
      <c r="EA21" s="2560"/>
      <c r="EB21" s="2560"/>
      <c r="EC21" s="2560"/>
      <c r="ED21" s="2560"/>
      <c r="EE21" s="2560"/>
      <c r="EF21" s="2560"/>
      <c r="EG21" s="2560"/>
      <c r="EH21" s="2560"/>
      <c r="EI21" s="2560"/>
      <c r="EJ21" s="2560"/>
      <c r="EK21" s="2560"/>
      <c r="EL21" s="2560"/>
      <c r="EM21" s="2560"/>
      <c r="EN21" s="2560"/>
      <c r="EO21" s="2560"/>
      <c r="EP21" s="2560"/>
      <c r="EQ21" s="2560"/>
      <c r="ER21" s="2560"/>
      <c r="ES21" s="2560"/>
      <c r="ET21" s="2560"/>
      <c r="EU21" s="2560"/>
      <c r="EV21" s="2560"/>
      <c r="EW21" s="2560"/>
      <c r="EX21" s="2560"/>
      <c r="EY21" s="2560"/>
      <c r="EZ21" s="2560"/>
      <c r="FA21" s="2560"/>
      <c r="FB21" s="2560"/>
      <c r="FC21" s="2560"/>
      <c r="FD21" s="2560"/>
      <c r="FE21" s="2560"/>
      <c r="FF21" s="2560"/>
      <c r="FG21" s="2560"/>
      <c r="FH21" s="2560"/>
      <c r="FI21" s="2560"/>
      <c r="FJ21" s="2560"/>
      <c r="FK21" s="2560"/>
      <c r="FL21" s="2560"/>
      <c r="FM21" s="2560"/>
      <c r="FN21" s="2560"/>
      <c r="FO21" s="2560"/>
      <c r="FP21" s="2560"/>
      <c r="FQ21" s="2560"/>
      <c r="FR21" s="2560"/>
      <c r="FS21" s="2589"/>
      <c r="FT21" s="1611"/>
    </row>
    <row r="22" spans="1:176" s="197" customFormat="1" ht="15.75" customHeight="1">
      <c r="B22" s="413" t="s">
        <v>11229</v>
      </c>
      <c r="C22" s="244" t="s">
        <v>11230</v>
      </c>
      <c r="D22" s="244">
        <v>0</v>
      </c>
      <c r="E22" s="1612">
        <v>70.41</v>
      </c>
      <c r="F22" s="1612">
        <v>38.28</v>
      </c>
      <c r="G22" s="1612">
        <v>289.48</v>
      </c>
      <c r="H22" s="1612">
        <v>285.68</v>
      </c>
      <c r="I22" s="1612">
        <v>28.15</v>
      </c>
      <c r="J22" s="1612">
        <v>11.37</v>
      </c>
      <c r="K22" s="1612">
        <v>103.49</v>
      </c>
      <c r="L22" s="1612">
        <v>18.16</v>
      </c>
      <c r="M22" s="1612">
        <v>187.43</v>
      </c>
      <c r="N22" s="1612">
        <v>21.73</v>
      </c>
      <c r="O22" s="1612">
        <v>177.2</v>
      </c>
      <c r="P22" s="1612">
        <v>13.41</v>
      </c>
      <c r="Q22" s="1612">
        <v>19.29</v>
      </c>
      <c r="R22" s="1612">
        <v>19.34</v>
      </c>
      <c r="S22" s="1612">
        <v>25.81</v>
      </c>
      <c r="T22" s="1612">
        <v>255.65</v>
      </c>
      <c r="U22" s="1612">
        <v>28.12</v>
      </c>
      <c r="V22" s="1612">
        <v>233.2</v>
      </c>
      <c r="W22" s="1612">
        <v>20.88</v>
      </c>
      <c r="X22" s="1612">
        <v>23.83</v>
      </c>
      <c r="Y22" s="1612">
        <v>23.09</v>
      </c>
      <c r="Z22" s="1612">
        <v>23.11</v>
      </c>
      <c r="AA22" s="1612">
        <v>12.03</v>
      </c>
      <c r="AB22" s="1612">
        <v>90.5</v>
      </c>
      <c r="AC22" s="1612">
        <v>15.75</v>
      </c>
      <c r="AD22" s="1612">
        <v>106.78</v>
      </c>
      <c r="AE22" s="1612">
        <v>63.8</v>
      </c>
      <c r="AF22" s="1612">
        <v>75.010000000000005</v>
      </c>
      <c r="AG22" s="1612">
        <v>17.399999999999999</v>
      </c>
      <c r="AH22" s="1612">
        <v>38.229999999999997</v>
      </c>
      <c r="AI22" s="1612">
        <v>11.57</v>
      </c>
      <c r="AJ22" s="1612">
        <v>6.47</v>
      </c>
      <c r="AK22" s="1612">
        <v>23.97</v>
      </c>
      <c r="AL22" s="1612">
        <v>79.540000000000006</v>
      </c>
      <c r="AM22" s="1612">
        <v>144.13999999999999</v>
      </c>
      <c r="AN22" s="1612"/>
      <c r="AO22" s="1612"/>
      <c r="AP22" s="1612"/>
      <c r="AQ22" s="1612"/>
      <c r="AR22" s="1612"/>
      <c r="AS22" s="1612"/>
      <c r="AT22" s="1612"/>
      <c r="AU22" s="1612"/>
      <c r="AV22" s="1612"/>
      <c r="AW22" s="1612"/>
      <c r="AX22" s="1612"/>
      <c r="AY22" s="1612"/>
      <c r="AZ22" s="1612"/>
      <c r="BA22" s="1612"/>
      <c r="BB22" s="1612"/>
      <c r="BC22" s="1612"/>
      <c r="BD22" s="1612"/>
      <c r="BE22" s="1612"/>
      <c r="BF22" s="1612"/>
      <c r="BG22" s="1612"/>
      <c r="BH22" s="1612"/>
      <c r="BI22" s="1612"/>
      <c r="BJ22" s="1612"/>
      <c r="BK22" s="1612"/>
      <c r="BL22" s="1612"/>
      <c r="BM22" s="1612"/>
      <c r="BN22" s="1612"/>
      <c r="BO22" s="1612"/>
      <c r="BP22" s="1612"/>
      <c r="BQ22" s="1612"/>
      <c r="BR22" s="1612"/>
      <c r="BS22" s="1612"/>
      <c r="BT22" s="1612"/>
      <c r="BU22" s="1612"/>
      <c r="BV22" s="1612"/>
      <c r="BW22" s="1612"/>
      <c r="BX22" s="1612"/>
      <c r="BY22" s="1612"/>
      <c r="BZ22" s="1612"/>
      <c r="CA22" s="1612"/>
      <c r="CB22" s="1612"/>
      <c r="CC22" s="1612"/>
      <c r="CD22" s="1612"/>
      <c r="CE22" s="1612"/>
      <c r="CF22" s="1612"/>
      <c r="CG22" s="1908">
        <f t="shared" ref="CG22:CG27" si="243">IFERROR(SUM(E22:CF22),0)</f>
        <v>2602.3000000000002</v>
      </c>
      <c r="CH22" s="83"/>
      <c r="CI22" s="935" t="s">
        <v>11231</v>
      </c>
      <c r="CK22" s="758"/>
      <c r="CM22" s="2589"/>
      <c r="CN22" s="1121">
        <f t="shared" ref="CN22:CN24" si="244">IF( SUM( CP22:FR22 ) = 0, 0, $CP$6 )</f>
        <v>0</v>
      </c>
      <c r="CO22" s="2589"/>
      <c r="CP22" s="252">
        <f t="shared" ref="CP22:CP24" si="245" xml:space="preserve"> IF( OR(ISNUMBER(E22 ),E$8=""), 0, 1 )</f>
        <v>0</v>
      </c>
      <c r="CQ22" s="252">
        <f t="shared" ref="CQ22:CQ24" si="246" xml:space="preserve"> IF( OR(ISNUMBER(F22 ),F$8=""), 0, 1 )</f>
        <v>0</v>
      </c>
      <c r="CR22" s="252">
        <f t="shared" ref="CR22:CR24" si="247" xml:space="preserve"> IF( OR(ISNUMBER(G22 ),G$8=""), 0, 1 )</f>
        <v>0</v>
      </c>
      <c r="CS22" s="252">
        <f t="shared" ref="CS22:CS24" si="248" xml:space="preserve"> IF( OR(ISNUMBER(H22 ),H$8=""), 0, 1 )</f>
        <v>0</v>
      </c>
      <c r="CT22" s="252">
        <f t="shared" ref="CT22:CT24" si="249" xml:space="preserve"> IF( OR(ISNUMBER(I22 ),I$8=""), 0, 1 )</f>
        <v>0</v>
      </c>
      <c r="CU22" s="252">
        <f t="shared" ref="CU22:CU24" si="250" xml:space="preserve"> IF( OR(ISNUMBER(J22 ),J$8=""), 0, 1 )</f>
        <v>0</v>
      </c>
      <c r="CV22" s="252">
        <f t="shared" ref="CV22:CV24" si="251" xml:space="preserve"> IF( OR(ISNUMBER(K22 ),K$8=""), 0, 1 )</f>
        <v>0</v>
      </c>
      <c r="CW22" s="252">
        <f t="shared" ref="CW22:CW24" si="252" xml:space="preserve"> IF( OR(ISNUMBER(L22 ),L$8=""), 0, 1 )</f>
        <v>0</v>
      </c>
      <c r="CX22" s="252">
        <f t="shared" ref="CX22:CX24" si="253" xml:space="preserve"> IF( OR(ISNUMBER(M22 ),M$8=""), 0, 1 )</f>
        <v>0</v>
      </c>
      <c r="CY22" s="252">
        <f t="shared" ref="CY22:CY24" si="254" xml:space="preserve"> IF( OR(ISNUMBER(N22 ),N$8=""), 0, 1 )</f>
        <v>0</v>
      </c>
      <c r="CZ22" s="252">
        <f t="shared" ref="CZ22:CZ24" si="255" xml:space="preserve"> IF( OR(ISNUMBER(O22 ),O$8=""), 0, 1 )</f>
        <v>0</v>
      </c>
      <c r="DA22" s="252">
        <f t="shared" ref="DA22:DA24" si="256" xml:space="preserve"> IF( OR(ISNUMBER(P22 ),P$8=""), 0, 1 )</f>
        <v>0</v>
      </c>
      <c r="DB22" s="252">
        <f t="shared" ref="DB22:DB24" si="257" xml:space="preserve"> IF( OR(ISNUMBER(Q22 ),Q$8=""), 0, 1 )</f>
        <v>0</v>
      </c>
      <c r="DC22" s="252">
        <f t="shared" ref="DC22:DC24" si="258" xml:space="preserve"> IF( OR(ISNUMBER(R22 ),R$8=""), 0, 1 )</f>
        <v>0</v>
      </c>
      <c r="DD22" s="252">
        <f t="shared" ref="DD22:DD24" si="259" xml:space="preserve"> IF( OR(ISNUMBER(S22 ),S$8=""), 0, 1 )</f>
        <v>0</v>
      </c>
      <c r="DE22" s="252">
        <f t="shared" ref="DE22:DE24" si="260" xml:space="preserve"> IF( OR(ISNUMBER(T22 ),T$8=""), 0, 1 )</f>
        <v>0</v>
      </c>
      <c r="DF22" s="252">
        <f t="shared" ref="DF22:DF24" si="261" xml:space="preserve"> IF( OR(ISNUMBER(U22 ),U$8=""), 0, 1 )</f>
        <v>0</v>
      </c>
      <c r="DG22" s="252">
        <f t="shared" ref="DG22:DG24" si="262" xml:space="preserve"> IF( OR(ISNUMBER(V22 ),V$8=""), 0, 1 )</f>
        <v>0</v>
      </c>
      <c r="DH22" s="252">
        <f t="shared" ref="DH22:DH24" si="263" xml:space="preserve"> IF( OR(ISNUMBER(W22 ),W$8=""), 0, 1 )</f>
        <v>0</v>
      </c>
      <c r="DI22" s="252">
        <f t="shared" ref="DI22:DI24" si="264" xml:space="preserve"> IF( OR(ISNUMBER(X22 ),X$8=""), 0, 1 )</f>
        <v>0</v>
      </c>
      <c r="DJ22" s="252">
        <f t="shared" ref="DJ22:DJ24" si="265" xml:space="preserve"> IF( OR(ISNUMBER(Y22 ),Y$8=""), 0, 1 )</f>
        <v>0</v>
      </c>
      <c r="DK22" s="252">
        <f t="shared" ref="DK22:DK24" si="266" xml:space="preserve"> IF( OR(ISNUMBER(Z22 ),Z$8=""), 0, 1 )</f>
        <v>0</v>
      </c>
      <c r="DL22" s="252">
        <f t="shared" ref="DL22:DL24" si="267" xml:space="preserve"> IF( OR(ISNUMBER(AA22 ),AA$8=""), 0, 1 )</f>
        <v>0</v>
      </c>
      <c r="DM22" s="252">
        <f t="shared" ref="DM22:DM24" si="268" xml:space="preserve"> IF( OR(ISNUMBER(AB22 ),AB$8=""), 0, 1 )</f>
        <v>0</v>
      </c>
      <c r="DN22" s="252">
        <f t="shared" ref="DN22:DN24" si="269" xml:space="preserve"> IF( OR(ISNUMBER(AC22 ),AC$8=""), 0, 1 )</f>
        <v>0</v>
      </c>
      <c r="DO22" s="252">
        <f t="shared" ref="DO22:DO24" si="270" xml:space="preserve"> IF( OR(ISNUMBER(AD22 ),AD$8=""), 0, 1 )</f>
        <v>0</v>
      </c>
      <c r="DP22" s="252">
        <f t="shared" ref="DP22:DP24" si="271" xml:space="preserve"> IF( OR(ISNUMBER(AE22 ),AE$8=""), 0, 1 )</f>
        <v>0</v>
      </c>
      <c r="DQ22" s="252">
        <f t="shared" ref="DQ22:DQ24" si="272" xml:space="preserve"> IF( OR(ISNUMBER(AF22 ),AF$8=""), 0, 1 )</f>
        <v>0</v>
      </c>
      <c r="DR22" s="252">
        <f t="shared" ref="DR22:DR24" si="273" xml:space="preserve"> IF( OR(ISNUMBER(AG22 ),AG$8=""), 0, 1 )</f>
        <v>0</v>
      </c>
      <c r="DS22" s="252">
        <f t="shared" ref="DS22:DS24" si="274" xml:space="preserve"> IF( OR(ISNUMBER(AH22 ),AH$8=""), 0, 1 )</f>
        <v>0</v>
      </c>
      <c r="DT22" s="252">
        <f t="shared" ref="DT22:DT24" si="275" xml:space="preserve"> IF( OR(ISNUMBER(AI22 ),AI$8=""), 0, 1 )</f>
        <v>0</v>
      </c>
      <c r="DU22" s="252">
        <f t="shared" ref="DU22:DU24" si="276" xml:space="preserve"> IF( OR(ISNUMBER(AJ22 ),AJ$8=""), 0, 1 )</f>
        <v>0</v>
      </c>
      <c r="DV22" s="252">
        <f t="shared" ref="DV22:DV24" si="277" xml:space="preserve"> IF( OR(ISNUMBER(AK22 ),AK$8=""), 0, 1 )</f>
        <v>0</v>
      </c>
      <c r="DW22" s="252">
        <f t="shared" ref="DW22:DW24" si="278" xml:space="preserve"> IF( OR(ISNUMBER(AL22 ),AL$8=""), 0, 1 )</f>
        <v>0</v>
      </c>
      <c r="DX22" s="252">
        <f t="shared" ref="DX22:DX24" si="279" xml:space="preserve"> IF( OR(ISNUMBER(AM22 ),AM$8=""), 0, 1 )</f>
        <v>0</v>
      </c>
      <c r="DY22" s="252">
        <f t="shared" ref="DY22:DY24" si="280" xml:space="preserve"> IF( OR(ISNUMBER(AN22 ),AN$8=""), 0, 1 )</f>
        <v>0</v>
      </c>
      <c r="DZ22" s="252">
        <f t="shared" ref="DZ22:DZ24" si="281" xml:space="preserve"> IF( OR(ISNUMBER(AO22 ),AO$8=""), 0, 1 )</f>
        <v>0</v>
      </c>
      <c r="EA22" s="252">
        <f t="shared" ref="EA22:EA24" si="282" xml:space="preserve"> IF( OR(ISNUMBER(AP22 ),AP$8=""), 0, 1 )</f>
        <v>0</v>
      </c>
      <c r="EB22" s="252">
        <f t="shared" ref="EB22:EB24" si="283" xml:space="preserve"> IF( OR(ISNUMBER(AQ22 ),AQ$8=""), 0, 1 )</f>
        <v>0</v>
      </c>
      <c r="EC22" s="252">
        <f t="shared" ref="EC22:EC24" si="284" xml:space="preserve"> IF( OR(ISNUMBER(AR22 ),AR$8=""), 0, 1 )</f>
        <v>0</v>
      </c>
      <c r="ED22" s="252">
        <f t="shared" ref="ED22:ED24" si="285" xml:space="preserve"> IF( OR(ISNUMBER(AS22 ),AS$8=""), 0, 1 )</f>
        <v>0</v>
      </c>
      <c r="EE22" s="252">
        <f t="shared" ref="EE22:EE24" si="286" xml:space="preserve"> IF( OR(ISNUMBER(AT22 ),AT$8=""), 0, 1 )</f>
        <v>0</v>
      </c>
      <c r="EF22" s="252">
        <f t="shared" ref="EF22:EF24" si="287" xml:space="preserve"> IF( OR(ISNUMBER(AU22 ),AU$8=""), 0, 1 )</f>
        <v>0</v>
      </c>
      <c r="EG22" s="252">
        <f t="shared" ref="EG22:EG24" si="288" xml:space="preserve"> IF( OR(ISNUMBER(AV22 ),AV$8=""), 0, 1 )</f>
        <v>0</v>
      </c>
      <c r="EH22" s="252">
        <f t="shared" ref="EH22:EH24" si="289" xml:space="preserve"> IF( OR(ISNUMBER(AW22 ),AW$8=""), 0, 1 )</f>
        <v>0</v>
      </c>
      <c r="EI22" s="252">
        <f t="shared" ref="EI22:EI24" si="290" xml:space="preserve"> IF( OR(ISNUMBER(AX22 ),AX$8=""), 0, 1 )</f>
        <v>0</v>
      </c>
      <c r="EJ22" s="252">
        <f t="shared" ref="EJ22:EJ24" si="291" xml:space="preserve"> IF( OR(ISNUMBER(AY22 ),AY$8=""), 0, 1 )</f>
        <v>0</v>
      </c>
      <c r="EK22" s="252">
        <f t="shared" ref="EK22:EK24" si="292" xml:space="preserve"> IF( OR(ISNUMBER(AZ22 ),AZ$8=""), 0, 1 )</f>
        <v>0</v>
      </c>
      <c r="EL22" s="252">
        <f t="shared" ref="EL22:EL24" si="293" xml:space="preserve"> IF( OR(ISNUMBER(BA22 ),BA$8=""), 0, 1 )</f>
        <v>0</v>
      </c>
      <c r="EM22" s="252">
        <f t="shared" ref="EM22:EM24" si="294" xml:space="preserve"> IF( OR(ISNUMBER(BB22 ),BB$8=""), 0, 1 )</f>
        <v>0</v>
      </c>
      <c r="EN22" s="252">
        <f t="shared" ref="EN22:EN24" si="295" xml:space="preserve"> IF( OR(ISNUMBER(BC22 ),BC$8=""), 0, 1 )</f>
        <v>0</v>
      </c>
      <c r="EO22" s="252">
        <f t="shared" ref="EO22:EO24" si="296" xml:space="preserve"> IF( OR(ISNUMBER(BD22 ),BD$8=""), 0, 1 )</f>
        <v>0</v>
      </c>
      <c r="EP22" s="252">
        <f t="shared" ref="EP22:EP24" si="297" xml:space="preserve"> IF( OR(ISNUMBER(BE22 ),BE$8=""), 0, 1 )</f>
        <v>0</v>
      </c>
      <c r="EQ22" s="252">
        <f t="shared" ref="EQ22:EQ24" si="298" xml:space="preserve"> IF( OR(ISNUMBER(BF22 ),BF$8=""), 0, 1 )</f>
        <v>0</v>
      </c>
      <c r="ER22" s="252">
        <f t="shared" ref="ER22:ER24" si="299" xml:space="preserve"> IF( OR(ISNUMBER(BG22 ),BG$8=""), 0, 1 )</f>
        <v>0</v>
      </c>
      <c r="ES22" s="252">
        <f t="shared" ref="ES22:ES24" si="300" xml:space="preserve"> IF( OR(ISNUMBER(BH22 ),BH$8=""), 0, 1 )</f>
        <v>0</v>
      </c>
      <c r="ET22" s="252">
        <f t="shared" ref="ET22:ET24" si="301" xml:space="preserve"> IF( OR(ISNUMBER(BI22 ),BI$8=""), 0, 1 )</f>
        <v>0</v>
      </c>
      <c r="EU22" s="252">
        <f t="shared" ref="EU22:EU24" si="302" xml:space="preserve"> IF( OR(ISNUMBER(BJ22 ),BJ$8=""), 0, 1 )</f>
        <v>0</v>
      </c>
      <c r="EV22" s="252">
        <f t="shared" ref="EV22:EV24" si="303" xml:space="preserve"> IF( OR(ISNUMBER(BK22 ),BK$8=""), 0, 1 )</f>
        <v>0</v>
      </c>
      <c r="EW22" s="252">
        <f t="shared" ref="EW22:EW24" si="304" xml:space="preserve"> IF( OR(ISNUMBER(BL22 ),BL$8=""), 0, 1 )</f>
        <v>0</v>
      </c>
      <c r="EX22" s="252">
        <f t="shared" ref="EX22:EX24" si="305" xml:space="preserve"> IF( OR(ISNUMBER(BM22 ),BM$8=""), 0, 1 )</f>
        <v>0</v>
      </c>
      <c r="EY22" s="252">
        <f t="shared" ref="EY22:EY24" si="306" xml:space="preserve"> IF( OR(ISNUMBER(BN22 ),BN$8=""), 0, 1 )</f>
        <v>0</v>
      </c>
      <c r="EZ22" s="252">
        <f t="shared" ref="EZ22:EZ24" si="307" xml:space="preserve"> IF( OR(ISNUMBER(BO22 ),BO$8=""), 0, 1 )</f>
        <v>0</v>
      </c>
      <c r="FA22" s="252">
        <f t="shared" ref="FA22:FA24" si="308" xml:space="preserve"> IF( OR(ISNUMBER(BP22 ),BP$8=""), 0, 1 )</f>
        <v>0</v>
      </c>
      <c r="FB22" s="252">
        <f t="shared" ref="FB22:FB24" si="309" xml:space="preserve"> IF( OR(ISNUMBER(BQ22 ),BQ$8=""), 0, 1 )</f>
        <v>0</v>
      </c>
      <c r="FC22" s="252">
        <f t="shared" ref="FC22:FC24" si="310" xml:space="preserve"> IF( OR(ISNUMBER(BR22 ),BR$8=""), 0, 1 )</f>
        <v>0</v>
      </c>
      <c r="FD22" s="252">
        <f t="shared" ref="FD22:FD24" si="311" xml:space="preserve"> IF( OR(ISNUMBER(BS22 ),BS$8=""), 0, 1 )</f>
        <v>0</v>
      </c>
      <c r="FE22" s="252">
        <f t="shared" ref="FE22:FE24" si="312" xml:space="preserve"> IF( OR(ISNUMBER(BT22 ),BT$8=""), 0, 1 )</f>
        <v>0</v>
      </c>
      <c r="FF22" s="252">
        <f t="shared" ref="FF22:FF24" si="313" xml:space="preserve"> IF( OR(ISNUMBER(BU22 ),BU$8=""), 0, 1 )</f>
        <v>0</v>
      </c>
      <c r="FG22" s="252">
        <f t="shared" ref="FG22:FG24" si="314" xml:space="preserve"> IF( OR(ISNUMBER(BV22 ),BV$8=""), 0, 1 )</f>
        <v>0</v>
      </c>
      <c r="FH22" s="252">
        <f t="shared" ref="FH22:FH24" si="315" xml:space="preserve"> IF( OR(ISNUMBER(BW22 ),BW$8=""), 0, 1 )</f>
        <v>0</v>
      </c>
      <c r="FI22" s="252">
        <f t="shared" ref="FI22:FI24" si="316" xml:space="preserve"> IF( OR(ISNUMBER(BX22 ),BX$8=""), 0, 1 )</f>
        <v>0</v>
      </c>
      <c r="FJ22" s="252">
        <f t="shared" ref="FJ22:FJ24" si="317" xml:space="preserve"> IF( OR(ISNUMBER(BY22 ),BY$8=""), 0, 1 )</f>
        <v>0</v>
      </c>
      <c r="FK22" s="252">
        <f t="shared" ref="FK22:FK24" si="318" xml:space="preserve"> IF( OR(ISNUMBER(BZ22 ),BZ$8=""), 0, 1 )</f>
        <v>0</v>
      </c>
      <c r="FL22" s="252">
        <f t="shared" ref="FL22:FL24" si="319" xml:space="preserve"> IF( OR(ISNUMBER(CA22 ),CA$8=""), 0, 1 )</f>
        <v>0</v>
      </c>
      <c r="FM22" s="252">
        <f t="shared" ref="FM22:FM24" si="320" xml:space="preserve"> IF( OR(ISNUMBER(CB22 ),CB$8=""), 0, 1 )</f>
        <v>0</v>
      </c>
      <c r="FN22" s="252">
        <f t="shared" ref="FN22:FN24" si="321" xml:space="preserve"> IF( OR(ISNUMBER(CC22 ),CC$8=""), 0, 1 )</f>
        <v>0</v>
      </c>
      <c r="FO22" s="252">
        <f t="shared" ref="FO22:FO24" si="322" xml:space="preserve"> IF( OR(ISNUMBER(CD22 ),CD$8=""), 0, 1 )</f>
        <v>0</v>
      </c>
      <c r="FP22" s="252">
        <f t="shared" ref="FP22:FP24" si="323" xml:space="preserve"> IF( OR(ISNUMBER(CE22 ),CE$8=""), 0, 1 )</f>
        <v>0</v>
      </c>
      <c r="FQ22" s="252">
        <f t="shared" ref="FQ22:FQ24" si="324" xml:space="preserve"> IF( OR(ISNUMBER(CF22 ),CF$8=""), 0, 1 )</f>
        <v>0</v>
      </c>
      <c r="FR22" s="2560"/>
      <c r="FS22" s="2589"/>
      <c r="FT22" s="1908" t="s">
        <v>11176</v>
      </c>
    </row>
    <row r="23" spans="1:176" s="197" customFormat="1" ht="15.75" customHeight="1">
      <c r="B23" s="422" t="s">
        <v>11232</v>
      </c>
      <c r="C23" s="253" t="s">
        <v>11230</v>
      </c>
      <c r="D23" s="253">
        <v>0</v>
      </c>
      <c r="E23" s="1601">
        <v>0</v>
      </c>
      <c r="F23" s="1601">
        <v>0</v>
      </c>
      <c r="G23" s="1601">
        <v>938.5</v>
      </c>
      <c r="H23" s="1601">
        <v>308.72000000000003</v>
      </c>
      <c r="I23" s="1601">
        <v>0</v>
      </c>
      <c r="J23" s="1601">
        <v>0</v>
      </c>
      <c r="K23" s="1601">
        <v>0</v>
      </c>
      <c r="L23" s="1601">
        <v>33.64</v>
      </c>
      <c r="M23" s="1601">
        <v>0</v>
      </c>
      <c r="N23" s="1601">
        <v>0</v>
      </c>
      <c r="O23" s="1601">
        <v>0</v>
      </c>
      <c r="P23" s="1601">
        <v>0</v>
      </c>
      <c r="Q23" s="1601">
        <v>0</v>
      </c>
      <c r="R23" s="1601">
        <v>0</v>
      </c>
      <c r="S23" s="1601">
        <v>0</v>
      </c>
      <c r="T23" s="1601">
        <v>0</v>
      </c>
      <c r="U23" s="1601">
        <v>0</v>
      </c>
      <c r="V23" s="1601">
        <v>36</v>
      </c>
      <c r="W23" s="1601">
        <v>0</v>
      </c>
      <c r="X23" s="1601">
        <v>0</v>
      </c>
      <c r="Y23" s="1601">
        <v>0</v>
      </c>
      <c r="Z23" s="1601">
        <v>0</v>
      </c>
      <c r="AA23" s="1601">
        <v>0</v>
      </c>
      <c r="AB23" s="1601">
        <v>0</v>
      </c>
      <c r="AC23" s="1601">
        <v>0</v>
      </c>
      <c r="AD23" s="1601">
        <v>0</v>
      </c>
      <c r="AE23" s="1601">
        <v>196.98</v>
      </c>
      <c r="AF23" s="1601">
        <v>0</v>
      </c>
      <c r="AG23" s="1601">
        <v>0</v>
      </c>
      <c r="AH23" s="1601">
        <v>0</v>
      </c>
      <c r="AI23" s="1601">
        <v>0</v>
      </c>
      <c r="AJ23" s="1601">
        <v>0</v>
      </c>
      <c r="AK23" s="1601">
        <v>0</v>
      </c>
      <c r="AL23" s="1601">
        <v>0</v>
      </c>
      <c r="AM23" s="1601">
        <v>0</v>
      </c>
      <c r="AN23" s="1601"/>
      <c r="AO23" s="1601"/>
      <c r="AP23" s="1601"/>
      <c r="AQ23" s="1601"/>
      <c r="AR23" s="1601"/>
      <c r="AS23" s="1601"/>
      <c r="AT23" s="1601"/>
      <c r="AU23" s="1601"/>
      <c r="AV23" s="1601"/>
      <c r="AW23" s="1601"/>
      <c r="AX23" s="1601"/>
      <c r="AY23" s="1601"/>
      <c r="AZ23" s="1601"/>
      <c r="BA23" s="1601"/>
      <c r="BB23" s="1601"/>
      <c r="BC23" s="1601"/>
      <c r="BD23" s="1601"/>
      <c r="BE23" s="1601"/>
      <c r="BF23" s="1601"/>
      <c r="BG23" s="1601"/>
      <c r="BH23" s="1601"/>
      <c r="BI23" s="1601"/>
      <c r="BJ23" s="1601"/>
      <c r="BK23" s="1601"/>
      <c r="BL23" s="1601"/>
      <c r="BM23" s="1601"/>
      <c r="BN23" s="1601"/>
      <c r="BO23" s="1601"/>
      <c r="BP23" s="1601"/>
      <c r="BQ23" s="1601"/>
      <c r="BR23" s="1601"/>
      <c r="BS23" s="1601"/>
      <c r="BT23" s="1601"/>
      <c r="BU23" s="1601"/>
      <c r="BV23" s="1601"/>
      <c r="BW23" s="1601"/>
      <c r="BX23" s="1601"/>
      <c r="BY23" s="1601"/>
      <c r="BZ23" s="1601"/>
      <c r="CA23" s="1601"/>
      <c r="CB23" s="1601"/>
      <c r="CC23" s="1601"/>
      <c r="CD23" s="1601"/>
      <c r="CE23" s="1601"/>
      <c r="CF23" s="1601"/>
      <c r="CG23" s="1906">
        <f t="shared" si="243"/>
        <v>1513.8400000000001</v>
      </c>
      <c r="CH23" s="83"/>
      <c r="CI23" s="936" t="s">
        <v>11233</v>
      </c>
      <c r="CK23" s="739"/>
      <c r="CM23" s="2589"/>
      <c r="CN23" s="1121">
        <f t="shared" si="244"/>
        <v>0</v>
      </c>
      <c r="CO23" s="2589"/>
      <c r="CP23" s="252">
        <f t="shared" si="245"/>
        <v>0</v>
      </c>
      <c r="CQ23" s="252">
        <f t="shared" si="246"/>
        <v>0</v>
      </c>
      <c r="CR23" s="252">
        <f t="shared" si="247"/>
        <v>0</v>
      </c>
      <c r="CS23" s="252">
        <f t="shared" si="248"/>
        <v>0</v>
      </c>
      <c r="CT23" s="252">
        <f t="shared" si="249"/>
        <v>0</v>
      </c>
      <c r="CU23" s="252">
        <f t="shared" si="250"/>
        <v>0</v>
      </c>
      <c r="CV23" s="252">
        <f t="shared" si="251"/>
        <v>0</v>
      </c>
      <c r="CW23" s="252">
        <f t="shared" si="252"/>
        <v>0</v>
      </c>
      <c r="CX23" s="252">
        <f t="shared" si="253"/>
        <v>0</v>
      </c>
      <c r="CY23" s="252">
        <f t="shared" si="254"/>
        <v>0</v>
      </c>
      <c r="CZ23" s="252">
        <f t="shared" si="255"/>
        <v>0</v>
      </c>
      <c r="DA23" s="252">
        <f t="shared" si="256"/>
        <v>0</v>
      </c>
      <c r="DB23" s="252">
        <f t="shared" si="257"/>
        <v>0</v>
      </c>
      <c r="DC23" s="252">
        <f t="shared" si="258"/>
        <v>0</v>
      </c>
      <c r="DD23" s="252">
        <f t="shared" si="259"/>
        <v>0</v>
      </c>
      <c r="DE23" s="252">
        <f t="shared" si="260"/>
        <v>0</v>
      </c>
      <c r="DF23" s="252">
        <f t="shared" si="261"/>
        <v>0</v>
      </c>
      <c r="DG23" s="252">
        <f t="shared" si="262"/>
        <v>0</v>
      </c>
      <c r="DH23" s="252">
        <f t="shared" si="263"/>
        <v>0</v>
      </c>
      <c r="DI23" s="252">
        <f t="shared" si="264"/>
        <v>0</v>
      </c>
      <c r="DJ23" s="252">
        <f t="shared" si="265"/>
        <v>0</v>
      </c>
      <c r="DK23" s="252">
        <f t="shared" si="266"/>
        <v>0</v>
      </c>
      <c r="DL23" s="252">
        <f t="shared" si="267"/>
        <v>0</v>
      </c>
      <c r="DM23" s="252">
        <f t="shared" si="268"/>
        <v>0</v>
      </c>
      <c r="DN23" s="252">
        <f t="shared" si="269"/>
        <v>0</v>
      </c>
      <c r="DO23" s="252">
        <f t="shared" si="270"/>
        <v>0</v>
      </c>
      <c r="DP23" s="252">
        <f t="shared" si="271"/>
        <v>0</v>
      </c>
      <c r="DQ23" s="252">
        <f t="shared" si="272"/>
        <v>0</v>
      </c>
      <c r="DR23" s="252">
        <f t="shared" si="273"/>
        <v>0</v>
      </c>
      <c r="DS23" s="252">
        <f t="shared" si="274"/>
        <v>0</v>
      </c>
      <c r="DT23" s="252">
        <f t="shared" si="275"/>
        <v>0</v>
      </c>
      <c r="DU23" s="252">
        <f t="shared" si="276"/>
        <v>0</v>
      </c>
      <c r="DV23" s="252">
        <f t="shared" si="277"/>
        <v>0</v>
      </c>
      <c r="DW23" s="252">
        <f t="shared" si="278"/>
        <v>0</v>
      </c>
      <c r="DX23" s="252">
        <f t="shared" si="279"/>
        <v>0</v>
      </c>
      <c r="DY23" s="252">
        <f t="shared" si="280"/>
        <v>0</v>
      </c>
      <c r="DZ23" s="252">
        <f t="shared" si="281"/>
        <v>0</v>
      </c>
      <c r="EA23" s="252">
        <f t="shared" si="282"/>
        <v>0</v>
      </c>
      <c r="EB23" s="252">
        <f t="shared" si="283"/>
        <v>0</v>
      </c>
      <c r="EC23" s="252">
        <f t="shared" si="284"/>
        <v>0</v>
      </c>
      <c r="ED23" s="252">
        <f t="shared" si="285"/>
        <v>0</v>
      </c>
      <c r="EE23" s="252">
        <f t="shared" si="286"/>
        <v>0</v>
      </c>
      <c r="EF23" s="252">
        <f t="shared" si="287"/>
        <v>0</v>
      </c>
      <c r="EG23" s="252">
        <f t="shared" si="288"/>
        <v>0</v>
      </c>
      <c r="EH23" s="252">
        <f t="shared" si="289"/>
        <v>0</v>
      </c>
      <c r="EI23" s="252">
        <f t="shared" si="290"/>
        <v>0</v>
      </c>
      <c r="EJ23" s="252">
        <f t="shared" si="291"/>
        <v>0</v>
      </c>
      <c r="EK23" s="252">
        <f t="shared" si="292"/>
        <v>0</v>
      </c>
      <c r="EL23" s="252">
        <f t="shared" si="293"/>
        <v>0</v>
      </c>
      <c r="EM23" s="252">
        <f t="shared" si="294"/>
        <v>0</v>
      </c>
      <c r="EN23" s="252">
        <f t="shared" si="295"/>
        <v>0</v>
      </c>
      <c r="EO23" s="252">
        <f t="shared" si="296"/>
        <v>0</v>
      </c>
      <c r="EP23" s="252">
        <f t="shared" si="297"/>
        <v>0</v>
      </c>
      <c r="EQ23" s="252">
        <f t="shared" si="298"/>
        <v>0</v>
      </c>
      <c r="ER23" s="252">
        <f t="shared" si="299"/>
        <v>0</v>
      </c>
      <c r="ES23" s="252">
        <f t="shared" si="300"/>
        <v>0</v>
      </c>
      <c r="ET23" s="252">
        <f t="shared" si="301"/>
        <v>0</v>
      </c>
      <c r="EU23" s="252">
        <f t="shared" si="302"/>
        <v>0</v>
      </c>
      <c r="EV23" s="252">
        <f t="shared" si="303"/>
        <v>0</v>
      </c>
      <c r="EW23" s="252">
        <f t="shared" si="304"/>
        <v>0</v>
      </c>
      <c r="EX23" s="252">
        <f t="shared" si="305"/>
        <v>0</v>
      </c>
      <c r="EY23" s="252">
        <f t="shared" si="306"/>
        <v>0</v>
      </c>
      <c r="EZ23" s="252">
        <f t="shared" si="307"/>
        <v>0</v>
      </c>
      <c r="FA23" s="252">
        <f t="shared" si="308"/>
        <v>0</v>
      </c>
      <c r="FB23" s="252">
        <f t="shared" si="309"/>
        <v>0</v>
      </c>
      <c r="FC23" s="252">
        <f t="shared" si="310"/>
        <v>0</v>
      </c>
      <c r="FD23" s="252">
        <f t="shared" si="311"/>
        <v>0</v>
      </c>
      <c r="FE23" s="252">
        <f t="shared" si="312"/>
        <v>0</v>
      </c>
      <c r="FF23" s="252">
        <f t="shared" si="313"/>
        <v>0</v>
      </c>
      <c r="FG23" s="252">
        <f t="shared" si="314"/>
        <v>0</v>
      </c>
      <c r="FH23" s="252">
        <f t="shared" si="315"/>
        <v>0</v>
      </c>
      <c r="FI23" s="252">
        <f t="shared" si="316"/>
        <v>0</v>
      </c>
      <c r="FJ23" s="252">
        <f t="shared" si="317"/>
        <v>0</v>
      </c>
      <c r="FK23" s="252">
        <f t="shared" si="318"/>
        <v>0</v>
      </c>
      <c r="FL23" s="252">
        <f t="shared" si="319"/>
        <v>0</v>
      </c>
      <c r="FM23" s="252">
        <f t="shared" si="320"/>
        <v>0</v>
      </c>
      <c r="FN23" s="252">
        <f t="shared" si="321"/>
        <v>0</v>
      </c>
      <c r="FO23" s="252">
        <f t="shared" si="322"/>
        <v>0</v>
      </c>
      <c r="FP23" s="252">
        <f t="shared" si="323"/>
        <v>0</v>
      </c>
      <c r="FQ23" s="252">
        <f t="shared" si="324"/>
        <v>0</v>
      </c>
      <c r="FR23" s="2560"/>
      <c r="FS23" s="2589"/>
      <c r="FT23" s="1906" t="s">
        <v>11179</v>
      </c>
    </row>
    <row r="24" spans="1:176" s="197" customFormat="1" ht="15.75" customHeight="1">
      <c r="B24" s="422" t="s">
        <v>11234</v>
      </c>
      <c r="C24" s="253" t="s">
        <v>11230</v>
      </c>
      <c r="D24" s="253">
        <v>0</v>
      </c>
      <c r="E24" s="1601">
        <v>1627.24</v>
      </c>
      <c r="F24" s="1601">
        <v>884.69</v>
      </c>
      <c r="G24" s="1601">
        <v>5752.23</v>
      </c>
      <c r="H24" s="1601">
        <v>5707.76</v>
      </c>
      <c r="I24" s="1601">
        <v>650.67999999999995</v>
      </c>
      <c r="J24" s="1601">
        <v>-60.55</v>
      </c>
      <c r="K24" s="1601">
        <v>2391.85</v>
      </c>
      <c r="L24" s="1601">
        <v>386.06</v>
      </c>
      <c r="M24" s="1601">
        <v>4008.65</v>
      </c>
      <c r="N24" s="1601">
        <v>502.14</v>
      </c>
      <c r="O24" s="1601">
        <v>4097.63</v>
      </c>
      <c r="P24" s="1601">
        <v>310.04000000000002</v>
      </c>
      <c r="Q24" s="1601">
        <v>445.94</v>
      </c>
      <c r="R24" s="1601">
        <v>446.94</v>
      </c>
      <c r="S24" s="1601">
        <v>596.61</v>
      </c>
      <c r="T24" s="1601">
        <v>5908.86</v>
      </c>
      <c r="U24" s="1601">
        <v>649.85</v>
      </c>
      <c r="V24" s="1601">
        <v>5353.92</v>
      </c>
      <c r="W24" s="1601">
        <v>482.66</v>
      </c>
      <c r="X24" s="1601">
        <v>550.71</v>
      </c>
      <c r="Y24" s="1601">
        <v>533.62</v>
      </c>
      <c r="Z24" s="1601">
        <v>534.17999999999995</v>
      </c>
      <c r="AA24" s="1601">
        <v>278.08999999999997</v>
      </c>
      <c r="AB24" s="1601">
        <v>2091.63</v>
      </c>
      <c r="AC24" s="1601">
        <v>363.97</v>
      </c>
      <c r="AD24" s="1601">
        <v>2467.94</v>
      </c>
      <c r="AE24" s="1601">
        <v>1277.51</v>
      </c>
      <c r="AF24" s="1601">
        <v>1733.62</v>
      </c>
      <c r="AG24" s="1601">
        <v>402.06</v>
      </c>
      <c r="AH24" s="1601">
        <v>883.53</v>
      </c>
      <c r="AI24" s="1601">
        <v>267.51</v>
      </c>
      <c r="AJ24" s="1601">
        <v>149.43</v>
      </c>
      <c r="AK24" s="1601">
        <v>553.99</v>
      </c>
      <c r="AL24" s="1601">
        <v>1838.3</v>
      </c>
      <c r="AM24" s="1601">
        <v>3331.47</v>
      </c>
      <c r="AN24" s="1601"/>
      <c r="AO24" s="1601"/>
      <c r="AP24" s="1601"/>
      <c r="AQ24" s="1601"/>
      <c r="AR24" s="1601"/>
      <c r="AS24" s="1601"/>
      <c r="AT24" s="1601"/>
      <c r="AU24" s="1601"/>
      <c r="AV24" s="1601"/>
      <c r="AW24" s="1601"/>
      <c r="AX24" s="1601"/>
      <c r="AY24" s="1601"/>
      <c r="AZ24" s="1601"/>
      <c r="BA24" s="1601"/>
      <c r="BB24" s="1601"/>
      <c r="BC24" s="1601"/>
      <c r="BD24" s="1601"/>
      <c r="BE24" s="1601"/>
      <c r="BF24" s="1601"/>
      <c r="BG24" s="1601"/>
      <c r="BH24" s="1601"/>
      <c r="BI24" s="1601"/>
      <c r="BJ24" s="1601"/>
      <c r="BK24" s="1601"/>
      <c r="BL24" s="1601"/>
      <c r="BM24" s="1601"/>
      <c r="BN24" s="1601"/>
      <c r="BO24" s="1601"/>
      <c r="BP24" s="1601"/>
      <c r="BQ24" s="1601"/>
      <c r="BR24" s="1601"/>
      <c r="BS24" s="1601"/>
      <c r="BT24" s="1601"/>
      <c r="BU24" s="1601"/>
      <c r="BV24" s="1601"/>
      <c r="BW24" s="1601"/>
      <c r="BX24" s="1601"/>
      <c r="BY24" s="1601"/>
      <c r="BZ24" s="1601"/>
      <c r="CA24" s="1601"/>
      <c r="CB24" s="1601"/>
      <c r="CC24" s="1601"/>
      <c r="CD24" s="1601"/>
      <c r="CE24" s="1601"/>
      <c r="CF24" s="1601"/>
      <c r="CG24" s="1906">
        <f t="shared" si="243"/>
        <v>57400.760000000009</v>
      </c>
      <c r="CH24" s="83"/>
      <c r="CI24" s="936" t="s">
        <v>11235</v>
      </c>
      <c r="CK24" s="739"/>
      <c r="CM24" s="2589"/>
      <c r="CN24" s="1121">
        <f t="shared" si="244"/>
        <v>0</v>
      </c>
      <c r="CO24" s="2589"/>
      <c r="CP24" s="252">
        <f t="shared" si="245"/>
        <v>0</v>
      </c>
      <c r="CQ24" s="252">
        <f t="shared" si="246"/>
        <v>0</v>
      </c>
      <c r="CR24" s="252">
        <f t="shared" si="247"/>
        <v>0</v>
      </c>
      <c r="CS24" s="252">
        <f t="shared" si="248"/>
        <v>0</v>
      </c>
      <c r="CT24" s="252">
        <f t="shared" si="249"/>
        <v>0</v>
      </c>
      <c r="CU24" s="252">
        <f t="shared" si="250"/>
        <v>0</v>
      </c>
      <c r="CV24" s="252">
        <f t="shared" si="251"/>
        <v>0</v>
      </c>
      <c r="CW24" s="252">
        <f t="shared" si="252"/>
        <v>0</v>
      </c>
      <c r="CX24" s="252">
        <f t="shared" si="253"/>
        <v>0</v>
      </c>
      <c r="CY24" s="252">
        <f t="shared" si="254"/>
        <v>0</v>
      </c>
      <c r="CZ24" s="252">
        <f t="shared" si="255"/>
        <v>0</v>
      </c>
      <c r="DA24" s="252">
        <f t="shared" si="256"/>
        <v>0</v>
      </c>
      <c r="DB24" s="252">
        <f t="shared" si="257"/>
        <v>0</v>
      </c>
      <c r="DC24" s="252">
        <f t="shared" si="258"/>
        <v>0</v>
      </c>
      <c r="DD24" s="252">
        <f t="shared" si="259"/>
        <v>0</v>
      </c>
      <c r="DE24" s="252">
        <f t="shared" si="260"/>
        <v>0</v>
      </c>
      <c r="DF24" s="252">
        <f t="shared" si="261"/>
        <v>0</v>
      </c>
      <c r="DG24" s="252">
        <f t="shared" si="262"/>
        <v>0</v>
      </c>
      <c r="DH24" s="252">
        <f t="shared" si="263"/>
        <v>0</v>
      </c>
      <c r="DI24" s="252">
        <f t="shared" si="264"/>
        <v>0</v>
      </c>
      <c r="DJ24" s="252">
        <f t="shared" si="265"/>
        <v>0</v>
      </c>
      <c r="DK24" s="252">
        <f t="shared" si="266"/>
        <v>0</v>
      </c>
      <c r="DL24" s="252">
        <f t="shared" si="267"/>
        <v>0</v>
      </c>
      <c r="DM24" s="252">
        <f t="shared" si="268"/>
        <v>0</v>
      </c>
      <c r="DN24" s="252">
        <f t="shared" si="269"/>
        <v>0</v>
      </c>
      <c r="DO24" s="252">
        <f t="shared" si="270"/>
        <v>0</v>
      </c>
      <c r="DP24" s="252">
        <f t="shared" si="271"/>
        <v>0</v>
      </c>
      <c r="DQ24" s="252">
        <f t="shared" si="272"/>
        <v>0</v>
      </c>
      <c r="DR24" s="252">
        <f t="shared" si="273"/>
        <v>0</v>
      </c>
      <c r="DS24" s="252">
        <f t="shared" si="274"/>
        <v>0</v>
      </c>
      <c r="DT24" s="252">
        <f t="shared" si="275"/>
        <v>0</v>
      </c>
      <c r="DU24" s="252">
        <f t="shared" si="276"/>
        <v>0</v>
      </c>
      <c r="DV24" s="252">
        <f t="shared" si="277"/>
        <v>0</v>
      </c>
      <c r="DW24" s="252">
        <f t="shared" si="278"/>
        <v>0</v>
      </c>
      <c r="DX24" s="252">
        <f t="shared" si="279"/>
        <v>0</v>
      </c>
      <c r="DY24" s="252">
        <f t="shared" si="280"/>
        <v>0</v>
      </c>
      <c r="DZ24" s="252">
        <f t="shared" si="281"/>
        <v>0</v>
      </c>
      <c r="EA24" s="252">
        <f t="shared" si="282"/>
        <v>0</v>
      </c>
      <c r="EB24" s="252">
        <f t="shared" si="283"/>
        <v>0</v>
      </c>
      <c r="EC24" s="252">
        <f t="shared" si="284"/>
        <v>0</v>
      </c>
      <c r="ED24" s="252">
        <f t="shared" si="285"/>
        <v>0</v>
      </c>
      <c r="EE24" s="252">
        <f t="shared" si="286"/>
        <v>0</v>
      </c>
      <c r="EF24" s="252">
        <f t="shared" si="287"/>
        <v>0</v>
      </c>
      <c r="EG24" s="252">
        <f t="shared" si="288"/>
        <v>0</v>
      </c>
      <c r="EH24" s="252">
        <f t="shared" si="289"/>
        <v>0</v>
      </c>
      <c r="EI24" s="252">
        <f t="shared" si="290"/>
        <v>0</v>
      </c>
      <c r="EJ24" s="252">
        <f t="shared" si="291"/>
        <v>0</v>
      </c>
      <c r="EK24" s="252">
        <f t="shared" si="292"/>
        <v>0</v>
      </c>
      <c r="EL24" s="252">
        <f t="shared" si="293"/>
        <v>0</v>
      </c>
      <c r="EM24" s="252">
        <f t="shared" si="294"/>
        <v>0</v>
      </c>
      <c r="EN24" s="252">
        <f t="shared" si="295"/>
        <v>0</v>
      </c>
      <c r="EO24" s="252">
        <f t="shared" si="296"/>
        <v>0</v>
      </c>
      <c r="EP24" s="252">
        <f t="shared" si="297"/>
        <v>0</v>
      </c>
      <c r="EQ24" s="252">
        <f t="shared" si="298"/>
        <v>0</v>
      </c>
      <c r="ER24" s="252">
        <f t="shared" si="299"/>
        <v>0</v>
      </c>
      <c r="ES24" s="252">
        <f t="shared" si="300"/>
        <v>0</v>
      </c>
      <c r="ET24" s="252">
        <f t="shared" si="301"/>
        <v>0</v>
      </c>
      <c r="EU24" s="252">
        <f t="shared" si="302"/>
        <v>0</v>
      </c>
      <c r="EV24" s="252">
        <f t="shared" si="303"/>
        <v>0</v>
      </c>
      <c r="EW24" s="252">
        <f t="shared" si="304"/>
        <v>0</v>
      </c>
      <c r="EX24" s="252">
        <f t="shared" si="305"/>
        <v>0</v>
      </c>
      <c r="EY24" s="252">
        <f t="shared" si="306"/>
        <v>0</v>
      </c>
      <c r="EZ24" s="252">
        <f t="shared" si="307"/>
        <v>0</v>
      </c>
      <c r="FA24" s="252">
        <f t="shared" si="308"/>
        <v>0</v>
      </c>
      <c r="FB24" s="252">
        <f t="shared" si="309"/>
        <v>0</v>
      </c>
      <c r="FC24" s="252">
        <f t="shared" si="310"/>
        <v>0</v>
      </c>
      <c r="FD24" s="252">
        <f t="shared" si="311"/>
        <v>0</v>
      </c>
      <c r="FE24" s="252">
        <f t="shared" si="312"/>
        <v>0</v>
      </c>
      <c r="FF24" s="252">
        <f t="shared" si="313"/>
        <v>0</v>
      </c>
      <c r="FG24" s="252">
        <f t="shared" si="314"/>
        <v>0</v>
      </c>
      <c r="FH24" s="252">
        <f t="shared" si="315"/>
        <v>0</v>
      </c>
      <c r="FI24" s="252">
        <f t="shared" si="316"/>
        <v>0</v>
      </c>
      <c r="FJ24" s="252">
        <f t="shared" si="317"/>
        <v>0</v>
      </c>
      <c r="FK24" s="252">
        <f t="shared" si="318"/>
        <v>0</v>
      </c>
      <c r="FL24" s="252">
        <f t="shared" si="319"/>
        <v>0</v>
      </c>
      <c r="FM24" s="252">
        <f t="shared" si="320"/>
        <v>0</v>
      </c>
      <c r="FN24" s="252">
        <f t="shared" si="321"/>
        <v>0</v>
      </c>
      <c r="FO24" s="252">
        <f t="shared" si="322"/>
        <v>0</v>
      </c>
      <c r="FP24" s="252">
        <f t="shared" si="323"/>
        <v>0</v>
      </c>
      <c r="FQ24" s="252">
        <f t="shared" si="324"/>
        <v>0</v>
      </c>
      <c r="FR24" s="2560"/>
      <c r="FS24" s="2589"/>
      <c r="FT24" s="1906" t="s">
        <v>11182</v>
      </c>
    </row>
    <row r="25" spans="1:176" s="197" customFormat="1" ht="15.75" customHeight="1">
      <c r="B25" s="422" t="s">
        <v>11236</v>
      </c>
      <c r="C25" s="253" t="s">
        <v>11230</v>
      </c>
      <c r="D25" s="253">
        <v>0</v>
      </c>
      <c r="E25" s="1605">
        <f>IFERROR(SUM(E22:E24),0)</f>
        <v>1697.65</v>
      </c>
      <c r="F25" s="1605">
        <f t="shared" ref="F25:BP25" si="325">IFERROR(SUM(F22:F24),0)</f>
        <v>922.97</v>
      </c>
      <c r="G25" s="1605">
        <f t="shared" si="325"/>
        <v>6980.2099999999991</v>
      </c>
      <c r="H25" s="1605">
        <f t="shared" si="325"/>
        <v>6302.16</v>
      </c>
      <c r="I25" s="1605">
        <f t="shared" si="325"/>
        <v>678.82999999999993</v>
      </c>
      <c r="J25" s="1605">
        <f t="shared" si="325"/>
        <v>-49.18</v>
      </c>
      <c r="K25" s="1605">
        <f t="shared" si="325"/>
        <v>2495.3399999999997</v>
      </c>
      <c r="L25" s="1605">
        <f t="shared" si="325"/>
        <v>437.86</v>
      </c>
      <c r="M25" s="1605">
        <f t="shared" si="325"/>
        <v>4196.08</v>
      </c>
      <c r="N25" s="1605">
        <f t="shared" si="325"/>
        <v>523.87</v>
      </c>
      <c r="O25" s="1605">
        <f t="shared" si="325"/>
        <v>4274.83</v>
      </c>
      <c r="P25" s="1605">
        <f t="shared" si="325"/>
        <v>323.45000000000005</v>
      </c>
      <c r="Q25" s="1605">
        <f t="shared" si="325"/>
        <v>465.23</v>
      </c>
      <c r="R25" s="1605">
        <f t="shared" si="325"/>
        <v>466.28</v>
      </c>
      <c r="S25" s="1605">
        <f t="shared" si="325"/>
        <v>622.41999999999996</v>
      </c>
      <c r="T25" s="1605">
        <f t="shared" si="325"/>
        <v>6164.5099999999993</v>
      </c>
      <c r="U25" s="1605">
        <f t="shared" si="325"/>
        <v>677.97</v>
      </c>
      <c r="V25" s="1605">
        <f t="shared" si="325"/>
        <v>5623.12</v>
      </c>
      <c r="W25" s="1605">
        <f t="shared" si="325"/>
        <v>503.54</v>
      </c>
      <c r="X25" s="1605">
        <f t="shared" si="325"/>
        <v>574.54000000000008</v>
      </c>
      <c r="Y25" s="1605">
        <f t="shared" si="325"/>
        <v>556.71</v>
      </c>
      <c r="Z25" s="1605">
        <f t="shared" si="325"/>
        <v>557.29</v>
      </c>
      <c r="AA25" s="1605">
        <f t="shared" si="325"/>
        <v>290.11999999999995</v>
      </c>
      <c r="AB25" s="1605">
        <f t="shared" si="325"/>
        <v>2182.13</v>
      </c>
      <c r="AC25" s="1605">
        <f t="shared" si="325"/>
        <v>379.72</v>
      </c>
      <c r="AD25" s="1605">
        <f t="shared" si="325"/>
        <v>2574.7200000000003</v>
      </c>
      <c r="AE25" s="1605">
        <f t="shared" si="325"/>
        <v>1538.29</v>
      </c>
      <c r="AF25" s="1605">
        <f t="shared" si="325"/>
        <v>1808.6299999999999</v>
      </c>
      <c r="AG25" s="1605">
        <f t="shared" si="325"/>
        <v>419.46</v>
      </c>
      <c r="AH25" s="1605">
        <f t="shared" si="325"/>
        <v>921.76</v>
      </c>
      <c r="AI25" s="1605">
        <f t="shared" si="325"/>
        <v>279.08</v>
      </c>
      <c r="AJ25" s="1605">
        <f t="shared" si="325"/>
        <v>155.9</v>
      </c>
      <c r="AK25" s="1605">
        <f t="shared" si="325"/>
        <v>577.96</v>
      </c>
      <c r="AL25" s="1605">
        <f t="shared" si="325"/>
        <v>1917.84</v>
      </c>
      <c r="AM25" s="1605">
        <f t="shared" si="325"/>
        <v>3475.6099999999997</v>
      </c>
      <c r="AN25" s="1605">
        <f t="shared" si="325"/>
        <v>0</v>
      </c>
      <c r="AO25" s="1605">
        <f t="shared" si="325"/>
        <v>0</v>
      </c>
      <c r="AP25" s="1605">
        <f t="shared" si="325"/>
        <v>0</v>
      </c>
      <c r="AQ25" s="1605">
        <f t="shared" si="325"/>
        <v>0</v>
      </c>
      <c r="AR25" s="1605">
        <f t="shared" si="325"/>
        <v>0</v>
      </c>
      <c r="AS25" s="1605">
        <f t="shared" si="325"/>
        <v>0</v>
      </c>
      <c r="AT25" s="1605">
        <f t="shared" si="325"/>
        <v>0</v>
      </c>
      <c r="AU25" s="1605">
        <f t="shared" si="325"/>
        <v>0</v>
      </c>
      <c r="AV25" s="1605">
        <f t="shared" si="325"/>
        <v>0</v>
      </c>
      <c r="AW25" s="1605">
        <f t="shared" si="325"/>
        <v>0</v>
      </c>
      <c r="AX25" s="1605">
        <f t="shared" si="325"/>
        <v>0</v>
      </c>
      <c r="AY25" s="1605">
        <f t="shared" si="325"/>
        <v>0</v>
      </c>
      <c r="AZ25" s="1605">
        <f t="shared" si="325"/>
        <v>0</v>
      </c>
      <c r="BA25" s="1605">
        <f t="shared" si="325"/>
        <v>0</v>
      </c>
      <c r="BB25" s="1605">
        <f t="shared" si="325"/>
        <v>0</v>
      </c>
      <c r="BC25" s="1605">
        <f t="shared" si="325"/>
        <v>0</v>
      </c>
      <c r="BD25" s="1605">
        <f t="shared" si="325"/>
        <v>0</v>
      </c>
      <c r="BE25" s="1605">
        <f t="shared" si="325"/>
        <v>0</v>
      </c>
      <c r="BF25" s="1605">
        <f t="shared" si="325"/>
        <v>0</v>
      </c>
      <c r="BG25" s="1605">
        <f t="shared" si="325"/>
        <v>0</v>
      </c>
      <c r="BH25" s="1605">
        <f t="shared" si="325"/>
        <v>0</v>
      </c>
      <c r="BI25" s="1605">
        <f t="shared" si="325"/>
        <v>0</v>
      </c>
      <c r="BJ25" s="1605">
        <f t="shared" si="325"/>
        <v>0</v>
      </c>
      <c r="BK25" s="1605">
        <f t="shared" si="325"/>
        <v>0</v>
      </c>
      <c r="BL25" s="1605">
        <f t="shared" si="325"/>
        <v>0</v>
      </c>
      <c r="BM25" s="1605">
        <f t="shared" si="325"/>
        <v>0</v>
      </c>
      <c r="BN25" s="1605">
        <f t="shared" si="325"/>
        <v>0</v>
      </c>
      <c r="BO25" s="1605">
        <f t="shared" si="325"/>
        <v>0</v>
      </c>
      <c r="BP25" s="1605">
        <f t="shared" si="325"/>
        <v>0</v>
      </c>
      <c r="BQ25" s="1605">
        <f t="shared" ref="BQ25:CF25" si="326">IFERROR(SUM(BQ22:BQ24),0)</f>
        <v>0</v>
      </c>
      <c r="BR25" s="1605">
        <f t="shared" si="326"/>
        <v>0</v>
      </c>
      <c r="BS25" s="1605">
        <f t="shared" si="326"/>
        <v>0</v>
      </c>
      <c r="BT25" s="1605">
        <f t="shared" si="326"/>
        <v>0</v>
      </c>
      <c r="BU25" s="1605">
        <f t="shared" si="326"/>
        <v>0</v>
      </c>
      <c r="BV25" s="1605">
        <f t="shared" si="326"/>
        <v>0</v>
      </c>
      <c r="BW25" s="1605">
        <f t="shared" si="326"/>
        <v>0</v>
      </c>
      <c r="BX25" s="1605">
        <f t="shared" si="326"/>
        <v>0</v>
      </c>
      <c r="BY25" s="1605">
        <f t="shared" si="326"/>
        <v>0</v>
      </c>
      <c r="BZ25" s="1605">
        <f t="shared" si="326"/>
        <v>0</v>
      </c>
      <c r="CA25" s="1605">
        <f t="shared" si="326"/>
        <v>0</v>
      </c>
      <c r="CB25" s="1605">
        <f t="shared" si="326"/>
        <v>0</v>
      </c>
      <c r="CC25" s="1605">
        <f t="shared" si="326"/>
        <v>0</v>
      </c>
      <c r="CD25" s="1605">
        <f t="shared" si="326"/>
        <v>0</v>
      </c>
      <c r="CE25" s="1605">
        <f t="shared" si="326"/>
        <v>0</v>
      </c>
      <c r="CF25" s="1605">
        <f t="shared" si="326"/>
        <v>0</v>
      </c>
      <c r="CG25" s="1906">
        <f t="shared" si="243"/>
        <v>61516.9</v>
      </c>
      <c r="CH25" s="83"/>
      <c r="CI25" s="936" t="s">
        <v>11237</v>
      </c>
      <c r="CK25" s="739"/>
      <c r="CM25" s="2589"/>
      <c r="CN25" s="2560"/>
      <c r="CO25" s="2589"/>
      <c r="CP25" s="2560"/>
      <c r="CQ25" s="2560"/>
      <c r="CR25" s="2560"/>
      <c r="CS25" s="2560"/>
      <c r="CT25" s="2560"/>
      <c r="CU25" s="2560"/>
      <c r="CV25" s="2560"/>
      <c r="CW25" s="2560"/>
      <c r="CX25" s="2560"/>
      <c r="CY25" s="2560"/>
      <c r="CZ25" s="2560"/>
      <c r="DA25" s="2560"/>
      <c r="DB25" s="2560"/>
      <c r="DC25" s="2560"/>
      <c r="DD25" s="2560"/>
      <c r="DE25" s="2560"/>
      <c r="DF25" s="2560"/>
      <c r="DG25" s="2560"/>
      <c r="DH25" s="2560"/>
      <c r="DI25" s="2560"/>
      <c r="DJ25" s="2560"/>
      <c r="DK25" s="2560"/>
      <c r="DL25" s="2560"/>
      <c r="DM25" s="2560"/>
      <c r="DN25" s="2560"/>
      <c r="DO25" s="2560"/>
      <c r="DP25" s="2560"/>
      <c r="DQ25" s="2560"/>
      <c r="DR25" s="2560"/>
      <c r="DS25" s="2560"/>
      <c r="DT25" s="2560"/>
      <c r="DU25" s="2560"/>
      <c r="DV25" s="2560"/>
      <c r="DW25" s="2560"/>
      <c r="DX25" s="2560"/>
      <c r="DY25" s="2560"/>
      <c r="DZ25" s="2560"/>
      <c r="EA25" s="2560"/>
      <c r="EB25" s="2560"/>
      <c r="EC25" s="2560"/>
      <c r="ED25" s="2560"/>
      <c r="EE25" s="2560"/>
      <c r="EF25" s="2560"/>
      <c r="EG25" s="2560"/>
      <c r="EH25" s="2560"/>
      <c r="EI25" s="2560"/>
      <c r="EJ25" s="2560"/>
      <c r="EK25" s="2560"/>
      <c r="EL25" s="2560"/>
      <c r="EM25" s="2560"/>
      <c r="EN25" s="2560"/>
      <c r="EO25" s="2560"/>
      <c r="EP25" s="2560"/>
      <c r="EQ25" s="2560"/>
      <c r="ER25" s="2560"/>
      <c r="ES25" s="2560"/>
      <c r="ET25" s="2560"/>
      <c r="EU25" s="2560"/>
      <c r="EV25" s="2560"/>
      <c r="EW25" s="2560"/>
      <c r="EX25" s="2560"/>
      <c r="EY25" s="2560"/>
      <c r="EZ25" s="2560"/>
      <c r="FA25" s="2560"/>
      <c r="FB25" s="2560"/>
      <c r="FC25" s="2560"/>
      <c r="FD25" s="2560"/>
      <c r="FE25" s="2560"/>
      <c r="FF25" s="2560"/>
      <c r="FG25" s="2560"/>
      <c r="FH25" s="2560"/>
      <c r="FI25" s="2560"/>
      <c r="FJ25" s="2560"/>
      <c r="FK25" s="2560"/>
      <c r="FL25" s="2560"/>
      <c r="FM25" s="2560"/>
      <c r="FN25" s="2560"/>
      <c r="FO25" s="2560"/>
      <c r="FP25" s="2560"/>
      <c r="FQ25" s="2560"/>
      <c r="FR25" s="2560"/>
      <c r="FS25" s="2589"/>
      <c r="FT25" s="1906" t="s">
        <v>11185</v>
      </c>
    </row>
    <row r="26" spans="1:176" s="197" customFormat="1" ht="15.75" customHeight="1">
      <c r="B26" s="422" t="s">
        <v>11238</v>
      </c>
      <c r="C26" s="253" t="s">
        <v>11230</v>
      </c>
      <c r="D26" s="253">
        <v>0</v>
      </c>
      <c r="E26" s="1601">
        <v>81.73</v>
      </c>
      <c r="F26" s="1601">
        <v>44.43</v>
      </c>
      <c r="G26" s="1601">
        <v>336.05</v>
      </c>
      <c r="H26" s="1601">
        <v>331.64</v>
      </c>
      <c r="I26" s="1601">
        <v>32.68</v>
      </c>
      <c r="J26" s="1601">
        <v>13.2</v>
      </c>
      <c r="K26" s="1601">
        <v>120.13</v>
      </c>
      <c r="L26" s="1601">
        <v>21.08</v>
      </c>
      <c r="M26" s="1601">
        <v>217.58</v>
      </c>
      <c r="N26" s="1601">
        <v>25.22</v>
      </c>
      <c r="O26" s="1601">
        <v>205.76</v>
      </c>
      <c r="P26" s="1601">
        <v>15.57</v>
      </c>
      <c r="Q26" s="1601">
        <v>22.4</v>
      </c>
      <c r="R26" s="1601">
        <v>22.45</v>
      </c>
      <c r="S26" s="1601">
        <v>29.97</v>
      </c>
      <c r="T26" s="1601">
        <v>296.77999999999997</v>
      </c>
      <c r="U26" s="1601">
        <v>32.64</v>
      </c>
      <c r="V26" s="1601">
        <v>270.72000000000003</v>
      </c>
      <c r="W26" s="1601">
        <v>24.24</v>
      </c>
      <c r="X26" s="1601">
        <v>27.66</v>
      </c>
      <c r="Y26" s="1601">
        <v>26.8</v>
      </c>
      <c r="Z26" s="1601">
        <v>26.83</v>
      </c>
      <c r="AA26" s="1601">
        <v>13.97</v>
      </c>
      <c r="AB26" s="1601">
        <v>105.05</v>
      </c>
      <c r="AC26" s="1601">
        <v>18.28</v>
      </c>
      <c r="AD26" s="1601">
        <v>123.96</v>
      </c>
      <c r="AE26" s="1601">
        <v>74.06</v>
      </c>
      <c r="AF26" s="1601">
        <v>87.07</v>
      </c>
      <c r="AG26" s="1601">
        <v>20.190000000000001</v>
      </c>
      <c r="AH26" s="1601">
        <v>44.38</v>
      </c>
      <c r="AI26" s="1601">
        <v>13.44</v>
      </c>
      <c r="AJ26" s="1601">
        <v>7.51</v>
      </c>
      <c r="AK26" s="1601">
        <v>27.82</v>
      </c>
      <c r="AL26" s="1601">
        <v>92.33</v>
      </c>
      <c r="AM26" s="1601">
        <v>167.33</v>
      </c>
      <c r="AN26" s="1601"/>
      <c r="AO26" s="1601"/>
      <c r="AP26" s="1601"/>
      <c r="AQ26" s="1601"/>
      <c r="AR26" s="1601"/>
      <c r="AS26" s="1601"/>
      <c r="AT26" s="1601"/>
      <c r="AU26" s="1601"/>
      <c r="AV26" s="1601"/>
      <c r="AW26" s="1601"/>
      <c r="AX26" s="1601"/>
      <c r="AY26" s="1601"/>
      <c r="AZ26" s="1601"/>
      <c r="BA26" s="1601"/>
      <c r="BB26" s="1601"/>
      <c r="BC26" s="1601"/>
      <c r="BD26" s="1601"/>
      <c r="BE26" s="1601"/>
      <c r="BF26" s="1601"/>
      <c r="BG26" s="1601"/>
      <c r="BH26" s="1601"/>
      <c r="BI26" s="1601"/>
      <c r="BJ26" s="1601"/>
      <c r="BK26" s="1601"/>
      <c r="BL26" s="1601"/>
      <c r="BM26" s="1601"/>
      <c r="BN26" s="1601"/>
      <c r="BO26" s="1601"/>
      <c r="BP26" s="1601"/>
      <c r="BQ26" s="1601"/>
      <c r="BR26" s="1601"/>
      <c r="BS26" s="1601"/>
      <c r="BT26" s="1601"/>
      <c r="BU26" s="1601"/>
      <c r="BV26" s="1601"/>
      <c r="BW26" s="1601"/>
      <c r="BX26" s="1601"/>
      <c r="BY26" s="1601"/>
      <c r="BZ26" s="1601"/>
      <c r="CA26" s="1601"/>
      <c r="CB26" s="1601"/>
      <c r="CC26" s="1601"/>
      <c r="CD26" s="1601"/>
      <c r="CE26" s="1601"/>
      <c r="CF26" s="1601"/>
      <c r="CG26" s="1906">
        <f t="shared" si="243"/>
        <v>3020.9500000000007</v>
      </c>
      <c r="CH26" s="83"/>
      <c r="CI26" s="936" t="s">
        <v>11239</v>
      </c>
      <c r="CK26" s="739"/>
      <c r="CM26" s="2589"/>
      <c r="CN26" s="1121">
        <f>IF( SUM( CP26:FR26 ) = 0, 0, $CP$6 )</f>
        <v>0</v>
      </c>
      <c r="CO26" s="2589"/>
      <c r="CP26" s="252">
        <f t="shared" ref="CP26" si="327" xml:space="preserve"> IF( OR(ISNUMBER(E26 ),E$8=""), 0, 1 )</f>
        <v>0</v>
      </c>
      <c r="CQ26" s="252">
        <f t="shared" ref="CQ26" si="328" xml:space="preserve"> IF( OR(ISNUMBER(F26 ),F$8=""), 0, 1 )</f>
        <v>0</v>
      </c>
      <c r="CR26" s="252">
        <f t="shared" ref="CR26" si="329" xml:space="preserve"> IF( OR(ISNUMBER(G26 ),G$8=""), 0, 1 )</f>
        <v>0</v>
      </c>
      <c r="CS26" s="252">
        <f t="shared" ref="CS26" si="330" xml:space="preserve"> IF( OR(ISNUMBER(H26 ),H$8=""), 0, 1 )</f>
        <v>0</v>
      </c>
      <c r="CT26" s="252">
        <f t="shared" ref="CT26" si="331" xml:space="preserve"> IF( OR(ISNUMBER(I26 ),I$8=""), 0, 1 )</f>
        <v>0</v>
      </c>
      <c r="CU26" s="252">
        <f t="shared" ref="CU26" si="332" xml:space="preserve"> IF( OR(ISNUMBER(J26 ),J$8=""), 0, 1 )</f>
        <v>0</v>
      </c>
      <c r="CV26" s="252">
        <f t="shared" ref="CV26" si="333" xml:space="preserve"> IF( OR(ISNUMBER(K26 ),K$8=""), 0, 1 )</f>
        <v>0</v>
      </c>
      <c r="CW26" s="252">
        <f t="shared" ref="CW26" si="334" xml:space="preserve"> IF( OR(ISNUMBER(L26 ),L$8=""), 0, 1 )</f>
        <v>0</v>
      </c>
      <c r="CX26" s="252">
        <f t="shared" ref="CX26" si="335" xml:space="preserve"> IF( OR(ISNUMBER(M26 ),M$8=""), 0, 1 )</f>
        <v>0</v>
      </c>
      <c r="CY26" s="252">
        <f t="shared" ref="CY26" si="336" xml:space="preserve"> IF( OR(ISNUMBER(N26 ),N$8=""), 0, 1 )</f>
        <v>0</v>
      </c>
      <c r="CZ26" s="252">
        <f t="shared" ref="CZ26" si="337" xml:space="preserve"> IF( OR(ISNUMBER(O26 ),O$8=""), 0, 1 )</f>
        <v>0</v>
      </c>
      <c r="DA26" s="252">
        <f t="shared" ref="DA26" si="338" xml:space="preserve"> IF( OR(ISNUMBER(P26 ),P$8=""), 0, 1 )</f>
        <v>0</v>
      </c>
      <c r="DB26" s="252">
        <f t="shared" ref="DB26" si="339" xml:space="preserve"> IF( OR(ISNUMBER(Q26 ),Q$8=""), 0, 1 )</f>
        <v>0</v>
      </c>
      <c r="DC26" s="252">
        <f t="shared" ref="DC26" si="340" xml:space="preserve"> IF( OR(ISNUMBER(R26 ),R$8=""), 0, 1 )</f>
        <v>0</v>
      </c>
      <c r="DD26" s="252">
        <f t="shared" ref="DD26" si="341" xml:space="preserve"> IF( OR(ISNUMBER(S26 ),S$8=""), 0, 1 )</f>
        <v>0</v>
      </c>
      <c r="DE26" s="252">
        <f t="shared" ref="DE26" si="342" xml:space="preserve"> IF( OR(ISNUMBER(T26 ),T$8=""), 0, 1 )</f>
        <v>0</v>
      </c>
      <c r="DF26" s="252">
        <f t="shared" ref="DF26" si="343" xml:space="preserve"> IF( OR(ISNUMBER(U26 ),U$8=""), 0, 1 )</f>
        <v>0</v>
      </c>
      <c r="DG26" s="252">
        <f t="shared" ref="DG26" si="344" xml:space="preserve"> IF( OR(ISNUMBER(V26 ),V$8=""), 0, 1 )</f>
        <v>0</v>
      </c>
      <c r="DH26" s="252">
        <f t="shared" ref="DH26" si="345" xml:space="preserve"> IF( OR(ISNUMBER(W26 ),W$8=""), 0, 1 )</f>
        <v>0</v>
      </c>
      <c r="DI26" s="252">
        <f t="shared" ref="DI26" si="346" xml:space="preserve"> IF( OR(ISNUMBER(X26 ),X$8=""), 0, 1 )</f>
        <v>0</v>
      </c>
      <c r="DJ26" s="252">
        <f t="shared" ref="DJ26" si="347" xml:space="preserve"> IF( OR(ISNUMBER(Y26 ),Y$8=""), 0, 1 )</f>
        <v>0</v>
      </c>
      <c r="DK26" s="252">
        <f t="shared" ref="DK26" si="348" xml:space="preserve"> IF( OR(ISNUMBER(Z26 ),Z$8=""), 0, 1 )</f>
        <v>0</v>
      </c>
      <c r="DL26" s="252">
        <f t="shared" ref="DL26" si="349" xml:space="preserve"> IF( OR(ISNUMBER(AA26 ),AA$8=""), 0, 1 )</f>
        <v>0</v>
      </c>
      <c r="DM26" s="252">
        <f t="shared" ref="DM26" si="350" xml:space="preserve"> IF( OR(ISNUMBER(AB26 ),AB$8=""), 0, 1 )</f>
        <v>0</v>
      </c>
      <c r="DN26" s="252">
        <f t="shared" ref="DN26" si="351" xml:space="preserve"> IF( OR(ISNUMBER(AC26 ),AC$8=""), 0, 1 )</f>
        <v>0</v>
      </c>
      <c r="DO26" s="252">
        <f t="shared" ref="DO26" si="352" xml:space="preserve"> IF( OR(ISNUMBER(AD26 ),AD$8=""), 0, 1 )</f>
        <v>0</v>
      </c>
      <c r="DP26" s="252">
        <f t="shared" ref="DP26" si="353" xml:space="preserve"> IF( OR(ISNUMBER(AE26 ),AE$8=""), 0, 1 )</f>
        <v>0</v>
      </c>
      <c r="DQ26" s="252">
        <f t="shared" ref="DQ26" si="354" xml:space="preserve"> IF( OR(ISNUMBER(AF26 ),AF$8=""), 0, 1 )</f>
        <v>0</v>
      </c>
      <c r="DR26" s="252">
        <f t="shared" ref="DR26" si="355" xml:space="preserve"> IF( OR(ISNUMBER(AG26 ),AG$8=""), 0, 1 )</f>
        <v>0</v>
      </c>
      <c r="DS26" s="252">
        <f t="shared" ref="DS26" si="356" xml:space="preserve"> IF( OR(ISNUMBER(AH26 ),AH$8=""), 0, 1 )</f>
        <v>0</v>
      </c>
      <c r="DT26" s="252">
        <f t="shared" ref="DT26" si="357" xml:space="preserve"> IF( OR(ISNUMBER(AI26 ),AI$8=""), 0, 1 )</f>
        <v>0</v>
      </c>
      <c r="DU26" s="252">
        <f t="shared" ref="DU26" si="358" xml:space="preserve"> IF( OR(ISNUMBER(AJ26 ),AJ$8=""), 0, 1 )</f>
        <v>0</v>
      </c>
      <c r="DV26" s="252">
        <f t="shared" ref="DV26" si="359" xml:space="preserve"> IF( OR(ISNUMBER(AK26 ),AK$8=""), 0, 1 )</f>
        <v>0</v>
      </c>
      <c r="DW26" s="252">
        <f t="shared" ref="DW26" si="360" xml:space="preserve"> IF( OR(ISNUMBER(AL26 ),AL$8=""), 0, 1 )</f>
        <v>0</v>
      </c>
      <c r="DX26" s="252">
        <f t="shared" ref="DX26" si="361" xml:space="preserve"> IF( OR(ISNUMBER(AM26 ),AM$8=""), 0, 1 )</f>
        <v>0</v>
      </c>
      <c r="DY26" s="252">
        <f t="shared" ref="DY26" si="362" xml:space="preserve"> IF( OR(ISNUMBER(AN26 ),AN$8=""), 0, 1 )</f>
        <v>0</v>
      </c>
      <c r="DZ26" s="252">
        <f t="shared" ref="DZ26" si="363" xml:space="preserve"> IF( OR(ISNUMBER(AO26 ),AO$8=""), 0, 1 )</f>
        <v>0</v>
      </c>
      <c r="EA26" s="252">
        <f t="shared" ref="EA26" si="364" xml:space="preserve"> IF( OR(ISNUMBER(AP26 ),AP$8=""), 0, 1 )</f>
        <v>0</v>
      </c>
      <c r="EB26" s="252">
        <f t="shared" ref="EB26" si="365" xml:space="preserve"> IF( OR(ISNUMBER(AQ26 ),AQ$8=""), 0, 1 )</f>
        <v>0</v>
      </c>
      <c r="EC26" s="252">
        <f t="shared" ref="EC26" si="366" xml:space="preserve"> IF( OR(ISNUMBER(AR26 ),AR$8=""), 0, 1 )</f>
        <v>0</v>
      </c>
      <c r="ED26" s="252">
        <f t="shared" ref="ED26" si="367" xml:space="preserve"> IF( OR(ISNUMBER(AS26 ),AS$8=""), 0, 1 )</f>
        <v>0</v>
      </c>
      <c r="EE26" s="252">
        <f t="shared" ref="EE26" si="368" xml:space="preserve"> IF( OR(ISNUMBER(AT26 ),AT$8=""), 0, 1 )</f>
        <v>0</v>
      </c>
      <c r="EF26" s="252">
        <f t="shared" ref="EF26" si="369" xml:space="preserve"> IF( OR(ISNUMBER(AU26 ),AU$8=""), 0, 1 )</f>
        <v>0</v>
      </c>
      <c r="EG26" s="252">
        <f t="shared" ref="EG26" si="370" xml:space="preserve"> IF( OR(ISNUMBER(AV26 ),AV$8=""), 0, 1 )</f>
        <v>0</v>
      </c>
      <c r="EH26" s="252">
        <f t="shared" ref="EH26" si="371" xml:space="preserve"> IF( OR(ISNUMBER(AW26 ),AW$8=""), 0, 1 )</f>
        <v>0</v>
      </c>
      <c r="EI26" s="252">
        <f t="shared" ref="EI26" si="372" xml:space="preserve"> IF( OR(ISNUMBER(AX26 ),AX$8=""), 0, 1 )</f>
        <v>0</v>
      </c>
      <c r="EJ26" s="252">
        <f t="shared" ref="EJ26" si="373" xml:space="preserve"> IF( OR(ISNUMBER(AY26 ),AY$8=""), 0, 1 )</f>
        <v>0</v>
      </c>
      <c r="EK26" s="252">
        <f t="shared" ref="EK26" si="374" xml:space="preserve"> IF( OR(ISNUMBER(AZ26 ),AZ$8=""), 0, 1 )</f>
        <v>0</v>
      </c>
      <c r="EL26" s="252">
        <f t="shared" ref="EL26" si="375" xml:space="preserve"> IF( OR(ISNUMBER(BA26 ),BA$8=""), 0, 1 )</f>
        <v>0</v>
      </c>
      <c r="EM26" s="252">
        <f t="shared" ref="EM26" si="376" xml:space="preserve"> IF( OR(ISNUMBER(BB26 ),BB$8=""), 0, 1 )</f>
        <v>0</v>
      </c>
      <c r="EN26" s="252">
        <f t="shared" ref="EN26" si="377" xml:space="preserve"> IF( OR(ISNUMBER(BC26 ),BC$8=""), 0, 1 )</f>
        <v>0</v>
      </c>
      <c r="EO26" s="252">
        <f t="shared" ref="EO26" si="378" xml:space="preserve"> IF( OR(ISNUMBER(BD26 ),BD$8=""), 0, 1 )</f>
        <v>0</v>
      </c>
      <c r="EP26" s="252">
        <f t="shared" ref="EP26" si="379" xml:space="preserve"> IF( OR(ISNUMBER(BE26 ),BE$8=""), 0, 1 )</f>
        <v>0</v>
      </c>
      <c r="EQ26" s="252">
        <f t="shared" ref="EQ26" si="380" xml:space="preserve"> IF( OR(ISNUMBER(BF26 ),BF$8=""), 0, 1 )</f>
        <v>0</v>
      </c>
      <c r="ER26" s="252">
        <f t="shared" ref="ER26" si="381" xml:space="preserve"> IF( OR(ISNUMBER(BG26 ),BG$8=""), 0, 1 )</f>
        <v>0</v>
      </c>
      <c r="ES26" s="252">
        <f t="shared" ref="ES26" si="382" xml:space="preserve"> IF( OR(ISNUMBER(BH26 ),BH$8=""), 0, 1 )</f>
        <v>0</v>
      </c>
      <c r="ET26" s="252">
        <f t="shared" ref="ET26" si="383" xml:space="preserve"> IF( OR(ISNUMBER(BI26 ),BI$8=""), 0, 1 )</f>
        <v>0</v>
      </c>
      <c r="EU26" s="252">
        <f t="shared" ref="EU26" si="384" xml:space="preserve"> IF( OR(ISNUMBER(BJ26 ),BJ$8=""), 0, 1 )</f>
        <v>0</v>
      </c>
      <c r="EV26" s="252">
        <f t="shared" ref="EV26" si="385" xml:space="preserve"> IF( OR(ISNUMBER(BK26 ),BK$8=""), 0, 1 )</f>
        <v>0</v>
      </c>
      <c r="EW26" s="252">
        <f t="shared" ref="EW26" si="386" xml:space="preserve"> IF( OR(ISNUMBER(BL26 ),BL$8=""), 0, 1 )</f>
        <v>0</v>
      </c>
      <c r="EX26" s="252">
        <f t="shared" ref="EX26" si="387" xml:space="preserve"> IF( OR(ISNUMBER(BM26 ),BM$8=""), 0, 1 )</f>
        <v>0</v>
      </c>
      <c r="EY26" s="252">
        <f t="shared" ref="EY26" si="388" xml:space="preserve"> IF( OR(ISNUMBER(BN26 ),BN$8=""), 0, 1 )</f>
        <v>0</v>
      </c>
      <c r="EZ26" s="252">
        <f t="shared" ref="EZ26" si="389" xml:space="preserve"> IF( OR(ISNUMBER(BO26 ),BO$8=""), 0, 1 )</f>
        <v>0</v>
      </c>
      <c r="FA26" s="252">
        <f t="shared" ref="FA26" si="390" xml:space="preserve"> IF( OR(ISNUMBER(BP26 ),BP$8=""), 0, 1 )</f>
        <v>0</v>
      </c>
      <c r="FB26" s="252">
        <f t="shared" ref="FB26" si="391" xml:space="preserve"> IF( OR(ISNUMBER(BQ26 ),BQ$8=""), 0, 1 )</f>
        <v>0</v>
      </c>
      <c r="FC26" s="252">
        <f t="shared" ref="FC26" si="392" xml:space="preserve"> IF( OR(ISNUMBER(BR26 ),BR$8=""), 0, 1 )</f>
        <v>0</v>
      </c>
      <c r="FD26" s="252">
        <f t="shared" ref="FD26" si="393" xml:space="preserve"> IF( OR(ISNUMBER(BS26 ),BS$8=""), 0, 1 )</f>
        <v>0</v>
      </c>
      <c r="FE26" s="252">
        <f t="shared" ref="FE26" si="394" xml:space="preserve"> IF( OR(ISNUMBER(BT26 ),BT$8=""), 0, 1 )</f>
        <v>0</v>
      </c>
      <c r="FF26" s="252">
        <f t="shared" ref="FF26" si="395" xml:space="preserve"> IF( OR(ISNUMBER(BU26 ),BU$8=""), 0, 1 )</f>
        <v>0</v>
      </c>
      <c r="FG26" s="252">
        <f t="shared" ref="FG26" si="396" xml:space="preserve"> IF( OR(ISNUMBER(BV26 ),BV$8=""), 0, 1 )</f>
        <v>0</v>
      </c>
      <c r="FH26" s="252">
        <f t="shared" ref="FH26" si="397" xml:space="preserve"> IF( OR(ISNUMBER(BW26 ),BW$8=""), 0, 1 )</f>
        <v>0</v>
      </c>
      <c r="FI26" s="252">
        <f t="shared" ref="FI26" si="398" xml:space="preserve"> IF( OR(ISNUMBER(BX26 ),BX$8=""), 0, 1 )</f>
        <v>0</v>
      </c>
      <c r="FJ26" s="252">
        <f t="shared" ref="FJ26" si="399" xml:space="preserve"> IF( OR(ISNUMBER(BY26 ),BY$8=""), 0, 1 )</f>
        <v>0</v>
      </c>
      <c r="FK26" s="252">
        <f t="shared" ref="FK26" si="400" xml:space="preserve"> IF( OR(ISNUMBER(BZ26 ),BZ$8=""), 0, 1 )</f>
        <v>0</v>
      </c>
      <c r="FL26" s="252">
        <f t="shared" ref="FL26" si="401" xml:space="preserve"> IF( OR(ISNUMBER(CA26 ),CA$8=""), 0, 1 )</f>
        <v>0</v>
      </c>
      <c r="FM26" s="252">
        <f t="shared" ref="FM26" si="402" xml:space="preserve"> IF( OR(ISNUMBER(CB26 ),CB$8=""), 0, 1 )</f>
        <v>0</v>
      </c>
      <c r="FN26" s="252">
        <f t="shared" ref="FN26" si="403" xml:space="preserve"> IF( OR(ISNUMBER(CC26 ),CC$8=""), 0, 1 )</f>
        <v>0</v>
      </c>
      <c r="FO26" s="252">
        <f t="shared" ref="FO26" si="404" xml:space="preserve"> IF( OR(ISNUMBER(CD26 ),CD$8=""), 0, 1 )</f>
        <v>0</v>
      </c>
      <c r="FP26" s="252">
        <f t="shared" ref="FP26" si="405" xml:space="preserve"> IF( OR(ISNUMBER(CE26 ),CE$8=""), 0, 1 )</f>
        <v>0</v>
      </c>
      <c r="FQ26" s="252">
        <f t="shared" ref="FQ26" si="406" xml:space="preserve"> IF( OR(ISNUMBER(CF26 ),CF$8=""), 0, 1 )</f>
        <v>0</v>
      </c>
      <c r="FR26" s="2560"/>
      <c r="FS26" s="2589"/>
      <c r="FT26" s="1906" t="s">
        <v>11188</v>
      </c>
    </row>
    <row r="27" spans="1:176" s="197" customFormat="1" ht="15.75" customHeight="1" thickBot="1">
      <c r="B27" s="425" t="s">
        <v>11240</v>
      </c>
      <c r="C27" s="319" t="s">
        <v>11230</v>
      </c>
      <c r="D27" s="319">
        <v>0</v>
      </c>
      <c r="E27" s="1613">
        <f t="shared" ref="E27:BP27" si="407">IFERROR(SUM(E25:E26),0)</f>
        <v>1779.38</v>
      </c>
      <c r="F27" s="1613">
        <f t="shared" si="407"/>
        <v>967.4</v>
      </c>
      <c r="G27" s="1613">
        <f t="shared" si="407"/>
        <v>7316.2599999999993</v>
      </c>
      <c r="H27" s="1613">
        <f t="shared" si="407"/>
        <v>6633.8</v>
      </c>
      <c r="I27" s="1613">
        <f t="shared" si="407"/>
        <v>711.50999999999988</v>
      </c>
      <c r="J27" s="1613">
        <f t="shared" si="407"/>
        <v>-35.980000000000004</v>
      </c>
      <c r="K27" s="1613">
        <f t="shared" si="407"/>
        <v>2615.4699999999998</v>
      </c>
      <c r="L27" s="1613">
        <f t="shared" si="407"/>
        <v>458.94</v>
      </c>
      <c r="M27" s="1613">
        <f t="shared" si="407"/>
        <v>4413.66</v>
      </c>
      <c r="N27" s="1613">
        <f t="shared" si="407"/>
        <v>549.09</v>
      </c>
      <c r="O27" s="1613">
        <f t="shared" si="407"/>
        <v>4480.59</v>
      </c>
      <c r="P27" s="1613">
        <f t="shared" si="407"/>
        <v>339.02000000000004</v>
      </c>
      <c r="Q27" s="1613">
        <f t="shared" si="407"/>
        <v>487.63</v>
      </c>
      <c r="R27" s="1613">
        <f t="shared" si="407"/>
        <v>488.72999999999996</v>
      </c>
      <c r="S27" s="1613">
        <f t="shared" si="407"/>
        <v>652.39</v>
      </c>
      <c r="T27" s="1613">
        <f t="shared" si="407"/>
        <v>6461.2899999999991</v>
      </c>
      <c r="U27" s="1613">
        <f t="shared" si="407"/>
        <v>710.61</v>
      </c>
      <c r="V27" s="1613">
        <f t="shared" si="407"/>
        <v>5893.84</v>
      </c>
      <c r="W27" s="1613">
        <f t="shared" si="407"/>
        <v>527.78</v>
      </c>
      <c r="X27" s="1613">
        <f t="shared" si="407"/>
        <v>602.20000000000005</v>
      </c>
      <c r="Y27" s="1613">
        <f t="shared" si="407"/>
        <v>583.51</v>
      </c>
      <c r="Z27" s="1613">
        <f t="shared" si="407"/>
        <v>584.12</v>
      </c>
      <c r="AA27" s="1613">
        <f t="shared" si="407"/>
        <v>304.08999999999997</v>
      </c>
      <c r="AB27" s="1613">
        <f t="shared" si="407"/>
        <v>2287.1800000000003</v>
      </c>
      <c r="AC27" s="1613">
        <f t="shared" si="407"/>
        <v>398</v>
      </c>
      <c r="AD27" s="1613">
        <f t="shared" si="407"/>
        <v>2698.6800000000003</v>
      </c>
      <c r="AE27" s="1613">
        <f t="shared" si="407"/>
        <v>1612.35</v>
      </c>
      <c r="AF27" s="1613">
        <f t="shared" si="407"/>
        <v>1895.6999999999998</v>
      </c>
      <c r="AG27" s="1613">
        <f t="shared" si="407"/>
        <v>439.65</v>
      </c>
      <c r="AH27" s="1613">
        <f t="shared" si="407"/>
        <v>966.14</v>
      </c>
      <c r="AI27" s="1613">
        <f t="shared" si="407"/>
        <v>292.52</v>
      </c>
      <c r="AJ27" s="1613">
        <f t="shared" si="407"/>
        <v>163.41</v>
      </c>
      <c r="AK27" s="1613">
        <f t="shared" si="407"/>
        <v>605.78000000000009</v>
      </c>
      <c r="AL27" s="1613">
        <f t="shared" si="407"/>
        <v>2010.1699999999998</v>
      </c>
      <c r="AM27" s="1613">
        <f t="shared" si="407"/>
        <v>3642.9399999999996</v>
      </c>
      <c r="AN27" s="1613">
        <f t="shared" si="407"/>
        <v>0</v>
      </c>
      <c r="AO27" s="1613">
        <f t="shared" si="407"/>
        <v>0</v>
      </c>
      <c r="AP27" s="1613">
        <f t="shared" si="407"/>
        <v>0</v>
      </c>
      <c r="AQ27" s="1613">
        <f t="shared" si="407"/>
        <v>0</v>
      </c>
      <c r="AR27" s="1613">
        <f t="shared" si="407"/>
        <v>0</v>
      </c>
      <c r="AS27" s="1613">
        <f t="shared" si="407"/>
        <v>0</v>
      </c>
      <c r="AT27" s="1613">
        <f t="shared" si="407"/>
        <v>0</v>
      </c>
      <c r="AU27" s="1613">
        <f t="shared" si="407"/>
        <v>0</v>
      </c>
      <c r="AV27" s="1613">
        <f t="shared" si="407"/>
        <v>0</v>
      </c>
      <c r="AW27" s="1613">
        <f t="shared" si="407"/>
        <v>0</v>
      </c>
      <c r="AX27" s="1613">
        <f t="shared" si="407"/>
        <v>0</v>
      </c>
      <c r="AY27" s="1613">
        <f t="shared" si="407"/>
        <v>0</v>
      </c>
      <c r="AZ27" s="1613">
        <f t="shared" si="407"/>
        <v>0</v>
      </c>
      <c r="BA27" s="1613">
        <f t="shared" si="407"/>
        <v>0</v>
      </c>
      <c r="BB27" s="1613">
        <f t="shared" si="407"/>
        <v>0</v>
      </c>
      <c r="BC27" s="1613">
        <f t="shared" si="407"/>
        <v>0</v>
      </c>
      <c r="BD27" s="1613">
        <f t="shared" si="407"/>
        <v>0</v>
      </c>
      <c r="BE27" s="1613">
        <f t="shared" si="407"/>
        <v>0</v>
      </c>
      <c r="BF27" s="1613">
        <f t="shared" si="407"/>
        <v>0</v>
      </c>
      <c r="BG27" s="1613">
        <f t="shared" si="407"/>
        <v>0</v>
      </c>
      <c r="BH27" s="1613">
        <f t="shared" si="407"/>
        <v>0</v>
      </c>
      <c r="BI27" s="1613">
        <f t="shared" si="407"/>
        <v>0</v>
      </c>
      <c r="BJ27" s="1613">
        <f t="shared" si="407"/>
        <v>0</v>
      </c>
      <c r="BK27" s="1613">
        <f t="shared" si="407"/>
        <v>0</v>
      </c>
      <c r="BL27" s="1613">
        <f t="shared" si="407"/>
        <v>0</v>
      </c>
      <c r="BM27" s="1613">
        <f t="shared" si="407"/>
        <v>0</v>
      </c>
      <c r="BN27" s="1613">
        <f t="shared" si="407"/>
        <v>0</v>
      </c>
      <c r="BO27" s="1613">
        <f t="shared" si="407"/>
        <v>0</v>
      </c>
      <c r="BP27" s="1613">
        <f t="shared" si="407"/>
        <v>0</v>
      </c>
      <c r="BQ27" s="1613">
        <f t="shared" ref="BQ27:CF27" si="408">IFERROR(SUM(BQ25:BQ26),0)</f>
        <v>0</v>
      </c>
      <c r="BR27" s="1613">
        <f t="shared" si="408"/>
        <v>0</v>
      </c>
      <c r="BS27" s="1613">
        <f t="shared" si="408"/>
        <v>0</v>
      </c>
      <c r="BT27" s="1613">
        <f t="shared" si="408"/>
        <v>0</v>
      </c>
      <c r="BU27" s="1613">
        <f t="shared" si="408"/>
        <v>0</v>
      </c>
      <c r="BV27" s="1613">
        <f t="shared" si="408"/>
        <v>0</v>
      </c>
      <c r="BW27" s="1613">
        <f t="shared" si="408"/>
        <v>0</v>
      </c>
      <c r="BX27" s="1613">
        <f t="shared" si="408"/>
        <v>0</v>
      </c>
      <c r="BY27" s="1613">
        <f t="shared" si="408"/>
        <v>0</v>
      </c>
      <c r="BZ27" s="1613">
        <f t="shared" si="408"/>
        <v>0</v>
      </c>
      <c r="CA27" s="1613">
        <f t="shared" si="408"/>
        <v>0</v>
      </c>
      <c r="CB27" s="1613">
        <f t="shared" si="408"/>
        <v>0</v>
      </c>
      <c r="CC27" s="1613">
        <f t="shared" si="408"/>
        <v>0</v>
      </c>
      <c r="CD27" s="1613">
        <f t="shared" si="408"/>
        <v>0</v>
      </c>
      <c r="CE27" s="1613">
        <f t="shared" si="408"/>
        <v>0</v>
      </c>
      <c r="CF27" s="1613">
        <f t="shared" si="408"/>
        <v>0</v>
      </c>
      <c r="CG27" s="1907">
        <f t="shared" si="243"/>
        <v>64537.85</v>
      </c>
      <c r="CH27" s="83"/>
      <c r="CI27" s="938" t="s">
        <v>11241</v>
      </c>
      <c r="CK27" s="1207"/>
      <c r="CM27" s="2589"/>
      <c r="CN27" s="2560"/>
      <c r="CO27" s="2589"/>
      <c r="CP27" s="2560"/>
      <c r="CQ27" s="2560"/>
      <c r="CR27" s="2560"/>
      <c r="CS27" s="2560"/>
      <c r="CT27" s="2560"/>
      <c r="CU27" s="2560"/>
      <c r="CV27" s="2560"/>
      <c r="CW27" s="2560"/>
      <c r="CX27" s="2560"/>
      <c r="CY27" s="2560"/>
      <c r="CZ27" s="2560"/>
      <c r="DA27" s="2560"/>
      <c r="DB27" s="2560"/>
      <c r="DC27" s="2560"/>
      <c r="DD27" s="2560"/>
      <c r="DE27" s="2560"/>
      <c r="DF27" s="2560"/>
      <c r="DG27" s="2560"/>
      <c r="DH27" s="2560"/>
      <c r="DI27" s="2560"/>
      <c r="DJ27" s="2560"/>
      <c r="DK27" s="2560"/>
      <c r="DL27" s="2560"/>
      <c r="DM27" s="2560"/>
      <c r="DN27" s="2560"/>
      <c r="DO27" s="2560"/>
      <c r="DP27" s="2560"/>
      <c r="DQ27" s="2560"/>
      <c r="DR27" s="2560"/>
      <c r="DS27" s="2560"/>
      <c r="DT27" s="2560"/>
      <c r="DU27" s="2560"/>
      <c r="DV27" s="2560"/>
      <c r="DW27" s="2560"/>
      <c r="DX27" s="2560"/>
      <c r="DY27" s="2560"/>
      <c r="DZ27" s="2560"/>
      <c r="EA27" s="2560"/>
      <c r="EB27" s="2560"/>
      <c r="EC27" s="2560"/>
      <c r="ED27" s="2560"/>
      <c r="EE27" s="2560"/>
      <c r="EF27" s="2560"/>
      <c r="EG27" s="2560"/>
      <c r="EH27" s="2560"/>
      <c r="EI27" s="2560"/>
      <c r="EJ27" s="2560"/>
      <c r="EK27" s="2560"/>
      <c r="EL27" s="2560"/>
      <c r="EM27" s="2560"/>
      <c r="EN27" s="2560"/>
      <c r="EO27" s="2560"/>
      <c r="EP27" s="2560"/>
      <c r="EQ27" s="2560"/>
      <c r="ER27" s="2560"/>
      <c r="ES27" s="2560"/>
      <c r="ET27" s="2560"/>
      <c r="EU27" s="2560"/>
      <c r="EV27" s="2560"/>
      <c r="EW27" s="2560"/>
      <c r="EX27" s="2560"/>
      <c r="EY27" s="2560"/>
      <c r="EZ27" s="2560"/>
      <c r="FA27" s="2560"/>
      <c r="FB27" s="2560"/>
      <c r="FC27" s="2560"/>
      <c r="FD27" s="2560"/>
      <c r="FE27" s="2560"/>
      <c r="FF27" s="2560"/>
      <c r="FG27" s="2560"/>
      <c r="FH27" s="2560"/>
      <c r="FI27" s="2560"/>
      <c r="FJ27" s="2560"/>
      <c r="FK27" s="2560"/>
      <c r="FL27" s="2560"/>
      <c r="FM27" s="2560"/>
      <c r="FN27" s="2560"/>
      <c r="FO27" s="2560"/>
      <c r="FP27" s="2560"/>
      <c r="FQ27" s="2560"/>
      <c r="FR27" s="2560"/>
      <c r="FS27" s="2589"/>
      <c r="FT27" s="1907" t="s">
        <v>11192</v>
      </c>
    </row>
    <row r="28" spans="1:176" s="197" customFormat="1" ht="15.75" customHeight="1" thickTop="1">
      <c r="B28" s="1208"/>
      <c r="C28" s="879"/>
      <c r="D28" s="879"/>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28"/>
      <c r="CI28" s="228"/>
      <c r="CN28" s="2560"/>
      <c r="CP28" s="2560"/>
      <c r="CQ28" s="2560"/>
      <c r="CR28" s="2560"/>
    </row>
    <row r="29" spans="1:176" s="197" customFormat="1" ht="15.75" customHeight="1">
      <c r="B29" s="1212"/>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28"/>
      <c r="CG29" s="1909"/>
      <c r="CH29" s="228"/>
      <c r="CI29" s="228"/>
      <c r="CN29" s="2560"/>
      <c r="CP29" s="2560"/>
      <c r="CQ29" s="2560"/>
      <c r="CR29" s="2560"/>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M30" s="2562"/>
      <c r="CN30" s="2562"/>
      <c r="CO30" s="2562"/>
      <c r="CP30" s="2560"/>
      <c r="CQ30" s="2560"/>
      <c r="CR30" s="2560"/>
      <c r="CS30" s="2562"/>
      <c r="CT30" s="2562"/>
      <c r="CU30" s="2562"/>
      <c r="CV30" s="2562"/>
      <c r="CW30" s="2562"/>
      <c r="CX30" s="2562"/>
      <c r="CY30" s="2562"/>
      <c r="CZ30" s="2562"/>
      <c r="DA30" s="2562"/>
      <c r="DB30" s="2562"/>
      <c r="DC30" s="2562"/>
      <c r="DD30" s="2562"/>
      <c r="DE30" s="2562"/>
      <c r="DF30" s="2562"/>
      <c r="DG30" s="2562"/>
      <c r="DH30" s="2562"/>
      <c r="DI30" s="2562"/>
      <c r="DJ30" s="2562"/>
      <c r="DK30" s="2562"/>
      <c r="DL30" s="2562"/>
      <c r="DM30" s="2562"/>
      <c r="DN30" s="2562"/>
      <c r="DO30" s="2562"/>
      <c r="DP30" s="2562"/>
      <c r="DQ30" s="2562"/>
      <c r="DR30" s="2562"/>
      <c r="DS30" s="2562"/>
      <c r="DT30" s="2562"/>
      <c r="DU30" s="2562"/>
      <c r="DV30" s="2562"/>
      <c r="DW30" s="2562"/>
      <c r="DX30" s="2562"/>
      <c r="DY30" s="2562"/>
      <c r="DZ30" s="2562"/>
      <c r="EA30" s="2562"/>
      <c r="EB30" s="2562"/>
      <c r="EC30" s="2562"/>
      <c r="ED30" s="2562"/>
      <c r="EE30" s="2562"/>
      <c r="EF30" s="2562"/>
      <c r="EG30" s="2562"/>
      <c r="EH30" s="2562"/>
      <c r="EI30" s="2562"/>
      <c r="EJ30" s="2562"/>
      <c r="EK30" s="2562"/>
      <c r="EL30" s="2562"/>
      <c r="EM30" s="2562"/>
      <c r="EN30" s="2562"/>
      <c r="EO30" s="2562"/>
      <c r="EP30" s="2562"/>
      <c r="EQ30" s="2562"/>
      <c r="ER30" s="2562"/>
      <c r="ES30" s="2562"/>
      <c r="ET30" s="2562"/>
      <c r="EU30" s="2562"/>
      <c r="EV30" s="2562"/>
      <c r="EW30" s="2562"/>
      <c r="EX30" s="2562"/>
      <c r="EY30" s="2562"/>
      <c r="EZ30" s="2562"/>
      <c r="FA30" s="2562"/>
      <c r="FB30" s="2562"/>
      <c r="FC30" s="2562"/>
      <c r="FD30" s="2562"/>
      <c r="FE30" s="2562"/>
      <c r="FF30" s="2562"/>
      <c r="FG30" s="2562"/>
      <c r="FH30" s="2562"/>
      <c r="FI30" s="2562"/>
      <c r="FJ30" s="2562"/>
      <c r="FK30" s="2562"/>
      <c r="FL30" s="2562"/>
      <c r="FM30" s="2562"/>
      <c r="FN30" s="2562"/>
      <c r="FO30" s="2562"/>
      <c r="FP30" s="2562"/>
      <c r="FQ30" s="2562"/>
      <c r="FR30" s="2562"/>
      <c r="FS30" s="2562"/>
      <c r="FT30" s="2562"/>
    </row>
    <row r="31" spans="1:176">
      <c r="A31" s="197"/>
      <c r="B31" s="197"/>
      <c r="C31" s="197"/>
      <c r="D31" s="197"/>
      <c r="E31" s="1213"/>
      <c r="F31" s="1213"/>
      <c r="G31" s="1213"/>
      <c r="H31" s="1213"/>
      <c r="I31" s="1213"/>
      <c r="J31" s="1213"/>
      <c r="K31" s="1213"/>
      <c r="L31" s="1213"/>
      <c r="M31" s="1213"/>
      <c r="N31" s="1213"/>
      <c r="O31" s="1213"/>
      <c r="P31" s="1213"/>
      <c r="Q31" s="1213"/>
      <c r="R31" s="1213"/>
      <c r="S31" s="1213"/>
      <c r="T31" s="1213"/>
      <c r="U31" s="1213"/>
      <c r="V31" s="1213"/>
      <c r="W31" s="1213"/>
      <c r="X31" s="1213"/>
      <c r="Y31" s="1213"/>
      <c r="Z31" s="1213"/>
      <c r="AA31" s="1213"/>
      <c r="AB31" s="1213"/>
      <c r="AC31" s="1213"/>
      <c r="AD31" s="1213"/>
      <c r="AE31" s="1213"/>
      <c r="AF31" s="1213"/>
      <c r="AG31" s="1213"/>
      <c r="AH31" s="1213"/>
      <c r="AI31" s="1213"/>
      <c r="AJ31" s="1213"/>
      <c r="AK31" s="1213"/>
      <c r="AL31" s="1213"/>
      <c r="AM31" s="1213"/>
      <c r="AN31" s="1213"/>
      <c r="AO31" s="1213"/>
      <c r="AP31" s="1213"/>
      <c r="AQ31" s="1213"/>
      <c r="AR31" s="1213"/>
      <c r="AS31" s="1213"/>
      <c r="AT31" s="1213"/>
      <c r="AU31" s="1213"/>
      <c r="AV31" s="1213"/>
      <c r="AW31" s="1213"/>
      <c r="AX31" s="1213"/>
      <c r="AY31" s="1213"/>
      <c r="AZ31" s="1213"/>
      <c r="BA31" s="1213"/>
      <c r="BB31" s="1213"/>
      <c r="BC31" s="1213"/>
      <c r="BD31" s="1213"/>
      <c r="BE31" s="1213"/>
      <c r="BF31" s="1213"/>
      <c r="BG31" s="1213"/>
      <c r="BH31" s="1213"/>
      <c r="BI31" s="1213"/>
      <c r="BJ31" s="1213"/>
      <c r="BK31" s="1213"/>
      <c r="BL31" s="1213"/>
      <c r="BM31" s="1213"/>
      <c r="BN31" s="1213"/>
      <c r="BO31" s="1213"/>
      <c r="BP31" s="1213"/>
      <c r="BQ31" s="1213"/>
      <c r="BR31" s="1213"/>
      <c r="BS31" s="1213"/>
      <c r="BT31" s="1213"/>
      <c r="BU31" s="1213"/>
      <c r="BV31" s="1213"/>
      <c r="BW31" s="1213"/>
      <c r="BX31" s="1213"/>
      <c r="BY31" s="1213"/>
      <c r="BZ31" s="1213"/>
      <c r="CA31" s="1213"/>
      <c r="CB31" s="1213"/>
      <c r="CC31" s="1213"/>
      <c r="CD31" s="1213"/>
      <c r="CE31" s="1213"/>
      <c r="CF31" s="1213"/>
      <c r="CG31" s="197"/>
      <c r="CH31" s="197"/>
      <c r="CJ31" s="197"/>
      <c r="CK31" s="197"/>
      <c r="CL31" s="197"/>
      <c r="CM31" s="2562"/>
      <c r="CN31" s="2562"/>
      <c r="CO31" s="2562"/>
      <c r="CP31" s="2560"/>
      <c r="CQ31" s="2560"/>
      <c r="CR31" s="2560"/>
      <c r="CS31" s="2562"/>
      <c r="CT31" s="2562"/>
      <c r="CU31" s="2562"/>
      <c r="CV31" s="2562"/>
      <c r="CW31" s="2562"/>
      <c r="CX31" s="2562"/>
      <c r="CY31" s="2562"/>
      <c r="CZ31" s="2562"/>
      <c r="DA31" s="2562"/>
      <c r="DB31" s="2562"/>
      <c r="DC31" s="2562"/>
      <c r="DD31" s="2562"/>
      <c r="DE31" s="2562"/>
      <c r="DF31" s="2562"/>
      <c r="DG31" s="2562"/>
      <c r="DH31" s="2562"/>
      <c r="DI31" s="2562"/>
      <c r="DJ31" s="2562"/>
      <c r="DK31" s="2562"/>
      <c r="DL31" s="2562"/>
      <c r="DM31" s="2562"/>
      <c r="DN31" s="2562"/>
      <c r="DO31" s="2562"/>
      <c r="DP31" s="2562"/>
      <c r="DQ31" s="2562"/>
      <c r="DR31" s="2562"/>
      <c r="DS31" s="2562"/>
      <c r="DT31" s="2562"/>
      <c r="DU31" s="2562"/>
      <c r="DV31" s="2562"/>
      <c r="DW31" s="2562"/>
      <c r="DX31" s="2562"/>
      <c r="DY31" s="2562"/>
      <c r="DZ31" s="2562"/>
      <c r="EA31" s="2562"/>
      <c r="EB31" s="2562"/>
      <c r="EC31" s="2562"/>
      <c r="ED31" s="2562"/>
      <c r="EE31" s="2562"/>
      <c r="EF31" s="2562"/>
      <c r="EG31" s="2562"/>
      <c r="EH31" s="2562"/>
      <c r="EI31" s="2562"/>
      <c r="EJ31" s="2562"/>
      <c r="EK31" s="2562"/>
      <c r="EL31" s="2562"/>
      <c r="EM31" s="2562"/>
      <c r="EN31" s="2562"/>
      <c r="EO31" s="2562"/>
      <c r="EP31" s="2562"/>
      <c r="EQ31" s="2562"/>
      <c r="ER31" s="2562"/>
      <c r="ES31" s="2562"/>
      <c r="ET31" s="2562"/>
      <c r="EU31" s="2562"/>
      <c r="EV31" s="2562"/>
      <c r="EW31" s="2562"/>
      <c r="EX31" s="2562"/>
      <c r="EY31" s="2562"/>
      <c r="EZ31" s="2562"/>
      <c r="FA31" s="2562"/>
      <c r="FB31" s="2562"/>
      <c r="FC31" s="2562"/>
      <c r="FD31" s="2562"/>
      <c r="FE31" s="2562"/>
      <c r="FF31" s="2562"/>
      <c r="FG31" s="2562"/>
      <c r="FH31" s="2562"/>
      <c r="FI31" s="2562"/>
      <c r="FJ31" s="2562"/>
      <c r="FK31" s="2562"/>
      <c r="FL31" s="2562"/>
      <c r="FM31" s="2562"/>
      <c r="FN31" s="2562"/>
      <c r="FO31" s="2562"/>
      <c r="FP31" s="2562"/>
      <c r="FQ31" s="2562"/>
      <c r="FR31" s="2562"/>
      <c r="FS31" s="2562"/>
      <c r="FT31" s="2562"/>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M32" s="2562"/>
      <c r="CN32" s="2562"/>
      <c r="CO32" s="2562"/>
      <c r="CP32" s="2560"/>
      <c r="CQ32" s="2560"/>
      <c r="CR32" s="2560"/>
      <c r="CS32" s="2562"/>
      <c r="CT32" s="2562"/>
      <c r="CU32" s="2562"/>
      <c r="CV32" s="2562"/>
      <c r="CW32" s="2562"/>
      <c r="CX32" s="2562"/>
      <c r="CY32" s="2562"/>
      <c r="CZ32" s="2562"/>
      <c r="DA32" s="2562"/>
      <c r="DB32" s="2562"/>
      <c r="DC32" s="2562"/>
      <c r="DD32" s="2562"/>
      <c r="DE32" s="2562"/>
      <c r="DF32" s="2562"/>
      <c r="DG32" s="2562"/>
      <c r="DH32" s="2562"/>
      <c r="DI32" s="2562"/>
      <c r="DJ32" s="2562"/>
      <c r="DK32" s="2562"/>
      <c r="DL32" s="2562"/>
      <c r="DM32" s="2562"/>
      <c r="DN32" s="2562"/>
      <c r="DO32" s="2562"/>
      <c r="DP32" s="2562"/>
      <c r="DQ32" s="2562"/>
      <c r="DR32" s="2562"/>
      <c r="DS32" s="2562"/>
      <c r="DT32" s="2562"/>
      <c r="DU32" s="2562"/>
      <c r="DV32" s="2562"/>
      <c r="DW32" s="2562"/>
      <c r="DX32" s="2562"/>
      <c r="DY32" s="2562"/>
      <c r="DZ32" s="2562"/>
      <c r="EA32" s="2562"/>
      <c r="EB32" s="2562"/>
      <c r="EC32" s="2562"/>
      <c r="ED32" s="2562"/>
      <c r="EE32" s="2562"/>
      <c r="EF32" s="2562"/>
      <c r="EG32" s="2562"/>
      <c r="EH32" s="2562"/>
      <c r="EI32" s="2562"/>
      <c r="EJ32" s="2562"/>
      <c r="EK32" s="2562"/>
      <c r="EL32" s="2562"/>
      <c r="EM32" s="2562"/>
      <c r="EN32" s="2562"/>
      <c r="EO32" s="2562"/>
      <c r="EP32" s="2562"/>
      <c r="EQ32" s="2562"/>
      <c r="ER32" s="2562"/>
      <c r="ES32" s="2562"/>
      <c r="ET32" s="2562"/>
      <c r="EU32" s="2562"/>
      <c r="EV32" s="2562"/>
      <c r="EW32" s="2562"/>
      <c r="EX32" s="2562"/>
      <c r="EY32" s="2562"/>
      <c r="EZ32" s="2562"/>
      <c r="FA32" s="2562"/>
      <c r="FB32" s="2562"/>
      <c r="FC32" s="2562"/>
      <c r="FD32" s="2562"/>
      <c r="FE32" s="2562"/>
      <c r="FF32" s="2562"/>
      <c r="FG32" s="2562"/>
      <c r="FH32" s="2562"/>
      <c r="FI32" s="2562"/>
      <c r="FJ32" s="2562"/>
      <c r="FK32" s="2562"/>
      <c r="FL32" s="2562"/>
      <c r="FM32" s="2562"/>
      <c r="FN32" s="2562"/>
      <c r="FO32" s="2562"/>
      <c r="FP32" s="2562"/>
      <c r="FQ32" s="2562"/>
      <c r="FR32" s="2562"/>
      <c r="FS32" s="2562"/>
      <c r="FT32" s="2562"/>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M33" s="2562"/>
      <c r="CN33" s="2562"/>
      <c r="CO33" s="2562"/>
      <c r="CP33" s="2560"/>
      <c r="CQ33" s="2560"/>
      <c r="CR33" s="2560"/>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c r="CM34" s="2562"/>
      <c r="CN34" s="2562"/>
      <c r="CO34" s="2562"/>
      <c r="CP34" s="2562"/>
      <c r="CQ34" s="2562"/>
      <c r="CR34" s="2562"/>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c r="CM35" s="2562"/>
      <c r="CN35" s="2562"/>
      <c r="CO35" s="2562"/>
      <c r="CP35" s="2562"/>
      <c r="CQ35" s="2562"/>
      <c r="CR35" s="2562"/>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c r="CM36" s="2562"/>
      <c r="CN36" s="2562"/>
      <c r="CO36" s="2562"/>
      <c r="CP36" s="2562"/>
      <c r="CQ36" s="2562"/>
      <c r="CR36" s="2562"/>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c r="CM37" s="2562"/>
      <c r="CN37" s="2562"/>
      <c r="CO37" s="2562"/>
      <c r="CP37" s="2562"/>
      <c r="CQ37" s="2562"/>
      <c r="CR37" s="2562"/>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c r="CM38" s="2562"/>
      <c r="CN38" s="2562"/>
      <c r="CO38" s="2562"/>
      <c r="CP38" s="2562"/>
      <c r="CQ38" s="2562"/>
      <c r="CR38" s="2562"/>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c r="CM39" s="2562"/>
      <c r="CN39" s="2562"/>
      <c r="CO39" s="2562"/>
      <c r="CP39" s="2562"/>
      <c r="CQ39" s="2562"/>
      <c r="CR39" s="2562"/>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c r="CM40" s="2562"/>
      <c r="CN40" s="2562"/>
      <c r="CO40" s="2562"/>
      <c r="CP40" s="2562"/>
      <c r="CQ40" s="2562"/>
      <c r="CR40" s="2562"/>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c r="CM41" s="2562"/>
      <c r="CN41" s="2562"/>
      <c r="CO41" s="2562"/>
      <c r="CP41" s="2562"/>
      <c r="CQ41" s="2562"/>
      <c r="CR41" s="2562"/>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c r="CM42" s="2562"/>
      <c r="CN42" s="2562"/>
      <c r="CO42" s="2562"/>
      <c r="CP42" s="2562"/>
      <c r="CQ42" s="2562"/>
      <c r="CR42" s="2562"/>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c r="CM43" s="2562"/>
      <c r="CN43" s="2562"/>
      <c r="CO43" s="2562"/>
      <c r="CP43" s="2562"/>
      <c r="CQ43" s="2562"/>
      <c r="CR43" s="2562"/>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c r="CM44" s="2562"/>
      <c r="CN44" s="2562"/>
      <c r="CO44" s="2562"/>
      <c r="CP44" s="2562"/>
      <c r="CQ44" s="2562"/>
      <c r="CR44" s="2562"/>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c r="CM45" s="2562"/>
      <c r="CN45" s="2562"/>
      <c r="CO45" s="2562"/>
      <c r="CP45" s="2562"/>
      <c r="CQ45" s="2562"/>
      <c r="CR45" s="2562"/>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c r="CM46" s="2562"/>
      <c r="CN46" s="2562"/>
      <c r="CO46" s="2562"/>
      <c r="CP46" s="2562"/>
      <c r="CQ46" s="2562"/>
      <c r="CR46" s="2562"/>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c r="CM47" s="2562"/>
      <c r="CN47" s="2562"/>
      <c r="CO47" s="2562"/>
      <c r="CP47" s="2562"/>
      <c r="CQ47" s="2562"/>
      <c r="CR47" s="2562"/>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c r="CM48" s="2562"/>
      <c r="CN48" s="2562"/>
      <c r="CO48" s="2562"/>
      <c r="CP48" s="2562"/>
      <c r="CQ48" s="2562"/>
      <c r="CR48" s="2562"/>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E9:CF9">
    <cfRule type="expression" dxfId="55" priority="1">
      <formula>E8&lt;&gt;"Other (Specify Below)"</formula>
    </cfRule>
  </conditionalFormatting>
  <conditionalFormatting sqref="CN7:CN17">
    <cfRule type="cellIs" dxfId="54" priority="6" operator="equal">
      <formula>0</formula>
    </cfRule>
  </conditionalFormatting>
  <conditionalFormatting sqref="CN19">
    <cfRule type="cellIs" dxfId="53" priority="4" operator="equal">
      <formula>0</formula>
    </cfRule>
  </conditionalFormatting>
  <conditionalFormatting sqref="CN22:CN24">
    <cfRule type="cellIs" dxfId="52" priority="3" operator="equal">
      <formula>0</formula>
    </cfRule>
  </conditionalFormatting>
  <conditionalFormatting sqref="CN26">
    <cfRule type="cellIs" dxfId="51" priority="2" operator="equal">
      <formula>0</formula>
    </cfRule>
  </conditionalFormatting>
  <dataValidations count="2">
    <dataValidation type="custom" allowBlank="1" showErrorMessage="1" errorTitle="Input Error" error="Please enter a numeric value." sqref="E12:CF17 E19:CG19 E26:CF26 FT19 E22:E24 G22:CF24 F23:F24"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election activeCell="I28" sqref="I28"/>
    </sheetView>
  </sheetViews>
  <sheetFormatPr defaultColWidth="9" defaultRowHeight="14"/>
  <cols>
    <col min="1" max="1" width="1.58203125" style="219" customWidth="1"/>
    <col min="2" max="2" width="72.58203125" style="219" customWidth="1"/>
    <col min="3" max="3" width="5.5" style="219" bestFit="1" customWidth="1"/>
    <col min="4" max="4" width="4.58203125" style="219" bestFit="1" customWidth="1"/>
    <col min="5" max="5" width="12.58203125" style="219" bestFit="1" customWidth="1"/>
    <col min="6" max="6" width="2.08203125" style="219" customWidth="1"/>
    <col min="7" max="7" width="9.5" style="219" bestFit="1" customWidth="1"/>
    <col min="8" max="8" width="1.58203125" style="219" customWidth="1"/>
    <col min="9" max="9" width="44" style="219" bestFit="1" customWidth="1"/>
    <col min="10" max="11" width="1.58203125" style="219" customWidth="1"/>
    <col min="12" max="12" width="24.58203125" style="219" customWidth="1"/>
    <col min="13" max="13" width="1.58203125" style="219" customWidth="1"/>
    <col min="14" max="14" width="20.5" style="219" hidden="1" customWidth="1"/>
    <col min="15" max="15" width="1.58203125" style="219" hidden="1" customWidth="1"/>
    <col min="16" max="16" width="1.58203125" style="219" customWidth="1"/>
    <col min="17" max="17" width="36.08203125" style="219" customWidth="1"/>
    <col min="18" max="18" width="15" style="219" customWidth="1"/>
    <col min="19" max="19" width="1.58203125" style="219" customWidth="1"/>
    <col min="20" max="16384" width="9" style="219"/>
  </cols>
  <sheetData>
    <row r="1" spans="1:18" ht="30" customHeight="1">
      <c r="A1" s="2560"/>
      <c r="B1" s="1119" t="s">
        <v>11242</v>
      </c>
      <c r="C1" s="1119"/>
      <c r="D1" s="1119"/>
      <c r="E1" s="1119"/>
      <c r="F1" s="1119"/>
      <c r="G1" s="228"/>
      <c r="H1" s="2560"/>
      <c r="I1" s="2560"/>
      <c r="J1" s="2560"/>
      <c r="K1" s="2589"/>
      <c r="L1" s="2560"/>
      <c r="M1" s="2589"/>
      <c r="N1" s="2560"/>
      <c r="O1" s="2589"/>
      <c r="P1" s="2560"/>
      <c r="Q1" s="1119" t="s">
        <v>1887</v>
      </c>
      <c r="R1" s="1119"/>
    </row>
    <row r="2" spans="1:18" ht="30" customHeight="1">
      <c r="A2" s="2560"/>
      <c r="B2" s="1119" t="str">
        <f>SelectCompany!B4</f>
        <v>Yorkshire Water</v>
      </c>
      <c r="C2" s="491"/>
      <c r="D2" s="491"/>
      <c r="E2" s="491"/>
      <c r="F2" s="491"/>
      <c r="G2" s="228"/>
      <c r="H2" s="2560"/>
      <c r="I2" s="2560"/>
      <c r="J2" s="2560"/>
      <c r="K2" s="2589"/>
      <c r="L2" s="2560"/>
      <c r="M2" s="2589"/>
      <c r="N2" s="2560"/>
      <c r="O2" s="2589"/>
      <c r="P2" s="2560"/>
      <c r="Q2" s="1119"/>
      <c r="R2" s="491"/>
    </row>
    <row r="3" spans="1:18" ht="45" customHeight="1">
      <c r="A3" s="2560"/>
      <c r="B3" s="2781" t="s">
        <v>11243</v>
      </c>
      <c r="C3" s="2781"/>
      <c r="D3" s="2781"/>
      <c r="E3" s="2781"/>
      <c r="F3" s="2781"/>
      <c r="G3" s="2781"/>
      <c r="H3" s="2781"/>
      <c r="I3" s="2781"/>
      <c r="J3" s="2560"/>
      <c r="K3" s="2589"/>
      <c r="L3" s="1129" t="s">
        <v>1889</v>
      </c>
      <c r="M3" s="2589"/>
      <c r="N3" s="2560"/>
      <c r="O3" s="2589"/>
      <c r="P3" s="2560"/>
      <c r="Q3" s="2781" t="s">
        <v>11243</v>
      </c>
      <c r="R3" s="2781"/>
    </row>
    <row r="4" spans="1:18" ht="18" customHeight="1" thickBot="1">
      <c r="A4" s="2560"/>
      <c r="B4" s="594"/>
      <c r="C4" s="594"/>
      <c r="D4" s="594"/>
      <c r="E4" s="594"/>
      <c r="F4" s="724"/>
      <c r="G4" s="228"/>
      <c r="H4" s="2560"/>
      <c r="I4" s="2560"/>
      <c r="J4" s="2560"/>
      <c r="K4" s="2589"/>
      <c r="L4" s="2560"/>
      <c r="M4" s="2589"/>
      <c r="N4" s="2603" t="s">
        <v>1890</v>
      </c>
      <c r="O4" s="2589"/>
      <c r="P4" s="2560"/>
      <c r="Q4" s="594"/>
      <c r="R4" s="594"/>
    </row>
    <row r="5" spans="1:18" ht="56.25" customHeight="1" thickTop="1" thickBot="1">
      <c r="A5" s="222"/>
      <c r="B5" s="407" t="s">
        <v>1891</v>
      </c>
      <c r="C5" s="408" t="s">
        <v>1892</v>
      </c>
      <c r="D5" s="408" t="s">
        <v>136</v>
      </c>
      <c r="E5" s="409" t="s">
        <v>10262</v>
      </c>
      <c r="F5" s="635"/>
      <c r="G5" s="411" t="s">
        <v>1896</v>
      </c>
      <c r="H5" s="222"/>
      <c r="I5" s="411" t="s">
        <v>1897</v>
      </c>
      <c r="J5" s="222"/>
      <c r="K5" s="2589"/>
      <c r="L5" s="2560"/>
      <c r="M5" s="2589"/>
      <c r="N5" s="236" t="s">
        <v>1898</v>
      </c>
      <c r="O5" s="2589"/>
      <c r="P5" s="2560"/>
      <c r="Q5" s="407" t="s">
        <v>1891</v>
      </c>
      <c r="R5" s="409" t="s">
        <v>10262</v>
      </c>
    </row>
    <row r="6" spans="1:18" ht="15.75" customHeight="1" thickTop="1" thickBot="1">
      <c r="A6" s="222"/>
      <c r="B6" s="322"/>
      <c r="C6" s="83"/>
      <c r="D6" s="83"/>
      <c r="E6" s="768"/>
      <c r="F6" s="197"/>
      <c r="G6" s="228"/>
      <c r="H6" s="222"/>
      <c r="I6" s="222"/>
      <c r="J6" s="222"/>
      <c r="K6" s="2589"/>
      <c r="L6" s="2560"/>
      <c r="M6" s="2589"/>
      <c r="N6" s="2560"/>
      <c r="O6" s="2589"/>
      <c r="P6" s="2560"/>
      <c r="Q6" s="322"/>
      <c r="R6" s="768"/>
    </row>
    <row r="7" spans="1:18" ht="15.75" customHeight="1" thickTop="1" thickBot="1">
      <c r="A7" s="222"/>
      <c r="B7" s="355" t="s">
        <v>11244</v>
      </c>
      <c r="C7" s="444"/>
      <c r="D7" s="444"/>
      <c r="E7" s="444"/>
      <c r="F7" s="1131"/>
      <c r="G7" s="527"/>
      <c r="H7" s="222"/>
      <c r="I7" s="222"/>
      <c r="J7" s="222"/>
      <c r="K7" s="2589"/>
      <c r="L7" s="2560"/>
      <c r="M7" s="2589"/>
      <c r="N7" s="2560"/>
      <c r="O7" s="2589"/>
      <c r="P7" s="2560"/>
      <c r="Q7" s="355" t="s">
        <v>11244</v>
      </c>
      <c r="R7" s="444"/>
    </row>
    <row r="8" spans="1:18" ht="15.75" customHeight="1" thickTop="1">
      <c r="A8" s="222"/>
      <c r="B8" s="413" t="s">
        <v>11245</v>
      </c>
      <c r="C8" s="244" t="s">
        <v>138</v>
      </c>
      <c r="D8" s="244">
        <v>0</v>
      </c>
      <c r="E8" s="1616">
        <v>0</v>
      </c>
      <c r="F8" s="1131"/>
      <c r="G8" s="248" t="s">
        <v>11246</v>
      </c>
      <c r="H8" s="222"/>
      <c r="I8" s="1120"/>
      <c r="J8" s="222"/>
      <c r="K8" s="2589"/>
      <c r="L8" s="1121">
        <f>IF( SUM( N8:N8 ) = 0, 0, $N$5 )</f>
        <v>0</v>
      </c>
      <c r="M8" s="2589"/>
      <c r="N8" s="252">
        <f xml:space="preserve"> IF( ISNUMBER(E8 ), 0, 1 )</f>
        <v>0</v>
      </c>
      <c r="O8" s="2589"/>
      <c r="P8" s="2560"/>
      <c r="Q8" s="413" t="s">
        <v>11245</v>
      </c>
      <c r="R8" s="856" t="s">
        <v>11247</v>
      </c>
    </row>
    <row r="9" spans="1:18" ht="15.75" customHeight="1">
      <c r="A9" s="222"/>
      <c r="B9" s="422" t="s">
        <v>11248</v>
      </c>
      <c r="C9" s="253" t="s">
        <v>138</v>
      </c>
      <c r="D9" s="253">
        <v>0</v>
      </c>
      <c r="E9" s="1215">
        <v>0</v>
      </c>
      <c r="F9" s="1131"/>
      <c r="G9" s="257" t="s">
        <v>11249</v>
      </c>
      <c r="H9" s="222"/>
      <c r="I9" s="1122"/>
      <c r="J9" s="222"/>
      <c r="K9" s="2589"/>
      <c r="L9" s="1121">
        <f t="shared" ref="L9:L27" si="0">IF( SUM( N9:N9 ) = 0, 0, $N$5 )</f>
        <v>0</v>
      </c>
      <c r="M9" s="2589"/>
      <c r="N9" s="252">
        <f t="shared" ref="N9:N27" si="1" xml:space="preserve"> IF( ISNUMBER(E9 ), 0, 1 )</f>
        <v>0</v>
      </c>
      <c r="O9" s="2589"/>
      <c r="P9" s="2560"/>
      <c r="Q9" s="422" t="s">
        <v>11250</v>
      </c>
      <c r="R9" s="860" t="s">
        <v>11251</v>
      </c>
    </row>
    <row r="10" spans="1:18" ht="15.75" customHeight="1">
      <c r="A10" s="222"/>
      <c r="B10" s="422" t="s">
        <v>11252</v>
      </c>
      <c r="C10" s="253" t="s">
        <v>10326</v>
      </c>
      <c r="D10" s="253">
        <v>0</v>
      </c>
      <c r="E10" s="1215">
        <v>88611</v>
      </c>
      <c r="F10" s="1131"/>
      <c r="G10" s="257" t="s">
        <v>11253</v>
      </c>
      <c r="H10" s="222"/>
      <c r="I10" s="1122"/>
      <c r="J10" s="222"/>
      <c r="K10" s="2589"/>
      <c r="L10" s="1121">
        <f t="shared" si="0"/>
        <v>0</v>
      </c>
      <c r="M10" s="2589"/>
      <c r="N10" s="252">
        <f t="shared" si="1"/>
        <v>0</v>
      </c>
      <c r="O10" s="2589"/>
      <c r="P10" s="2560"/>
      <c r="Q10" s="422" t="s">
        <v>11252</v>
      </c>
      <c r="R10" s="860" t="s">
        <v>11254</v>
      </c>
    </row>
    <row r="11" spans="1:18" ht="15.75" customHeight="1">
      <c r="A11" s="222"/>
      <c r="B11" s="422" t="s">
        <v>11255</v>
      </c>
      <c r="C11" s="253" t="s">
        <v>138</v>
      </c>
      <c r="D11" s="253">
        <v>0</v>
      </c>
      <c r="E11" s="1215">
        <v>2602</v>
      </c>
      <c r="F11" s="1131"/>
      <c r="G11" s="257" t="s">
        <v>11256</v>
      </c>
      <c r="H11" s="222"/>
      <c r="I11" s="1214"/>
      <c r="J11" s="222"/>
      <c r="K11" s="2589"/>
      <c r="L11" s="1121">
        <f t="shared" si="0"/>
        <v>0</v>
      </c>
      <c r="M11" s="2589"/>
      <c r="N11" s="252">
        <f t="shared" si="1"/>
        <v>0</v>
      </c>
      <c r="O11" s="2589"/>
      <c r="P11" s="2560"/>
      <c r="Q11" s="422" t="s">
        <v>11255</v>
      </c>
      <c r="R11" s="860" t="s">
        <v>11257</v>
      </c>
    </row>
    <row r="12" spans="1:18" ht="15.75" customHeight="1">
      <c r="A12" s="222"/>
      <c r="B12" s="422" t="s">
        <v>1847</v>
      </c>
      <c r="C12" s="253" t="s">
        <v>138</v>
      </c>
      <c r="D12" s="253">
        <v>0</v>
      </c>
      <c r="E12" s="1215">
        <v>26529</v>
      </c>
      <c r="F12" s="1131"/>
      <c r="G12" s="257" t="s">
        <v>11258</v>
      </c>
      <c r="H12" s="222"/>
      <c r="I12" s="1122"/>
      <c r="J12" s="222"/>
      <c r="K12" s="2589"/>
      <c r="L12" s="1121">
        <f t="shared" si="0"/>
        <v>0</v>
      </c>
      <c r="M12" s="2589"/>
      <c r="N12" s="252">
        <f t="shared" si="1"/>
        <v>0</v>
      </c>
      <c r="O12" s="2589"/>
      <c r="P12" s="2560"/>
      <c r="Q12" s="422" t="s">
        <v>1847</v>
      </c>
      <c r="R12" s="1215" t="s">
        <v>11259</v>
      </c>
    </row>
    <row r="13" spans="1:18" ht="15.75" customHeight="1">
      <c r="A13" s="222"/>
      <c r="B13" s="422" t="s">
        <v>1848</v>
      </c>
      <c r="C13" s="253" t="s">
        <v>138</v>
      </c>
      <c r="D13" s="253">
        <v>0</v>
      </c>
      <c r="E13" s="1215">
        <v>514</v>
      </c>
      <c r="F13" s="1131"/>
      <c r="G13" s="257" t="s">
        <v>11260</v>
      </c>
      <c r="H13" s="222"/>
      <c r="I13" s="1122"/>
      <c r="J13" s="222"/>
      <c r="K13" s="2589"/>
      <c r="L13" s="1121">
        <f t="shared" si="0"/>
        <v>0</v>
      </c>
      <c r="M13" s="2589"/>
      <c r="N13" s="252">
        <f t="shared" si="1"/>
        <v>0</v>
      </c>
      <c r="O13" s="2589"/>
      <c r="P13" s="2560"/>
      <c r="Q13" s="422" t="s">
        <v>1848</v>
      </c>
      <c r="R13" s="860" t="s">
        <v>11261</v>
      </c>
    </row>
    <row r="14" spans="1:18" ht="15.75" customHeight="1">
      <c r="A14" s="222"/>
      <c r="B14" s="422" t="s">
        <v>11262</v>
      </c>
      <c r="C14" s="253" t="s">
        <v>138</v>
      </c>
      <c r="D14" s="253">
        <v>0</v>
      </c>
      <c r="E14" s="1215">
        <v>62</v>
      </c>
      <c r="F14" s="1131"/>
      <c r="G14" s="257" t="s">
        <v>11263</v>
      </c>
      <c r="H14" s="222"/>
      <c r="I14" s="1122"/>
      <c r="J14" s="222"/>
      <c r="K14" s="2589"/>
      <c r="L14" s="1121">
        <f t="shared" si="0"/>
        <v>0</v>
      </c>
      <c r="M14" s="2589"/>
      <c r="N14" s="252">
        <f t="shared" si="1"/>
        <v>0</v>
      </c>
      <c r="O14" s="2589"/>
      <c r="P14" s="2560"/>
      <c r="Q14" s="422" t="s">
        <v>11262</v>
      </c>
      <c r="R14" s="860" t="s">
        <v>11264</v>
      </c>
    </row>
    <row r="15" spans="1:18" ht="15.75" customHeight="1">
      <c r="A15" s="222"/>
      <c r="B15" s="422" t="s">
        <v>11265</v>
      </c>
      <c r="C15" s="253" t="s">
        <v>138</v>
      </c>
      <c r="D15" s="253">
        <v>0</v>
      </c>
      <c r="E15" s="1215">
        <v>2023</v>
      </c>
      <c r="F15" s="1131"/>
      <c r="G15" s="257" t="s">
        <v>11266</v>
      </c>
      <c r="H15" s="222"/>
      <c r="I15" s="1216"/>
      <c r="J15" s="222"/>
      <c r="K15" s="2589"/>
      <c r="L15" s="1121">
        <f t="shared" si="0"/>
        <v>0</v>
      </c>
      <c r="M15" s="2589"/>
      <c r="N15" s="252">
        <f t="shared" si="1"/>
        <v>0</v>
      </c>
      <c r="O15" s="2589"/>
      <c r="P15" s="2560"/>
      <c r="Q15" s="422" t="s">
        <v>11265</v>
      </c>
      <c r="R15" s="860" t="s">
        <v>11267</v>
      </c>
    </row>
    <row r="16" spans="1:18" ht="15.75" customHeight="1">
      <c r="A16" s="222"/>
      <c r="B16" s="422" t="s">
        <v>11268</v>
      </c>
      <c r="C16" s="253" t="s">
        <v>138</v>
      </c>
      <c r="D16" s="253">
        <v>0</v>
      </c>
      <c r="E16" s="1215">
        <v>603</v>
      </c>
      <c r="F16" s="1131"/>
      <c r="G16" s="257" t="s">
        <v>11269</v>
      </c>
      <c r="H16" s="222"/>
      <c r="I16" s="1122"/>
      <c r="J16" s="222"/>
      <c r="K16" s="2589"/>
      <c r="L16" s="1121">
        <f t="shared" si="0"/>
        <v>0</v>
      </c>
      <c r="M16" s="2589"/>
      <c r="N16" s="252">
        <f t="shared" si="1"/>
        <v>0</v>
      </c>
      <c r="O16" s="2589"/>
      <c r="P16" s="2560"/>
      <c r="Q16" s="422" t="s">
        <v>11268</v>
      </c>
      <c r="R16" s="860" t="s">
        <v>11270</v>
      </c>
    </row>
    <row r="17" spans="1:18" ht="15.75" customHeight="1">
      <c r="A17" s="222"/>
      <c r="B17" s="422" t="s">
        <v>11271</v>
      </c>
      <c r="C17" s="253" t="s">
        <v>138</v>
      </c>
      <c r="D17" s="253">
        <v>0</v>
      </c>
      <c r="E17" s="1215">
        <v>180</v>
      </c>
      <c r="F17" s="1131"/>
      <c r="G17" s="257" t="s">
        <v>11272</v>
      </c>
      <c r="H17" s="222"/>
      <c r="I17" s="1122"/>
      <c r="J17" s="222"/>
      <c r="K17" s="2589"/>
      <c r="L17" s="1121">
        <f t="shared" si="0"/>
        <v>0</v>
      </c>
      <c r="M17" s="2589"/>
      <c r="N17" s="252">
        <f t="shared" si="1"/>
        <v>0</v>
      </c>
      <c r="O17" s="2589"/>
      <c r="P17" s="2560"/>
      <c r="Q17" s="422" t="s">
        <v>11271</v>
      </c>
      <c r="R17" s="860" t="s">
        <v>11273</v>
      </c>
    </row>
    <row r="18" spans="1:18" ht="15.75" customHeight="1">
      <c r="A18" s="222"/>
      <c r="B18" s="422" t="s">
        <v>11274</v>
      </c>
      <c r="C18" s="253" t="s">
        <v>1385</v>
      </c>
      <c r="D18" s="253">
        <v>0</v>
      </c>
      <c r="E18" s="1215">
        <v>2550.3000000000002</v>
      </c>
      <c r="F18" s="1131"/>
      <c r="G18" s="257" t="s">
        <v>11275</v>
      </c>
      <c r="H18" s="222"/>
      <c r="I18" s="1122"/>
      <c r="J18" s="222"/>
      <c r="K18" s="2589"/>
      <c r="L18" s="1121">
        <f t="shared" si="0"/>
        <v>0</v>
      </c>
      <c r="M18" s="2589"/>
      <c r="N18" s="252">
        <f t="shared" si="1"/>
        <v>0</v>
      </c>
      <c r="O18" s="2589"/>
      <c r="P18" s="2560"/>
      <c r="Q18" s="422" t="s">
        <v>11274</v>
      </c>
      <c r="R18" s="1217" t="s">
        <v>11276</v>
      </c>
    </row>
    <row r="19" spans="1:18" ht="15.75" customHeight="1">
      <c r="A19" s="222"/>
      <c r="B19" s="422" t="s">
        <v>11277</v>
      </c>
      <c r="C19" s="253" t="s">
        <v>11278</v>
      </c>
      <c r="D19" s="253">
        <v>2</v>
      </c>
      <c r="E19" s="1218">
        <v>17796.88</v>
      </c>
      <c r="F19" s="1131"/>
      <c r="G19" s="257" t="s">
        <v>11279</v>
      </c>
      <c r="H19" s="222"/>
      <c r="I19" s="1122"/>
      <c r="J19" s="222"/>
      <c r="K19" s="2589"/>
      <c r="L19" s="1121">
        <f t="shared" si="0"/>
        <v>0</v>
      </c>
      <c r="M19" s="2589"/>
      <c r="N19" s="252">
        <f t="shared" si="1"/>
        <v>0</v>
      </c>
      <c r="O19" s="2589"/>
      <c r="P19" s="2560"/>
      <c r="Q19" s="422" t="s">
        <v>11277</v>
      </c>
      <c r="R19" s="860" t="s">
        <v>11280</v>
      </c>
    </row>
    <row r="20" spans="1:18" ht="15.75" customHeight="1">
      <c r="A20" s="222"/>
      <c r="B20" s="422" t="s">
        <v>11281</v>
      </c>
      <c r="C20" s="253" t="s">
        <v>11278</v>
      </c>
      <c r="D20" s="253">
        <v>2</v>
      </c>
      <c r="E20" s="1218">
        <v>633257.71</v>
      </c>
      <c r="F20" s="1131"/>
      <c r="G20" s="257" t="s">
        <v>11282</v>
      </c>
      <c r="H20" s="222"/>
      <c r="I20" s="1214"/>
      <c r="J20" s="222"/>
      <c r="K20" s="2589"/>
      <c r="L20" s="1121">
        <f t="shared" si="0"/>
        <v>0</v>
      </c>
      <c r="M20" s="2589"/>
      <c r="N20" s="252">
        <f t="shared" si="1"/>
        <v>0</v>
      </c>
      <c r="O20" s="2589"/>
      <c r="P20" s="2560"/>
      <c r="Q20" s="422" t="s">
        <v>11281</v>
      </c>
      <c r="R20" s="1218" t="s">
        <v>11283</v>
      </c>
    </row>
    <row r="21" spans="1:18" ht="15.75" customHeight="1">
      <c r="A21" s="222"/>
      <c r="B21" s="422" t="s">
        <v>11284</v>
      </c>
      <c r="C21" s="253" t="s">
        <v>1385</v>
      </c>
      <c r="D21" s="253">
        <v>0</v>
      </c>
      <c r="E21" s="1215">
        <v>14.8</v>
      </c>
      <c r="F21" s="1131"/>
      <c r="G21" s="257" t="s">
        <v>11285</v>
      </c>
      <c r="H21" s="222"/>
      <c r="I21" s="1122"/>
      <c r="J21" s="222"/>
      <c r="K21" s="2589"/>
      <c r="L21" s="1121">
        <f t="shared" si="0"/>
        <v>0</v>
      </c>
      <c r="M21" s="2589"/>
      <c r="N21" s="252">
        <f t="shared" si="1"/>
        <v>0</v>
      </c>
      <c r="O21" s="2589"/>
      <c r="P21" s="2560"/>
      <c r="Q21" s="422" t="s">
        <v>11284</v>
      </c>
      <c r="R21" s="860" t="s">
        <v>11286</v>
      </c>
    </row>
    <row r="22" spans="1:18" ht="15.75" customHeight="1">
      <c r="A22" s="222"/>
      <c r="B22" s="422" t="s">
        <v>11287</v>
      </c>
      <c r="C22" s="253" t="s">
        <v>1385</v>
      </c>
      <c r="D22" s="253">
        <v>0</v>
      </c>
      <c r="E22" s="1215">
        <v>2.8</v>
      </c>
      <c r="F22" s="1131"/>
      <c r="G22" s="257" t="s">
        <v>11288</v>
      </c>
      <c r="H22" s="222"/>
      <c r="I22" s="1122"/>
      <c r="J22" s="222"/>
      <c r="K22" s="2589"/>
      <c r="L22" s="1121">
        <f t="shared" si="0"/>
        <v>0</v>
      </c>
      <c r="M22" s="2589"/>
      <c r="N22" s="252">
        <f t="shared" si="1"/>
        <v>0</v>
      </c>
      <c r="O22" s="2589"/>
      <c r="P22" s="2560"/>
      <c r="Q22" s="422" t="s">
        <v>11287</v>
      </c>
      <c r="R22" s="860" t="s">
        <v>11289</v>
      </c>
    </row>
    <row r="23" spans="1:18" ht="15.75" customHeight="1">
      <c r="A23" s="222"/>
      <c r="B23" s="422" t="s">
        <v>11290</v>
      </c>
      <c r="C23" s="253" t="s">
        <v>1385</v>
      </c>
      <c r="D23" s="253">
        <v>0</v>
      </c>
      <c r="E23" s="1215">
        <v>5438</v>
      </c>
      <c r="F23" s="1131"/>
      <c r="G23" s="257" t="s">
        <v>11291</v>
      </c>
      <c r="H23" s="222"/>
      <c r="I23" s="1122"/>
      <c r="J23" s="222"/>
      <c r="K23" s="2589"/>
      <c r="L23" s="1121">
        <f t="shared" si="0"/>
        <v>0</v>
      </c>
      <c r="M23" s="2589"/>
      <c r="N23" s="252">
        <f t="shared" si="1"/>
        <v>0</v>
      </c>
      <c r="O23" s="2589"/>
      <c r="P23" s="2560"/>
      <c r="Q23" s="422" t="s">
        <v>11290</v>
      </c>
      <c r="R23" s="1217" t="s">
        <v>11292</v>
      </c>
    </row>
    <row r="24" spans="1:18" ht="15.75" customHeight="1">
      <c r="A24" s="222"/>
      <c r="B24" s="422" t="s">
        <v>11293</v>
      </c>
      <c r="C24" s="253" t="s">
        <v>1385</v>
      </c>
      <c r="D24" s="253">
        <v>0</v>
      </c>
      <c r="E24" s="1215">
        <v>7624</v>
      </c>
      <c r="F24" s="1131"/>
      <c r="G24" s="257" t="s">
        <v>11294</v>
      </c>
      <c r="H24" s="222"/>
      <c r="I24" s="1122"/>
      <c r="J24" s="222"/>
      <c r="K24" s="2589"/>
      <c r="L24" s="1121">
        <f t="shared" si="0"/>
        <v>0</v>
      </c>
      <c r="M24" s="2589"/>
      <c r="N24" s="252">
        <f t="shared" si="1"/>
        <v>0</v>
      </c>
      <c r="O24" s="2589"/>
      <c r="P24" s="2560"/>
      <c r="Q24" s="422" t="s">
        <v>11293</v>
      </c>
      <c r="R24" s="1217" t="s">
        <v>11295</v>
      </c>
    </row>
    <row r="25" spans="1:18" ht="15.75" customHeight="1">
      <c r="A25" s="222"/>
      <c r="B25" s="422" t="s">
        <v>11296</v>
      </c>
      <c r="C25" s="253" t="s">
        <v>1385</v>
      </c>
      <c r="D25" s="253">
        <v>0</v>
      </c>
      <c r="E25" s="1215">
        <v>16266</v>
      </c>
      <c r="F25" s="1131"/>
      <c r="G25" s="257" t="s">
        <v>11297</v>
      </c>
      <c r="H25" s="222"/>
      <c r="I25" s="1122"/>
      <c r="J25" s="222"/>
      <c r="K25" s="2589"/>
      <c r="L25" s="1121">
        <f t="shared" si="0"/>
        <v>0</v>
      </c>
      <c r="M25" s="2589"/>
      <c r="N25" s="252">
        <f t="shared" si="1"/>
        <v>0</v>
      </c>
      <c r="O25" s="2589"/>
      <c r="P25" s="2560"/>
      <c r="Q25" s="422" t="s">
        <v>11296</v>
      </c>
      <c r="R25" s="1217" t="s">
        <v>11298</v>
      </c>
    </row>
    <row r="26" spans="1:18" ht="15.75" customHeight="1">
      <c r="A26" s="222"/>
      <c r="B26" s="422" t="s">
        <v>11299</v>
      </c>
      <c r="C26" s="253" t="s">
        <v>1385</v>
      </c>
      <c r="D26" s="253">
        <v>0</v>
      </c>
      <c r="E26" s="1215">
        <v>1288</v>
      </c>
      <c r="F26" s="1131"/>
      <c r="G26" s="257" t="s">
        <v>11300</v>
      </c>
      <c r="H26" s="222"/>
      <c r="I26" s="1122"/>
      <c r="J26" s="222"/>
      <c r="K26" s="2589"/>
      <c r="L26" s="1121">
        <f t="shared" si="0"/>
        <v>0</v>
      </c>
      <c r="M26" s="2589"/>
      <c r="N26" s="252">
        <f t="shared" si="1"/>
        <v>0</v>
      </c>
      <c r="O26" s="2589"/>
      <c r="P26" s="2560"/>
      <c r="Q26" s="422" t="s">
        <v>11299</v>
      </c>
      <c r="R26" s="1217" t="s">
        <v>11301</v>
      </c>
    </row>
    <row r="27" spans="1:18" ht="15.75" customHeight="1">
      <c r="A27" s="222"/>
      <c r="B27" s="422" t="s">
        <v>11302</v>
      </c>
      <c r="C27" s="253" t="s">
        <v>1385</v>
      </c>
      <c r="D27" s="253">
        <v>0</v>
      </c>
      <c r="E27" s="1215">
        <v>357</v>
      </c>
      <c r="F27" s="1131"/>
      <c r="G27" s="257" t="s">
        <v>11303</v>
      </c>
      <c r="H27" s="222"/>
      <c r="I27" s="1122"/>
      <c r="J27" s="222"/>
      <c r="K27" s="2589"/>
      <c r="L27" s="1121">
        <f t="shared" si="0"/>
        <v>0</v>
      </c>
      <c r="M27" s="2589"/>
      <c r="N27" s="252">
        <f t="shared" si="1"/>
        <v>0</v>
      </c>
      <c r="O27" s="2589"/>
      <c r="P27" s="2560"/>
      <c r="Q27" s="422" t="s">
        <v>11302</v>
      </c>
      <c r="R27" s="1217" t="s">
        <v>11304</v>
      </c>
    </row>
    <row r="28" spans="1:18" ht="15.75" customHeight="1">
      <c r="A28" s="222"/>
      <c r="B28" s="422" t="s">
        <v>11305</v>
      </c>
      <c r="C28" s="253" t="s">
        <v>1385</v>
      </c>
      <c r="D28" s="253">
        <v>0</v>
      </c>
      <c r="E28" s="1617">
        <f>IFERROR(SUM(E23:E27),0)</f>
        <v>30973</v>
      </c>
      <c r="F28" s="1131"/>
      <c r="G28" s="257" t="s">
        <v>11306</v>
      </c>
      <c r="H28" s="222"/>
      <c r="I28" s="1122"/>
      <c r="J28" s="222"/>
      <c r="K28" s="2589"/>
      <c r="L28" s="2560"/>
      <c r="M28" s="2589"/>
      <c r="N28" s="2560"/>
      <c r="O28" s="2589"/>
      <c r="P28" s="2560"/>
      <c r="Q28" s="422" t="s">
        <v>11305</v>
      </c>
      <c r="R28" s="1219" t="s">
        <v>11307</v>
      </c>
    </row>
    <row r="29" spans="1:18" ht="15.75" customHeight="1" thickBot="1">
      <c r="A29" s="222"/>
      <c r="B29" s="425" t="s">
        <v>11308</v>
      </c>
      <c r="C29" s="319" t="s">
        <v>1385</v>
      </c>
      <c r="D29" s="319">
        <v>0</v>
      </c>
      <c r="E29" s="1618">
        <v>21560</v>
      </c>
      <c r="F29" s="1131"/>
      <c r="G29" s="320" t="s">
        <v>11309</v>
      </c>
      <c r="H29" s="222"/>
      <c r="I29" s="1126"/>
      <c r="J29" s="222"/>
      <c r="K29" s="2589"/>
      <c r="L29" s="1121">
        <f>IF( SUM( N29:N29 ) = 0, 0, $N$5 )</f>
        <v>0</v>
      </c>
      <c r="M29" s="2589"/>
      <c r="N29" s="252">
        <f xml:space="preserve"> IF( ISNUMBER(E29 ), 0, 1 )</f>
        <v>0</v>
      </c>
      <c r="O29" s="2589"/>
      <c r="P29" s="2560"/>
      <c r="Q29" s="425" t="s">
        <v>11308</v>
      </c>
      <c r="R29" s="1220" t="s">
        <v>11310</v>
      </c>
    </row>
    <row r="30" spans="1:18" ht="16" thickTop="1">
      <c r="A30" s="222"/>
      <c r="B30" s="1161"/>
      <c r="C30" s="1221"/>
      <c r="D30" s="1221"/>
      <c r="E30" s="313"/>
      <c r="F30" s="106"/>
      <c r="G30" s="228"/>
      <c r="H30" s="222"/>
      <c r="I30" s="222"/>
      <c r="J30" s="222"/>
      <c r="K30" s="2560"/>
      <c r="L30" s="2560"/>
      <c r="M30" s="2560"/>
      <c r="N30" s="2560"/>
      <c r="O30" s="2560"/>
      <c r="P30" s="2560"/>
      <c r="Q30" s="2560"/>
      <c r="R30" s="2560"/>
    </row>
    <row r="31" spans="1:18" ht="15.5">
      <c r="A31" s="222"/>
      <c r="B31" s="222"/>
      <c r="C31" s="222"/>
      <c r="D31" s="222"/>
      <c r="E31" s="222"/>
      <c r="F31" s="222"/>
      <c r="G31" s="222"/>
      <c r="H31" s="222"/>
      <c r="I31" s="222"/>
      <c r="J31" s="222"/>
      <c r="K31" s="2560"/>
      <c r="L31" s="2560"/>
      <c r="M31" s="2560"/>
      <c r="N31" s="2560"/>
      <c r="O31" s="2560"/>
      <c r="P31" s="2560"/>
      <c r="Q31" s="2560"/>
      <c r="R31" s="2560"/>
    </row>
    <row r="32" spans="1:18" ht="15.5">
      <c r="A32" s="222"/>
      <c r="B32" s="222"/>
      <c r="C32" s="222"/>
      <c r="D32" s="222"/>
      <c r="E32" s="222"/>
      <c r="F32" s="222"/>
      <c r="G32" s="222"/>
      <c r="H32" s="222"/>
      <c r="I32" s="222"/>
      <c r="J32" s="222"/>
      <c r="K32" s="2560"/>
      <c r="L32" s="2560"/>
      <c r="M32" s="2560"/>
      <c r="N32" s="2560"/>
      <c r="O32" s="2560"/>
      <c r="P32" s="2560"/>
      <c r="Q32" s="2560"/>
      <c r="R32" s="2560"/>
    </row>
    <row r="33" spans="1:10" ht="15.5">
      <c r="A33" s="222"/>
      <c r="B33" s="222"/>
      <c r="C33" s="222"/>
      <c r="D33" s="222"/>
      <c r="E33" s="222"/>
      <c r="F33" s="222"/>
      <c r="G33" s="222"/>
      <c r="H33" s="222"/>
      <c r="I33" s="222"/>
      <c r="J33" s="222"/>
    </row>
    <row r="34" spans="1:10" ht="15.5">
      <c r="A34" s="222"/>
      <c r="B34" s="222"/>
      <c r="C34" s="222"/>
      <c r="D34" s="222"/>
      <c r="E34" s="222"/>
      <c r="F34" s="222"/>
      <c r="G34" s="222"/>
      <c r="H34" s="222"/>
      <c r="I34" s="222"/>
      <c r="J34" s="222"/>
    </row>
    <row r="35" spans="1:10" ht="15.5">
      <c r="A35" s="222"/>
      <c r="B35" s="222"/>
      <c r="C35" s="222"/>
      <c r="D35" s="222"/>
      <c r="E35" s="222"/>
      <c r="F35" s="222"/>
      <c r="G35" s="222"/>
      <c r="H35" s="222"/>
      <c r="I35" s="222"/>
      <c r="J35" s="222"/>
    </row>
    <row r="36" spans="1:10" ht="15.5">
      <c r="A36" s="222"/>
      <c r="B36" s="222"/>
      <c r="C36" s="222"/>
      <c r="D36" s="222"/>
      <c r="E36" s="222"/>
      <c r="F36" s="222"/>
      <c r="G36" s="222"/>
      <c r="H36" s="222"/>
      <c r="I36" s="222"/>
      <c r="J36" s="222"/>
    </row>
  </sheetData>
  <sheetProtection formatColumns="0" formatRows="0"/>
  <mergeCells count="2">
    <mergeCell ref="B3:I3"/>
    <mergeCell ref="Q3:R3"/>
  </mergeCells>
  <conditionalFormatting sqref="L8:L27">
    <cfRule type="cellIs" dxfId="50" priority="3" operator="equal">
      <formula>0</formula>
    </cfRule>
  </conditionalFormatting>
  <conditionalFormatting sqref="L29">
    <cfRule type="cellIs" dxfId="49" priority="1" operator="equal">
      <formula>0</formula>
    </cfRule>
  </conditionalFormatting>
  <dataValidations count="1">
    <dataValidation type="custom" allowBlank="1" showErrorMessage="1" errorTitle="Input Error" error="Please input a numeric value." sqref="E8:E9 E12:E27 E2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0" zoomScale="85" zoomScaleNormal="85" zoomScaleSheetLayoutView="100" workbookViewId="0">
      <selection activeCell="L26" sqref="L26"/>
    </sheetView>
  </sheetViews>
  <sheetFormatPr defaultColWidth="9" defaultRowHeight="14"/>
  <cols>
    <col min="1" max="1" width="1.58203125" style="219" customWidth="1"/>
    <col min="2" max="2" width="87.58203125" style="219" bestFit="1" customWidth="1"/>
    <col min="3" max="3" width="17.58203125" style="219" customWidth="1"/>
    <col min="4" max="4" width="6.58203125" style="219" customWidth="1"/>
    <col min="5" max="5" width="12.08203125" style="219" customWidth="1"/>
    <col min="6" max="6" width="9.58203125" style="219" bestFit="1" customWidth="1"/>
    <col min="7" max="7" width="10.08203125" style="219" bestFit="1" customWidth="1"/>
    <col min="8" max="9" width="7" style="219" bestFit="1" customWidth="1"/>
    <col min="10" max="10" width="5.83203125" style="219" bestFit="1" customWidth="1"/>
    <col min="11" max="11" width="7" style="219" bestFit="1" customWidth="1"/>
    <col min="12" max="12" width="10.58203125" style="219" customWidth="1"/>
    <col min="13" max="13" width="1.58203125" style="219" customWidth="1"/>
    <col min="14" max="14" width="10.08203125" style="219" bestFit="1" customWidth="1"/>
    <col min="15" max="15" width="15.08203125" style="219" bestFit="1" customWidth="1"/>
    <col min="16" max="16" width="7.08203125" style="219" bestFit="1" customWidth="1"/>
    <col min="17" max="17" width="9.58203125" style="219" bestFit="1" customWidth="1"/>
    <col min="18" max="18" width="11" style="219" customWidth="1"/>
    <col min="19" max="19" width="8.08203125" style="219" bestFit="1" customWidth="1"/>
    <col min="20" max="20" width="14.5" style="219" bestFit="1" customWidth="1"/>
    <col min="21" max="21" width="15.58203125" style="219" bestFit="1" customWidth="1"/>
    <col min="22" max="22" width="9.25" style="219" customWidth="1"/>
    <col min="23" max="23" width="9.58203125" style="219" bestFit="1" customWidth="1"/>
    <col min="24" max="24" width="10.58203125" style="219" customWidth="1"/>
    <col min="25" max="25" width="8.08203125" style="219" bestFit="1" customWidth="1"/>
    <col min="26" max="26" width="13.08203125" style="219" bestFit="1" customWidth="1"/>
    <col min="27" max="27" width="14.5" style="219" bestFit="1" customWidth="1"/>
    <col min="28" max="28" width="8.08203125" style="219" bestFit="1" customWidth="1"/>
    <col min="29" max="29" width="9.58203125" style="219" bestFit="1" customWidth="1"/>
    <col min="30" max="30" width="10.58203125" style="219" customWidth="1"/>
    <col min="31" max="31" width="1.58203125" style="219" customWidth="1"/>
    <col min="32" max="32" width="13.08203125" style="219" customWidth="1"/>
    <col min="33" max="33" width="1.58203125" style="219" customWidth="1"/>
    <col min="34" max="34" width="29.5" style="219" bestFit="1" customWidth="1"/>
    <col min="35" max="36" width="1.58203125" style="219" customWidth="1"/>
    <col min="37" max="37" width="20.58203125" style="219" customWidth="1"/>
    <col min="38" max="38" width="1.58203125" style="219" customWidth="1"/>
    <col min="39" max="39" width="20.5" style="219" hidden="1" customWidth="1"/>
    <col min="40" max="40" width="7.5" style="219" hidden="1" customWidth="1"/>
    <col min="41" max="41" width="10.08203125" style="219" hidden="1" customWidth="1"/>
    <col min="42" max="42" width="7.5" style="219" hidden="1" customWidth="1"/>
    <col min="43" max="43" width="9" style="219" hidden="1" customWidth="1"/>
    <col min="44" max="45" width="9.58203125" style="219" hidden="1" customWidth="1"/>
    <col min="46" max="47" width="8.58203125" style="219" hidden="1" customWidth="1"/>
    <col min="48" max="55" width="8.08203125" style="219" hidden="1" customWidth="1"/>
    <col min="56" max="56" width="7.58203125" style="219" hidden="1" customWidth="1"/>
    <col min="57" max="57" width="8.08203125" style="219" hidden="1" customWidth="1"/>
    <col min="58" max="59" width="7.08203125" style="219" hidden="1" customWidth="1"/>
    <col min="60" max="60" width="6.58203125" style="219" hidden="1" customWidth="1"/>
    <col min="61" max="61" width="5" style="219" hidden="1" customWidth="1"/>
    <col min="62" max="63" width="6" style="219" hidden="1" customWidth="1"/>
    <col min="64" max="64" width="1.58203125" style="219" hidden="1" customWidth="1"/>
    <col min="65" max="65" width="1.58203125" style="219" customWidth="1"/>
    <col min="66" max="66" width="40" style="219" customWidth="1"/>
    <col min="67" max="74" width="12.5" style="219" customWidth="1"/>
    <col min="75" max="75" width="1.5" style="219" customWidth="1"/>
    <col min="76" max="92" width="12.5" style="219" customWidth="1"/>
    <col min="93" max="93" width="1.58203125" style="219" customWidth="1"/>
    <col min="94" max="16384" width="9" style="219"/>
  </cols>
  <sheetData>
    <row r="1" spans="1:93" ht="30" customHeight="1">
      <c r="A1" s="2560"/>
      <c r="B1" s="1119" t="s">
        <v>11311</v>
      </c>
      <c r="C1" s="1119"/>
      <c r="D1" s="1119"/>
      <c r="E1" s="1119"/>
      <c r="F1" s="1119"/>
      <c r="G1" s="1119"/>
      <c r="H1" s="1119"/>
      <c r="I1" s="1119"/>
      <c r="J1" s="1119"/>
      <c r="K1" s="1119"/>
      <c r="L1" s="1119"/>
      <c r="M1" s="1119"/>
      <c r="N1" s="1119"/>
      <c r="O1" s="1119"/>
      <c r="P1" s="1119"/>
      <c r="Q1" s="1119"/>
      <c r="R1" s="1119"/>
      <c r="S1" s="1119"/>
      <c r="T1" s="1119"/>
      <c r="U1" s="1119"/>
      <c r="V1" s="1119"/>
      <c r="W1" s="1119"/>
      <c r="X1" s="1119"/>
      <c r="Y1" s="1119"/>
      <c r="Z1" s="1119"/>
      <c r="AA1" s="639"/>
      <c r="AB1" s="2560"/>
      <c r="AC1" s="2560"/>
      <c r="AD1" s="2560"/>
      <c r="AE1" s="2560"/>
      <c r="AF1" s="2560"/>
      <c r="AG1" s="2560"/>
      <c r="AH1" s="2560"/>
      <c r="AI1" s="2560"/>
      <c r="AJ1" s="2589"/>
      <c r="AK1" s="2560"/>
      <c r="AL1" s="2589"/>
      <c r="AM1" s="2560"/>
      <c r="AN1" s="2560"/>
      <c r="AO1" s="2560"/>
      <c r="AP1" s="2560"/>
      <c r="AQ1" s="2560"/>
      <c r="AR1" s="2560"/>
      <c r="AS1" s="2560"/>
      <c r="AT1" s="2560"/>
      <c r="AU1" s="2560"/>
      <c r="AV1" s="2560"/>
      <c r="AW1" s="2560"/>
      <c r="AX1" s="2560"/>
      <c r="AY1" s="2560"/>
      <c r="AZ1" s="2560"/>
      <c r="BA1" s="2560"/>
      <c r="BB1" s="2560"/>
      <c r="BC1" s="2560"/>
      <c r="BD1" s="2560"/>
      <c r="BE1" s="2560"/>
      <c r="BF1" s="2560"/>
      <c r="BG1" s="2560"/>
      <c r="BH1" s="2560"/>
      <c r="BI1" s="2560"/>
      <c r="BJ1" s="2560"/>
      <c r="BK1" s="2560"/>
      <c r="BL1" s="2589"/>
      <c r="BM1" s="2560"/>
      <c r="BN1" s="1119" t="s">
        <v>1887</v>
      </c>
      <c r="BO1" s="1119"/>
      <c r="BP1" s="1119"/>
      <c r="BQ1" s="1119"/>
      <c r="BR1" s="1119"/>
      <c r="BS1" s="1119"/>
      <c r="BT1" s="1119"/>
      <c r="BU1" s="1119"/>
      <c r="BV1" s="1119"/>
      <c r="BW1" s="1119"/>
      <c r="BX1" s="1119"/>
      <c r="BY1" s="1119"/>
      <c r="BZ1" s="1119"/>
      <c r="CA1" s="1119"/>
      <c r="CB1" s="1119"/>
      <c r="CC1" s="1119"/>
      <c r="CD1" s="1119"/>
      <c r="CE1" s="1119"/>
      <c r="CF1" s="1119"/>
      <c r="CG1" s="1119"/>
      <c r="CH1" s="1119"/>
      <c r="CI1" s="1119"/>
      <c r="CJ1" s="1119"/>
      <c r="CK1" s="639"/>
      <c r="CL1" s="2560"/>
      <c r="CM1" s="2560"/>
      <c r="CN1" s="2560"/>
      <c r="CO1" s="2560"/>
    </row>
    <row r="2" spans="1:93" ht="30" customHeight="1">
      <c r="A2" s="2560"/>
      <c r="B2" s="1119" t="str">
        <f>SelectCompany!B4</f>
        <v>Yorkshire Water</v>
      </c>
      <c r="C2" s="491"/>
      <c r="D2" s="491"/>
      <c r="E2" s="491"/>
      <c r="F2" s="491"/>
      <c r="G2" s="491"/>
      <c r="H2" s="491"/>
      <c r="I2" s="491"/>
      <c r="J2" s="491"/>
      <c r="K2" s="491"/>
      <c r="L2" s="491"/>
      <c r="M2" s="491"/>
      <c r="N2" s="491"/>
      <c r="O2" s="491"/>
      <c r="P2" s="491"/>
      <c r="Q2" s="491"/>
      <c r="R2" s="491"/>
      <c r="S2" s="491"/>
      <c r="T2" s="491"/>
      <c r="U2" s="491"/>
      <c r="V2" s="491"/>
      <c r="W2" s="491"/>
      <c r="X2" s="491"/>
      <c r="Y2" s="491"/>
      <c r="Z2" s="491"/>
      <c r="AA2" s="2560"/>
      <c r="AB2" s="2560"/>
      <c r="AC2" s="2560"/>
      <c r="AD2" s="2560"/>
      <c r="AE2" s="2560"/>
      <c r="AF2" s="2560"/>
      <c r="AG2" s="2560"/>
      <c r="AH2" s="2560"/>
      <c r="AI2" s="2560"/>
      <c r="AJ2" s="2589"/>
      <c r="AK2" s="2560"/>
      <c r="AL2" s="2589"/>
      <c r="AM2" s="2560"/>
      <c r="AN2" s="2560"/>
      <c r="AO2" s="2560"/>
      <c r="AP2" s="2560"/>
      <c r="AQ2" s="2560"/>
      <c r="AR2" s="2560"/>
      <c r="AS2" s="2560"/>
      <c r="AT2" s="2560"/>
      <c r="AU2" s="2560"/>
      <c r="AV2" s="2560"/>
      <c r="AW2" s="2560"/>
      <c r="AX2" s="2560"/>
      <c r="AY2" s="2560"/>
      <c r="AZ2" s="2560"/>
      <c r="BA2" s="2560"/>
      <c r="BB2" s="2560"/>
      <c r="BC2" s="2560"/>
      <c r="BD2" s="2560"/>
      <c r="BE2" s="2560"/>
      <c r="BF2" s="2560"/>
      <c r="BG2" s="2560"/>
      <c r="BH2" s="2560"/>
      <c r="BI2" s="2560"/>
      <c r="BJ2" s="2560"/>
      <c r="BK2" s="2560"/>
      <c r="BL2" s="2589"/>
      <c r="BM2" s="2560"/>
      <c r="BN2" s="1119" t="s">
        <v>2</v>
      </c>
      <c r="BO2" s="491"/>
      <c r="BP2" s="491"/>
      <c r="BQ2" s="491"/>
      <c r="BR2" s="491"/>
      <c r="BS2" s="491"/>
      <c r="BT2" s="491"/>
      <c r="BU2" s="491"/>
      <c r="BV2" s="491"/>
      <c r="BW2" s="491"/>
      <c r="BX2" s="491"/>
      <c r="BY2" s="491"/>
      <c r="BZ2" s="491"/>
      <c r="CA2" s="491"/>
      <c r="CB2" s="491"/>
      <c r="CC2" s="491"/>
      <c r="CD2" s="491"/>
      <c r="CE2" s="491"/>
      <c r="CF2" s="491"/>
      <c r="CG2" s="491"/>
      <c r="CH2" s="491"/>
      <c r="CI2" s="491"/>
      <c r="CJ2" s="491"/>
      <c r="CK2" s="2560"/>
      <c r="CL2" s="2560"/>
      <c r="CM2" s="2560"/>
      <c r="CN2" s="2560"/>
      <c r="CO2" s="2560"/>
    </row>
    <row r="3" spans="1:93" ht="45" customHeight="1">
      <c r="A3" s="2560"/>
      <c r="B3" s="2883" t="s">
        <v>11312</v>
      </c>
      <c r="C3" s="2883"/>
      <c r="D3" s="2883"/>
      <c r="E3" s="2883"/>
      <c r="F3" s="2883"/>
      <c r="G3" s="2883"/>
      <c r="H3" s="2883"/>
      <c r="I3" s="2883"/>
      <c r="J3" s="2883"/>
      <c r="K3" s="2883"/>
      <c r="L3" s="2883"/>
      <c r="M3" s="2883"/>
      <c r="N3" s="2883"/>
      <c r="O3" s="2883"/>
      <c r="P3" s="2883"/>
      <c r="Q3" s="2883"/>
      <c r="R3" s="2883"/>
      <c r="S3" s="2883"/>
      <c r="T3" s="2883"/>
      <c r="U3" s="2883"/>
      <c r="V3" s="2883"/>
      <c r="W3" s="2883"/>
      <c r="X3" s="2883"/>
      <c r="Y3" s="2883"/>
      <c r="Z3" s="2883"/>
      <c r="AA3" s="2883"/>
      <c r="AB3" s="2883"/>
      <c r="AC3" s="2883"/>
      <c r="AD3" s="2883"/>
      <c r="AE3" s="2883"/>
      <c r="AF3" s="2883"/>
      <c r="AG3" s="2883"/>
      <c r="AH3" s="2883"/>
      <c r="AI3" s="2560"/>
      <c r="AJ3" s="2589"/>
      <c r="AK3" s="1129" t="s">
        <v>1889</v>
      </c>
      <c r="AL3" s="2589"/>
      <c r="AM3" s="2560"/>
      <c r="AN3" s="2560"/>
      <c r="AO3" s="2560"/>
      <c r="AP3" s="2560"/>
      <c r="AQ3" s="2560"/>
      <c r="AR3" s="2560"/>
      <c r="AS3" s="2560"/>
      <c r="AT3" s="2560"/>
      <c r="AU3" s="2560"/>
      <c r="AV3" s="2560"/>
      <c r="AW3" s="2560"/>
      <c r="AX3" s="2560"/>
      <c r="AY3" s="2560"/>
      <c r="AZ3" s="2560"/>
      <c r="BA3" s="2560"/>
      <c r="BB3" s="2560"/>
      <c r="BC3" s="2560"/>
      <c r="BD3" s="2560"/>
      <c r="BE3" s="2560"/>
      <c r="BF3" s="2560"/>
      <c r="BG3" s="2560"/>
      <c r="BH3" s="2560"/>
      <c r="BI3" s="2560"/>
      <c r="BJ3" s="2560"/>
      <c r="BK3" s="2560"/>
      <c r="BL3" s="2589"/>
      <c r="BM3" s="2560"/>
      <c r="BN3" s="2883" t="s">
        <v>11312</v>
      </c>
      <c r="BO3" s="2883"/>
      <c r="BP3" s="2883"/>
      <c r="BQ3" s="2883"/>
      <c r="BR3" s="2883"/>
      <c r="BS3" s="2883"/>
      <c r="BT3" s="2883"/>
      <c r="BU3" s="2883"/>
      <c r="BV3" s="2883"/>
      <c r="BW3" s="2883"/>
      <c r="BX3" s="2883"/>
      <c r="BY3" s="2883"/>
      <c r="BZ3" s="2883"/>
      <c r="CA3" s="2883"/>
      <c r="CB3" s="2883"/>
      <c r="CC3" s="2883"/>
      <c r="CD3" s="2883"/>
      <c r="CE3" s="2883"/>
      <c r="CF3" s="2883"/>
      <c r="CG3" s="2883"/>
      <c r="CH3" s="2883"/>
      <c r="CI3" s="2883"/>
      <c r="CJ3" s="2883"/>
      <c r="CK3" s="2883"/>
      <c r="CL3" s="2883"/>
      <c r="CM3" s="2883"/>
      <c r="CN3" s="2883"/>
      <c r="CO3" s="1222"/>
    </row>
    <row r="4" spans="1:93" ht="17.25" customHeight="1" thickBot="1">
      <c r="A4" s="2560"/>
      <c r="B4" s="594"/>
      <c r="C4" s="594"/>
      <c r="D4" s="594"/>
      <c r="E4" s="594"/>
      <c r="F4" s="594"/>
      <c r="G4" s="594"/>
      <c r="H4" s="594"/>
      <c r="I4" s="594"/>
      <c r="J4" s="594"/>
      <c r="K4" s="594"/>
      <c r="L4" s="594"/>
      <c r="M4" s="594"/>
      <c r="N4" s="594"/>
      <c r="O4" s="594"/>
      <c r="P4" s="594"/>
      <c r="Q4" s="594"/>
      <c r="R4" s="594"/>
      <c r="S4" s="594"/>
      <c r="T4" s="594"/>
      <c r="U4" s="594"/>
      <c r="V4" s="594"/>
      <c r="W4" s="594"/>
      <c r="X4" s="594"/>
      <c r="Y4" s="594"/>
      <c r="Z4" s="594"/>
      <c r="AA4" s="2560"/>
      <c r="AB4" s="2560"/>
      <c r="AC4" s="2560"/>
      <c r="AD4" s="2560"/>
      <c r="AE4" s="2560"/>
      <c r="AF4" s="2560"/>
      <c r="AG4" s="2560"/>
      <c r="AH4" s="2560"/>
      <c r="AI4" s="2560"/>
      <c r="AJ4" s="2589"/>
      <c r="AK4" s="2560"/>
      <c r="AL4" s="2589"/>
      <c r="AM4" s="2869" t="s">
        <v>1890</v>
      </c>
      <c r="AN4" s="2869"/>
      <c r="AO4" s="2869"/>
      <c r="AP4" s="2869"/>
      <c r="AQ4" s="2869"/>
      <c r="AR4" s="2869"/>
      <c r="AS4" s="2869"/>
      <c r="AT4" s="2869"/>
      <c r="AU4" s="2869"/>
      <c r="AV4" s="2869"/>
      <c r="AW4" s="2869"/>
      <c r="AX4" s="2869"/>
      <c r="AY4" s="2869"/>
      <c r="AZ4" s="2869"/>
      <c r="BA4" s="2869"/>
      <c r="BB4" s="2869"/>
      <c r="BC4" s="2869"/>
      <c r="BD4" s="2869"/>
      <c r="BE4" s="2869"/>
      <c r="BF4" s="2869"/>
      <c r="BG4" s="2869"/>
      <c r="BH4" s="2869"/>
      <c r="BI4" s="2869"/>
      <c r="BJ4" s="2869"/>
      <c r="BK4" s="2869"/>
      <c r="BL4" s="2589"/>
      <c r="BM4" s="2560"/>
      <c r="BN4" s="594"/>
      <c r="BO4" s="594"/>
      <c r="BP4" s="594"/>
      <c r="BQ4" s="594"/>
      <c r="BR4" s="594"/>
      <c r="BS4" s="594"/>
      <c r="BT4" s="594"/>
      <c r="BU4" s="594"/>
      <c r="BV4" s="594"/>
      <c r="BW4" s="594"/>
      <c r="BX4" s="594"/>
      <c r="BY4" s="594"/>
      <c r="BZ4" s="594"/>
      <c r="CA4" s="594"/>
      <c r="CB4" s="594"/>
      <c r="CC4" s="594"/>
      <c r="CD4" s="594"/>
      <c r="CE4" s="594"/>
      <c r="CF4" s="594"/>
      <c r="CG4" s="594"/>
      <c r="CH4" s="594"/>
      <c r="CI4" s="594"/>
      <c r="CJ4" s="594"/>
      <c r="CK4" s="2560"/>
      <c r="CL4" s="2560"/>
      <c r="CM4" s="2560"/>
      <c r="CN4" s="2560"/>
      <c r="CO4" s="2560"/>
    </row>
    <row r="5" spans="1:93" ht="15" customHeight="1" thickTop="1">
      <c r="A5" s="222"/>
      <c r="B5" s="2686" t="s">
        <v>1891</v>
      </c>
      <c r="C5" s="2667" t="s">
        <v>1892</v>
      </c>
      <c r="D5" s="2667" t="s">
        <v>136</v>
      </c>
      <c r="E5" s="2667" t="s">
        <v>11313</v>
      </c>
      <c r="F5" s="2667"/>
      <c r="G5" s="2667"/>
      <c r="H5" s="2667"/>
      <c r="I5" s="2667"/>
      <c r="J5" s="2667"/>
      <c r="K5" s="2667"/>
      <c r="L5" s="2669"/>
      <c r="M5" s="1223"/>
      <c r="N5" s="2686" t="s">
        <v>11314</v>
      </c>
      <c r="O5" s="2667"/>
      <c r="P5" s="2667"/>
      <c r="Q5" s="2667"/>
      <c r="R5" s="2667"/>
      <c r="S5" s="2667"/>
      <c r="T5" s="2667"/>
      <c r="U5" s="2667"/>
      <c r="V5" s="2667"/>
      <c r="W5" s="2667"/>
      <c r="X5" s="2667"/>
      <c r="Y5" s="2667"/>
      <c r="Z5" s="2667"/>
      <c r="AA5" s="2667"/>
      <c r="AB5" s="2667"/>
      <c r="AC5" s="2667"/>
      <c r="AD5" s="2669"/>
      <c r="AE5" s="222"/>
      <c r="AF5" s="2763" t="s">
        <v>1896</v>
      </c>
      <c r="AG5" s="222"/>
      <c r="AH5" s="2763" t="s">
        <v>1897</v>
      </c>
      <c r="AI5" s="222"/>
      <c r="AJ5" s="2589"/>
      <c r="AK5" s="2560"/>
      <c r="AL5" s="2589"/>
      <c r="AM5" s="236" t="s">
        <v>1898</v>
      </c>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589"/>
      <c r="BM5" s="2560"/>
      <c r="BN5" s="2686"/>
      <c r="BO5" s="2667" t="s">
        <v>11313</v>
      </c>
      <c r="BP5" s="2667"/>
      <c r="BQ5" s="2667"/>
      <c r="BR5" s="2667"/>
      <c r="BS5" s="2667"/>
      <c r="BT5" s="2667"/>
      <c r="BU5" s="2667"/>
      <c r="BV5" s="2669"/>
      <c r="BW5" s="1223"/>
      <c r="BX5" s="2686" t="s">
        <v>11314</v>
      </c>
      <c r="BY5" s="2667"/>
      <c r="BZ5" s="2667"/>
      <c r="CA5" s="2667"/>
      <c r="CB5" s="2667"/>
      <c r="CC5" s="2667"/>
      <c r="CD5" s="2667"/>
      <c r="CE5" s="2667"/>
      <c r="CF5" s="2667"/>
      <c r="CG5" s="2667"/>
      <c r="CH5" s="2667"/>
      <c r="CI5" s="2667"/>
      <c r="CJ5" s="2667"/>
      <c r="CK5" s="2667"/>
      <c r="CL5" s="2667"/>
      <c r="CM5" s="2667"/>
      <c r="CN5" s="2669"/>
      <c r="CO5" s="2560"/>
    </row>
    <row r="6" spans="1:93" ht="15" customHeight="1">
      <c r="A6" s="222"/>
      <c r="B6" s="2769"/>
      <c r="C6" s="2770"/>
      <c r="D6" s="2770"/>
      <c r="E6" s="2770" t="s">
        <v>11315</v>
      </c>
      <c r="F6" s="2770" t="s">
        <v>11316</v>
      </c>
      <c r="G6" s="2770"/>
      <c r="H6" s="2770" t="s">
        <v>11317</v>
      </c>
      <c r="I6" s="2770"/>
      <c r="J6" s="2770"/>
      <c r="K6" s="2770"/>
      <c r="L6" s="2811" t="s">
        <v>2112</v>
      </c>
      <c r="M6" s="1223"/>
      <c r="N6" s="2769" t="s">
        <v>11318</v>
      </c>
      <c r="O6" s="2770"/>
      <c r="P6" s="2770"/>
      <c r="Q6" s="2770"/>
      <c r="R6" s="2770"/>
      <c r="S6" s="2830" t="s">
        <v>11319</v>
      </c>
      <c r="T6" s="2770"/>
      <c r="U6" s="2770"/>
      <c r="V6" s="2770"/>
      <c r="W6" s="2770"/>
      <c r="X6" s="2770"/>
      <c r="Y6" s="2770" t="s">
        <v>11320</v>
      </c>
      <c r="Z6" s="2770"/>
      <c r="AA6" s="2770"/>
      <c r="AB6" s="2770"/>
      <c r="AC6" s="2770"/>
      <c r="AD6" s="2811"/>
      <c r="AE6" s="222"/>
      <c r="AF6" s="2764"/>
      <c r="AG6" s="222"/>
      <c r="AH6" s="2764"/>
      <c r="AI6" s="222"/>
      <c r="AJ6" s="2589"/>
      <c r="AK6" s="2560"/>
      <c r="AL6" s="2589"/>
      <c r="AM6" s="2560"/>
      <c r="AN6" s="2560"/>
      <c r="AO6" s="2560"/>
      <c r="AP6" s="2560"/>
      <c r="AQ6" s="2560"/>
      <c r="AR6" s="2560"/>
      <c r="AS6" s="2560"/>
      <c r="AT6" s="2560"/>
      <c r="AU6" s="2560"/>
      <c r="AV6" s="2560"/>
      <c r="AW6" s="2560"/>
      <c r="AX6" s="2560"/>
      <c r="AY6" s="2560"/>
      <c r="AZ6" s="2560"/>
      <c r="BA6" s="2560"/>
      <c r="BB6" s="2560"/>
      <c r="BC6" s="2560"/>
      <c r="BD6" s="2560"/>
      <c r="BE6" s="2560"/>
      <c r="BF6" s="2560"/>
      <c r="BG6" s="2560"/>
      <c r="BH6" s="2560"/>
      <c r="BI6" s="2560"/>
      <c r="BJ6" s="2560"/>
      <c r="BK6" s="2560"/>
      <c r="BL6" s="2589"/>
      <c r="BM6" s="2560"/>
      <c r="BN6" s="2769"/>
      <c r="BO6" s="2770" t="s">
        <v>11315</v>
      </c>
      <c r="BP6" s="2770" t="s">
        <v>11316</v>
      </c>
      <c r="BQ6" s="2770"/>
      <c r="BR6" s="2770" t="s">
        <v>11317</v>
      </c>
      <c r="BS6" s="2770"/>
      <c r="BT6" s="2770"/>
      <c r="BU6" s="2770"/>
      <c r="BV6" s="2811" t="s">
        <v>2112</v>
      </c>
      <c r="BW6" s="1223"/>
      <c r="BX6" s="2769" t="s">
        <v>11318</v>
      </c>
      <c r="BY6" s="2770"/>
      <c r="BZ6" s="2770"/>
      <c r="CA6" s="2770"/>
      <c r="CB6" s="2770"/>
      <c r="CC6" s="2830" t="s">
        <v>11319</v>
      </c>
      <c r="CD6" s="2770"/>
      <c r="CE6" s="2770"/>
      <c r="CF6" s="2770"/>
      <c r="CG6" s="2770"/>
      <c r="CH6" s="2770"/>
      <c r="CI6" s="2770" t="s">
        <v>11320</v>
      </c>
      <c r="CJ6" s="2770"/>
      <c r="CK6" s="2770"/>
      <c r="CL6" s="2770"/>
      <c r="CM6" s="2770"/>
      <c r="CN6" s="2811"/>
      <c r="CO6" s="2560"/>
    </row>
    <row r="7" spans="1:93" ht="105" customHeight="1" thickBot="1">
      <c r="A7" s="222"/>
      <c r="B7" s="2687"/>
      <c r="C7" s="2668"/>
      <c r="D7" s="2668"/>
      <c r="E7" s="2668"/>
      <c r="F7" s="238" t="s">
        <v>11321</v>
      </c>
      <c r="G7" s="238" t="s">
        <v>11322</v>
      </c>
      <c r="H7" s="238" t="s">
        <v>11323</v>
      </c>
      <c r="I7" s="238" t="s">
        <v>11324</v>
      </c>
      <c r="J7" s="238" t="s">
        <v>11325</v>
      </c>
      <c r="K7" s="238" t="s">
        <v>11326</v>
      </c>
      <c r="L7" s="2670"/>
      <c r="M7" s="1224"/>
      <c r="N7" s="392" t="s">
        <v>11327</v>
      </c>
      <c r="O7" s="238" t="s">
        <v>11328</v>
      </c>
      <c r="P7" s="238" t="s">
        <v>11329</v>
      </c>
      <c r="Q7" s="238" t="s">
        <v>11330</v>
      </c>
      <c r="R7" s="238" t="s">
        <v>2112</v>
      </c>
      <c r="S7" s="238" t="s">
        <v>11331</v>
      </c>
      <c r="T7" s="238" t="s">
        <v>11332</v>
      </c>
      <c r="U7" s="238" t="s">
        <v>11333</v>
      </c>
      <c r="V7" s="238" t="s">
        <v>11334</v>
      </c>
      <c r="W7" s="238" t="s">
        <v>11330</v>
      </c>
      <c r="X7" s="238" t="s">
        <v>2112</v>
      </c>
      <c r="Y7" s="238" t="s">
        <v>11335</v>
      </c>
      <c r="Z7" s="238" t="s">
        <v>11336</v>
      </c>
      <c r="AA7" s="238" t="s">
        <v>11337</v>
      </c>
      <c r="AB7" s="238" t="s">
        <v>11338</v>
      </c>
      <c r="AC7" s="238" t="s">
        <v>11330</v>
      </c>
      <c r="AD7" s="576" t="s">
        <v>2112</v>
      </c>
      <c r="AE7" s="222"/>
      <c r="AF7" s="2765"/>
      <c r="AG7" s="222"/>
      <c r="AH7" s="2765"/>
      <c r="AI7" s="222"/>
      <c r="AJ7" s="2589"/>
      <c r="AK7" s="2560"/>
      <c r="AL7" s="2589"/>
      <c r="AM7" s="2560"/>
      <c r="AN7" s="2560"/>
      <c r="AO7" s="2560"/>
      <c r="AP7" s="2560"/>
      <c r="AQ7" s="2560"/>
      <c r="AR7" s="2560"/>
      <c r="AS7" s="2560"/>
      <c r="AT7" s="2560"/>
      <c r="AU7" s="2560"/>
      <c r="AV7" s="2560"/>
      <c r="AW7" s="2560"/>
      <c r="AX7" s="2560"/>
      <c r="AY7" s="2560"/>
      <c r="AZ7" s="2560"/>
      <c r="BA7" s="2560"/>
      <c r="BB7" s="2560"/>
      <c r="BC7" s="2560"/>
      <c r="BD7" s="2560"/>
      <c r="BE7" s="2560"/>
      <c r="BF7" s="2560"/>
      <c r="BG7" s="2560"/>
      <c r="BH7" s="2560"/>
      <c r="BI7" s="2560"/>
      <c r="BJ7" s="2560"/>
      <c r="BK7" s="2560"/>
      <c r="BL7" s="2589"/>
      <c r="BM7" s="2560"/>
      <c r="BN7" s="2687"/>
      <c r="BO7" s="2668"/>
      <c r="BP7" s="238" t="s">
        <v>11321</v>
      </c>
      <c r="BQ7" s="238" t="s">
        <v>11322</v>
      </c>
      <c r="BR7" s="238" t="s">
        <v>11323</v>
      </c>
      <c r="BS7" s="238" t="s">
        <v>11324</v>
      </c>
      <c r="BT7" s="238" t="s">
        <v>11325</v>
      </c>
      <c r="BU7" s="238" t="s">
        <v>11326</v>
      </c>
      <c r="BV7" s="2670"/>
      <c r="BW7" s="1224"/>
      <c r="BX7" s="392" t="s">
        <v>11327</v>
      </c>
      <c r="BY7" s="238" t="s">
        <v>11328</v>
      </c>
      <c r="BZ7" s="238" t="s">
        <v>11329</v>
      </c>
      <c r="CA7" s="238" t="s">
        <v>11330</v>
      </c>
      <c r="CB7" s="238" t="s">
        <v>2112</v>
      </c>
      <c r="CC7" s="238" t="s">
        <v>11331</v>
      </c>
      <c r="CD7" s="238" t="s">
        <v>11332</v>
      </c>
      <c r="CE7" s="238" t="s">
        <v>11333</v>
      </c>
      <c r="CF7" s="238" t="s">
        <v>11334</v>
      </c>
      <c r="CG7" s="238" t="s">
        <v>11330</v>
      </c>
      <c r="CH7" s="238" t="s">
        <v>2112</v>
      </c>
      <c r="CI7" s="238" t="s">
        <v>11335</v>
      </c>
      <c r="CJ7" s="238" t="s">
        <v>11336</v>
      </c>
      <c r="CK7" s="238" t="s">
        <v>11337</v>
      </c>
      <c r="CL7" s="238" t="s">
        <v>11338</v>
      </c>
      <c r="CM7" s="238" t="s">
        <v>11330</v>
      </c>
      <c r="CN7" s="576" t="s">
        <v>2112</v>
      </c>
      <c r="CO7" s="2560"/>
    </row>
    <row r="8" spans="1:93" ht="15.75" customHeight="1" thickTop="1" thickBot="1">
      <c r="A8" s="222"/>
      <c r="B8" s="1225"/>
      <c r="C8" s="1225"/>
      <c r="D8" s="1225"/>
      <c r="E8" s="1226"/>
      <c r="F8" s="1227"/>
      <c r="G8" s="1227"/>
      <c r="H8" s="1227"/>
      <c r="I8" s="1227"/>
      <c r="J8" s="1227"/>
      <c r="K8" s="1227"/>
      <c r="L8" s="1226"/>
      <c r="M8" s="1224"/>
      <c r="N8" s="1227"/>
      <c r="O8" s="1227"/>
      <c r="P8" s="1227"/>
      <c r="Q8" s="1227"/>
      <c r="R8" s="1227"/>
      <c r="S8" s="1227"/>
      <c r="T8" s="1227"/>
      <c r="U8" s="1227"/>
      <c r="V8" s="1227"/>
      <c r="W8" s="1227"/>
      <c r="X8" s="1227"/>
      <c r="Y8" s="1227"/>
      <c r="Z8" s="1227"/>
      <c r="AA8" s="222"/>
      <c r="AB8" s="222"/>
      <c r="AC8" s="222"/>
      <c r="AD8" s="222"/>
      <c r="AE8" s="222"/>
      <c r="AF8" s="222"/>
      <c r="AG8" s="222"/>
      <c r="AH8" s="222"/>
      <c r="AI8" s="222"/>
      <c r="AJ8" s="2589"/>
      <c r="AK8" s="2560"/>
      <c r="AL8" s="2589"/>
      <c r="AM8" s="2560"/>
      <c r="AN8" s="2560"/>
      <c r="AO8" s="2560"/>
      <c r="AP8" s="2560"/>
      <c r="AQ8" s="2560"/>
      <c r="AR8" s="2560"/>
      <c r="AS8" s="2560"/>
      <c r="AT8" s="2560"/>
      <c r="AU8" s="2560"/>
      <c r="AV8" s="2560"/>
      <c r="AW8" s="2560"/>
      <c r="AX8" s="2560"/>
      <c r="AY8" s="2560"/>
      <c r="AZ8" s="2560"/>
      <c r="BA8" s="2560"/>
      <c r="BB8" s="2560"/>
      <c r="BC8" s="2560"/>
      <c r="BD8" s="2560"/>
      <c r="BE8" s="2560"/>
      <c r="BF8" s="2560"/>
      <c r="BG8" s="2560"/>
      <c r="BH8" s="2560"/>
      <c r="BI8" s="2560"/>
      <c r="BJ8" s="2560"/>
      <c r="BK8" s="2560"/>
      <c r="BL8" s="2589"/>
      <c r="BM8" s="2560"/>
      <c r="BN8" s="1225"/>
      <c r="BO8" s="1226"/>
      <c r="BP8" s="1227"/>
      <c r="BQ8" s="1227"/>
      <c r="BR8" s="1227"/>
      <c r="BS8" s="1227"/>
      <c r="BT8" s="1227"/>
      <c r="BU8" s="1227"/>
      <c r="BV8" s="1226"/>
      <c r="BW8" s="1224"/>
      <c r="BX8" s="1227"/>
      <c r="BY8" s="1227"/>
      <c r="BZ8" s="1227"/>
      <c r="CA8" s="1227"/>
      <c r="CB8" s="1227"/>
      <c r="CC8" s="1227"/>
      <c r="CD8" s="1227"/>
      <c r="CE8" s="1227"/>
      <c r="CF8" s="1227"/>
      <c r="CG8" s="1227"/>
      <c r="CH8" s="1227"/>
      <c r="CI8" s="1227"/>
      <c r="CJ8" s="1227"/>
      <c r="CK8" s="222"/>
      <c r="CL8" s="222"/>
      <c r="CM8" s="222"/>
      <c r="CN8" s="222"/>
      <c r="CO8" s="2560"/>
    </row>
    <row r="9" spans="1:93" ht="15.75" customHeight="1" thickTop="1" thickBot="1">
      <c r="A9" s="222"/>
      <c r="B9" s="355" t="s">
        <v>11339</v>
      </c>
      <c r="C9" s="444"/>
      <c r="D9" s="444"/>
      <c r="E9" s="114"/>
      <c r="F9" s="114"/>
      <c r="G9" s="114"/>
      <c r="H9" s="114"/>
      <c r="I9" s="114"/>
      <c r="J9" s="114"/>
      <c r="K9" s="114"/>
      <c r="L9" s="114"/>
      <c r="M9" s="114"/>
      <c r="N9" s="114"/>
      <c r="O9" s="114"/>
      <c r="P9" s="114"/>
      <c r="Q9" s="114"/>
      <c r="R9" s="114"/>
      <c r="S9" s="114"/>
      <c r="T9" s="114"/>
      <c r="U9" s="114"/>
      <c r="V9" s="114"/>
      <c r="W9" s="114"/>
      <c r="X9" s="114"/>
      <c r="Y9" s="114"/>
      <c r="Z9" s="114"/>
      <c r="AA9" s="222"/>
      <c r="AB9" s="222"/>
      <c r="AC9" s="222"/>
      <c r="AD9" s="222"/>
      <c r="AE9" s="222"/>
      <c r="AF9" s="222"/>
      <c r="AG9" s="222"/>
      <c r="AH9" s="222"/>
      <c r="AI9" s="222"/>
      <c r="AJ9" s="2589"/>
      <c r="AK9" s="2560"/>
      <c r="AL9" s="2589"/>
      <c r="AM9" s="2560"/>
      <c r="AN9" s="2560"/>
      <c r="AO9" s="2560"/>
      <c r="AP9" s="2560"/>
      <c r="AQ9" s="2560"/>
      <c r="AR9" s="2560"/>
      <c r="AS9" s="2560"/>
      <c r="AT9" s="2560"/>
      <c r="AU9" s="2560"/>
      <c r="AV9" s="2560"/>
      <c r="AW9" s="2560"/>
      <c r="AX9" s="2560"/>
      <c r="AY9" s="2560"/>
      <c r="AZ9" s="2560"/>
      <c r="BA9" s="2560"/>
      <c r="BB9" s="2560"/>
      <c r="BC9" s="2560"/>
      <c r="BD9" s="2560"/>
      <c r="BE9" s="2560"/>
      <c r="BF9" s="2560"/>
      <c r="BG9" s="2560"/>
      <c r="BH9" s="2560"/>
      <c r="BI9" s="2560"/>
      <c r="BJ9" s="2560"/>
      <c r="BK9" s="2560"/>
      <c r="BL9" s="2589"/>
      <c r="BM9" s="2560"/>
      <c r="BN9" s="355" t="s">
        <v>11339</v>
      </c>
      <c r="BO9" s="114"/>
      <c r="BP9" s="114"/>
      <c r="BQ9" s="114"/>
      <c r="BR9" s="114"/>
      <c r="BS9" s="114"/>
      <c r="BT9" s="114"/>
      <c r="BU9" s="114"/>
      <c r="BV9" s="114"/>
      <c r="BW9" s="114"/>
      <c r="BX9" s="114"/>
      <c r="BY9" s="114"/>
      <c r="BZ9" s="114"/>
      <c r="CA9" s="114"/>
      <c r="CB9" s="114"/>
      <c r="CC9" s="114"/>
      <c r="CD9" s="114"/>
      <c r="CE9" s="114"/>
      <c r="CF9" s="114"/>
      <c r="CG9" s="114"/>
      <c r="CH9" s="114"/>
      <c r="CI9" s="114"/>
      <c r="CJ9" s="114"/>
      <c r="CK9" s="222"/>
      <c r="CL9" s="222"/>
      <c r="CM9" s="222"/>
      <c r="CN9" s="222"/>
      <c r="CO9" s="2560"/>
    </row>
    <row r="10" spans="1:93" ht="15.75" customHeight="1" thickTop="1">
      <c r="A10" s="222"/>
      <c r="B10" s="413" t="s">
        <v>11340</v>
      </c>
      <c r="C10" s="244" t="s">
        <v>11341</v>
      </c>
      <c r="D10" s="244">
        <v>0</v>
      </c>
      <c r="E10" s="1612">
        <v>68</v>
      </c>
      <c r="F10" s="1612">
        <v>426</v>
      </c>
      <c r="G10" s="1612">
        <v>1205</v>
      </c>
      <c r="H10" s="1612">
        <v>30</v>
      </c>
      <c r="I10" s="1612">
        <v>19</v>
      </c>
      <c r="J10" s="1612">
        <v>83</v>
      </c>
      <c r="K10" s="1612">
        <v>0</v>
      </c>
      <c r="L10" s="1619">
        <f>IFERROR(SUM(E10:K10),0)</f>
        <v>1831</v>
      </c>
      <c r="M10" s="1620"/>
      <c r="N10" s="1621">
        <v>0</v>
      </c>
      <c r="O10" s="1612">
        <v>0</v>
      </c>
      <c r="P10" s="1612">
        <v>0</v>
      </c>
      <c r="Q10" s="1612">
        <v>1831</v>
      </c>
      <c r="R10" s="1622">
        <f>IFERROR(SUM(N10:Q10),0)</f>
        <v>1831</v>
      </c>
      <c r="S10" s="1612">
        <v>0</v>
      </c>
      <c r="T10" s="1612">
        <v>0</v>
      </c>
      <c r="U10" s="1612">
        <v>44</v>
      </c>
      <c r="V10" s="1612">
        <v>116</v>
      </c>
      <c r="W10" s="1612">
        <v>1670</v>
      </c>
      <c r="X10" s="1622">
        <f>IFERROR(SUM(S10:W10),0)</f>
        <v>1830</v>
      </c>
      <c r="Y10" s="1612">
        <v>0</v>
      </c>
      <c r="Z10" s="1612">
        <v>0</v>
      </c>
      <c r="AA10" s="1612">
        <v>30</v>
      </c>
      <c r="AB10" s="1612">
        <v>184</v>
      </c>
      <c r="AC10" s="1612">
        <v>1617</v>
      </c>
      <c r="AD10" s="1619">
        <f t="shared" ref="AD10:AD15" si="0">IFERROR(SUM(Y10:AC10),0)</f>
        <v>1831</v>
      </c>
      <c r="AE10" s="222"/>
      <c r="AF10" s="248" t="s">
        <v>11342</v>
      </c>
      <c r="AG10" s="222"/>
      <c r="AH10" s="1120"/>
      <c r="AI10" s="222"/>
      <c r="AJ10" s="2589"/>
      <c r="AK10" s="1121">
        <f t="shared" ref="AK10:AK17" si="1">IF( SUM( AM10:BK10 ) = 0, 0, $AM$5 )</f>
        <v>0</v>
      </c>
      <c r="AL10" s="2589"/>
      <c r="AM10" s="252">
        <f t="shared" ref="AM10" si="2" xml:space="preserve"> IF( ISNUMBER(E10 ), 0, 1 )</f>
        <v>0</v>
      </c>
      <c r="AN10" s="252">
        <f t="shared" ref="AN10" si="3" xml:space="preserve"> IF( ISNUMBER(F10 ), 0, 1 )</f>
        <v>0</v>
      </c>
      <c r="AO10" s="252">
        <f t="shared" ref="AO10" si="4" xml:space="preserve"> IF( ISNUMBER(G10 ), 0, 1 )</f>
        <v>0</v>
      </c>
      <c r="AP10" s="252">
        <f t="shared" ref="AP10" si="5" xml:space="preserve"> IF( ISNUMBER(H10 ), 0, 1 )</f>
        <v>0</v>
      </c>
      <c r="AQ10" s="252">
        <f t="shared" ref="AQ10" si="6" xml:space="preserve"> IF( ISNUMBER(I10 ), 0, 1 )</f>
        <v>0</v>
      </c>
      <c r="AR10" s="252">
        <f t="shared" ref="AR10" si="7" xml:space="preserve"> IF( ISNUMBER(J10 ), 0, 1 )</f>
        <v>0</v>
      </c>
      <c r="AS10" s="252">
        <f t="shared" ref="AS10:AV10" si="8" xml:space="preserve"> IF( ISNUMBER(K10 ), 0, 1 )</f>
        <v>0</v>
      </c>
      <c r="AT10" s="2560"/>
      <c r="AU10" s="2560"/>
      <c r="AV10" s="252">
        <f t="shared" si="8"/>
        <v>0</v>
      </c>
      <c r="AW10" s="252">
        <f t="shared" ref="AW10" si="9" xml:space="preserve"> IF( ISNUMBER(O10 ), 0, 1 )</f>
        <v>0</v>
      </c>
      <c r="AX10" s="252">
        <f t="shared" ref="AX10" si="10" xml:space="preserve"> IF( ISNUMBER(P10 ), 0, 1 )</f>
        <v>0</v>
      </c>
      <c r="AY10" s="252">
        <f t="shared" ref="AY10" si="11" xml:space="preserve"> IF( ISNUMBER(Q10 ), 0, 1 )</f>
        <v>0</v>
      </c>
      <c r="AZ10" s="2560"/>
      <c r="BA10" s="252">
        <f t="shared" ref="BA10" si="12" xml:space="preserve"> IF( ISNUMBER(S10 ), 0, 1 )</f>
        <v>0</v>
      </c>
      <c r="BB10" s="252">
        <f t="shared" ref="BB10" si="13" xml:space="preserve"> IF( ISNUMBER(T10 ), 0, 1 )</f>
        <v>0</v>
      </c>
      <c r="BC10" s="252">
        <f t="shared" ref="BC10" si="14" xml:space="preserve"> IF( ISNUMBER(U10 ), 0, 1 )</f>
        <v>0</v>
      </c>
      <c r="BD10" s="252">
        <f t="shared" ref="BD10" si="15" xml:space="preserve"> IF( ISNUMBER(V10 ), 0, 1 )</f>
        <v>0</v>
      </c>
      <c r="BE10" s="252">
        <f t="shared" ref="BE10" si="16" xml:space="preserve"> IF( ISNUMBER(W10 ), 0, 1 )</f>
        <v>0</v>
      </c>
      <c r="BF10" s="2560"/>
      <c r="BG10" s="252">
        <f t="shared" ref="BG10" si="17" xml:space="preserve"> IF( ISNUMBER(Y10 ), 0, 1 )</f>
        <v>0</v>
      </c>
      <c r="BH10" s="252">
        <f t="shared" ref="BH10" si="18" xml:space="preserve"> IF( ISNUMBER(Z10 ), 0, 1 )</f>
        <v>0</v>
      </c>
      <c r="BI10" s="252">
        <f t="shared" ref="BI10" si="19" xml:space="preserve"> IF( ISNUMBER(AA10 ), 0, 1 )</f>
        <v>0</v>
      </c>
      <c r="BJ10" s="252">
        <f t="shared" ref="BJ10" si="20" xml:space="preserve"> IF( ISNUMBER(AB10 ), 0, 1 )</f>
        <v>0</v>
      </c>
      <c r="BK10" s="252">
        <f t="shared" ref="BK10" si="21" xml:space="preserve"> IF( ISNUMBER(AC10 ), 0, 1 )</f>
        <v>0</v>
      </c>
      <c r="BL10" s="2589"/>
      <c r="BM10" s="2560"/>
      <c r="BN10" s="413" t="s">
        <v>11340</v>
      </c>
      <c r="BO10" s="1050" t="s">
        <v>11343</v>
      </c>
      <c r="BP10" s="1050" t="s">
        <v>11344</v>
      </c>
      <c r="BQ10" s="1050" t="s">
        <v>11345</v>
      </c>
      <c r="BR10" s="1050" t="s">
        <v>11346</v>
      </c>
      <c r="BS10" s="1050" t="s">
        <v>11347</v>
      </c>
      <c r="BT10" s="1050" t="s">
        <v>11348</v>
      </c>
      <c r="BU10" s="1050" t="s">
        <v>11349</v>
      </c>
      <c r="BV10" s="1228" t="s">
        <v>11350</v>
      </c>
      <c r="BW10" s="114"/>
      <c r="BX10" s="1229" t="s">
        <v>11351</v>
      </c>
      <c r="BY10" s="1050" t="s">
        <v>11352</v>
      </c>
      <c r="BZ10" s="1050" t="s">
        <v>11353</v>
      </c>
      <c r="CA10" s="1050" t="s">
        <v>11354</v>
      </c>
      <c r="CB10" s="1230" t="s">
        <v>11355</v>
      </c>
      <c r="CC10" s="1050" t="s">
        <v>11356</v>
      </c>
      <c r="CD10" s="1050" t="s">
        <v>11357</v>
      </c>
      <c r="CE10" s="1050" t="s">
        <v>11358</v>
      </c>
      <c r="CF10" s="1050" t="s">
        <v>11359</v>
      </c>
      <c r="CG10" s="1050" t="s">
        <v>11360</v>
      </c>
      <c r="CH10" s="1230" t="s">
        <v>11361</v>
      </c>
      <c r="CI10" s="1050" t="s">
        <v>11362</v>
      </c>
      <c r="CJ10" s="1050" t="s">
        <v>11363</v>
      </c>
      <c r="CK10" s="1050" t="s">
        <v>11364</v>
      </c>
      <c r="CL10" s="1050" t="s">
        <v>11365</v>
      </c>
      <c r="CM10" s="1050" t="s">
        <v>11366</v>
      </c>
      <c r="CN10" s="1228" t="s">
        <v>11367</v>
      </c>
      <c r="CO10" s="2560"/>
    </row>
    <row r="11" spans="1:93" ht="15.75" customHeight="1">
      <c r="A11" s="222"/>
      <c r="B11" s="422" t="s">
        <v>11368</v>
      </c>
      <c r="C11" s="253" t="s">
        <v>11341</v>
      </c>
      <c r="D11" s="253">
        <v>0</v>
      </c>
      <c r="E11" s="1601">
        <v>50</v>
      </c>
      <c r="F11" s="1601">
        <v>247</v>
      </c>
      <c r="G11" s="1601">
        <v>951</v>
      </c>
      <c r="H11" s="1601">
        <v>25</v>
      </c>
      <c r="I11" s="1601">
        <v>18</v>
      </c>
      <c r="J11" s="1601">
        <v>159</v>
      </c>
      <c r="K11" s="1601">
        <v>81</v>
      </c>
      <c r="L11" s="1617">
        <f t="shared" ref="L11:L16" si="22">IFERROR(SUM(E11:K11),0)</f>
        <v>1531</v>
      </c>
      <c r="M11" s="1620"/>
      <c r="N11" s="1623">
        <v>0</v>
      </c>
      <c r="O11" s="1601">
        <v>20</v>
      </c>
      <c r="P11" s="1601">
        <v>0</v>
      </c>
      <c r="Q11" s="1601">
        <v>1512</v>
      </c>
      <c r="R11" s="1605">
        <f t="shared" ref="R11:R15" si="23">IFERROR(SUM(N11:Q11),0)</f>
        <v>1532</v>
      </c>
      <c r="S11" s="1601">
        <v>0</v>
      </c>
      <c r="T11" s="1601">
        <v>0</v>
      </c>
      <c r="U11" s="1601">
        <v>219</v>
      </c>
      <c r="V11" s="1601">
        <v>814</v>
      </c>
      <c r="W11" s="1601">
        <v>499</v>
      </c>
      <c r="X11" s="1605">
        <f t="shared" ref="X11:X16" si="24">IFERROR(SUM(S11:W11),0)</f>
        <v>1532</v>
      </c>
      <c r="Y11" s="1601">
        <v>0</v>
      </c>
      <c r="Z11" s="1601">
        <v>25</v>
      </c>
      <c r="AA11" s="1601">
        <v>293</v>
      </c>
      <c r="AB11" s="1601">
        <v>789</v>
      </c>
      <c r="AC11" s="1601">
        <v>425</v>
      </c>
      <c r="AD11" s="1617">
        <f t="shared" si="0"/>
        <v>1532</v>
      </c>
      <c r="AE11" s="222"/>
      <c r="AF11" s="257" t="s">
        <v>11369</v>
      </c>
      <c r="AG11" s="222"/>
      <c r="AH11" s="1122"/>
      <c r="AI11" s="222"/>
      <c r="AJ11" s="2589"/>
      <c r="AK11" s="1121">
        <f t="shared" si="1"/>
        <v>0</v>
      </c>
      <c r="AL11" s="2589"/>
      <c r="AM11" s="252">
        <f t="shared" ref="AM11:AM15" si="25" xml:space="preserve"> IF( ISNUMBER(E11 ), 0, 1 )</f>
        <v>0</v>
      </c>
      <c r="AN11" s="252">
        <f t="shared" ref="AN11:AN15" si="26" xml:space="preserve"> IF( ISNUMBER(F11 ), 0, 1 )</f>
        <v>0</v>
      </c>
      <c r="AO11" s="252">
        <f t="shared" ref="AO11:AO15" si="27" xml:space="preserve"> IF( ISNUMBER(G11 ), 0, 1 )</f>
        <v>0</v>
      </c>
      <c r="AP11" s="252">
        <f t="shared" ref="AP11:AP15" si="28" xml:space="preserve"> IF( ISNUMBER(H11 ), 0, 1 )</f>
        <v>0</v>
      </c>
      <c r="AQ11" s="252">
        <f t="shared" ref="AQ11:AQ15" si="29" xml:space="preserve"> IF( ISNUMBER(I11 ), 0, 1 )</f>
        <v>0</v>
      </c>
      <c r="AR11" s="252">
        <f t="shared" ref="AR11:AR15" si="30" xml:space="preserve"> IF( ISNUMBER(J11 ), 0, 1 )</f>
        <v>0</v>
      </c>
      <c r="AS11" s="252">
        <f t="shared" ref="AS11:AT17" si="31" xml:space="preserve"> IF( ISNUMBER(K11 ), 0, 1 )</f>
        <v>0</v>
      </c>
      <c r="AT11" s="2560"/>
      <c r="AU11" s="2560"/>
      <c r="AV11" s="252">
        <f t="shared" ref="AV11:AV15" si="32" xml:space="preserve"> IF( ISNUMBER(N11 ), 0, 1 )</f>
        <v>0</v>
      </c>
      <c r="AW11" s="252">
        <f t="shared" ref="AW11:AW15" si="33" xml:space="preserve"> IF( ISNUMBER(O11 ), 0, 1 )</f>
        <v>0</v>
      </c>
      <c r="AX11" s="252">
        <f t="shared" ref="AX11:AX15" si="34" xml:space="preserve"> IF( ISNUMBER(P11 ), 0, 1 )</f>
        <v>0</v>
      </c>
      <c r="AY11" s="252">
        <f t="shared" ref="AY11:AY15" si="35" xml:space="preserve"> IF( ISNUMBER(Q11 ), 0, 1 )</f>
        <v>0</v>
      </c>
      <c r="AZ11" s="2560"/>
      <c r="BA11" s="252">
        <f t="shared" ref="BA11:BA15" si="36" xml:space="preserve"> IF( ISNUMBER(S11 ), 0, 1 )</f>
        <v>0</v>
      </c>
      <c r="BB11" s="252">
        <f t="shared" ref="BB11:BB15" si="37" xml:space="preserve"> IF( ISNUMBER(T11 ), 0, 1 )</f>
        <v>0</v>
      </c>
      <c r="BC11" s="252">
        <f t="shared" ref="BC11:BC15" si="38" xml:space="preserve"> IF( ISNUMBER(U11 ), 0, 1 )</f>
        <v>0</v>
      </c>
      <c r="BD11" s="252">
        <f t="shared" ref="BD11:BD15" si="39" xml:space="preserve"> IF( ISNUMBER(V11 ), 0, 1 )</f>
        <v>0</v>
      </c>
      <c r="BE11" s="252">
        <f t="shared" ref="BE11:BE15" si="40" xml:space="preserve"> IF( ISNUMBER(W11 ), 0, 1 )</f>
        <v>0</v>
      </c>
      <c r="BF11" s="2560"/>
      <c r="BG11" s="252">
        <f t="shared" ref="BG11:BG15" si="41" xml:space="preserve"> IF( ISNUMBER(Y11 ), 0, 1 )</f>
        <v>0</v>
      </c>
      <c r="BH11" s="252">
        <f t="shared" ref="BH11:BH15" si="42" xml:space="preserve"> IF( ISNUMBER(Z11 ), 0, 1 )</f>
        <v>0</v>
      </c>
      <c r="BI11" s="252">
        <f t="shared" ref="BI11:BI15" si="43" xml:space="preserve"> IF( ISNUMBER(AA11 ), 0, 1 )</f>
        <v>0</v>
      </c>
      <c r="BJ11" s="252">
        <f t="shared" ref="BJ11:BJ15" si="44" xml:space="preserve"> IF( ISNUMBER(AB11 ), 0, 1 )</f>
        <v>0</v>
      </c>
      <c r="BK11" s="252">
        <f t="shared" ref="BK11:BK15" si="45" xml:space="preserve"> IF( ISNUMBER(AC11 ), 0, 1 )</f>
        <v>0</v>
      </c>
      <c r="BL11" s="2589"/>
      <c r="BM11" s="2560"/>
      <c r="BN11" s="422" t="s">
        <v>11368</v>
      </c>
      <c r="BO11" s="1210" t="s">
        <v>11370</v>
      </c>
      <c r="BP11" s="1210" t="s">
        <v>11371</v>
      </c>
      <c r="BQ11" s="1210" t="s">
        <v>11372</v>
      </c>
      <c r="BR11" s="1210" t="s">
        <v>11373</v>
      </c>
      <c r="BS11" s="1210" t="s">
        <v>11374</v>
      </c>
      <c r="BT11" s="1210" t="s">
        <v>11375</v>
      </c>
      <c r="BU11" s="1210" t="s">
        <v>11376</v>
      </c>
      <c r="BV11" s="1219" t="s">
        <v>11377</v>
      </c>
      <c r="BW11" s="114"/>
      <c r="BX11" s="1231" t="s">
        <v>11378</v>
      </c>
      <c r="BY11" s="1210" t="s">
        <v>11379</v>
      </c>
      <c r="BZ11" s="1210" t="s">
        <v>11380</v>
      </c>
      <c r="CA11" s="1210" t="s">
        <v>11381</v>
      </c>
      <c r="CB11" s="1205" t="s">
        <v>11382</v>
      </c>
      <c r="CC11" s="1210" t="s">
        <v>11383</v>
      </c>
      <c r="CD11" s="1210" t="s">
        <v>11384</v>
      </c>
      <c r="CE11" s="1210" t="s">
        <v>11385</v>
      </c>
      <c r="CF11" s="1210" t="s">
        <v>11386</v>
      </c>
      <c r="CG11" s="1210" t="s">
        <v>11387</v>
      </c>
      <c r="CH11" s="1205" t="s">
        <v>11388</v>
      </c>
      <c r="CI11" s="1210" t="s">
        <v>11389</v>
      </c>
      <c r="CJ11" s="1210" t="s">
        <v>11390</v>
      </c>
      <c r="CK11" s="1210" t="s">
        <v>11391</v>
      </c>
      <c r="CL11" s="1210" t="s">
        <v>11392</v>
      </c>
      <c r="CM11" s="1210" t="s">
        <v>11393</v>
      </c>
      <c r="CN11" s="1219" t="s">
        <v>11394</v>
      </c>
      <c r="CO11" s="2560"/>
    </row>
    <row r="12" spans="1:93" ht="15.75" customHeight="1">
      <c r="A12" s="222"/>
      <c r="B12" s="422" t="s">
        <v>11395</v>
      </c>
      <c r="C12" s="253" t="s">
        <v>11341</v>
      </c>
      <c r="D12" s="253">
        <v>0</v>
      </c>
      <c r="E12" s="1601">
        <v>129</v>
      </c>
      <c r="F12" s="1601">
        <v>1016</v>
      </c>
      <c r="G12" s="1601">
        <v>2307</v>
      </c>
      <c r="H12" s="1601">
        <v>184</v>
      </c>
      <c r="I12" s="1601">
        <v>236</v>
      </c>
      <c r="J12" s="1601">
        <v>854</v>
      </c>
      <c r="K12" s="1601">
        <v>1015</v>
      </c>
      <c r="L12" s="1617">
        <f t="shared" si="22"/>
        <v>5741</v>
      </c>
      <c r="M12" s="1620"/>
      <c r="N12" s="1623">
        <v>256</v>
      </c>
      <c r="O12" s="1601">
        <v>166</v>
      </c>
      <c r="P12" s="1601">
        <v>474</v>
      </c>
      <c r="Q12" s="1601">
        <v>4847</v>
      </c>
      <c r="R12" s="1605">
        <f t="shared" si="23"/>
        <v>5743</v>
      </c>
      <c r="S12" s="1601">
        <v>0</v>
      </c>
      <c r="T12" s="1601">
        <v>157</v>
      </c>
      <c r="U12" s="1601">
        <v>1631</v>
      </c>
      <c r="V12" s="1601">
        <v>3642</v>
      </c>
      <c r="W12" s="1601">
        <v>312</v>
      </c>
      <c r="X12" s="1605">
        <f t="shared" si="24"/>
        <v>5742</v>
      </c>
      <c r="Y12" s="1601">
        <v>0</v>
      </c>
      <c r="Z12" s="1601">
        <v>0</v>
      </c>
      <c r="AA12" s="1601">
        <v>2235</v>
      </c>
      <c r="AB12" s="1601">
        <v>2900</v>
      </c>
      <c r="AC12" s="1601">
        <v>607</v>
      </c>
      <c r="AD12" s="1617">
        <f t="shared" si="0"/>
        <v>5742</v>
      </c>
      <c r="AE12" s="222"/>
      <c r="AF12" s="257" t="s">
        <v>11396</v>
      </c>
      <c r="AG12" s="222"/>
      <c r="AH12" s="1122"/>
      <c r="AI12" s="222"/>
      <c r="AJ12" s="2589"/>
      <c r="AK12" s="1121">
        <f t="shared" si="1"/>
        <v>0</v>
      </c>
      <c r="AL12" s="2589"/>
      <c r="AM12" s="252">
        <f t="shared" si="25"/>
        <v>0</v>
      </c>
      <c r="AN12" s="252">
        <f t="shared" si="26"/>
        <v>0</v>
      </c>
      <c r="AO12" s="252">
        <f t="shared" si="27"/>
        <v>0</v>
      </c>
      <c r="AP12" s="252">
        <f t="shared" si="28"/>
        <v>0</v>
      </c>
      <c r="AQ12" s="252">
        <f t="shared" si="29"/>
        <v>0</v>
      </c>
      <c r="AR12" s="252">
        <f t="shared" si="30"/>
        <v>0</v>
      </c>
      <c r="AS12" s="252">
        <f t="shared" si="31"/>
        <v>0</v>
      </c>
      <c r="AT12" s="2560"/>
      <c r="AU12" s="2560"/>
      <c r="AV12" s="252">
        <f t="shared" si="32"/>
        <v>0</v>
      </c>
      <c r="AW12" s="252">
        <f t="shared" si="33"/>
        <v>0</v>
      </c>
      <c r="AX12" s="252">
        <f t="shared" si="34"/>
        <v>0</v>
      </c>
      <c r="AY12" s="252">
        <f t="shared" si="35"/>
        <v>0</v>
      </c>
      <c r="AZ12" s="2560"/>
      <c r="BA12" s="252">
        <f t="shared" si="36"/>
        <v>0</v>
      </c>
      <c r="BB12" s="252">
        <f t="shared" si="37"/>
        <v>0</v>
      </c>
      <c r="BC12" s="252">
        <f t="shared" si="38"/>
        <v>0</v>
      </c>
      <c r="BD12" s="252">
        <f t="shared" si="39"/>
        <v>0</v>
      </c>
      <c r="BE12" s="252">
        <f t="shared" si="40"/>
        <v>0</v>
      </c>
      <c r="BF12" s="2560"/>
      <c r="BG12" s="252">
        <f t="shared" si="41"/>
        <v>0</v>
      </c>
      <c r="BH12" s="252">
        <f t="shared" si="42"/>
        <v>0</v>
      </c>
      <c r="BI12" s="252">
        <f t="shared" si="43"/>
        <v>0</v>
      </c>
      <c r="BJ12" s="252">
        <f t="shared" si="44"/>
        <v>0</v>
      </c>
      <c r="BK12" s="252">
        <f t="shared" si="45"/>
        <v>0</v>
      </c>
      <c r="BL12" s="2589"/>
      <c r="BM12" s="2560"/>
      <c r="BN12" s="422" t="s">
        <v>11395</v>
      </c>
      <c r="BO12" s="1210" t="s">
        <v>11397</v>
      </c>
      <c r="BP12" s="1210" t="s">
        <v>11398</v>
      </c>
      <c r="BQ12" s="1210" t="s">
        <v>11399</v>
      </c>
      <c r="BR12" s="1210" t="s">
        <v>11400</v>
      </c>
      <c r="BS12" s="1210" t="s">
        <v>11401</v>
      </c>
      <c r="BT12" s="1210" t="s">
        <v>11402</v>
      </c>
      <c r="BU12" s="1210" t="s">
        <v>11403</v>
      </c>
      <c r="BV12" s="1219" t="s">
        <v>11404</v>
      </c>
      <c r="BW12" s="114"/>
      <c r="BX12" s="1231" t="s">
        <v>11405</v>
      </c>
      <c r="BY12" s="1210" t="s">
        <v>11406</v>
      </c>
      <c r="BZ12" s="1210" t="s">
        <v>11407</v>
      </c>
      <c r="CA12" s="1210" t="s">
        <v>11408</v>
      </c>
      <c r="CB12" s="1205" t="s">
        <v>11409</v>
      </c>
      <c r="CC12" s="1210" t="s">
        <v>11410</v>
      </c>
      <c r="CD12" s="1210" t="s">
        <v>11411</v>
      </c>
      <c r="CE12" s="1210" t="s">
        <v>11412</v>
      </c>
      <c r="CF12" s="1210" t="s">
        <v>11413</v>
      </c>
      <c r="CG12" s="1210" t="s">
        <v>11414</v>
      </c>
      <c r="CH12" s="1205" t="s">
        <v>11415</v>
      </c>
      <c r="CI12" s="1210" t="s">
        <v>11416</v>
      </c>
      <c r="CJ12" s="1210" t="s">
        <v>11417</v>
      </c>
      <c r="CK12" s="1210" t="s">
        <v>11418</v>
      </c>
      <c r="CL12" s="1210" t="s">
        <v>11419</v>
      </c>
      <c r="CM12" s="1210" t="s">
        <v>11420</v>
      </c>
      <c r="CN12" s="1219" t="s">
        <v>11421</v>
      </c>
      <c r="CO12" s="2560"/>
    </row>
    <row r="13" spans="1:93" ht="15.75" customHeight="1">
      <c r="A13" s="222"/>
      <c r="B13" s="422" t="s">
        <v>11422</v>
      </c>
      <c r="C13" s="253" t="s">
        <v>11341</v>
      </c>
      <c r="D13" s="253">
        <v>0</v>
      </c>
      <c r="E13" s="1601">
        <v>0</v>
      </c>
      <c r="F13" s="1601">
        <v>3869</v>
      </c>
      <c r="G13" s="1601">
        <v>8574</v>
      </c>
      <c r="H13" s="1601">
        <v>881</v>
      </c>
      <c r="I13" s="1601">
        <v>2580</v>
      </c>
      <c r="J13" s="1601">
        <v>1222</v>
      </c>
      <c r="K13" s="1601">
        <v>4250</v>
      </c>
      <c r="L13" s="1617">
        <f t="shared" si="22"/>
        <v>21376</v>
      </c>
      <c r="M13" s="1624"/>
      <c r="N13" s="1623">
        <v>1363</v>
      </c>
      <c r="O13" s="1601">
        <v>1007</v>
      </c>
      <c r="P13" s="1601">
        <v>367</v>
      </c>
      <c r="Q13" s="1601">
        <v>18640</v>
      </c>
      <c r="R13" s="1605">
        <f t="shared" si="23"/>
        <v>21377</v>
      </c>
      <c r="S13" s="1601">
        <v>0</v>
      </c>
      <c r="T13" s="1601">
        <v>1529</v>
      </c>
      <c r="U13" s="1601">
        <v>5857</v>
      </c>
      <c r="V13" s="1601">
        <v>9813</v>
      </c>
      <c r="W13" s="1601">
        <v>4179</v>
      </c>
      <c r="X13" s="1605">
        <f t="shared" si="24"/>
        <v>21378</v>
      </c>
      <c r="Y13" s="1601">
        <v>0</v>
      </c>
      <c r="Z13" s="1601">
        <v>2672</v>
      </c>
      <c r="AA13" s="1601">
        <v>6982</v>
      </c>
      <c r="AB13" s="1601">
        <v>5855</v>
      </c>
      <c r="AC13" s="1601">
        <v>5868</v>
      </c>
      <c r="AD13" s="1617">
        <f t="shared" si="0"/>
        <v>21377</v>
      </c>
      <c r="AE13" s="222"/>
      <c r="AF13" s="257" t="s">
        <v>11423</v>
      </c>
      <c r="AG13" s="222"/>
      <c r="AH13" s="1122"/>
      <c r="AI13" s="222"/>
      <c r="AJ13" s="2589"/>
      <c r="AK13" s="1121">
        <f t="shared" si="1"/>
        <v>0</v>
      </c>
      <c r="AL13" s="2589"/>
      <c r="AM13" s="252">
        <f t="shared" si="25"/>
        <v>0</v>
      </c>
      <c r="AN13" s="252">
        <f t="shared" si="26"/>
        <v>0</v>
      </c>
      <c r="AO13" s="252">
        <f t="shared" si="27"/>
        <v>0</v>
      </c>
      <c r="AP13" s="252">
        <f t="shared" si="28"/>
        <v>0</v>
      </c>
      <c r="AQ13" s="252">
        <f t="shared" si="29"/>
        <v>0</v>
      </c>
      <c r="AR13" s="252">
        <f t="shared" si="30"/>
        <v>0</v>
      </c>
      <c r="AS13" s="252">
        <f t="shared" si="31"/>
        <v>0</v>
      </c>
      <c r="AT13" s="2560"/>
      <c r="AU13" s="2560"/>
      <c r="AV13" s="252">
        <f t="shared" si="32"/>
        <v>0</v>
      </c>
      <c r="AW13" s="252">
        <f t="shared" si="33"/>
        <v>0</v>
      </c>
      <c r="AX13" s="252">
        <f t="shared" si="34"/>
        <v>0</v>
      </c>
      <c r="AY13" s="252">
        <f t="shared" si="35"/>
        <v>0</v>
      </c>
      <c r="AZ13" s="2560"/>
      <c r="BA13" s="252">
        <f t="shared" si="36"/>
        <v>0</v>
      </c>
      <c r="BB13" s="252">
        <f t="shared" si="37"/>
        <v>0</v>
      </c>
      <c r="BC13" s="252">
        <f t="shared" si="38"/>
        <v>0</v>
      </c>
      <c r="BD13" s="252">
        <f t="shared" si="39"/>
        <v>0</v>
      </c>
      <c r="BE13" s="252">
        <f t="shared" si="40"/>
        <v>0</v>
      </c>
      <c r="BF13" s="2560"/>
      <c r="BG13" s="252">
        <f t="shared" si="41"/>
        <v>0</v>
      </c>
      <c r="BH13" s="252">
        <f t="shared" si="42"/>
        <v>0</v>
      </c>
      <c r="BI13" s="252">
        <f t="shared" si="43"/>
        <v>0</v>
      </c>
      <c r="BJ13" s="252">
        <f t="shared" si="44"/>
        <v>0</v>
      </c>
      <c r="BK13" s="252">
        <f t="shared" si="45"/>
        <v>0</v>
      </c>
      <c r="BL13" s="2589"/>
      <c r="BM13" s="2560"/>
      <c r="BN13" s="422" t="s">
        <v>11422</v>
      </c>
      <c r="BO13" s="1210" t="s">
        <v>11424</v>
      </c>
      <c r="BP13" s="1210" t="s">
        <v>11425</v>
      </c>
      <c r="BQ13" s="1210" t="s">
        <v>11426</v>
      </c>
      <c r="BR13" s="1210" t="s">
        <v>11427</v>
      </c>
      <c r="BS13" s="1210" t="s">
        <v>11428</v>
      </c>
      <c r="BT13" s="1210" t="s">
        <v>11429</v>
      </c>
      <c r="BU13" s="1210" t="s">
        <v>11430</v>
      </c>
      <c r="BV13" s="1219" t="s">
        <v>11431</v>
      </c>
      <c r="BW13" s="394"/>
      <c r="BX13" s="1231" t="s">
        <v>11432</v>
      </c>
      <c r="BY13" s="1210" t="s">
        <v>11433</v>
      </c>
      <c r="BZ13" s="1210" t="s">
        <v>11434</v>
      </c>
      <c r="CA13" s="1210" t="s">
        <v>11435</v>
      </c>
      <c r="CB13" s="1205" t="s">
        <v>11436</v>
      </c>
      <c r="CC13" s="1210" t="s">
        <v>11437</v>
      </c>
      <c r="CD13" s="1210" t="s">
        <v>11438</v>
      </c>
      <c r="CE13" s="1210" t="s">
        <v>11439</v>
      </c>
      <c r="CF13" s="1210" t="s">
        <v>11440</v>
      </c>
      <c r="CG13" s="1210" t="s">
        <v>11441</v>
      </c>
      <c r="CH13" s="1205" t="s">
        <v>11442</v>
      </c>
      <c r="CI13" s="1210" t="s">
        <v>11443</v>
      </c>
      <c r="CJ13" s="1210" t="s">
        <v>11444</v>
      </c>
      <c r="CK13" s="1210" t="s">
        <v>11445</v>
      </c>
      <c r="CL13" s="1210" t="s">
        <v>11446</v>
      </c>
      <c r="CM13" s="1210" t="s">
        <v>11447</v>
      </c>
      <c r="CN13" s="1219" t="s">
        <v>11448</v>
      </c>
      <c r="CO13" s="2560"/>
    </row>
    <row r="14" spans="1:93" ht="15.75" customHeight="1">
      <c r="A14" s="222"/>
      <c r="B14" s="422" t="s">
        <v>11449</v>
      </c>
      <c r="C14" s="253" t="s">
        <v>11341</v>
      </c>
      <c r="D14" s="253">
        <v>0</v>
      </c>
      <c r="E14" s="1601">
        <v>0</v>
      </c>
      <c r="F14" s="1601">
        <v>10724</v>
      </c>
      <c r="G14" s="1601">
        <v>12329</v>
      </c>
      <c r="H14" s="1601">
        <v>3491</v>
      </c>
      <c r="I14" s="1601">
        <v>5022</v>
      </c>
      <c r="J14" s="1601">
        <v>2832</v>
      </c>
      <c r="K14" s="1601">
        <v>9393</v>
      </c>
      <c r="L14" s="1617">
        <f t="shared" si="22"/>
        <v>43791</v>
      </c>
      <c r="M14" s="1620"/>
      <c r="N14" s="1623">
        <v>4656</v>
      </c>
      <c r="O14" s="1601">
        <v>2880</v>
      </c>
      <c r="P14" s="1601">
        <v>3710</v>
      </c>
      <c r="Q14" s="1601">
        <v>32545</v>
      </c>
      <c r="R14" s="1605">
        <f t="shared" si="23"/>
        <v>43791</v>
      </c>
      <c r="S14" s="1601">
        <v>0</v>
      </c>
      <c r="T14" s="1601">
        <v>4539</v>
      </c>
      <c r="U14" s="1601">
        <v>14022</v>
      </c>
      <c r="V14" s="1601">
        <v>23072</v>
      </c>
      <c r="W14" s="1601">
        <v>2158</v>
      </c>
      <c r="X14" s="1605">
        <f t="shared" si="24"/>
        <v>43791</v>
      </c>
      <c r="Y14" s="1601">
        <v>0</v>
      </c>
      <c r="Z14" s="1601">
        <v>7205</v>
      </c>
      <c r="AA14" s="1601">
        <v>21791</v>
      </c>
      <c r="AB14" s="1601">
        <v>7498</v>
      </c>
      <c r="AC14" s="1601">
        <v>7297</v>
      </c>
      <c r="AD14" s="1617">
        <f t="shared" si="0"/>
        <v>43791</v>
      </c>
      <c r="AE14" s="222"/>
      <c r="AF14" s="257" t="s">
        <v>11450</v>
      </c>
      <c r="AG14" s="222"/>
      <c r="AH14" s="1122"/>
      <c r="AI14" s="222"/>
      <c r="AJ14" s="2589"/>
      <c r="AK14" s="1121">
        <f t="shared" si="1"/>
        <v>0</v>
      </c>
      <c r="AL14" s="2589"/>
      <c r="AM14" s="252">
        <f t="shared" si="25"/>
        <v>0</v>
      </c>
      <c r="AN14" s="252">
        <f t="shared" si="26"/>
        <v>0</v>
      </c>
      <c r="AO14" s="252">
        <f t="shared" si="27"/>
        <v>0</v>
      </c>
      <c r="AP14" s="252">
        <f t="shared" si="28"/>
        <v>0</v>
      </c>
      <c r="AQ14" s="252">
        <f t="shared" si="29"/>
        <v>0</v>
      </c>
      <c r="AR14" s="252">
        <f t="shared" si="30"/>
        <v>0</v>
      </c>
      <c r="AS14" s="252">
        <f t="shared" si="31"/>
        <v>0</v>
      </c>
      <c r="AT14" s="2560"/>
      <c r="AU14" s="2560"/>
      <c r="AV14" s="252">
        <f t="shared" si="32"/>
        <v>0</v>
      </c>
      <c r="AW14" s="252">
        <f t="shared" si="33"/>
        <v>0</v>
      </c>
      <c r="AX14" s="252">
        <f t="shared" si="34"/>
        <v>0</v>
      </c>
      <c r="AY14" s="252">
        <f t="shared" si="35"/>
        <v>0</v>
      </c>
      <c r="AZ14" s="2560"/>
      <c r="BA14" s="252">
        <f t="shared" si="36"/>
        <v>0</v>
      </c>
      <c r="BB14" s="252">
        <f t="shared" si="37"/>
        <v>0</v>
      </c>
      <c r="BC14" s="252">
        <f t="shared" si="38"/>
        <v>0</v>
      </c>
      <c r="BD14" s="252">
        <f t="shared" si="39"/>
        <v>0</v>
      </c>
      <c r="BE14" s="252">
        <f t="shared" si="40"/>
        <v>0</v>
      </c>
      <c r="BF14" s="2560"/>
      <c r="BG14" s="252">
        <f t="shared" si="41"/>
        <v>0</v>
      </c>
      <c r="BH14" s="252">
        <f t="shared" si="42"/>
        <v>0</v>
      </c>
      <c r="BI14" s="252">
        <f t="shared" si="43"/>
        <v>0</v>
      </c>
      <c r="BJ14" s="252">
        <f t="shared" si="44"/>
        <v>0</v>
      </c>
      <c r="BK14" s="252">
        <f t="shared" si="45"/>
        <v>0</v>
      </c>
      <c r="BL14" s="2589"/>
      <c r="BM14" s="2560"/>
      <c r="BN14" s="422" t="s">
        <v>11449</v>
      </c>
      <c r="BO14" s="1210" t="s">
        <v>11451</v>
      </c>
      <c r="BP14" s="1210" t="s">
        <v>11452</v>
      </c>
      <c r="BQ14" s="1210" t="s">
        <v>11453</v>
      </c>
      <c r="BR14" s="1210" t="s">
        <v>11454</v>
      </c>
      <c r="BS14" s="1210" t="s">
        <v>11455</v>
      </c>
      <c r="BT14" s="1210" t="s">
        <v>11456</v>
      </c>
      <c r="BU14" s="1210" t="s">
        <v>11457</v>
      </c>
      <c r="BV14" s="1219" t="s">
        <v>11458</v>
      </c>
      <c r="BW14" s="114"/>
      <c r="BX14" s="1231" t="s">
        <v>11459</v>
      </c>
      <c r="BY14" s="1210" t="s">
        <v>11460</v>
      </c>
      <c r="BZ14" s="1210" t="s">
        <v>11461</v>
      </c>
      <c r="CA14" s="1210" t="s">
        <v>11462</v>
      </c>
      <c r="CB14" s="1205" t="s">
        <v>11463</v>
      </c>
      <c r="CC14" s="1210" t="s">
        <v>11464</v>
      </c>
      <c r="CD14" s="1210" t="s">
        <v>11465</v>
      </c>
      <c r="CE14" s="1210" t="s">
        <v>11466</v>
      </c>
      <c r="CF14" s="1210" t="s">
        <v>11467</v>
      </c>
      <c r="CG14" s="1210" t="s">
        <v>11468</v>
      </c>
      <c r="CH14" s="1205" t="s">
        <v>11469</v>
      </c>
      <c r="CI14" s="1210" t="s">
        <v>11470</v>
      </c>
      <c r="CJ14" s="1210" t="s">
        <v>11471</v>
      </c>
      <c r="CK14" s="1210" t="s">
        <v>11472</v>
      </c>
      <c r="CL14" s="1210" t="s">
        <v>11473</v>
      </c>
      <c r="CM14" s="1210" t="s">
        <v>11474</v>
      </c>
      <c r="CN14" s="1219" t="s">
        <v>11475</v>
      </c>
      <c r="CO14" s="2560"/>
    </row>
    <row r="15" spans="1:93" ht="15.75" customHeight="1">
      <c r="A15" s="222"/>
      <c r="B15" s="422" t="s">
        <v>11476</v>
      </c>
      <c r="C15" s="253" t="s">
        <v>11341</v>
      </c>
      <c r="D15" s="253">
        <v>0</v>
      </c>
      <c r="E15" s="1601">
        <v>0</v>
      </c>
      <c r="F15" s="1601">
        <v>203735</v>
      </c>
      <c r="G15" s="1601">
        <v>14377</v>
      </c>
      <c r="H15" s="1601">
        <v>5908</v>
      </c>
      <c r="I15" s="1601">
        <v>60929</v>
      </c>
      <c r="J15" s="1601">
        <v>0</v>
      </c>
      <c r="K15" s="1601">
        <v>2647</v>
      </c>
      <c r="L15" s="1617">
        <f t="shared" si="22"/>
        <v>287596</v>
      </c>
      <c r="M15" s="1620"/>
      <c r="N15" s="1623">
        <v>0</v>
      </c>
      <c r="O15" s="1601">
        <v>1685</v>
      </c>
      <c r="P15" s="1601">
        <v>0</v>
      </c>
      <c r="Q15" s="1601">
        <v>285911</v>
      </c>
      <c r="R15" s="1605">
        <f t="shared" si="23"/>
        <v>287596</v>
      </c>
      <c r="S15" s="1601">
        <v>0</v>
      </c>
      <c r="T15" s="1601">
        <v>25456</v>
      </c>
      <c r="U15" s="1601">
        <v>137713</v>
      </c>
      <c r="V15" s="1601">
        <v>86260</v>
      </c>
      <c r="W15" s="1601">
        <v>38167</v>
      </c>
      <c r="X15" s="1605">
        <f>IFERROR(SUM(S15:W15),0)</f>
        <v>287596</v>
      </c>
      <c r="Y15" s="1601">
        <v>5405</v>
      </c>
      <c r="Z15" s="1601">
        <v>141352</v>
      </c>
      <c r="AA15" s="1601">
        <v>94061</v>
      </c>
      <c r="AB15" s="1601">
        <v>8611</v>
      </c>
      <c r="AC15" s="1601">
        <v>38167</v>
      </c>
      <c r="AD15" s="1617">
        <f t="shared" si="0"/>
        <v>287596</v>
      </c>
      <c r="AE15" s="222"/>
      <c r="AF15" s="257" t="s">
        <v>11477</v>
      </c>
      <c r="AG15" s="222"/>
      <c r="AH15" s="1122"/>
      <c r="AI15" s="222"/>
      <c r="AJ15" s="2589"/>
      <c r="AK15" s="1121">
        <f t="shared" si="1"/>
        <v>0</v>
      </c>
      <c r="AL15" s="2589"/>
      <c r="AM15" s="252">
        <f t="shared" si="25"/>
        <v>0</v>
      </c>
      <c r="AN15" s="252">
        <f t="shared" si="26"/>
        <v>0</v>
      </c>
      <c r="AO15" s="252">
        <f t="shared" si="27"/>
        <v>0</v>
      </c>
      <c r="AP15" s="252">
        <f t="shared" si="28"/>
        <v>0</v>
      </c>
      <c r="AQ15" s="252">
        <f t="shared" si="29"/>
        <v>0</v>
      </c>
      <c r="AR15" s="252">
        <f t="shared" si="30"/>
        <v>0</v>
      </c>
      <c r="AS15" s="252">
        <f t="shared" si="31"/>
        <v>0</v>
      </c>
      <c r="AT15" s="2560"/>
      <c r="AU15" s="2560"/>
      <c r="AV15" s="252">
        <f t="shared" si="32"/>
        <v>0</v>
      </c>
      <c r="AW15" s="252">
        <f t="shared" si="33"/>
        <v>0</v>
      </c>
      <c r="AX15" s="252">
        <f t="shared" si="34"/>
        <v>0</v>
      </c>
      <c r="AY15" s="252">
        <f t="shared" si="35"/>
        <v>0</v>
      </c>
      <c r="AZ15" s="2560"/>
      <c r="BA15" s="252">
        <f t="shared" si="36"/>
        <v>0</v>
      </c>
      <c r="BB15" s="252">
        <f t="shared" si="37"/>
        <v>0</v>
      </c>
      <c r="BC15" s="252">
        <f t="shared" si="38"/>
        <v>0</v>
      </c>
      <c r="BD15" s="252">
        <f t="shared" si="39"/>
        <v>0</v>
      </c>
      <c r="BE15" s="252">
        <f t="shared" si="40"/>
        <v>0</v>
      </c>
      <c r="BF15" s="2560"/>
      <c r="BG15" s="252">
        <f t="shared" si="41"/>
        <v>0</v>
      </c>
      <c r="BH15" s="252">
        <f t="shared" si="42"/>
        <v>0</v>
      </c>
      <c r="BI15" s="252">
        <f t="shared" si="43"/>
        <v>0</v>
      </c>
      <c r="BJ15" s="252">
        <f t="shared" si="44"/>
        <v>0</v>
      </c>
      <c r="BK15" s="252">
        <f t="shared" si="45"/>
        <v>0</v>
      </c>
      <c r="BL15" s="2589"/>
      <c r="BM15" s="2560"/>
      <c r="BN15" s="422" t="s">
        <v>11476</v>
      </c>
      <c r="BO15" s="1210" t="s">
        <v>11478</v>
      </c>
      <c r="BP15" s="1210" t="s">
        <v>11479</v>
      </c>
      <c r="BQ15" s="1210" t="s">
        <v>11480</v>
      </c>
      <c r="BR15" s="1210" t="s">
        <v>11481</v>
      </c>
      <c r="BS15" s="1210" t="s">
        <v>11482</v>
      </c>
      <c r="BT15" s="1210" t="s">
        <v>11483</v>
      </c>
      <c r="BU15" s="1210" t="s">
        <v>11484</v>
      </c>
      <c r="BV15" s="1219" t="s">
        <v>11485</v>
      </c>
      <c r="BW15" s="114"/>
      <c r="BX15" s="1231" t="s">
        <v>11486</v>
      </c>
      <c r="BY15" s="1210" t="s">
        <v>11487</v>
      </c>
      <c r="BZ15" s="1210" t="s">
        <v>11488</v>
      </c>
      <c r="CA15" s="1210" t="s">
        <v>11489</v>
      </c>
      <c r="CB15" s="1205" t="s">
        <v>11490</v>
      </c>
      <c r="CC15" s="1210" t="s">
        <v>11491</v>
      </c>
      <c r="CD15" s="1210" t="s">
        <v>11492</v>
      </c>
      <c r="CE15" s="1210" t="s">
        <v>11493</v>
      </c>
      <c r="CF15" s="1210" t="s">
        <v>11494</v>
      </c>
      <c r="CG15" s="1210" t="s">
        <v>11495</v>
      </c>
      <c r="CH15" s="1205" t="s">
        <v>11496</v>
      </c>
      <c r="CI15" s="1210" t="s">
        <v>11497</v>
      </c>
      <c r="CJ15" s="1210" t="s">
        <v>11498</v>
      </c>
      <c r="CK15" s="1210" t="s">
        <v>11499</v>
      </c>
      <c r="CL15" s="1210" t="s">
        <v>11500</v>
      </c>
      <c r="CM15" s="1210" t="s">
        <v>11501</v>
      </c>
      <c r="CN15" s="1219" t="s">
        <v>11502</v>
      </c>
      <c r="CO15" s="2560"/>
    </row>
    <row r="16" spans="1:93" ht="15.75" customHeight="1">
      <c r="A16" s="222"/>
      <c r="B16" s="422" t="s">
        <v>11503</v>
      </c>
      <c r="C16" s="253" t="s">
        <v>11341</v>
      </c>
      <c r="D16" s="253">
        <v>0</v>
      </c>
      <c r="E16" s="1605">
        <f>IFERROR(SUM(E10:E15),0)</f>
        <v>247</v>
      </c>
      <c r="F16" s="1605">
        <f t="shared" ref="F16:K16" si="46">IFERROR(SUM(F10:F15),0)</f>
        <v>220017</v>
      </c>
      <c r="G16" s="1605">
        <f t="shared" si="46"/>
        <v>39743</v>
      </c>
      <c r="H16" s="1605">
        <f t="shared" si="46"/>
        <v>10519</v>
      </c>
      <c r="I16" s="1605">
        <f t="shared" si="46"/>
        <v>68804</v>
      </c>
      <c r="J16" s="1605">
        <f t="shared" si="46"/>
        <v>5150</v>
      </c>
      <c r="K16" s="1605">
        <f t="shared" si="46"/>
        <v>17386</v>
      </c>
      <c r="L16" s="1617">
        <f t="shared" si="22"/>
        <v>361866</v>
      </c>
      <c r="M16" s="1625"/>
      <c r="N16" s="1626">
        <f t="shared" ref="N16:P16" si="47">IFERROR(SUM(N10:N15),0)</f>
        <v>6275</v>
      </c>
      <c r="O16" s="1605">
        <f t="shared" si="47"/>
        <v>5758</v>
      </c>
      <c r="P16" s="1605">
        <f t="shared" si="47"/>
        <v>4551</v>
      </c>
      <c r="Q16" s="1605">
        <f>IFERROR(SUM(Q10:Q15),0)</f>
        <v>345286</v>
      </c>
      <c r="R16" s="1605">
        <f>IFERROR(SUM(N16:Q16),0)</f>
        <v>361870</v>
      </c>
      <c r="S16" s="1605">
        <f t="shared" ref="S16:W16" si="48">IFERROR(SUM(S10:S15),0)</f>
        <v>0</v>
      </c>
      <c r="T16" s="1605">
        <f t="shared" si="48"/>
        <v>31681</v>
      </c>
      <c r="U16" s="1605">
        <f t="shared" si="48"/>
        <v>159486</v>
      </c>
      <c r="V16" s="1605">
        <f t="shared" si="48"/>
        <v>123717</v>
      </c>
      <c r="W16" s="1605">
        <f t="shared" si="48"/>
        <v>46985</v>
      </c>
      <c r="X16" s="1605">
        <f t="shared" si="24"/>
        <v>361869</v>
      </c>
      <c r="Y16" s="1605">
        <f>IFERROR(SUM(Y10:Y15),0)</f>
        <v>5405</v>
      </c>
      <c r="Z16" s="1605">
        <f t="shared" ref="Z16:AC16" si="49">IFERROR(SUM(Z10:Z15),0)</f>
        <v>151254</v>
      </c>
      <c r="AA16" s="1605">
        <f t="shared" si="49"/>
        <v>125392</v>
      </c>
      <c r="AB16" s="1605">
        <f t="shared" si="49"/>
        <v>25837</v>
      </c>
      <c r="AC16" s="1605">
        <f t="shared" si="49"/>
        <v>53981</v>
      </c>
      <c r="AD16" s="1617">
        <f>IFERROR(SUM(Y16:AC16),0)</f>
        <v>361869</v>
      </c>
      <c r="AE16" s="222"/>
      <c r="AF16" s="257" t="s">
        <v>11504</v>
      </c>
      <c r="AG16" s="222"/>
      <c r="AH16" s="1122"/>
      <c r="AI16" s="222"/>
      <c r="AJ16" s="2589"/>
      <c r="AK16" s="2560"/>
      <c r="AL16" s="2589"/>
      <c r="AM16" s="2560"/>
      <c r="AN16" s="2560"/>
      <c r="AO16" s="2560"/>
      <c r="AP16" s="2560"/>
      <c r="AQ16" s="2560"/>
      <c r="AR16" s="2560"/>
      <c r="AS16" s="2560"/>
      <c r="AT16" s="2560"/>
      <c r="AU16" s="2560"/>
      <c r="AV16" s="2560"/>
      <c r="AW16" s="2560"/>
      <c r="AX16" s="2560"/>
      <c r="AY16" s="2560"/>
      <c r="AZ16" s="2560"/>
      <c r="BA16" s="2560"/>
      <c r="BB16" s="2560"/>
      <c r="BC16" s="2560"/>
      <c r="BD16" s="2560"/>
      <c r="BE16" s="2560"/>
      <c r="BF16" s="2560"/>
      <c r="BG16" s="2560"/>
      <c r="BH16" s="2560"/>
      <c r="BI16" s="2560"/>
      <c r="BJ16" s="2560"/>
      <c r="BK16" s="2560"/>
      <c r="BL16" s="2589"/>
      <c r="BM16" s="2560"/>
      <c r="BN16" s="422" t="s">
        <v>11503</v>
      </c>
      <c r="BO16" s="1205" t="s">
        <v>11505</v>
      </c>
      <c r="BP16" s="1205" t="s">
        <v>11506</v>
      </c>
      <c r="BQ16" s="1205" t="s">
        <v>11507</v>
      </c>
      <c r="BR16" s="1205" t="s">
        <v>11508</v>
      </c>
      <c r="BS16" s="1205" t="s">
        <v>11509</v>
      </c>
      <c r="BT16" s="1205" t="s">
        <v>11510</v>
      </c>
      <c r="BU16" s="1205" t="s">
        <v>11511</v>
      </c>
      <c r="BV16" s="1219" t="s">
        <v>11512</v>
      </c>
      <c r="BW16" s="83"/>
      <c r="BX16" s="1232" t="s">
        <v>11513</v>
      </c>
      <c r="BY16" s="1205" t="s">
        <v>11514</v>
      </c>
      <c r="BZ16" s="1205" t="s">
        <v>11515</v>
      </c>
      <c r="CA16" s="1205" t="s">
        <v>11516</v>
      </c>
      <c r="CB16" s="1205" t="s">
        <v>11517</v>
      </c>
      <c r="CC16" s="1205" t="s">
        <v>11518</v>
      </c>
      <c r="CD16" s="1205" t="s">
        <v>11519</v>
      </c>
      <c r="CE16" s="1205" t="s">
        <v>11520</v>
      </c>
      <c r="CF16" s="1205" t="s">
        <v>11521</v>
      </c>
      <c r="CG16" s="1205" t="s">
        <v>11522</v>
      </c>
      <c r="CH16" s="1205" t="s">
        <v>11523</v>
      </c>
      <c r="CI16" s="1205" t="s">
        <v>11524</v>
      </c>
      <c r="CJ16" s="1205" t="s">
        <v>11525</v>
      </c>
      <c r="CK16" s="1205" t="s">
        <v>11526</v>
      </c>
      <c r="CL16" s="1205" t="s">
        <v>11527</v>
      </c>
      <c r="CM16" s="1205" t="s">
        <v>11528</v>
      </c>
      <c r="CN16" s="1219" t="s">
        <v>11529</v>
      </c>
      <c r="CO16" s="2560"/>
    </row>
    <row r="17" spans="1:92" ht="15.75" customHeight="1" thickBot="1">
      <c r="A17" s="222"/>
      <c r="B17" s="425" t="s">
        <v>11530</v>
      </c>
      <c r="C17" s="319" t="s">
        <v>11341</v>
      </c>
      <c r="D17" s="319">
        <v>0</v>
      </c>
      <c r="E17" s="1627"/>
      <c r="F17" s="1627"/>
      <c r="G17" s="1627"/>
      <c r="H17" s="1627"/>
      <c r="I17" s="1627"/>
      <c r="J17" s="1627"/>
      <c r="K17" s="1627"/>
      <c r="L17" s="1618">
        <v>46114</v>
      </c>
      <c r="M17" s="1628"/>
      <c r="N17" s="1629"/>
      <c r="O17" s="1630"/>
      <c r="P17" s="1630"/>
      <c r="Q17" s="1630"/>
      <c r="R17" s="1630"/>
      <c r="S17" s="1630"/>
      <c r="T17" s="1630"/>
      <c r="U17" s="1630"/>
      <c r="V17" s="1630"/>
      <c r="W17" s="1630"/>
      <c r="X17" s="1630"/>
      <c r="Y17" s="1630"/>
      <c r="Z17" s="1630"/>
      <c r="AA17" s="1631"/>
      <c r="AB17" s="1631"/>
      <c r="AC17" s="1631"/>
      <c r="AD17" s="1632"/>
      <c r="AE17" s="222"/>
      <c r="AF17" s="320" t="s">
        <v>11531</v>
      </c>
      <c r="AG17" s="222"/>
      <c r="AH17" s="1126"/>
      <c r="AI17" s="222"/>
      <c r="AJ17" s="2589"/>
      <c r="AK17" s="1121">
        <f t="shared" si="1"/>
        <v>0</v>
      </c>
      <c r="AL17" s="2589"/>
      <c r="AM17" s="2560"/>
      <c r="AN17" s="2560"/>
      <c r="AO17" s="2560"/>
      <c r="AP17" s="2560"/>
      <c r="AQ17" s="2560"/>
      <c r="AR17" s="2560"/>
      <c r="AS17" s="2560"/>
      <c r="AT17" s="252">
        <f t="shared" si="31"/>
        <v>0</v>
      </c>
      <c r="AU17" s="2560"/>
      <c r="AV17" s="2560"/>
      <c r="AW17" s="2560"/>
      <c r="AX17" s="2560"/>
      <c r="AY17" s="2560"/>
      <c r="AZ17" s="2560"/>
      <c r="BA17" s="2560"/>
      <c r="BB17" s="2560"/>
      <c r="BC17" s="2560"/>
      <c r="BD17" s="2560"/>
      <c r="BE17" s="2560"/>
      <c r="BF17" s="2560"/>
      <c r="BG17" s="2560"/>
      <c r="BH17" s="2560"/>
      <c r="BI17" s="2560"/>
      <c r="BJ17" s="2560"/>
      <c r="BK17" s="2560"/>
      <c r="BL17" s="2589"/>
      <c r="BM17" s="2560"/>
      <c r="BN17" s="425" t="s">
        <v>11530</v>
      </c>
      <c r="BO17" s="1233"/>
      <c r="BP17" s="1233"/>
      <c r="BQ17" s="1233"/>
      <c r="BR17" s="1233"/>
      <c r="BS17" s="1233"/>
      <c r="BT17" s="1233"/>
      <c r="BU17" s="1233"/>
      <c r="BV17" s="1220" t="s">
        <v>11532</v>
      </c>
      <c r="BW17" s="111"/>
      <c r="BX17" s="1234"/>
      <c r="BY17" s="1235"/>
      <c r="BZ17" s="1235"/>
      <c r="CA17" s="1235"/>
      <c r="CB17" s="1235"/>
      <c r="CC17" s="1235"/>
      <c r="CD17" s="1235"/>
      <c r="CE17" s="1235"/>
      <c r="CF17" s="1235"/>
      <c r="CG17" s="1235"/>
      <c r="CH17" s="1235"/>
      <c r="CI17" s="1235"/>
      <c r="CJ17" s="1235"/>
      <c r="CK17" s="1236"/>
      <c r="CL17" s="1236"/>
      <c r="CM17" s="1236"/>
      <c r="CN17" s="1237"/>
    </row>
    <row r="18" spans="1:92" ht="15.75" customHeight="1" thickTop="1" thickBot="1">
      <c r="A18" s="222"/>
      <c r="B18" s="884"/>
      <c r="C18" s="114"/>
      <c r="D18" s="114"/>
      <c r="E18" s="1628"/>
      <c r="F18" s="1628"/>
      <c r="G18" s="1628"/>
      <c r="H18" s="1628"/>
      <c r="I18" s="1628"/>
      <c r="J18" s="1628"/>
      <c r="K18" s="1628"/>
      <c r="L18" s="1625"/>
      <c r="M18" s="1628"/>
      <c r="N18" s="1633"/>
      <c r="O18" s="1633"/>
      <c r="P18" s="1633"/>
      <c r="Q18" s="1633"/>
      <c r="R18" s="1633"/>
      <c r="S18" s="1633"/>
      <c r="T18" s="1633"/>
      <c r="U18" s="1633"/>
      <c r="V18" s="1633"/>
      <c r="W18" s="1633"/>
      <c r="X18" s="1633"/>
      <c r="Y18" s="1633"/>
      <c r="Z18" s="1633"/>
      <c r="AA18" s="1634"/>
      <c r="AB18" s="1634"/>
      <c r="AC18" s="1634"/>
      <c r="AD18" s="1634"/>
      <c r="AE18" s="222"/>
      <c r="AF18" s="222"/>
      <c r="AG18" s="222"/>
      <c r="AH18" s="222"/>
      <c r="AI18" s="222"/>
      <c r="AJ18" s="2589"/>
      <c r="AK18" s="2560"/>
      <c r="AL18" s="2589"/>
      <c r="AM18" s="2560"/>
      <c r="AN18" s="2560"/>
      <c r="AO18" s="2560"/>
      <c r="AP18" s="2560"/>
      <c r="AQ18" s="2560"/>
      <c r="AR18" s="2560"/>
      <c r="AS18" s="2560"/>
      <c r="AT18" s="2560"/>
      <c r="AU18" s="2560"/>
      <c r="AV18" s="2560"/>
      <c r="AW18" s="2560"/>
      <c r="AX18" s="2560"/>
      <c r="AY18" s="2560"/>
      <c r="AZ18" s="2560"/>
      <c r="BA18" s="2560"/>
      <c r="BB18" s="2560"/>
      <c r="BC18" s="2560"/>
      <c r="BD18" s="2560"/>
      <c r="BE18" s="2560"/>
      <c r="BF18" s="2560"/>
      <c r="BG18" s="2560"/>
      <c r="BH18" s="2560"/>
      <c r="BI18" s="2560"/>
      <c r="BJ18" s="2560"/>
      <c r="BK18" s="2560"/>
      <c r="BL18" s="2589"/>
      <c r="BM18" s="2560"/>
      <c r="BN18" s="884"/>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22"/>
      <c r="CL18" s="222"/>
      <c r="CM18" s="222"/>
      <c r="CN18" s="222"/>
    </row>
    <row r="19" spans="1:92" ht="15.75" customHeight="1" thickTop="1" thickBot="1">
      <c r="A19" s="222"/>
      <c r="B19" s="355" t="s">
        <v>11533</v>
      </c>
      <c r="C19" s="444"/>
      <c r="D19" s="444"/>
      <c r="E19" s="1620"/>
      <c r="F19" s="1620"/>
      <c r="G19" s="1620"/>
      <c r="H19" s="1620"/>
      <c r="I19" s="1620"/>
      <c r="J19" s="1620"/>
      <c r="K19" s="1620"/>
      <c r="L19" s="1620"/>
      <c r="M19" s="1620"/>
      <c r="N19" s="1620"/>
      <c r="O19" s="1620"/>
      <c r="P19" s="1620"/>
      <c r="Q19" s="1620"/>
      <c r="R19" s="1620"/>
      <c r="S19" s="1620"/>
      <c r="T19" s="1620"/>
      <c r="U19" s="1620"/>
      <c r="V19" s="1620"/>
      <c r="W19" s="1620"/>
      <c r="X19" s="1620"/>
      <c r="Y19" s="1620"/>
      <c r="Z19" s="1620"/>
      <c r="AA19" s="1634"/>
      <c r="AB19" s="1634"/>
      <c r="AC19" s="1634"/>
      <c r="AD19" s="1634"/>
      <c r="AE19" s="222"/>
      <c r="AF19" s="222"/>
      <c r="AG19" s="222"/>
      <c r="AH19" s="222"/>
      <c r="AI19" s="222"/>
      <c r="AJ19" s="2589"/>
      <c r="AK19" s="2560"/>
      <c r="AL19" s="2589"/>
      <c r="AM19" s="2560"/>
      <c r="AN19" s="2560"/>
      <c r="AO19" s="2560"/>
      <c r="AP19" s="2560"/>
      <c r="AQ19" s="2560"/>
      <c r="AR19" s="2560"/>
      <c r="AS19" s="2560"/>
      <c r="AT19" s="2560"/>
      <c r="AU19" s="2560"/>
      <c r="AV19" s="2560"/>
      <c r="AW19" s="2560"/>
      <c r="AX19" s="2560"/>
      <c r="AY19" s="2560"/>
      <c r="AZ19" s="2560"/>
      <c r="BA19" s="2560"/>
      <c r="BB19" s="2560"/>
      <c r="BC19" s="2560"/>
      <c r="BD19" s="2560"/>
      <c r="BE19" s="2560"/>
      <c r="BF19" s="2560"/>
      <c r="BG19" s="2560"/>
      <c r="BH19" s="2560"/>
      <c r="BI19" s="2560"/>
      <c r="BJ19" s="2560"/>
      <c r="BK19" s="2560"/>
      <c r="BL19" s="2589"/>
      <c r="BM19" s="2560"/>
      <c r="BN19" s="355" t="s">
        <v>11533</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22"/>
      <c r="CL19" s="222"/>
      <c r="CM19" s="222"/>
      <c r="CN19" s="222"/>
    </row>
    <row r="20" spans="1:92" ht="15.75" customHeight="1" thickTop="1">
      <c r="A20" s="222"/>
      <c r="B20" s="413" t="s">
        <v>11534</v>
      </c>
      <c r="C20" s="244" t="s">
        <v>138</v>
      </c>
      <c r="D20" s="244">
        <v>0</v>
      </c>
      <c r="E20" s="1612">
        <v>30</v>
      </c>
      <c r="F20" s="1612">
        <v>68</v>
      </c>
      <c r="G20" s="1612">
        <v>204</v>
      </c>
      <c r="H20" s="1612">
        <v>3</v>
      </c>
      <c r="I20" s="1612">
        <v>1</v>
      </c>
      <c r="J20" s="1612">
        <v>9</v>
      </c>
      <c r="K20" s="1612">
        <v>0</v>
      </c>
      <c r="L20" s="1619">
        <f t="shared" ref="L20:L25" si="50">IFERROR(SUM(E20:K20),0)</f>
        <v>315</v>
      </c>
      <c r="M20" s="1620"/>
      <c r="N20" s="1621">
        <v>0</v>
      </c>
      <c r="O20" s="1612">
        <v>0</v>
      </c>
      <c r="P20" s="1612">
        <v>0</v>
      </c>
      <c r="Q20" s="1612">
        <v>315</v>
      </c>
      <c r="R20" s="1622">
        <f t="shared" ref="R20:R25" si="51">IFERROR(SUM(N20:Q20),0)</f>
        <v>315</v>
      </c>
      <c r="S20" s="1612">
        <v>0</v>
      </c>
      <c r="T20" s="1612">
        <v>0</v>
      </c>
      <c r="U20" s="1612">
        <v>3</v>
      </c>
      <c r="V20" s="1612">
        <v>11</v>
      </c>
      <c r="W20" s="1612">
        <v>301</v>
      </c>
      <c r="X20" s="1622">
        <f t="shared" ref="X20:X26" si="52">IFERROR(SUM(S20:W20),0)</f>
        <v>315</v>
      </c>
      <c r="Y20" s="1612">
        <v>0</v>
      </c>
      <c r="Z20" s="1612">
        <v>0</v>
      </c>
      <c r="AA20" s="1612">
        <v>2</v>
      </c>
      <c r="AB20" s="1612">
        <v>15</v>
      </c>
      <c r="AC20" s="1612">
        <v>298</v>
      </c>
      <c r="AD20" s="1619">
        <f t="shared" ref="AD20:AD26" si="53">IFERROR(SUM(Y20:AC20),0)</f>
        <v>315</v>
      </c>
      <c r="AE20" s="222"/>
      <c r="AF20" s="248" t="s">
        <v>11535</v>
      </c>
      <c r="AG20" s="222"/>
      <c r="AH20" s="1120"/>
      <c r="AI20" s="222"/>
      <c r="AJ20" s="2589"/>
      <c r="AK20" s="1121">
        <f t="shared" ref="AK20:AK25" si="54">IF( SUM( AM20:BK20 ) = 0, 0, $AM$5 )</f>
        <v>0</v>
      </c>
      <c r="AL20" s="2589"/>
      <c r="AM20" s="252">
        <f t="shared" ref="AM20:AM25" si="55" xml:space="preserve"> IF( ISNUMBER(E20 ), 0, 1 )</f>
        <v>0</v>
      </c>
      <c r="AN20" s="252">
        <f t="shared" ref="AN20:AN25" si="56" xml:space="preserve"> IF( ISNUMBER(F20 ), 0, 1 )</f>
        <v>0</v>
      </c>
      <c r="AO20" s="252">
        <f t="shared" ref="AO20:AO25" si="57" xml:space="preserve"> IF( ISNUMBER(G20 ), 0, 1 )</f>
        <v>0</v>
      </c>
      <c r="AP20" s="252">
        <f t="shared" ref="AP20:AP25" si="58" xml:space="preserve"> IF( ISNUMBER(H20 ), 0, 1 )</f>
        <v>0</v>
      </c>
      <c r="AQ20" s="252">
        <f t="shared" ref="AQ20:AQ25" si="59" xml:space="preserve"> IF( ISNUMBER(I20 ), 0, 1 )</f>
        <v>0</v>
      </c>
      <c r="AR20" s="252">
        <f t="shared" ref="AR20:AR25" si="60" xml:space="preserve"> IF( ISNUMBER(J20 ), 0, 1 )</f>
        <v>0</v>
      </c>
      <c r="AS20" s="252">
        <f t="shared" ref="AS20:AS25" si="61" xml:space="preserve"> IF( ISNUMBER(K20 ), 0, 1 )</f>
        <v>0</v>
      </c>
      <c r="AT20" s="2560"/>
      <c r="AU20" s="2560"/>
      <c r="AV20" s="252">
        <f t="shared" ref="AV20:AV25" si="62" xml:space="preserve"> IF( ISNUMBER(N20 ), 0, 1 )</f>
        <v>0</v>
      </c>
      <c r="AW20" s="252">
        <f t="shared" ref="AW20:AW25" si="63" xml:space="preserve"> IF( ISNUMBER(O20 ), 0, 1 )</f>
        <v>0</v>
      </c>
      <c r="AX20" s="252">
        <f t="shared" ref="AX20:AX25" si="64" xml:space="preserve"> IF( ISNUMBER(P20 ), 0, 1 )</f>
        <v>0</v>
      </c>
      <c r="AY20" s="252">
        <f t="shared" ref="AY20:AY25" si="65" xml:space="preserve"> IF( ISNUMBER(Q20 ), 0, 1 )</f>
        <v>0</v>
      </c>
      <c r="AZ20" s="2560"/>
      <c r="BA20" s="252">
        <f t="shared" ref="BA20:BA25" si="66" xml:space="preserve"> IF( ISNUMBER(S20 ), 0, 1 )</f>
        <v>0</v>
      </c>
      <c r="BB20" s="252">
        <f t="shared" ref="BB20:BB25" si="67" xml:space="preserve"> IF( ISNUMBER(T20 ), 0, 1 )</f>
        <v>0</v>
      </c>
      <c r="BC20" s="252">
        <f t="shared" ref="BC20:BC25" si="68" xml:space="preserve"> IF( ISNUMBER(U20 ), 0, 1 )</f>
        <v>0</v>
      </c>
      <c r="BD20" s="252">
        <f t="shared" ref="BD20:BD25" si="69" xml:space="preserve"> IF( ISNUMBER(V20 ), 0, 1 )</f>
        <v>0</v>
      </c>
      <c r="BE20" s="252">
        <f t="shared" ref="BE20:BE25" si="70" xml:space="preserve"> IF( ISNUMBER(W20 ), 0, 1 )</f>
        <v>0</v>
      </c>
      <c r="BF20" s="2560"/>
      <c r="BG20" s="252">
        <f t="shared" ref="BG20:BG25" si="71" xml:space="preserve"> IF( ISNUMBER(Y20 ), 0, 1 )</f>
        <v>0</v>
      </c>
      <c r="BH20" s="252">
        <f t="shared" ref="BH20:BH25" si="72" xml:space="preserve"> IF( ISNUMBER(Z20 ), 0, 1 )</f>
        <v>0</v>
      </c>
      <c r="BI20" s="252">
        <f t="shared" ref="BI20:BI25" si="73" xml:space="preserve"> IF( ISNUMBER(AA20 ), 0, 1 )</f>
        <v>0</v>
      </c>
      <c r="BJ20" s="252">
        <f t="shared" ref="BJ20:BJ25" si="74" xml:space="preserve"> IF( ISNUMBER(AB20 ), 0, 1 )</f>
        <v>0</v>
      </c>
      <c r="BK20" s="252">
        <f t="shared" ref="BK20:BK25" si="75" xml:space="preserve"> IF( ISNUMBER(AC20 ), 0, 1 )</f>
        <v>0</v>
      </c>
      <c r="BL20" s="2589"/>
      <c r="BM20" s="2560"/>
      <c r="BN20" s="413" t="s">
        <v>11534</v>
      </c>
      <c r="BO20" s="801" t="s">
        <v>11536</v>
      </c>
      <c r="BP20" s="801" t="s">
        <v>11537</v>
      </c>
      <c r="BQ20" s="801" t="s">
        <v>11538</v>
      </c>
      <c r="BR20" s="801" t="s">
        <v>11539</v>
      </c>
      <c r="BS20" s="801" t="s">
        <v>11540</v>
      </c>
      <c r="BT20" s="801" t="s">
        <v>11541</v>
      </c>
      <c r="BU20" s="801" t="s">
        <v>11542</v>
      </c>
      <c r="BV20" s="1228" t="s">
        <v>11543</v>
      </c>
      <c r="BW20" s="114"/>
      <c r="BX20" s="1238" t="s">
        <v>11544</v>
      </c>
      <c r="BY20" s="801" t="s">
        <v>11545</v>
      </c>
      <c r="BZ20" s="801" t="s">
        <v>11546</v>
      </c>
      <c r="CA20" s="801" t="s">
        <v>11547</v>
      </c>
      <c r="CB20" s="1230" t="s">
        <v>11548</v>
      </c>
      <c r="CC20" s="801" t="s">
        <v>11549</v>
      </c>
      <c r="CD20" s="801" t="s">
        <v>11550</v>
      </c>
      <c r="CE20" s="801" t="s">
        <v>11551</v>
      </c>
      <c r="CF20" s="801" t="s">
        <v>11552</v>
      </c>
      <c r="CG20" s="801" t="s">
        <v>11553</v>
      </c>
      <c r="CH20" s="1230" t="s">
        <v>11554</v>
      </c>
      <c r="CI20" s="801" t="s">
        <v>11555</v>
      </c>
      <c r="CJ20" s="801" t="s">
        <v>11556</v>
      </c>
      <c r="CK20" s="801" t="s">
        <v>11557</v>
      </c>
      <c r="CL20" s="801" t="s">
        <v>11558</v>
      </c>
      <c r="CM20" s="801" t="s">
        <v>11559</v>
      </c>
      <c r="CN20" s="1228" t="s">
        <v>11560</v>
      </c>
    </row>
    <row r="21" spans="1:92" ht="15.75" customHeight="1">
      <c r="A21" s="222"/>
      <c r="B21" s="422" t="s">
        <v>11561</v>
      </c>
      <c r="C21" s="253" t="s">
        <v>138</v>
      </c>
      <c r="D21" s="253">
        <v>0</v>
      </c>
      <c r="E21" s="1601">
        <v>2</v>
      </c>
      <c r="F21" s="1601">
        <v>11</v>
      </c>
      <c r="G21" s="1601">
        <v>38</v>
      </c>
      <c r="H21" s="1601">
        <v>1</v>
      </c>
      <c r="I21" s="1601">
        <v>1</v>
      </c>
      <c r="J21" s="1601">
        <v>6</v>
      </c>
      <c r="K21" s="1601">
        <v>4</v>
      </c>
      <c r="L21" s="1617">
        <f t="shared" si="50"/>
        <v>63</v>
      </c>
      <c r="M21" s="1620"/>
      <c r="N21" s="1623">
        <v>0</v>
      </c>
      <c r="O21" s="1601">
        <v>1</v>
      </c>
      <c r="P21" s="1601">
        <v>0</v>
      </c>
      <c r="Q21" s="1601">
        <v>62</v>
      </c>
      <c r="R21" s="1605">
        <f t="shared" si="51"/>
        <v>63</v>
      </c>
      <c r="S21" s="1601">
        <v>0</v>
      </c>
      <c r="T21" s="1601">
        <v>0</v>
      </c>
      <c r="U21" s="1601">
        <v>9</v>
      </c>
      <c r="V21" s="1601">
        <v>32</v>
      </c>
      <c r="W21" s="1601">
        <v>22</v>
      </c>
      <c r="X21" s="1605">
        <f t="shared" si="52"/>
        <v>63</v>
      </c>
      <c r="Y21" s="1601">
        <v>0</v>
      </c>
      <c r="Z21" s="1601">
        <v>1</v>
      </c>
      <c r="AA21" s="1601">
        <v>12</v>
      </c>
      <c r="AB21" s="1601">
        <v>31</v>
      </c>
      <c r="AC21" s="1601">
        <v>19</v>
      </c>
      <c r="AD21" s="1617">
        <f t="shared" si="53"/>
        <v>63</v>
      </c>
      <c r="AE21" s="222"/>
      <c r="AF21" s="257" t="s">
        <v>11562</v>
      </c>
      <c r="AG21" s="222"/>
      <c r="AH21" s="1122"/>
      <c r="AI21" s="222"/>
      <c r="AJ21" s="2589"/>
      <c r="AK21" s="1121">
        <f t="shared" si="54"/>
        <v>0</v>
      </c>
      <c r="AL21" s="2589"/>
      <c r="AM21" s="252">
        <f t="shared" si="55"/>
        <v>0</v>
      </c>
      <c r="AN21" s="252">
        <f t="shared" si="56"/>
        <v>0</v>
      </c>
      <c r="AO21" s="252">
        <f t="shared" si="57"/>
        <v>0</v>
      </c>
      <c r="AP21" s="252">
        <f t="shared" si="58"/>
        <v>0</v>
      </c>
      <c r="AQ21" s="252">
        <f t="shared" si="59"/>
        <v>0</v>
      </c>
      <c r="AR21" s="252">
        <f t="shared" si="60"/>
        <v>0</v>
      </c>
      <c r="AS21" s="252">
        <f t="shared" si="61"/>
        <v>0</v>
      </c>
      <c r="AT21" s="2560"/>
      <c r="AU21" s="2560"/>
      <c r="AV21" s="252">
        <f t="shared" si="62"/>
        <v>0</v>
      </c>
      <c r="AW21" s="252">
        <f t="shared" si="63"/>
        <v>0</v>
      </c>
      <c r="AX21" s="252">
        <f t="shared" si="64"/>
        <v>0</v>
      </c>
      <c r="AY21" s="252">
        <f t="shared" si="65"/>
        <v>0</v>
      </c>
      <c r="AZ21" s="2560"/>
      <c r="BA21" s="252">
        <f t="shared" si="66"/>
        <v>0</v>
      </c>
      <c r="BB21" s="252">
        <f t="shared" si="67"/>
        <v>0</v>
      </c>
      <c r="BC21" s="252">
        <f t="shared" si="68"/>
        <v>0</v>
      </c>
      <c r="BD21" s="252">
        <f t="shared" si="69"/>
        <v>0</v>
      </c>
      <c r="BE21" s="252">
        <f t="shared" si="70"/>
        <v>0</v>
      </c>
      <c r="BF21" s="2560"/>
      <c r="BG21" s="252">
        <f t="shared" si="71"/>
        <v>0</v>
      </c>
      <c r="BH21" s="252">
        <f t="shared" si="72"/>
        <v>0</v>
      </c>
      <c r="BI21" s="252">
        <f t="shared" si="73"/>
        <v>0</v>
      </c>
      <c r="BJ21" s="252">
        <f t="shared" si="74"/>
        <v>0</v>
      </c>
      <c r="BK21" s="252">
        <f t="shared" si="75"/>
        <v>0</v>
      </c>
      <c r="BL21" s="2589"/>
      <c r="BM21" s="2560"/>
      <c r="BN21" s="422" t="s">
        <v>11561</v>
      </c>
      <c r="BO21" s="802" t="s">
        <v>11563</v>
      </c>
      <c r="BP21" s="802" t="s">
        <v>11564</v>
      </c>
      <c r="BQ21" s="802" t="s">
        <v>11565</v>
      </c>
      <c r="BR21" s="802" t="s">
        <v>11566</v>
      </c>
      <c r="BS21" s="802" t="s">
        <v>11567</v>
      </c>
      <c r="BT21" s="802" t="s">
        <v>11568</v>
      </c>
      <c r="BU21" s="802" t="s">
        <v>11569</v>
      </c>
      <c r="BV21" s="1219" t="s">
        <v>11570</v>
      </c>
      <c r="BW21" s="114"/>
      <c r="BX21" s="1239" t="s">
        <v>11571</v>
      </c>
      <c r="BY21" s="802" t="s">
        <v>11572</v>
      </c>
      <c r="BZ21" s="802" t="s">
        <v>11573</v>
      </c>
      <c r="CA21" s="802" t="s">
        <v>11574</v>
      </c>
      <c r="CB21" s="1205" t="s">
        <v>11575</v>
      </c>
      <c r="CC21" s="802" t="s">
        <v>11576</v>
      </c>
      <c r="CD21" s="802" t="s">
        <v>11577</v>
      </c>
      <c r="CE21" s="802" t="s">
        <v>11578</v>
      </c>
      <c r="CF21" s="802" t="s">
        <v>11579</v>
      </c>
      <c r="CG21" s="802" t="s">
        <v>11580</v>
      </c>
      <c r="CH21" s="1205" t="s">
        <v>11581</v>
      </c>
      <c r="CI21" s="802" t="s">
        <v>11582</v>
      </c>
      <c r="CJ21" s="802" t="s">
        <v>11583</v>
      </c>
      <c r="CK21" s="802" t="s">
        <v>11584</v>
      </c>
      <c r="CL21" s="802" t="s">
        <v>11585</v>
      </c>
      <c r="CM21" s="802" t="s">
        <v>11586</v>
      </c>
      <c r="CN21" s="1219" t="s">
        <v>11587</v>
      </c>
    </row>
    <row r="22" spans="1:92" ht="15.75" customHeight="1">
      <c r="A22" s="222"/>
      <c r="B22" s="422" t="s">
        <v>11588</v>
      </c>
      <c r="C22" s="253" t="s">
        <v>138</v>
      </c>
      <c r="D22" s="253">
        <v>0</v>
      </c>
      <c r="E22" s="1601">
        <v>2</v>
      </c>
      <c r="F22" s="1601">
        <v>14</v>
      </c>
      <c r="G22" s="1601">
        <v>34</v>
      </c>
      <c r="H22" s="1601">
        <v>2</v>
      </c>
      <c r="I22" s="1601">
        <v>4</v>
      </c>
      <c r="J22" s="1601">
        <v>14</v>
      </c>
      <c r="K22" s="1601">
        <v>11</v>
      </c>
      <c r="L22" s="1617">
        <f t="shared" si="50"/>
        <v>81</v>
      </c>
      <c r="M22" s="1620"/>
      <c r="N22" s="1623">
        <v>4</v>
      </c>
      <c r="O22" s="1601">
        <v>2</v>
      </c>
      <c r="P22" s="1601">
        <v>6</v>
      </c>
      <c r="Q22" s="1601">
        <v>69</v>
      </c>
      <c r="R22" s="1605">
        <f t="shared" si="51"/>
        <v>81</v>
      </c>
      <c r="S22" s="1601">
        <v>0</v>
      </c>
      <c r="T22" s="1601">
        <v>2</v>
      </c>
      <c r="U22" s="1601">
        <v>21</v>
      </c>
      <c r="V22" s="1601">
        <v>52</v>
      </c>
      <c r="W22" s="1601">
        <v>6</v>
      </c>
      <c r="X22" s="1605">
        <f t="shared" si="52"/>
        <v>81</v>
      </c>
      <c r="Y22" s="1601">
        <v>0</v>
      </c>
      <c r="Z22" s="1601">
        <v>0</v>
      </c>
      <c r="AA22" s="1601">
        <v>28</v>
      </c>
      <c r="AB22" s="1601">
        <v>43</v>
      </c>
      <c r="AC22" s="1601">
        <v>10</v>
      </c>
      <c r="AD22" s="1617">
        <f t="shared" si="53"/>
        <v>81</v>
      </c>
      <c r="AE22" s="222"/>
      <c r="AF22" s="257" t="s">
        <v>11589</v>
      </c>
      <c r="AG22" s="222"/>
      <c r="AH22" s="1122"/>
      <c r="AI22" s="222"/>
      <c r="AJ22" s="2589"/>
      <c r="AK22" s="1121">
        <f t="shared" si="54"/>
        <v>0</v>
      </c>
      <c r="AL22" s="2589"/>
      <c r="AM22" s="252">
        <f t="shared" si="55"/>
        <v>0</v>
      </c>
      <c r="AN22" s="252">
        <f t="shared" si="56"/>
        <v>0</v>
      </c>
      <c r="AO22" s="252">
        <f t="shared" si="57"/>
        <v>0</v>
      </c>
      <c r="AP22" s="252">
        <f t="shared" si="58"/>
        <v>0</v>
      </c>
      <c r="AQ22" s="252">
        <f t="shared" si="59"/>
        <v>0</v>
      </c>
      <c r="AR22" s="252">
        <f t="shared" si="60"/>
        <v>0</v>
      </c>
      <c r="AS22" s="252">
        <f t="shared" si="61"/>
        <v>0</v>
      </c>
      <c r="AT22" s="2560"/>
      <c r="AU22" s="2560"/>
      <c r="AV22" s="252">
        <f t="shared" si="62"/>
        <v>0</v>
      </c>
      <c r="AW22" s="252">
        <f t="shared" si="63"/>
        <v>0</v>
      </c>
      <c r="AX22" s="252">
        <f t="shared" si="64"/>
        <v>0</v>
      </c>
      <c r="AY22" s="252">
        <f t="shared" si="65"/>
        <v>0</v>
      </c>
      <c r="AZ22" s="2560"/>
      <c r="BA22" s="252">
        <f t="shared" si="66"/>
        <v>0</v>
      </c>
      <c r="BB22" s="252">
        <f t="shared" si="67"/>
        <v>0</v>
      </c>
      <c r="BC22" s="252">
        <f t="shared" si="68"/>
        <v>0</v>
      </c>
      <c r="BD22" s="252">
        <f t="shared" si="69"/>
        <v>0</v>
      </c>
      <c r="BE22" s="252">
        <f t="shared" si="70"/>
        <v>0</v>
      </c>
      <c r="BF22" s="2560"/>
      <c r="BG22" s="252">
        <f t="shared" si="71"/>
        <v>0</v>
      </c>
      <c r="BH22" s="252">
        <f t="shared" si="72"/>
        <v>0</v>
      </c>
      <c r="BI22" s="252">
        <f t="shared" si="73"/>
        <v>0</v>
      </c>
      <c r="BJ22" s="252">
        <f t="shared" si="74"/>
        <v>0</v>
      </c>
      <c r="BK22" s="252">
        <f t="shared" si="75"/>
        <v>0</v>
      </c>
      <c r="BL22" s="2589"/>
      <c r="BM22" s="2560"/>
      <c r="BN22" s="422" t="s">
        <v>11588</v>
      </c>
      <c r="BO22" s="802" t="s">
        <v>11590</v>
      </c>
      <c r="BP22" s="802" t="s">
        <v>11591</v>
      </c>
      <c r="BQ22" s="802" t="s">
        <v>11592</v>
      </c>
      <c r="BR22" s="802" t="s">
        <v>11593</v>
      </c>
      <c r="BS22" s="802" t="s">
        <v>11594</v>
      </c>
      <c r="BT22" s="802" t="s">
        <v>11595</v>
      </c>
      <c r="BU22" s="802" t="s">
        <v>11596</v>
      </c>
      <c r="BV22" s="1219" t="s">
        <v>11597</v>
      </c>
      <c r="BW22" s="114"/>
      <c r="BX22" s="1239" t="s">
        <v>11598</v>
      </c>
      <c r="BY22" s="802" t="s">
        <v>11599</v>
      </c>
      <c r="BZ22" s="802" t="s">
        <v>11600</v>
      </c>
      <c r="CA22" s="802" t="s">
        <v>11601</v>
      </c>
      <c r="CB22" s="1205" t="s">
        <v>11602</v>
      </c>
      <c r="CC22" s="802" t="s">
        <v>11603</v>
      </c>
      <c r="CD22" s="802" t="s">
        <v>11604</v>
      </c>
      <c r="CE22" s="802" t="s">
        <v>11605</v>
      </c>
      <c r="CF22" s="802" t="s">
        <v>11606</v>
      </c>
      <c r="CG22" s="802" t="s">
        <v>11607</v>
      </c>
      <c r="CH22" s="1205" t="s">
        <v>11608</v>
      </c>
      <c r="CI22" s="802" t="s">
        <v>11609</v>
      </c>
      <c r="CJ22" s="802" t="s">
        <v>11610</v>
      </c>
      <c r="CK22" s="802" t="s">
        <v>11611</v>
      </c>
      <c r="CL22" s="802" t="s">
        <v>11612</v>
      </c>
      <c r="CM22" s="802" t="s">
        <v>11613</v>
      </c>
      <c r="CN22" s="1219" t="s">
        <v>11614</v>
      </c>
    </row>
    <row r="23" spans="1:92" ht="15.75" customHeight="1">
      <c r="A23" s="222"/>
      <c r="B23" s="422" t="s">
        <v>11615</v>
      </c>
      <c r="C23" s="253" t="s">
        <v>138</v>
      </c>
      <c r="D23" s="253">
        <v>0</v>
      </c>
      <c r="E23" s="1601">
        <v>0</v>
      </c>
      <c r="F23" s="1601">
        <v>12</v>
      </c>
      <c r="G23" s="1601">
        <v>26</v>
      </c>
      <c r="H23" s="1601">
        <v>2</v>
      </c>
      <c r="I23" s="1601">
        <v>8</v>
      </c>
      <c r="J23" s="1601">
        <v>5</v>
      </c>
      <c r="K23" s="1601">
        <v>16</v>
      </c>
      <c r="L23" s="1617">
        <f t="shared" si="50"/>
        <v>69</v>
      </c>
      <c r="M23" s="1624"/>
      <c r="N23" s="1623">
        <v>5</v>
      </c>
      <c r="O23" s="1601">
        <v>3</v>
      </c>
      <c r="P23" s="1601">
        <v>2</v>
      </c>
      <c r="Q23" s="1601">
        <v>59</v>
      </c>
      <c r="R23" s="1605">
        <f t="shared" si="51"/>
        <v>69</v>
      </c>
      <c r="S23" s="1601">
        <v>0</v>
      </c>
      <c r="T23" s="1601">
        <v>5</v>
      </c>
      <c r="U23" s="1601">
        <v>18</v>
      </c>
      <c r="V23" s="1601">
        <v>35</v>
      </c>
      <c r="W23" s="1601">
        <v>11</v>
      </c>
      <c r="X23" s="1605">
        <f>IFERROR(SUM(S23:W23),0)</f>
        <v>69</v>
      </c>
      <c r="Y23" s="1601">
        <v>0</v>
      </c>
      <c r="Z23" s="1601">
        <v>7</v>
      </c>
      <c r="AA23" s="1601">
        <v>24</v>
      </c>
      <c r="AB23" s="1601">
        <v>21</v>
      </c>
      <c r="AC23" s="1601">
        <v>17</v>
      </c>
      <c r="AD23" s="1617">
        <f t="shared" si="53"/>
        <v>69</v>
      </c>
      <c r="AE23" s="222"/>
      <c r="AF23" s="257" t="s">
        <v>11616</v>
      </c>
      <c r="AG23" s="222"/>
      <c r="AH23" s="1122"/>
      <c r="AI23" s="222"/>
      <c r="AJ23" s="2589"/>
      <c r="AK23" s="1121">
        <f t="shared" si="54"/>
        <v>0</v>
      </c>
      <c r="AL23" s="2589"/>
      <c r="AM23" s="252">
        <f t="shared" si="55"/>
        <v>0</v>
      </c>
      <c r="AN23" s="252">
        <f t="shared" si="56"/>
        <v>0</v>
      </c>
      <c r="AO23" s="252">
        <f t="shared" si="57"/>
        <v>0</v>
      </c>
      <c r="AP23" s="252">
        <f t="shared" si="58"/>
        <v>0</v>
      </c>
      <c r="AQ23" s="252">
        <f t="shared" si="59"/>
        <v>0</v>
      </c>
      <c r="AR23" s="252">
        <f t="shared" si="60"/>
        <v>0</v>
      </c>
      <c r="AS23" s="252">
        <f t="shared" si="61"/>
        <v>0</v>
      </c>
      <c r="AT23" s="2560"/>
      <c r="AU23" s="2560"/>
      <c r="AV23" s="252">
        <f t="shared" si="62"/>
        <v>0</v>
      </c>
      <c r="AW23" s="252">
        <f t="shared" si="63"/>
        <v>0</v>
      </c>
      <c r="AX23" s="252">
        <f t="shared" si="64"/>
        <v>0</v>
      </c>
      <c r="AY23" s="252">
        <f t="shared" si="65"/>
        <v>0</v>
      </c>
      <c r="AZ23" s="2560"/>
      <c r="BA23" s="252">
        <f t="shared" si="66"/>
        <v>0</v>
      </c>
      <c r="BB23" s="252">
        <f t="shared" si="67"/>
        <v>0</v>
      </c>
      <c r="BC23" s="252">
        <f t="shared" si="68"/>
        <v>0</v>
      </c>
      <c r="BD23" s="252">
        <f t="shared" si="69"/>
        <v>0</v>
      </c>
      <c r="BE23" s="252">
        <f t="shared" si="70"/>
        <v>0</v>
      </c>
      <c r="BF23" s="2560"/>
      <c r="BG23" s="252">
        <f t="shared" si="71"/>
        <v>0</v>
      </c>
      <c r="BH23" s="252">
        <f t="shared" si="72"/>
        <v>0</v>
      </c>
      <c r="BI23" s="252">
        <f t="shared" si="73"/>
        <v>0</v>
      </c>
      <c r="BJ23" s="252">
        <f t="shared" si="74"/>
        <v>0</v>
      </c>
      <c r="BK23" s="252">
        <f t="shared" si="75"/>
        <v>0</v>
      </c>
      <c r="BL23" s="2589"/>
      <c r="BM23" s="2560"/>
      <c r="BN23" s="422" t="s">
        <v>11615</v>
      </c>
      <c r="BO23" s="802" t="s">
        <v>11617</v>
      </c>
      <c r="BP23" s="802" t="s">
        <v>11618</v>
      </c>
      <c r="BQ23" s="802" t="s">
        <v>11619</v>
      </c>
      <c r="BR23" s="802" t="s">
        <v>11620</v>
      </c>
      <c r="BS23" s="802" t="s">
        <v>11621</v>
      </c>
      <c r="BT23" s="802" t="s">
        <v>11622</v>
      </c>
      <c r="BU23" s="802" t="s">
        <v>11623</v>
      </c>
      <c r="BV23" s="1219" t="s">
        <v>11624</v>
      </c>
      <c r="BW23" s="394"/>
      <c r="BX23" s="1239" t="s">
        <v>11625</v>
      </c>
      <c r="BY23" s="802" t="s">
        <v>11626</v>
      </c>
      <c r="BZ23" s="802" t="s">
        <v>11627</v>
      </c>
      <c r="CA23" s="802" t="s">
        <v>11628</v>
      </c>
      <c r="CB23" s="1205" t="s">
        <v>11629</v>
      </c>
      <c r="CC23" s="802" t="s">
        <v>11630</v>
      </c>
      <c r="CD23" s="802" t="s">
        <v>11631</v>
      </c>
      <c r="CE23" s="802" t="s">
        <v>11632</v>
      </c>
      <c r="CF23" s="802" t="s">
        <v>11633</v>
      </c>
      <c r="CG23" s="802" t="s">
        <v>11634</v>
      </c>
      <c r="CH23" s="1205" t="s">
        <v>11635</v>
      </c>
      <c r="CI23" s="802" t="s">
        <v>11636</v>
      </c>
      <c r="CJ23" s="802" t="s">
        <v>11637</v>
      </c>
      <c r="CK23" s="802" t="s">
        <v>11638</v>
      </c>
      <c r="CL23" s="802" t="s">
        <v>11639</v>
      </c>
      <c r="CM23" s="802" t="s">
        <v>11640</v>
      </c>
      <c r="CN23" s="1219" t="s">
        <v>11641</v>
      </c>
    </row>
    <row r="24" spans="1:92" ht="15.75" customHeight="1">
      <c r="A24" s="222"/>
      <c r="B24" s="422" t="s">
        <v>11642</v>
      </c>
      <c r="C24" s="253" t="s">
        <v>138</v>
      </c>
      <c r="D24" s="253">
        <v>0</v>
      </c>
      <c r="E24" s="1601">
        <v>0</v>
      </c>
      <c r="F24" s="1601">
        <v>9</v>
      </c>
      <c r="G24" s="1601">
        <v>13</v>
      </c>
      <c r="H24" s="1601">
        <v>3</v>
      </c>
      <c r="I24" s="1601">
        <v>5</v>
      </c>
      <c r="J24" s="1601">
        <v>3</v>
      </c>
      <c r="K24" s="1601">
        <v>9</v>
      </c>
      <c r="L24" s="1617">
        <f t="shared" si="50"/>
        <v>42</v>
      </c>
      <c r="M24" s="1620"/>
      <c r="N24" s="1623">
        <v>5</v>
      </c>
      <c r="O24" s="1601">
        <v>3</v>
      </c>
      <c r="P24" s="1601">
        <v>4</v>
      </c>
      <c r="Q24" s="1601">
        <v>30</v>
      </c>
      <c r="R24" s="1605">
        <f t="shared" si="51"/>
        <v>42</v>
      </c>
      <c r="S24" s="1601">
        <v>0</v>
      </c>
      <c r="T24" s="1601">
        <v>4</v>
      </c>
      <c r="U24" s="1601">
        <v>14</v>
      </c>
      <c r="V24" s="1601">
        <v>22</v>
      </c>
      <c r="W24" s="1601">
        <v>2</v>
      </c>
      <c r="X24" s="1605">
        <f t="shared" si="52"/>
        <v>42</v>
      </c>
      <c r="Y24" s="1601">
        <v>0</v>
      </c>
      <c r="Z24" s="1601">
        <v>6</v>
      </c>
      <c r="AA24" s="1601">
        <v>22</v>
      </c>
      <c r="AB24" s="1601">
        <v>8</v>
      </c>
      <c r="AC24" s="1601">
        <v>6</v>
      </c>
      <c r="AD24" s="1617">
        <f t="shared" si="53"/>
        <v>42</v>
      </c>
      <c r="AE24" s="222"/>
      <c r="AF24" s="257" t="s">
        <v>11643</v>
      </c>
      <c r="AG24" s="222"/>
      <c r="AH24" s="1122"/>
      <c r="AI24" s="222"/>
      <c r="AJ24" s="2589"/>
      <c r="AK24" s="1121">
        <f t="shared" si="54"/>
        <v>0</v>
      </c>
      <c r="AL24" s="2589"/>
      <c r="AM24" s="252">
        <f t="shared" si="55"/>
        <v>0</v>
      </c>
      <c r="AN24" s="252">
        <f t="shared" si="56"/>
        <v>0</v>
      </c>
      <c r="AO24" s="252">
        <f t="shared" si="57"/>
        <v>0</v>
      </c>
      <c r="AP24" s="252">
        <f t="shared" si="58"/>
        <v>0</v>
      </c>
      <c r="AQ24" s="252">
        <f t="shared" si="59"/>
        <v>0</v>
      </c>
      <c r="AR24" s="252">
        <f t="shared" si="60"/>
        <v>0</v>
      </c>
      <c r="AS24" s="252">
        <f t="shared" si="61"/>
        <v>0</v>
      </c>
      <c r="AT24" s="2560"/>
      <c r="AU24" s="2560"/>
      <c r="AV24" s="252">
        <f t="shared" si="62"/>
        <v>0</v>
      </c>
      <c r="AW24" s="252">
        <f t="shared" si="63"/>
        <v>0</v>
      </c>
      <c r="AX24" s="252">
        <f t="shared" si="64"/>
        <v>0</v>
      </c>
      <c r="AY24" s="252">
        <f t="shared" si="65"/>
        <v>0</v>
      </c>
      <c r="AZ24" s="2560"/>
      <c r="BA24" s="252">
        <f t="shared" si="66"/>
        <v>0</v>
      </c>
      <c r="BB24" s="252">
        <f t="shared" si="67"/>
        <v>0</v>
      </c>
      <c r="BC24" s="252">
        <f t="shared" si="68"/>
        <v>0</v>
      </c>
      <c r="BD24" s="252">
        <f t="shared" si="69"/>
        <v>0</v>
      </c>
      <c r="BE24" s="252">
        <f t="shared" si="70"/>
        <v>0</v>
      </c>
      <c r="BF24" s="2560"/>
      <c r="BG24" s="252">
        <f t="shared" si="71"/>
        <v>0</v>
      </c>
      <c r="BH24" s="252">
        <f t="shared" si="72"/>
        <v>0</v>
      </c>
      <c r="BI24" s="252">
        <f t="shared" si="73"/>
        <v>0</v>
      </c>
      <c r="BJ24" s="252">
        <f t="shared" si="74"/>
        <v>0</v>
      </c>
      <c r="BK24" s="252">
        <f t="shared" si="75"/>
        <v>0</v>
      </c>
      <c r="BL24" s="2589"/>
      <c r="BM24" s="2560"/>
      <c r="BN24" s="422" t="s">
        <v>11642</v>
      </c>
      <c r="BO24" s="802" t="s">
        <v>11644</v>
      </c>
      <c r="BP24" s="802" t="s">
        <v>11645</v>
      </c>
      <c r="BQ24" s="802" t="s">
        <v>11646</v>
      </c>
      <c r="BR24" s="802" t="s">
        <v>11647</v>
      </c>
      <c r="BS24" s="802" t="s">
        <v>11648</v>
      </c>
      <c r="BT24" s="802" t="s">
        <v>11649</v>
      </c>
      <c r="BU24" s="802" t="s">
        <v>11650</v>
      </c>
      <c r="BV24" s="1219" t="s">
        <v>11651</v>
      </c>
      <c r="BW24" s="114"/>
      <c r="BX24" s="1239" t="s">
        <v>11652</v>
      </c>
      <c r="BY24" s="802" t="s">
        <v>11653</v>
      </c>
      <c r="BZ24" s="802" t="s">
        <v>11654</v>
      </c>
      <c r="CA24" s="802" t="s">
        <v>11655</v>
      </c>
      <c r="CB24" s="1205" t="s">
        <v>11656</v>
      </c>
      <c r="CC24" s="802" t="s">
        <v>11657</v>
      </c>
      <c r="CD24" s="802" t="s">
        <v>11658</v>
      </c>
      <c r="CE24" s="802" t="s">
        <v>11659</v>
      </c>
      <c r="CF24" s="802" t="s">
        <v>11660</v>
      </c>
      <c r="CG24" s="802" t="s">
        <v>11661</v>
      </c>
      <c r="CH24" s="1205" t="s">
        <v>11662</v>
      </c>
      <c r="CI24" s="802" t="s">
        <v>11663</v>
      </c>
      <c r="CJ24" s="802" t="s">
        <v>11664</v>
      </c>
      <c r="CK24" s="802" t="s">
        <v>11665</v>
      </c>
      <c r="CL24" s="802" t="s">
        <v>11666</v>
      </c>
      <c r="CM24" s="802" t="s">
        <v>11667</v>
      </c>
      <c r="CN24" s="1219" t="s">
        <v>11668</v>
      </c>
    </row>
    <row r="25" spans="1:92" ht="15.75" customHeight="1">
      <c r="A25" s="222"/>
      <c r="B25" s="422" t="s">
        <v>11669</v>
      </c>
      <c r="C25" s="253" t="s">
        <v>138</v>
      </c>
      <c r="D25" s="253">
        <v>0</v>
      </c>
      <c r="E25" s="1601">
        <v>0</v>
      </c>
      <c r="F25" s="1601">
        <v>20</v>
      </c>
      <c r="G25" s="1601">
        <v>4</v>
      </c>
      <c r="H25" s="1601">
        <v>3</v>
      </c>
      <c r="I25" s="1601">
        <v>7</v>
      </c>
      <c r="J25" s="1601">
        <v>0</v>
      </c>
      <c r="K25" s="1601">
        <v>1</v>
      </c>
      <c r="L25" s="1617">
        <f t="shared" si="50"/>
        <v>35</v>
      </c>
      <c r="M25" s="1620"/>
      <c r="N25" s="1623">
        <v>0</v>
      </c>
      <c r="O25" s="1601">
        <v>1</v>
      </c>
      <c r="P25" s="1601">
        <v>0</v>
      </c>
      <c r="Q25" s="1601">
        <v>34</v>
      </c>
      <c r="R25" s="1605">
        <f t="shared" si="51"/>
        <v>35</v>
      </c>
      <c r="S25" s="1601">
        <v>0</v>
      </c>
      <c r="T25" s="1601">
        <v>1</v>
      </c>
      <c r="U25" s="1601">
        <v>14</v>
      </c>
      <c r="V25" s="1601">
        <v>17</v>
      </c>
      <c r="W25" s="1601">
        <v>3</v>
      </c>
      <c r="X25" s="1605">
        <f t="shared" si="52"/>
        <v>35</v>
      </c>
      <c r="Y25" s="1601">
        <v>1</v>
      </c>
      <c r="Z25" s="1601">
        <v>10</v>
      </c>
      <c r="AA25" s="1601">
        <v>17</v>
      </c>
      <c r="AB25" s="1601">
        <v>4</v>
      </c>
      <c r="AC25" s="1601">
        <v>3</v>
      </c>
      <c r="AD25" s="1617">
        <f t="shared" si="53"/>
        <v>35</v>
      </c>
      <c r="AE25" s="222"/>
      <c r="AF25" s="257" t="s">
        <v>11670</v>
      </c>
      <c r="AG25" s="222"/>
      <c r="AH25" s="1122"/>
      <c r="AI25" s="222"/>
      <c r="AJ25" s="2589"/>
      <c r="AK25" s="1121">
        <f t="shared" si="54"/>
        <v>0</v>
      </c>
      <c r="AL25" s="2589"/>
      <c r="AM25" s="252">
        <f t="shared" si="55"/>
        <v>0</v>
      </c>
      <c r="AN25" s="252">
        <f t="shared" si="56"/>
        <v>0</v>
      </c>
      <c r="AO25" s="252">
        <f t="shared" si="57"/>
        <v>0</v>
      </c>
      <c r="AP25" s="252">
        <f t="shared" si="58"/>
        <v>0</v>
      </c>
      <c r="AQ25" s="252">
        <f t="shared" si="59"/>
        <v>0</v>
      </c>
      <c r="AR25" s="252">
        <f t="shared" si="60"/>
        <v>0</v>
      </c>
      <c r="AS25" s="252">
        <f t="shared" si="61"/>
        <v>0</v>
      </c>
      <c r="AT25" s="2560"/>
      <c r="AU25" s="2560"/>
      <c r="AV25" s="252">
        <f t="shared" si="62"/>
        <v>0</v>
      </c>
      <c r="AW25" s="252">
        <f t="shared" si="63"/>
        <v>0</v>
      </c>
      <c r="AX25" s="252">
        <f t="shared" si="64"/>
        <v>0</v>
      </c>
      <c r="AY25" s="252">
        <f t="shared" si="65"/>
        <v>0</v>
      </c>
      <c r="AZ25" s="2560"/>
      <c r="BA25" s="252">
        <f t="shared" si="66"/>
        <v>0</v>
      </c>
      <c r="BB25" s="252">
        <f t="shared" si="67"/>
        <v>0</v>
      </c>
      <c r="BC25" s="252">
        <f t="shared" si="68"/>
        <v>0</v>
      </c>
      <c r="BD25" s="252">
        <f t="shared" si="69"/>
        <v>0</v>
      </c>
      <c r="BE25" s="252">
        <f t="shared" si="70"/>
        <v>0</v>
      </c>
      <c r="BF25" s="2560"/>
      <c r="BG25" s="252">
        <f t="shared" si="71"/>
        <v>0</v>
      </c>
      <c r="BH25" s="252">
        <f t="shared" si="72"/>
        <v>0</v>
      </c>
      <c r="BI25" s="252">
        <f t="shared" si="73"/>
        <v>0</v>
      </c>
      <c r="BJ25" s="252">
        <f t="shared" si="74"/>
        <v>0</v>
      </c>
      <c r="BK25" s="252">
        <f t="shared" si="75"/>
        <v>0</v>
      </c>
      <c r="BL25" s="2589"/>
      <c r="BM25" s="2560"/>
      <c r="BN25" s="422" t="s">
        <v>11669</v>
      </c>
      <c r="BO25" s="802" t="s">
        <v>11671</v>
      </c>
      <c r="BP25" s="802" t="s">
        <v>11672</v>
      </c>
      <c r="BQ25" s="802" t="s">
        <v>11673</v>
      </c>
      <c r="BR25" s="802" t="s">
        <v>11674</v>
      </c>
      <c r="BS25" s="802" t="s">
        <v>11675</v>
      </c>
      <c r="BT25" s="802" t="s">
        <v>11676</v>
      </c>
      <c r="BU25" s="802" t="s">
        <v>11677</v>
      </c>
      <c r="BV25" s="1219" t="s">
        <v>11678</v>
      </c>
      <c r="BW25" s="114"/>
      <c r="BX25" s="1239" t="s">
        <v>11679</v>
      </c>
      <c r="BY25" s="802" t="s">
        <v>11680</v>
      </c>
      <c r="BZ25" s="802" t="s">
        <v>11681</v>
      </c>
      <c r="CA25" s="802" t="s">
        <v>11682</v>
      </c>
      <c r="CB25" s="1205" t="s">
        <v>11683</v>
      </c>
      <c r="CC25" s="802" t="s">
        <v>11684</v>
      </c>
      <c r="CD25" s="802" t="s">
        <v>11685</v>
      </c>
      <c r="CE25" s="802" t="s">
        <v>11686</v>
      </c>
      <c r="CF25" s="802" t="s">
        <v>11687</v>
      </c>
      <c r="CG25" s="802" t="s">
        <v>11688</v>
      </c>
      <c r="CH25" s="1205" t="s">
        <v>11689</v>
      </c>
      <c r="CI25" s="802" t="s">
        <v>11690</v>
      </c>
      <c r="CJ25" s="802" t="s">
        <v>11691</v>
      </c>
      <c r="CK25" s="802" t="s">
        <v>11692</v>
      </c>
      <c r="CL25" s="802" t="s">
        <v>11693</v>
      </c>
      <c r="CM25" s="802" t="s">
        <v>11694</v>
      </c>
      <c r="CN25" s="1219" t="s">
        <v>11695</v>
      </c>
    </row>
    <row r="26" spans="1:92" ht="15.75" customHeight="1" thickBot="1">
      <c r="A26" s="222"/>
      <c r="B26" s="425" t="s">
        <v>11696</v>
      </c>
      <c r="C26" s="319" t="s">
        <v>138</v>
      </c>
      <c r="D26" s="319">
        <v>0</v>
      </c>
      <c r="E26" s="1613">
        <f t="shared" ref="E26:J26" si="76">IFERROR(SUM(E20:E25),0)</f>
        <v>34</v>
      </c>
      <c r="F26" s="1613">
        <f t="shared" si="76"/>
        <v>134</v>
      </c>
      <c r="G26" s="1613">
        <f t="shared" si="76"/>
        <v>319</v>
      </c>
      <c r="H26" s="1613">
        <f t="shared" si="76"/>
        <v>14</v>
      </c>
      <c r="I26" s="1613">
        <f t="shared" si="76"/>
        <v>26</v>
      </c>
      <c r="J26" s="1613">
        <f t="shared" si="76"/>
        <v>37</v>
      </c>
      <c r="K26" s="1613">
        <f>IFERROR(SUM(K20:K25),0)</f>
        <v>41</v>
      </c>
      <c r="L26" s="1635">
        <f>IFERROR(SUM(E26:K26),0)</f>
        <v>605</v>
      </c>
      <c r="M26" s="1625"/>
      <c r="N26" s="1636">
        <f t="shared" ref="N26:P26" si="77">IFERROR(SUM(N20:N25),0)</f>
        <v>14</v>
      </c>
      <c r="O26" s="1613">
        <f t="shared" si="77"/>
        <v>10</v>
      </c>
      <c r="P26" s="1613">
        <f t="shared" si="77"/>
        <v>12</v>
      </c>
      <c r="Q26" s="1613">
        <f>IFERROR(SUM(Q20:Q25),0)</f>
        <v>569</v>
      </c>
      <c r="R26" s="1613">
        <f>IFERROR(SUM(N26:Q26),0)</f>
        <v>605</v>
      </c>
      <c r="S26" s="1613">
        <f t="shared" ref="S26:W26" si="78">IFERROR(SUM(S20:S25),0)</f>
        <v>0</v>
      </c>
      <c r="T26" s="1613">
        <f t="shared" si="78"/>
        <v>12</v>
      </c>
      <c r="U26" s="1613">
        <f t="shared" si="78"/>
        <v>79</v>
      </c>
      <c r="V26" s="1613">
        <f t="shared" si="78"/>
        <v>169</v>
      </c>
      <c r="W26" s="1613">
        <f t="shared" si="78"/>
        <v>345</v>
      </c>
      <c r="X26" s="1613">
        <f t="shared" si="52"/>
        <v>605</v>
      </c>
      <c r="Y26" s="1613">
        <f t="shared" ref="Y26:AB26" si="79">IFERROR(SUM(Y20:Y25),0)</f>
        <v>1</v>
      </c>
      <c r="Z26" s="1613">
        <f t="shared" si="79"/>
        <v>24</v>
      </c>
      <c r="AA26" s="1613">
        <f t="shared" si="79"/>
        <v>105</v>
      </c>
      <c r="AB26" s="1613">
        <f t="shared" si="79"/>
        <v>122</v>
      </c>
      <c r="AC26" s="1613">
        <f>IFERROR(SUM(AC20:AC25),0)</f>
        <v>353</v>
      </c>
      <c r="AD26" s="1635">
        <f t="shared" si="53"/>
        <v>605</v>
      </c>
      <c r="AE26" s="222"/>
      <c r="AF26" s="320" t="s">
        <v>11697</v>
      </c>
      <c r="AG26" s="222"/>
      <c r="AH26" s="1126"/>
      <c r="AI26" s="222"/>
      <c r="AJ26" s="2589"/>
      <c r="AK26" s="2560"/>
      <c r="AL26" s="2589"/>
      <c r="AM26" s="2560"/>
      <c r="AN26" s="2560"/>
      <c r="AO26" s="2560"/>
      <c r="AP26" s="2560"/>
      <c r="AQ26" s="2560"/>
      <c r="AR26" s="2560"/>
      <c r="AS26" s="2560"/>
      <c r="AT26" s="2560"/>
      <c r="AU26" s="2560"/>
      <c r="AV26" s="2560"/>
      <c r="AW26" s="2560"/>
      <c r="AX26" s="2560"/>
      <c r="AY26" s="2560"/>
      <c r="AZ26" s="2560"/>
      <c r="BA26" s="2560"/>
      <c r="BB26" s="2560"/>
      <c r="BC26" s="2560"/>
      <c r="BD26" s="2560"/>
      <c r="BE26" s="2560"/>
      <c r="BF26" s="2560"/>
      <c r="BG26" s="2560"/>
      <c r="BH26" s="2560"/>
      <c r="BI26" s="2560"/>
      <c r="BJ26" s="2560"/>
      <c r="BK26" s="2560"/>
      <c r="BL26" s="2589"/>
      <c r="BM26" s="2560"/>
      <c r="BN26" s="425" t="s">
        <v>11696</v>
      </c>
      <c r="BO26" s="1211" t="s">
        <v>11698</v>
      </c>
      <c r="BP26" s="1211" t="s">
        <v>11699</v>
      </c>
      <c r="BQ26" s="1211" t="s">
        <v>11700</v>
      </c>
      <c r="BR26" s="1211" t="s">
        <v>11701</v>
      </c>
      <c r="BS26" s="1211" t="s">
        <v>11702</v>
      </c>
      <c r="BT26" s="1211" t="s">
        <v>11703</v>
      </c>
      <c r="BU26" s="1211" t="s">
        <v>11704</v>
      </c>
      <c r="BV26" s="1240" t="s">
        <v>11705</v>
      </c>
      <c r="BW26" s="83"/>
      <c r="BX26" s="1241" t="s">
        <v>11706</v>
      </c>
      <c r="BY26" s="1211" t="s">
        <v>11707</v>
      </c>
      <c r="BZ26" s="1211" t="s">
        <v>11708</v>
      </c>
      <c r="CA26" s="1211" t="s">
        <v>11709</v>
      </c>
      <c r="CB26" s="1211" t="s">
        <v>11710</v>
      </c>
      <c r="CC26" s="1211" t="s">
        <v>11711</v>
      </c>
      <c r="CD26" s="1211" t="s">
        <v>11712</v>
      </c>
      <c r="CE26" s="1211" t="s">
        <v>11713</v>
      </c>
      <c r="CF26" s="1211" t="s">
        <v>11714</v>
      </c>
      <c r="CG26" s="1211" t="s">
        <v>11715</v>
      </c>
      <c r="CH26" s="1211" t="s">
        <v>11716</v>
      </c>
      <c r="CI26" s="1211" t="s">
        <v>11717</v>
      </c>
      <c r="CJ26" s="1211" t="s">
        <v>11718</v>
      </c>
      <c r="CK26" s="1211" t="s">
        <v>11719</v>
      </c>
      <c r="CL26" s="1211" t="s">
        <v>11720</v>
      </c>
      <c r="CM26" s="1211" t="s">
        <v>11721</v>
      </c>
      <c r="CN26" s="1240" t="s">
        <v>11722</v>
      </c>
    </row>
    <row r="27" spans="1:92" ht="15.75" customHeight="1" thickTop="1" thickBot="1">
      <c r="A27" s="222"/>
      <c r="B27" s="884"/>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22"/>
      <c r="AB27" s="222"/>
      <c r="AC27" s="222"/>
      <c r="AD27" s="222"/>
      <c r="AE27" s="222"/>
      <c r="AF27" s="222"/>
      <c r="AG27" s="222"/>
      <c r="AH27" s="222"/>
      <c r="AI27" s="222"/>
      <c r="AJ27" s="2589"/>
      <c r="AK27" s="2560"/>
      <c r="AL27" s="2589"/>
      <c r="AM27" s="2560"/>
      <c r="AN27" s="2560"/>
      <c r="AO27" s="2560"/>
      <c r="AP27" s="2560"/>
      <c r="AQ27" s="2560"/>
      <c r="AR27" s="2560"/>
      <c r="AS27" s="2560"/>
      <c r="AT27" s="2560"/>
      <c r="AU27" s="2560"/>
      <c r="AV27" s="2560"/>
      <c r="AW27" s="2560"/>
      <c r="AX27" s="2560"/>
      <c r="AY27" s="2560"/>
      <c r="AZ27" s="2560"/>
      <c r="BA27" s="2560"/>
      <c r="BB27" s="2560"/>
      <c r="BC27" s="2560"/>
      <c r="BD27" s="2560"/>
      <c r="BE27" s="2560"/>
      <c r="BF27" s="2560"/>
      <c r="BG27" s="2560"/>
      <c r="BH27" s="2560"/>
      <c r="BI27" s="2560"/>
      <c r="BJ27" s="2560"/>
      <c r="BK27" s="2560"/>
      <c r="BL27" s="2589"/>
      <c r="BM27" s="2560"/>
      <c r="BN27" s="884"/>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22"/>
      <c r="CL27" s="222"/>
      <c r="CM27" s="222"/>
      <c r="CN27" s="222"/>
    </row>
    <row r="28" spans="1:92" ht="15.75" customHeight="1" thickTop="1" thickBot="1">
      <c r="A28" s="222"/>
      <c r="B28" s="355" t="s">
        <v>11723</v>
      </c>
      <c r="C28" s="444"/>
      <c r="D28" s="444"/>
      <c r="E28" s="114"/>
      <c r="F28" s="114"/>
      <c r="G28" s="114"/>
      <c r="H28" s="114"/>
      <c r="I28" s="114"/>
      <c r="J28" s="114"/>
      <c r="K28" s="114"/>
      <c r="L28" s="114"/>
      <c r="M28" s="114"/>
      <c r="N28" s="114"/>
      <c r="O28" s="114"/>
      <c r="P28" s="114"/>
      <c r="Q28" s="114"/>
      <c r="R28" s="114"/>
      <c r="S28" s="114"/>
      <c r="T28" s="114"/>
      <c r="U28" s="114"/>
      <c r="V28" s="114"/>
      <c r="W28" s="114"/>
      <c r="X28" s="114"/>
      <c r="Y28" s="114"/>
      <c r="Z28" s="114"/>
      <c r="AA28" s="222"/>
      <c r="AB28" s="222"/>
      <c r="AC28" s="222"/>
      <c r="AD28" s="222"/>
      <c r="AE28" s="222"/>
      <c r="AF28" s="222"/>
      <c r="AG28" s="222"/>
      <c r="AH28" s="222"/>
      <c r="AI28" s="222"/>
      <c r="AJ28" s="2589"/>
      <c r="AK28" s="2560"/>
      <c r="AL28" s="2589"/>
      <c r="AM28" s="2560"/>
      <c r="AN28" s="2560"/>
      <c r="AO28" s="2560"/>
      <c r="AP28" s="2560"/>
      <c r="AQ28" s="2560"/>
      <c r="AR28" s="2560"/>
      <c r="AS28" s="2560"/>
      <c r="AT28" s="2560"/>
      <c r="AU28" s="2560"/>
      <c r="AV28" s="2560"/>
      <c r="AW28" s="2560"/>
      <c r="AX28" s="2560"/>
      <c r="AY28" s="2560"/>
      <c r="AZ28" s="2560"/>
      <c r="BA28" s="2560"/>
      <c r="BB28" s="2560"/>
      <c r="BC28" s="2560"/>
      <c r="BD28" s="2560"/>
      <c r="BE28" s="2560"/>
      <c r="BF28" s="2560"/>
      <c r="BG28" s="2560"/>
      <c r="BH28" s="2560"/>
      <c r="BI28" s="2560"/>
      <c r="BJ28" s="2560"/>
      <c r="BK28" s="2560"/>
      <c r="BL28" s="2589"/>
      <c r="BM28" s="2560"/>
      <c r="BN28" s="355" t="s">
        <v>11723</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22"/>
      <c r="CL28" s="222"/>
      <c r="CM28" s="222"/>
      <c r="CN28" s="222"/>
    </row>
    <row r="29" spans="1:92" ht="15.75" customHeight="1" thickTop="1">
      <c r="A29" s="222"/>
      <c r="B29" s="413" t="s">
        <v>11724</v>
      </c>
      <c r="C29" s="244" t="s">
        <v>1387</v>
      </c>
      <c r="D29" s="244">
        <v>3</v>
      </c>
      <c r="E29" s="598">
        <v>5941.6220000000003</v>
      </c>
      <c r="F29" s="2307"/>
      <c r="G29" s="2307"/>
      <c r="H29" s="2307"/>
      <c r="I29" s="2307"/>
      <c r="J29" s="2307"/>
      <c r="K29" s="2307"/>
      <c r="L29" s="2308"/>
      <c r="M29" s="114"/>
      <c r="N29" s="2306"/>
      <c r="O29" s="2307"/>
      <c r="P29" s="2307"/>
      <c r="Q29" s="2307"/>
      <c r="R29" s="2307"/>
      <c r="S29" s="2307"/>
      <c r="T29" s="2307"/>
      <c r="U29" s="2307"/>
      <c r="V29" s="2307"/>
      <c r="W29" s="2307"/>
      <c r="X29" s="2307"/>
      <c r="Y29" s="2307"/>
      <c r="Z29" s="2307"/>
      <c r="AA29" s="2315"/>
      <c r="AB29" s="2315"/>
      <c r="AC29" s="2315"/>
      <c r="AD29" s="2316"/>
      <c r="AE29" s="222"/>
      <c r="AF29" s="248" t="s">
        <v>11725</v>
      </c>
      <c r="AG29" s="222"/>
      <c r="AH29" s="1120"/>
      <c r="AI29" s="222"/>
      <c r="AJ29" s="2589"/>
      <c r="AK29" s="1121">
        <f t="shared" ref="AK29:AK35" si="80">IF( SUM( AM29:BK29 ) = 0, 0, $AM$5 )</f>
        <v>0</v>
      </c>
      <c r="AL29" s="2589"/>
      <c r="AM29" s="252">
        <f t="shared" ref="AM29:AM35" si="81" xml:space="preserve"> IF( ISNUMBER(E29 ), 0, 1 )</f>
        <v>0</v>
      </c>
      <c r="AN29" s="2560"/>
      <c r="AO29" s="2560"/>
      <c r="AP29" s="2560"/>
      <c r="AQ29" s="2560"/>
      <c r="AR29" s="2560"/>
      <c r="AS29" s="2560"/>
      <c r="AT29" s="2560"/>
      <c r="AU29" s="2560"/>
      <c r="AV29" s="2560"/>
      <c r="AW29" s="2560"/>
      <c r="AX29" s="2560"/>
      <c r="AY29" s="2560"/>
      <c r="AZ29" s="2560"/>
      <c r="BA29" s="2560"/>
      <c r="BB29" s="2560"/>
      <c r="BC29" s="2560"/>
      <c r="BD29" s="2560"/>
      <c r="BE29" s="2560"/>
      <c r="BF29" s="2560"/>
      <c r="BG29" s="2560"/>
      <c r="BH29" s="2560"/>
      <c r="BI29" s="2560"/>
      <c r="BJ29" s="2560"/>
      <c r="BK29" s="2560"/>
      <c r="BL29" s="2589"/>
      <c r="BM29" s="2560"/>
      <c r="BN29" s="413" t="s">
        <v>11724</v>
      </c>
      <c r="BO29" s="598" t="s">
        <v>11726</v>
      </c>
      <c r="BP29" s="2307"/>
      <c r="BQ29" s="2307"/>
      <c r="BR29" s="2307"/>
      <c r="BS29" s="2307"/>
      <c r="BT29" s="2307"/>
      <c r="BU29" s="2307"/>
      <c r="BV29" s="2308"/>
      <c r="BW29" s="114"/>
      <c r="BX29" s="2306"/>
      <c r="BY29" s="2307"/>
      <c r="BZ29" s="2307"/>
      <c r="CA29" s="2307"/>
      <c r="CB29" s="2307"/>
      <c r="CC29" s="2307"/>
      <c r="CD29" s="2307"/>
      <c r="CE29" s="2307"/>
      <c r="CF29" s="2307"/>
      <c r="CG29" s="2307"/>
      <c r="CH29" s="2307"/>
      <c r="CI29" s="2307"/>
      <c r="CJ29" s="2307"/>
      <c r="CK29" s="2315"/>
      <c r="CL29" s="2315"/>
      <c r="CM29" s="2315"/>
      <c r="CN29" s="2316"/>
    </row>
    <row r="30" spans="1:92" ht="15.75" customHeight="1">
      <c r="A30" s="222"/>
      <c r="B30" s="422" t="s">
        <v>11727</v>
      </c>
      <c r="C30" s="253" t="s">
        <v>1387</v>
      </c>
      <c r="D30" s="253">
        <v>3</v>
      </c>
      <c r="E30" s="601">
        <v>0</v>
      </c>
      <c r="F30" s="2310"/>
      <c r="G30" s="2310"/>
      <c r="H30" s="2310"/>
      <c r="I30" s="2310"/>
      <c r="J30" s="2310"/>
      <c r="K30" s="2310"/>
      <c r="L30" s="2311"/>
      <c r="M30" s="114"/>
      <c r="N30" s="2309"/>
      <c r="O30" s="2310"/>
      <c r="P30" s="2310"/>
      <c r="Q30" s="2310"/>
      <c r="R30" s="2310"/>
      <c r="S30" s="2310"/>
      <c r="T30" s="2310"/>
      <c r="U30" s="2310"/>
      <c r="V30" s="2310"/>
      <c r="W30" s="2310"/>
      <c r="X30" s="2310"/>
      <c r="Y30" s="2310"/>
      <c r="Z30" s="2310"/>
      <c r="AA30" s="2317"/>
      <c r="AB30" s="2317"/>
      <c r="AC30" s="2317"/>
      <c r="AD30" s="2318"/>
      <c r="AE30" s="222"/>
      <c r="AF30" s="257" t="s">
        <v>11728</v>
      </c>
      <c r="AG30" s="222"/>
      <c r="AH30" s="1122"/>
      <c r="AI30" s="222"/>
      <c r="AJ30" s="2589"/>
      <c r="AK30" s="1121">
        <f t="shared" si="80"/>
        <v>0</v>
      </c>
      <c r="AL30" s="2589"/>
      <c r="AM30" s="252">
        <f t="shared" si="81"/>
        <v>0</v>
      </c>
      <c r="AN30" s="2560"/>
      <c r="AO30" s="2560"/>
      <c r="AP30" s="2560"/>
      <c r="AQ30" s="2560"/>
      <c r="AR30" s="2560"/>
      <c r="AS30" s="2560"/>
      <c r="AT30" s="2560"/>
      <c r="AU30" s="2560"/>
      <c r="AV30" s="2560"/>
      <c r="AW30" s="2560"/>
      <c r="AX30" s="2560"/>
      <c r="AY30" s="2560"/>
      <c r="AZ30" s="2560"/>
      <c r="BA30" s="2560"/>
      <c r="BB30" s="2560"/>
      <c r="BC30" s="2560"/>
      <c r="BD30" s="2560"/>
      <c r="BE30" s="2560"/>
      <c r="BF30" s="2560"/>
      <c r="BG30" s="2560"/>
      <c r="BH30" s="2560"/>
      <c r="BI30" s="2560"/>
      <c r="BJ30" s="2560"/>
      <c r="BK30" s="2560"/>
      <c r="BL30" s="2589"/>
      <c r="BM30" s="2560"/>
      <c r="BN30" s="422" t="s">
        <v>11729</v>
      </c>
      <c r="BO30" s="601" t="s">
        <v>11730</v>
      </c>
      <c r="BP30" s="2310"/>
      <c r="BQ30" s="2310"/>
      <c r="BR30" s="2310"/>
      <c r="BS30" s="2310"/>
      <c r="BT30" s="2310"/>
      <c r="BU30" s="2310"/>
      <c r="BV30" s="2311"/>
      <c r="BW30" s="114"/>
      <c r="BX30" s="2309"/>
      <c r="BY30" s="2310"/>
      <c r="BZ30" s="2310"/>
      <c r="CA30" s="2310"/>
      <c r="CB30" s="2310"/>
      <c r="CC30" s="2310"/>
      <c r="CD30" s="2310"/>
      <c r="CE30" s="2310"/>
      <c r="CF30" s="2310"/>
      <c r="CG30" s="2310"/>
      <c r="CH30" s="2310"/>
      <c r="CI30" s="2310"/>
      <c r="CJ30" s="2310"/>
      <c r="CK30" s="2317"/>
      <c r="CL30" s="2317"/>
      <c r="CM30" s="2317"/>
      <c r="CN30" s="2318"/>
    </row>
    <row r="31" spans="1:92" ht="15.75" customHeight="1">
      <c r="A31" s="222"/>
      <c r="B31" s="422" t="s">
        <v>11731</v>
      </c>
      <c r="C31" s="253" t="s">
        <v>1387</v>
      </c>
      <c r="D31" s="253">
        <v>3</v>
      </c>
      <c r="E31" s="601">
        <v>0</v>
      </c>
      <c r="F31" s="2310"/>
      <c r="G31" s="2310"/>
      <c r="H31" s="2310"/>
      <c r="I31" s="2310"/>
      <c r="J31" s="2310"/>
      <c r="K31" s="2310"/>
      <c r="L31" s="2311"/>
      <c r="M31" s="114"/>
      <c r="N31" s="2309"/>
      <c r="O31" s="2310"/>
      <c r="P31" s="2310"/>
      <c r="Q31" s="2310"/>
      <c r="R31" s="2310"/>
      <c r="S31" s="2310"/>
      <c r="T31" s="2310"/>
      <c r="U31" s="2310"/>
      <c r="V31" s="2310"/>
      <c r="W31" s="2310"/>
      <c r="X31" s="2310"/>
      <c r="Y31" s="2310"/>
      <c r="Z31" s="2310"/>
      <c r="AA31" s="2317"/>
      <c r="AB31" s="2317"/>
      <c r="AC31" s="2317"/>
      <c r="AD31" s="2318"/>
      <c r="AE31" s="222"/>
      <c r="AF31" s="257" t="s">
        <v>11732</v>
      </c>
      <c r="AG31" s="222"/>
      <c r="AH31" s="1122"/>
      <c r="AI31" s="222"/>
      <c r="AJ31" s="2589"/>
      <c r="AK31" s="1121">
        <f t="shared" si="80"/>
        <v>0</v>
      </c>
      <c r="AL31" s="2589"/>
      <c r="AM31" s="252">
        <f t="shared" si="81"/>
        <v>0</v>
      </c>
      <c r="AN31" s="2560"/>
      <c r="AO31" s="2560"/>
      <c r="AP31" s="2560"/>
      <c r="AQ31" s="2560"/>
      <c r="AR31" s="2560"/>
      <c r="AS31" s="2560"/>
      <c r="AT31" s="2560"/>
      <c r="AU31" s="2560"/>
      <c r="AV31" s="2560"/>
      <c r="AW31" s="2560"/>
      <c r="AX31" s="2560"/>
      <c r="AY31" s="2560"/>
      <c r="AZ31" s="2560"/>
      <c r="BA31" s="2560"/>
      <c r="BB31" s="2560"/>
      <c r="BC31" s="2560"/>
      <c r="BD31" s="2560"/>
      <c r="BE31" s="2560"/>
      <c r="BF31" s="2560"/>
      <c r="BG31" s="2560"/>
      <c r="BH31" s="2560"/>
      <c r="BI31" s="2560"/>
      <c r="BJ31" s="2560"/>
      <c r="BK31" s="2560"/>
      <c r="BL31" s="2589"/>
      <c r="BM31" s="2560"/>
      <c r="BN31" s="422" t="s">
        <v>11731</v>
      </c>
      <c r="BO31" s="601" t="s">
        <v>11733</v>
      </c>
      <c r="BP31" s="2310"/>
      <c r="BQ31" s="2310"/>
      <c r="BR31" s="2310"/>
      <c r="BS31" s="2310"/>
      <c r="BT31" s="2310"/>
      <c r="BU31" s="2310"/>
      <c r="BV31" s="2311"/>
      <c r="BW31" s="114"/>
      <c r="BX31" s="2309"/>
      <c r="BY31" s="2310"/>
      <c r="BZ31" s="2310"/>
      <c r="CA31" s="2310"/>
      <c r="CB31" s="2310"/>
      <c r="CC31" s="2310"/>
      <c r="CD31" s="2310"/>
      <c r="CE31" s="2310"/>
      <c r="CF31" s="2310"/>
      <c r="CG31" s="2310"/>
      <c r="CH31" s="2310"/>
      <c r="CI31" s="2310"/>
      <c r="CJ31" s="2310"/>
      <c r="CK31" s="2317"/>
      <c r="CL31" s="2317"/>
      <c r="CM31" s="2317"/>
      <c r="CN31" s="2318"/>
    </row>
    <row r="32" spans="1:92" ht="15.75" customHeight="1">
      <c r="A32" s="222"/>
      <c r="B32" s="422" t="s">
        <v>11734</v>
      </c>
      <c r="C32" s="253" t="s">
        <v>1387</v>
      </c>
      <c r="D32" s="253">
        <v>3</v>
      </c>
      <c r="E32" s="601">
        <v>0</v>
      </c>
      <c r="F32" s="2310"/>
      <c r="G32" s="2310"/>
      <c r="H32" s="2310"/>
      <c r="I32" s="2310"/>
      <c r="J32" s="2310"/>
      <c r="K32" s="2310"/>
      <c r="L32" s="2311"/>
      <c r="M32" s="114"/>
      <c r="N32" s="2309"/>
      <c r="O32" s="2310"/>
      <c r="P32" s="2310"/>
      <c r="Q32" s="2310"/>
      <c r="R32" s="2310"/>
      <c r="S32" s="2310"/>
      <c r="T32" s="2310"/>
      <c r="U32" s="2310"/>
      <c r="V32" s="2310"/>
      <c r="W32" s="2310"/>
      <c r="X32" s="2310"/>
      <c r="Y32" s="2310"/>
      <c r="Z32" s="2310"/>
      <c r="AA32" s="2317"/>
      <c r="AB32" s="2317"/>
      <c r="AC32" s="2317"/>
      <c r="AD32" s="2318"/>
      <c r="AE32" s="222"/>
      <c r="AF32" s="257" t="s">
        <v>11735</v>
      </c>
      <c r="AG32" s="222"/>
      <c r="AH32" s="1122"/>
      <c r="AI32" s="222"/>
      <c r="AJ32" s="2589"/>
      <c r="AK32" s="1121">
        <f t="shared" si="80"/>
        <v>0</v>
      </c>
      <c r="AL32" s="2589"/>
      <c r="AM32" s="252">
        <f xml:space="preserve"> IF( ISNUMBER(E32 ), 0, 1 )</f>
        <v>0</v>
      </c>
      <c r="AN32" s="2560"/>
      <c r="AO32" s="2560"/>
      <c r="AP32" s="2560"/>
      <c r="AQ32" s="2560"/>
      <c r="AR32" s="2560"/>
      <c r="AS32" s="2560"/>
      <c r="AT32" s="2560"/>
      <c r="AU32" s="2560"/>
      <c r="AV32" s="2560"/>
      <c r="AW32" s="2560"/>
      <c r="AX32" s="2560"/>
      <c r="AY32" s="2560"/>
      <c r="AZ32" s="2560"/>
      <c r="BA32" s="2560"/>
      <c r="BB32" s="2560"/>
      <c r="BC32" s="2560"/>
      <c r="BD32" s="2560"/>
      <c r="BE32" s="2560"/>
      <c r="BF32" s="2560"/>
      <c r="BG32" s="2560"/>
      <c r="BH32" s="2560"/>
      <c r="BI32" s="2560"/>
      <c r="BJ32" s="2560"/>
      <c r="BK32" s="2560"/>
      <c r="BL32" s="2589"/>
      <c r="BM32" s="2560"/>
      <c r="BN32" s="422" t="s">
        <v>11734</v>
      </c>
      <c r="BO32" s="601" t="s">
        <v>11736</v>
      </c>
      <c r="BP32" s="2310"/>
      <c r="BQ32" s="2310"/>
      <c r="BR32" s="2310"/>
      <c r="BS32" s="2310"/>
      <c r="BT32" s="2310"/>
      <c r="BU32" s="2310"/>
      <c r="BV32" s="2311"/>
      <c r="BW32" s="114"/>
      <c r="BX32" s="2309"/>
      <c r="BY32" s="2310"/>
      <c r="BZ32" s="2310"/>
      <c r="CA32" s="2310"/>
      <c r="CB32" s="2310"/>
      <c r="CC32" s="2310"/>
      <c r="CD32" s="2310"/>
      <c r="CE32" s="2310"/>
      <c r="CF32" s="2310"/>
      <c r="CG32" s="2310"/>
      <c r="CH32" s="2310"/>
      <c r="CI32" s="2310"/>
      <c r="CJ32" s="2310"/>
      <c r="CK32" s="2317"/>
      <c r="CL32" s="2317"/>
      <c r="CM32" s="2317"/>
      <c r="CN32" s="2318"/>
    </row>
    <row r="33" spans="1:92" ht="33" customHeight="1">
      <c r="A33" s="222"/>
      <c r="B33" s="689" t="s">
        <v>11737</v>
      </c>
      <c r="C33" s="253" t="s">
        <v>1387</v>
      </c>
      <c r="D33" s="253">
        <v>3</v>
      </c>
      <c r="E33" s="601">
        <v>0</v>
      </c>
      <c r="F33" s="2310"/>
      <c r="G33" s="2310"/>
      <c r="H33" s="2310"/>
      <c r="I33" s="2310"/>
      <c r="J33" s="2310"/>
      <c r="K33" s="2310"/>
      <c r="L33" s="2311"/>
      <c r="M33" s="114"/>
      <c r="N33" s="2309"/>
      <c r="O33" s="2310"/>
      <c r="P33" s="2310"/>
      <c r="Q33" s="2310"/>
      <c r="R33" s="2310"/>
      <c r="S33" s="2310"/>
      <c r="T33" s="2310"/>
      <c r="U33" s="2310"/>
      <c r="V33" s="2310"/>
      <c r="W33" s="2310"/>
      <c r="X33" s="2310"/>
      <c r="Y33" s="2310"/>
      <c r="Z33" s="2310"/>
      <c r="AA33" s="2317"/>
      <c r="AB33" s="2317"/>
      <c r="AC33" s="2317"/>
      <c r="AD33" s="2318"/>
      <c r="AE33" s="222"/>
      <c r="AF33" s="257" t="s">
        <v>11738</v>
      </c>
      <c r="AG33" s="222"/>
      <c r="AH33" s="1122"/>
      <c r="AI33" s="222"/>
      <c r="AJ33" s="2589"/>
      <c r="AK33" s="1121">
        <f t="shared" si="80"/>
        <v>0</v>
      </c>
      <c r="AL33" s="2589"/>
      <c r="AM33" s="252">
        <f t="shared" si="81"/>
        <v>0</v>
      </c>
      <c r="AN33" s="2560"/>
      <c r="AO33" s="2560"/>
      <c r="AP33" s="2560"/>
      <c r="AQ33" s="2560"/>
      <c r="AR33" s="2560"/>
      <c r="AS33" s="2560"/>
      <c r="AT33" s="2560"/>
      <c r="AU33" s="2560"/>
      <c r="AV33" s="2560"/>
      <c r="AW33" s="2560"/>
      <c r="AX33" s="2560"/>
      <c r="AY33" s="2560"/>
      <c r="AZ33" s="2560"/>
      <c r="BA33" s="2560"/>
      <c r="BB33" s="2560"/>
      <c r="BC33" s="2560"/>
      <c r="BD33" s="2560"/>
      <c r="BE33" s="2560"/>
      <c r="BF33" s="2560"/>
      <c r="BG33" s="2560"/>
      <c r="BH33" s="2560"/>
      <c r="BI33" s="2560"/>
      <c r="BJ33" s="2560"/>
      <c r="BK33" s="2560"/>
      <c r="BL33" s="2589"/>
      <c r="BM33" s="2560"/>
      <c r="BN33" s="422" t="s">
        <v>11739</v>
      </c>
      <c r="BO33" s="601" t="s">
        <v>11740</v>
      </c>
      <c r="BP33" s="2310"/>
      <c r="BQ33" s="2310"/>
      <c r="BR33" s="2310"/>
      <c r="BS33" s="2310"/>
      <c r="BT33" s="2310"/>
      <c r="BU33" s="2310"/>
      <c r="BV33" s="2311"/>
      <c r="BW33" s="114"/>
      <c r="BX33" s="2309"/>
      <c r="BY33" s="2310"/>
      <c r="BZ33" s="2310"/>
      <c r="CA33" s="2310"/>
      <c r="CB33" s="2310"/>
      <c r="CC33" s="2310"/>
      <c r="CD33" s="2310"/>
      <c r="CE33" s="2310"/>
      <c r="CF33" s="2310"/>
      <c r="CG33" s="2310"/>
      <c r="CH33" s="2310"/>
      <c r="CI33" s="2310"/>
      <c r="CJ33" s="2310"/>
      <c r="CK33" s="2317"/>
      <c r="CL33" s="2317"/>
      <c r="CM33" s="2317"/>
      <c r="CN33" s="2318"/>
    </row>
    <row r="34" spans="1:92" ht="15.75" customHeight="1">
      <c r="A34" s="222"/>
      <c r="B34" s="689" t="s">
        <v>11741</v>
      </c>
      <c r="C34" s="253" t="s">
        <v>1387</v>
      </c>
      <c r="D34" s="253">
        <v>3</v>
      </c>
      <c r="E34" s="601">
        <v>0.35799999999999998</v>
      </c>
      <c r="F34" s="2310"/>
      <c r="G34" s="2310"/>
      <c r="H34" s="2310"/>
      <c r="I34" s="2310"/>
      <c r="J34" s="2310"/>
      <c r="K34" s="2310"/>
      <c r="L34" s="2311"/>
      <c r="M34" s="114"/>
      <c r="N34" s="2309"/>
      <c r="O34" s="2310"/>
      <c r="P34" s="2310"/>
      <c r="Q34" s="2310"/>
      <c r="R34" s="2310"/>
      <c r="S34" s="2310"/>
      <c r="T34" s="2310"/>
      <c r="U34" s="2310"/>
      <c r="V34" s="2310"/>
      <c r="W34" s="2310"/>
      <c r="X34" s="2310"/>
      <c r="Y34" s="2310"/>
      <c r="Z34" s="2310"/>
      <c r="AA34" s="2317"/>
      <c r="AB34" s="2317"/>
      <c r="AC34" s="2317"/>
      <c r="AD34" s="2318"/>
      <c r="AE34" s="222"/>
      <c r="AF34" s="257" t="s">
        <v>11742</v>
      </c>
      <c r="AG34" s="222"/>
      <c r="AH34" s="1122"/>
      <c r="AI34" s="222"/>
      <c r="AJ34" s="2589"/>
      <c r="AK34" s="1121">
        <f t="shared" si="80"/>
        <v>0</v>
      </c>
      <c r="AL34" s="2589"/>
      <c r="AM34" s="252">
        <f t="shared" si="81"/>
        <v>0</v>
      </c>
      <c r="AN34" s="2560"/>
      <c r="AO34" s="2560"/>
      <c r="AP34" s="2560"/>
      <c r="AQ34" s="2560"/>
      <c r="AR34" s="2560"/>
      <c r="AS34" s="2560"/>
      <c r="AT34" s="2560"/>
      <c r="AU34" s="2560"/>
      <c r="AV34" s="2560"/>
      <c r="AW34" s="2560"/>
      <c r="AX34" s="2560"/>
      <c r="AY34" s="2560"/>
      <c r="AZ34" s="2560"/>
      <c r="BA34" s="2560"/>
      <c r="BB34" s="2560"/>
      <c r="BC34" s="2560"/>
      <c r="BD34" s="2560"/>
      <c r="BE34" s="2560"/>
      <c r="BF34" s="2560"/>
      <c r="BG34" s="2560"/>
      <c r="BH34" s="2560"/>
      <c r="BI34" s="2560"/>
      <c r="BJ34" s="2560"/>
      <c r="BK34" s="2560"/>
      <c r="BL34" s="2589"/>
      <c r="BM34" s="2560"/>
      <c r="BN34" s="422" t="s">
        <v>11741</v>
      </c>
      <c r="BO34" s="601" t="s">
        <v>11743</v>
      </c>
      <c r="BP34" s="2310"/>
      <c r="BQ34" s="2310"/>
      <c r="BR34" s="2310"/>
      <c r="BS34" s="2310"/>
      <c r="BT34" s="2310"/>
      <c r="BU34" s="2310"/>
      <c r="BV34" s="2311"/>
      <c r="BW34" s="114"/>
      <c r="BX34" s="2309"/>
      <c r="BY34" s="2310"/>
      <c r="BZ34" s="2310"/>
      <c r="CA34" s="2310"/>
      <c r="CB34" s="2310"/>
      <c r="CC34" s="2310"/>
      <c r="CD34" s="2310"/>
      <c r="CE34" s="2310"/>
      <c r="CF34" s="2310"/>
      <c r="CG34" s="2310"/>
      <c r="CH34" s="2310"/>
      <c r="CI34" s="2310"/>
      <c r="CJ34" s="2310"/>
      <c r="CK34" s="2317"/>
      <c r="CL34" s="2317"/>
      <c r="CM34" s="2317"/>
      <c r="CN34" s="2318"/>
    </row>
    <row r="35" spans="1:92" ht="35.25" customHeight="1" thickBot="1">
      <c r="A35" s="222"/>
      <c r="B35" s="415" t="s">
        <v>11744</v>
      </c>
      <c r="C35" s="319" t="s">
        <v>1387</v>
      </c>
      <c r="D35" s="319">
        <v>3</v>
      </c>
      <c r="E35" s="1524">
        <v>911.01199999999994</v>
      </c>
      <c r="F35" s="2313"/>
      <c r="G35" s="2313"/>
      <c r="H35" s="2313"/>
      <c r="I35" s="2313"/>
      <c r="J35" s="2313"/>
      <c r="K35" s="2313"/>
      <c r="L35" s="2314"/>
      <c r="M35" s="114"/>
      <c r="N35" s="2312"/>
      <c r="O35" s="2313"/>
      <c r="P35" s="2313"/>
      <c r="Q35" s="2313"/>
      <c r="R35" s="2313"/>
      <c r="S35" s="2313"/>
      <c r="T35" s="2313"/>
      <c r="U35" s="2313"/>
      <c r="V35" s="2313"/>
      <c r="W35" s="2313"/>
      <c r="X35" s="2313"/>
      <c r="Y35" s="2313"/>
      <c r="Z35" s="2313"/>
      <c r="AA35" s="2319"/>
      <c r="AB35" s="2319"/>
      <c r="AC35" s="2319"/>
      <c r="AD35" s="2320"/>
      <c r="AE35" s="222"/>
      <c r="AF35" s="257" t="s">
        <v>11745</v>
      </c>
      <c r="AG35" s="222"/>
      <c r="AH35" s="1122"/>
      <c r="AI35" s="222"/>
      <c r="AJ35" s="2589"/>
      <c r="AK35" s="1121">
        <f t="shared" si="80"/>
        <v>0</v>
      </c>
      <c r="AL35" s="2589"/>
      <c r="AM35" s="252">
        <f t="shared" si="81"/>
        <v>0</v>
      </c>
      <c r="AN35" s="2560"/>
      <c r="AO35" s="2560"/>
      <c r="AP35" s="2560"/>
      <c r="AQ35" s="2560"/>
      <c r="AR35" s="2560"/>
      <c r="AS35" s="2560"/>
      <c r="AT35" s="2560"/>
      <c r="AU35" s="2560"/>
      <c r="AV35" s="2560"/>
      <c r="AW35" s="2560"/>
      <c r="AX35" s="2560"/>
      <c r="AY35" s="2560"/>
      <c r="AZ35" s="2560"/>
      <c r="BA35" s="2560"/>
      <c r="BB35" s="2560"/>
      <c r="BC35" s="2560"/>
      <c r="BD35" s="2560"/>
      <c r="BE35" s="2560"/>
      <c r="BF35" s="2560"/>
      <c r="BG35" s="2560"/>
      <c r="BH35" s="2560"/>
      <c r="BI35" s="2560"/>
      <c r="BJ35" s="2560"/>
      <c r="BK35" s="2560"/>
      <c r="BL35" s="2589"/>
      <c r="BM35" s="2560"/>
      <c r="BN35" s="425" t="s">
        <v>11746</v>
      </c>
      <c r="BO35" s="1524" t="s">
        <v>11747</v>
      </c>
      <c r="BP35" s="2313"/>
      <c r="BQ35" s="2313"/>
      <c r="BR35" s="2313"/>
      <c r="BS35" s="2313"/>
      <c r="BT35" s="2313"/>
      <c r="BU35" s="2313"/>
      <c r="BV35" s="2314"/>
      <c r="BW35" s="114"/>
      <c r="BX35" s="2312"/>
      <c r="BY35" s="2313"/>
      <c r="BZ35" s="2313"/>
      <c r="CA35" s="2313"/>
      <c r="CB35" s="2313"/>
      <c r="CC35" s="2313"/>
      <c r="CD35" s="2313"/>
      <c r="CE35" s="2313"/>
      <c r="CF35" s="2313"/>
      <c r="CG35" s="2313"/>
      <c r="CH35" s="2313"/>
      <c r="CI35" s="2313"/>
      <c r="CJ35" s="2313"/>
      <c r="CK35" s="2319"/>
      <c r="CL35" s="2319"/>
      <c r="CM35" s="2319"/>
      <c r="CN35" s="2320"/>
    </row>
    <row r="36" spans="1:92" ht="9" customHeight="1" thickTop="1">
      <c r="A36" s="222"/>
      <c r="B36" s="651"/>
      <c r="C36" s="768"/>
      <c r="D36" s="768"/>
      <c r="E36" s="768"/>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560"/>
      <c r="AK36" s="2560"/>
      <c r="AL36" s="2560"/>
      <c r="AM36" s="2560"/>
      <c r="AN36" s="2560"/>
      <c r="AO36" s="2560"/>
      <c r="AP36" s="2560"/>
      <c r="AQ36" s="2560"/>
      <c r="AR36" s="2560"/>
      <c r="AS36" s="2560"/>
      <c r="AT36" s="2560"/>
      <c r="AU36" s="2560"/>
      <c r="AV36" s="2560"/>
      <c r="AW36" s="2560"/>
      <c r="AX36" s="2560"/>
      <c r="AY36" s="2560"/>
      <c r="AZ36" s="2560"/>
      <c r="BA36" s="2560"/>
      <c r="BB36" s="2560"/>
      <c r="BC36" s="2560"/>
      <c r="BD36" s="2560"/>
      <c r="BE36" s="2560"/>
      <c r="BF36" s="2560"/>
      <c r="BG36" s="2560"/>
      <c r="BH36" s="2560"/>
      <c r="BI36" s="2560"/>
      <c r="BJ36" s="2560"/>
      <c r="BK36" s="2560"/>
      <c r="BL36" s="2560"/>
      <c r="BM36" s="2560"/>
      <c r="BN36" s="2560"/>
      <c r="BO36" s="2560"/>
      <c r="BP36" s="2560"/>
      <c r="BQ36" s="2560"/>
      <c r="BR36" s="2560"/>
      <c r="BS36" s="2560"/>
      <c r="BT36" s="2560"/>
      <c r="BU36" s="2560"/>
      <c r="BV36" s="2560"/>
      <c r="BW36" s="2560"/>
      <c r="BX36" s="2560"/>
      <c r="BY36" s="2560"/>
      <c r="BZ36" s="2560"/>
      <c r="CA36" s="2560"/>
      <c r="CB36" s="2560"/>
      <c r="CC36" s="2560"/>
      <c r="CD36" s="2560"/>
      <c r="CE36" s="2560"/>
      <c r="CF36" s="2560"/>
      <c r="CG36" s="2560"/>
      <c r="CH36" s="2560"/>
      <c r="CI36" s="2560"/>
      <c r="CJ36" s="2560"/>
      <c r="CK36" s="2560"/>
      <c r="CL36" s="2560"/>
      <c r="CM36" s="2560"/>
      <c r="CN36" s="2560"/>
    </row>
    <row r="37" spans="1:92" ht="15.5">
      <c r="A37" s="222"/>
      <c r="B37" s="206"/>
      <c r="C37" s="114"/>
      <c r="D37" s="114"/>
      <c r="E37" s="114"/>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560"/>
      <c r="AK37" s="2560"/>
      <c r="AL37" s="2560"/>
      <c r="AM37" s="2560"/>
      <c r="AN37" s="2560"/>
      <c r="AO37" s="2560"/>
      <c r="AP37" s="2560"/>
      <c r="AQ37" s="2560"/>
      <c r="AR37" s="2560"/>
      <c r="AS37" s="2560"/>
      <c r="AT37" s="2560"/>
      <c r="AU37" s="2560"/>
      <c r="AV37" s="2560"/>
      <c r="AW37" s="2560"/>
      <c r="AX37" s="2560"/>
      <c r="AY37" s="2560"/>
      <c r="AZ37" s="2560"/>
      <c r="BA37" s="2560"/>
      <c r="BB37" s="2560"/>
      <c r="BC37" s="2560"/>
      <c r="BD37" s="2560"/>
      <c r="BE37" s="2560"/>
      <c r="BF37" s="2560"/>
      <c r="BG37" s="2560"/>
      <c r="BH37" s="2560"/>
      <c r="BI37" s="2560"/>
      <c r="BJ37" s="2560"/>
      <c r="BK37" s="2560"/>
      <c r="BL37" s="2560"/>
      <c r="BM37" s="2560"/>
      <c r="BN37" s="2560"/>
      <c r="BO37" s="2560"/>
      <c r="BP37" s="2560"/>
      <c r="BQ37" s="2560"/>
      <c r="BR37" s="2560"/>
      <c r="BS37" s="2560"/>
      <c r="BT37" s="2560"/>
      <c r="BU37" s="2560"/>
      <c r="BV37" s="2560"/>
      <c r="BW37" s="2560"/>
      <c r="BX37" s="2560"/>
      <c r="BY37" s="2560"/>
      <c r="BZ37" s="2560"/>
      <c r="CA37" s="2560"/>
      <c r="CB37" s="2560"/>
      <c r="CC37" s="2560"/>
      <c r="CD37" s="2560"/>
      <c r="CE37" s="2560"/>
      <c r="CF37" s="2560"/>
      <c r="CG37" s="2560"/>
      <c r="CH37" s="2560"/>
      <c r="CI37" s="2560"/>
      <c r="CJ37" s="2560"/>
      <c r="CK37" s="2560"/>
      <c r="CL37" s="2560"/>
      <c r="CM37" s="2560"/>
      <c r="CN37" s="2560"/>
    </row>
    <row r="38" spans="1:92" ht="15.5">
      <c r="A38" s="222"/>
      <c r="B38" s="222"/>
      <c r="C38" s="222"/>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560"/>
      <c r="AK38" s="2560"/>
      <c r="AL38" s="2560"/>
      <c r="AM38" s="2560"/>
      <c r="AN38" s="2560"/>
      <c r="AO38" s="2560"/>
      <c r="AP38" s="2560"/>
      <c r="AQ38" s="2560"/>
      <c r="AR38" s="2560"/>
      <c r="AS38" s="2560"/>
      <c r="AT38" s="2560"/>
      <c r="AU38" s="2560"/>
      <c r="AV38" s="2560"/>
      <c r="AW38" s="2560"/>
      <c r="AX38" s="2560"/>
      <c r="AY38" s="2560"/>
      <c r="AZ38" s="2560"/>
      <c r="BA38" s="2560"/>
      <c r="BB38" s="2560"/>
      <c r="BC38" s="2560"/>
      <c r="BD38" s="2560"/>
      <c r="BE38" s="2560"/>
      <c r="BF38" s="2560"/>
      <c r="BG38" s="2560"/>
      <c r="BH38" s="2560"/>
      <c r="BI38" s="2560"/>
      <c r="BJ38" s="2560"/>
      <c r="BK38" s="2560"/>
      <c r="BL38" s="2560"/>
      <c r="BM38" s="2560"/>
      <c r="BN38" s="2560"/>
      <c r="BO38" s="2560"/>
      <c r="BP38" s="2560"/>
      <c r="BQ38" s="2560"/>
      <c r="BR38" s="2560"/>
      <c r="BS38" s="2560"/>
      <c r="BT38" s="2560"/>
      <c r="BU38" s="2560"/>
      <c r="BV38" s="2560"/>
      <c r="BW38" s="2560"/>
      <c r="BX38" s="2560"/>
      <c r="BY38" s="2560"/>
      <c r="BZ38" s="2560"/>
      <c r="CA38" s="2560"/>
      <c r="CB38" s="2560"/>
      <c r="CC38" s="2560"/>
      <c r="CD38" s="2560"/>
      <c r="CE38" s="2560"/>
      <c r="CF38" s="2560"/>
      <c r="CG38" s="2560"/>
      <c r="CH38" s="2560"/>
      <c r="CI38" s="2560"/>
      <c r="CJ38" s="2560"/>
      <c r="CK38" s="2560"/>
      <c r="CL38" s="2560"/>
      <c r="CM38" s="2560"/>
      <c r="CN38" s="2560"/>
    </row>
    <row r="39" spans="1:92" ht="15.5">
      <c r="A39" s="222"/>
      <c r="B39" s="222"/>
      <c r="C39" s="22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560"/>
      <c r="AK39" s="2560"/>
      <c r="AL39" s="2560"/>
      <c r="AM39" s="2560"/>
      <c r="AN39" s="2560"/>
      <c r="AO39" s="2560"/>
      <c r="AP39" s="2560"/>
      <c r="AQ39" s="2560"/>
      <c r="AR39" s="2560"/>
      <c r="AS39" s="2560"/>
      <c r="AT39" s="2560"/>
      <c r="AU39" s="2560"/>
      <c r="AV39" s="2560"/>
      <c r="AW39" s="2560"/>
      <c r="AX39" s="2560"/>
      <c r="AY39" s="2560"/>
      <c r="AZ39" s="2560"/>
      <c r="BA39" s="2560"/>
      <c r="BB39" s="2560"/>
      <c r="BC39" s="2560"/>
      <c r="BD39" s="2560"/>
      <c r="BE39" s="2560"/>
      <c r="BF39" s="2560"/>
      <c r="BG39" s="2560"/>
      <c r="BH39" s="2560"/>
      <c r="BI39" s="2560"/>
      <c r="BJ39" s="2560"/>
      <c r="BK39" s="2560"/>
      <c r="BL39" s="2560"/>
      <c r="BM39" s="2560"/>
      <c r="BN39" s="2560"/>
      <c r="BO39" s="2560"/>
      <c r="BP39" s="2560"/>
      <c r="BQ39" s="2560"/>
      <c r="BR39" s="2560"/>
      <c r="BS39" s="2560"/>
      <c r="BT39" s="2560"/>
      <c r="BU39" s="2560"/>
      <c r="BV39" s="2560"/>
      <c r="BW39" s="2560"/>
      <c r="BX39" s="2560"/>
      <c r="BY39" s="2560"/>
      <c r="BZ39" s="2560"/>
      <c r="CA39" s="2560"/>
      <c r="CB39" s="2560"/>
      <c r="CC39" s="2560"/>
      <c r="CD39" s="2560"/>
      <c r="CE39" s="2560"/>
      <c r="CF39" s="2560"/>
      <c r="CG39" s="2560"/>
      <c r="CH39" s="2560"/>
      <c r="CI39" s="2560"/>
      <c r="CJ39" s="2560"/>
      <c r="CK39" s="2560"/>
      <c r="CL39" s="2560"/>
      <c r="CM39" s="2560"/>
      <c r="CN39" s="2560"/>
    </row>
    <row r="40" spans="1:92" ht="15.5">
      <c r="A40" s="222"/>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560"/>
      <c r="AK40" s="2560"/>
      <c r="AL40" s="2560"/>
      <c r="AM40" s="2560"/>
      <c r="AN40" s="2560"/>
      <c r="AO40" s="2560"/>
      <c r="AP40" s="2560"/>
      <c r="AQ40" s="2560"/>
      <c r="AR40" s="2560"/>
      <c r="AS40" s="2560"/>
      <c r="AT40" s="2560"/>
      <c r="AU40" s="2560"/>
      <c r="AV40" s="2560"/>
      <c r="AW40" s="2560"/>
      <c r="AX40" s="2560"/>
      <c r="AY40" s="2560"/>
      <c r="AZ40" s="2560"/>
      <c r="BA40" s="2560"/>
      <c r="BB40" s="2560"/>
      <c r="BC40" s="2560"/>
      <c r="BD40" s="2560"/>
      <c r="BE40" s="2560"/>
      <c r="BF40" s="2560"/>
      <c r="BG40" s="2560"/>
      <c r="BH40" s="2560"/>
      <c r="BI40" s="2560"/>
      <c r="BJ40" s="2560"/>
      <c r="BK40" s="2560"/>
      <c r="BL40" s="2560"/>
      <c r="BM40" s="2560"/>
      <c r="BN40" s="2560"/>
      <c r="BO40" s="2560"/>
      <c r="BP40" s="2560"/>
      <c r="BQ40" s="2560"/>
      <c r="BR40" s="2560"/>
      <c r="BS40" s="2560"/>
      <c r="BT40" s="2560"/>
      <c r="BU40" s="2560"/>
      <c r="BV40" s="2560"/>
      <c r="BW40" s="2560"/>
      <c r="BX40" s="2560"/>
      <c r="BY40" s="2560"/>
      <c r="BZ40" s="2560"/>
      <c r="CA40" s="2560"/>
      <c r="CB40" s="2560"/>
      <c r="CC40" s="2560"/>
      <c r="CD40" s="2560"/>
      <c r="CE40" s="2560"/>
      <c r="CF40" s="2560"/>
      <c r="CG40" s="2560"/>
      <c r="CH40" s="2560"/>
      <c r="CI40" s="2560"/>
      <c r="CJ40" s="2560"/>
      <c r="CK40" s="2560"/>
      <c r="CL40" s="2560"/>
      <c r="CM40" s="2560"/>
      <c r="CN40" s="2560"/>
    </row>
    <row r="41" spans="1:92" ht="15.5">
      <c r="A41" s="222"/>
      <c r="B41" s="222"/>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560"/>
      <c r="AK41" s="2560"/>
      <c r="AL41" s="2560"/>
      <c r="AM41" s="2560"/>
      <c r="AN41" s="2560"/>
      <c r="AO41" s="2560"/>
      <c r="AP41" s="2560"/>
      <c r="AQ41" s="2560"/>
      <c r="AR41" s="2560"/>
      <c r="AS41" s="2560"/>
      <c r="AT41" s="2560"/>
      <c r="AU41" s="2560"/>
      <c r="AV41" s="2560"/>
      <c r="AW41" s="2560"/>
      <c r="AX41" s="2560"/>
      <c r="AY41" s="2560"/>
      <c r="AZ41" s="2560"/>
      <c r="BA41" s="2560"/>
      <c r="BB41" s="2560"/>
      <c r="BC41" s="2560"/>
      <c r="BD41" s="2560"/>
      <c r="BE41" s="2560"/>
      <c r="BF41" s="2560"/>
      <c r="BG41" s="2560"/>
      <c r="BH41" s="2560"/>
      <c r="BI41" s="2560"/>
      <c r="BJ41" s="2560"/>
      <c r="BK41" s="2560"/>
      <c r="BL41" s="2560"/>
      <c r="BM41" s="2560"/>
      <c r="BN41" s="2560"/>
      <c r="BO41" s="2560"/>
      <c r="BP41" s="2560"/>
      <c r="BQ41" s="2560"/>
      <c r="BR41" s="2560"/>
      <c r="BS41" s="2560"/>
      <c r="BT41" s="2560"/>
      <c r="BU41" s="2560"/>
      <c r="BV41" s="2560"/>
      <c r="BW41" s="2560"/>
      <c r="BX41" s="2560"/>
      <c r="BY41" s="2560"/>
      <c r="BZ41" s="2560"/>
      <c r="CA41" s="2560"/>
      <c r="CB41" s="2560"/>
      <c r="CC41" s="2560"/>
      <c r="CD41" s="2560"/>
      <c r="CE41" s="2560"/>
      <c r="CF41" s="2560"/>
      <c r="CG41" s="2560"/>
      <c r="CH41" s="2560"/>
      <c r="CI41" s="2560"/>
      <c r="CJ41" s="2560"/>
      <c r="CK41" s="2560"/>
      <c r="CL41" s="2560"/>
      <c r="CM41" s="2560"/>
      <c r="CN41" s="2560"/>
    </row>
    <row r="42" spans="1:92" ht="15.5">
      <c r="A42" s="222"/>
      <c r="B42" s="222"/>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560"/>
      <c r="AK42" s="2560"/>
      <c r="AL42" s="2560"/>
      <c r="AM42" s="2560"/>
      <c r="AN42" s="2560"/>
      <c r="AO42" s="2560"/>
      <c r="AP42" s="2560"/>
      <c r="AQ42" s="2560"/>
      <c r="AR42" s="2560"/>
      <c r="AS42" s="2560"/>
      <c r="AT42" s="2560"/>
      <c r="AU42" s="2560"/>
      <c r="AV42" s="2560"/>
      <c r="AW42" s="2560"/>
      <c r="AX42" s="2560"/>
      <c r="AY42" s="2560"/>
      <c r="AZ42" s="2560"/>
      <c r="BA42" s="2560"/>
      <c r="BB42" s="2560"/>
      <c r="BC42" s="2560"/>
      <c r="BD42" s="2560"/>
      <c r="BE42" s="2560"/>
      <c r="BF42" s="2560"/>
      <c r="BG42" s="2560"/>
      <c r="BH42" s="2560"/>
      <c r="BI42" s="2560"/>
      <c r="BJ42" s="2560"/>
      <c r="BK42" s="2560"/>
      <c r="BL42" s="2560"/>
      <c r="BM42" s="2560"/>
      <c r="BN42" s="2560"/>
      <c r="BO42" s="2560"/>
      <c r="BP42" s="2560"/>
      <c r="BQ42" s="2560"/>
      <c r="BR42" s="2560"/>
      <c r="BS42" s="2560"/>
      <c r="BT42" s="2560"/>
      <c r="BU42" s="2560"/>
      <c r="BV42" s="2560"/>
      <c r="BW42" s="2560"/>
      <c r="BX42" s="2560"/>
      <c r="BY42" s="2560"/>
      <c r="BZ42" s="2560"/>
      <c r="CA42" s="2560"/>
      <c r="CB42" s="2560"/>
      <c r="CC42" s="2560"/>
      <c r="CD42" s="2560"/>
      <c r="CE42" s="2560"/>
      <c r="CF42" s="2560"/>
      <c r="CG42" s="2560"/>
      <c r="CH42" s="2560"/>
      <c r="CI42" s="2560"/>
      <c r="CJ42" s="2560"/>
      <c r="CK42" s="2560"/>
      <c r="CL42" s="2560"/>
      <c r="CM42" s="2560"/>
      <c r="CN42" s="2560"/>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48" priority="6" operator="equal">
      <formula>0</formula>
    </cfRule>
  </conditionalFormatting>
  <conditionalFormatting sqref="AK17">
    <cfRule type="cellIs" dxfId="47" priority="1" operator="equal">
      <formula>0</formula>
    </cfRule>
  </conditionalFormatting>
  <conditionalFormatting sqref="AK20:AK25">
    <cfRule type="cellIs" dxfId="46" priority="3" operator="equal">
      <formula>0</formula>
    </cfRule>
  </conditionalFormatting>
  <conditionalFormatting sqref="AK29:AK35">
    <cfRule type="cellIs" dxfId="45" priority="2" operator="equal">
      <formula>0</formula>
    </cfRule>
  </conditionalFormatting>
  <dataValidations count="1">
    <dataValidation type="custom" allowBlank="1" showErrorMessage="1" errorTitle="Input Error" error="Please enter a numeric value." sqref="E20:K25 E29:E35 N20:Q25 S20:W25 E10:K15 N10:Q15 L17 S10:W15 Y10:AC15 Y20:AC2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A22" zoomScaleNormal="100" zoomScaleSheetLayoutView="100" workbookViewId="0">
      <selection activeCell="E21" sqref="E21"/>
    </sheetView>
  </sheetViews>
  <sheetFormatPr defaultColWidth="9" defaultRowHeight="14"/>
  <cols>
    <col min="1" max="1" width="1.58203125" style="219" customWidth="1"/>
    <col min="2" max="2" width="63.5" style="219" bestFit="1" customWidth="1"/>
    <col min="3" max="3" width="7" style="219" customWidth="1"/>
    <col min="4" max="4" width="5.08203125" style="219" customWidth="1"/>
    <col min="5" max="5" width="12.5" style="219" customWidth="1"/>
    <col min="6" max="6" width="2.08203125" style="219" customWidth="1"/>
    <col min="7" max="7" width="12.08203125" style="219" customWidth="1"/>
    <col min="8" max="8" width="1.58203125" style="219" customWidth="1"/>
    <col min="9" max="9" width="33.58203125" style="219" customWidth="1"/>
    <col min="10" max="11" width="1.58203125" style="219" customWidth="1"/>
    <col min="12" max="12" width="25.08203125" style="219" customWidth="1"/>
    <col min="13" max="13" width="1.58203125" style="219" customWidth="1"/>
    <col min="14" max="14" width="25.08203125" style="219" hidden="1" customWidth="1"/>
    <col min="15" max="15" width="1.58203125" style="219" hidden="1" customWidth="1"/>
    <col min="16" max="16" width="1.58203125" style="219" customWidth="1"/>
    <col min="17" max="17" width="55" style="219" customWidth="1"/>
    <col min="18" max="18" width="17.5" style="219" customWidth="1"/>
    <col min="19" max="19" width="1.58203125" style="219" customWidth="1"/>
    <col min="20" max="16384" width="9" style="219"/>
  </cols>
  <sheetData>
    <row r="1" spans="1:18" ht="30" customHeight="1">
      <c r="A1" s="2560"/>
      <c r="B1" s="1119" t="s">
        <v>11748</v>
      </c>
      <c r="C1" s="1119"/>
      <c r="D1" s="1119"/>
      <c r="E1" s="1119"/>
      <c r="F1" s="1242"/>
      <c r="G1" s="229"/>
      <c r="H1" s="2560"/>
      <c r="I1" s="2560"/>
      <c r="J1" s="2560"/>
      <c r="K1" s="2589"/>
      <c r="L1" s="2560"/>
      <c r="M1" s="2589"/>
      <c r="N1" s="2560"/>
      <c r="O1" s="2589"/>
      <c r="P1" s="2560"/>
      <c r="Q1" s="1119" t="s">
        <v>1887</v>
      </c>
      <c r="R1" s="1119"/>
    </row>
    <row r="2" spans="1:18" ht="30" customHeight="1">
      <c r="A2" s="2560"/>
      <c r="B2" s="1119" t="str">
        <f>SelectCompany!B4</f>
        <v>Yorkshire Water</v>
      </c>
      <c r="C2" s="491"/>
      <c r="D2" s="491"/>
      <c r="E2" s="491"/>
      <c r="F2" s="490"/>
      <c r="G2" s="229"/>
      <c r="H2" s="2560"/>
      <c r="I2" s="2560"/>
      <c r="J2" s="2560"/>
      <c r="K2" s="2589"/>
      <c r="L2" s="2560"/>
      <c r="M2" s="2589"/>
      <c r="N2" s="2560"/>
      <c r="O2" s="2589"/>
      <c r="P2" s="2560"/>
      <c r="Q2" s="1119"/>
      <c r="R2" s="491"/>
    </row>
    <row r="3" spans="1:18" ht="44.25" customHeight="1">
      <c r="A3" s="2560"/>
      <c r="B3" s="2781" t="s">
        <v>11749</v>
      </c>
      <c r="C3" s="2781"/>
      <c r="D3" s="2781"/>
      <c r="E3" s="2781"/>
      <c r="F3" s="2781"/>
      <c r="G3" s="2781"/>
      <c r="H3" s="2781"/>
      <c r="I3" s="2781"/>
      <c r="J3" s="2560"/>
      <c r="K3" s="2589"/>
      <c r="L3" s="1129" t="s">
        <v>1889</v>
      </c>
      <c r="M3" s="2589"/>
      <c r="N3" s="2560"/>
      <c r="O3" s="2589"/>
      <c r="P3" s="2560"/>
      <c r="Q3" s="2781" t="s">
        <v>11750</v>
      </c>
      <c r="R3" s="2781"/>
    </row>
    <row r="4" spans="1:18" ht="14.25" customHeight="1" thickBot="1">
      <c r="A4" s="2560"/>
      <c r="B4" s="594"/>
      <c r="C4" s="594"/>
      <c r="D4" s="594"/>
      <c r="E4" s="594"/>
      <c r="F4" s="724"/>
      <c r="G4" s="229"/>
      <c r="H4" s="2560"/>
      <c r="I4" s="2560"/>
      <c r="J4" s="2560"/>
      <c r="K4" s="2589"/>
      <c r="L4" s="2560"/>
      <c r="M4" s="2589"/>
      <c r="N4" s="2603" t="s">
        <v>1890</v>
      </c>
      <c r="O4" s="2589"/>
      <c r="P4" s="2560"/>
      <c r="Q4" s="594"/>
      <c r="R4" s="594"/>
    </row>
    <row r="5" spans="1:18" ht="56.25" customHeight="1" thickTop="1" thickBot="1">
      <c r="A5" s="222"/>
      <c r="B5" s="407" t="s">
        <v>1891</v>
      </c>
      <c r="C5" s="408" t="s">
        <v>1892</v>
      </c>
      <c r="D5" s="408" t="s">
        <v>136</v>
      </c>
      <c r="E5" s="409" t="s">
        <v>10262</v>
      </c>
      <c r="F5" s="635"/>
      <c r="G5" s="411" t="s">
        <v>1896</v>
      </c>
      <c r="H5" s="222"/>
      <c r="I5" s="411" t="s">
        <v>1897</v>
      </c>
      <c r="J5" s="222"/>
      <c r="K5" s="2589"/>
      <c r="L5" s="2560"/>
      <c r="M5" s="2589"/>
      <c r="N5" s="236" t="s">
        <v>1898</v>
      </c>
      <c r="O5" s="2589"/>
      <c r="P5" s="2560"/>
      <c r="Q5" s="407" t="s">
        <v>1891</v>
      </c>
      <c r="R5" s="409" t="s">
        <v>10262</v>
      </c>
    </row>
    <row r="6" spans="1:18" ht="15.75" customHeight="1" thickTop="1" thickBot="1">
      <c r="A6" s="222"/>
      <c r="B6" s="322"/>
      <c r="C6" s="83"/>
      <c r="D6" s="83"/>
      <c r="E6" s="768"/>
      <c r="F6" s="197"/>
      <c r="G6" s="229"/>
      <c r="H6" s="222"/>
      <c r="I6" s="222"/>
      <c r="J6" s="222"/>
      <c r="K6" s="2589"/>
      <c r="L6" s="2560"/>
      <c r="M6" s="2589"/>
      <c r="N6" s="2560"/>
      <c r="O6" s="2589"/>
      <c r="P6" s="2560"/>
      <c r="Q6" s="322"/>
      <c r="R6" s="768"/>
    </row>
    <row r="7" spans="1:18" ht="15.75" customHeight="1" thickTop="1" thickBot="1">
      <c r="A7" s="222"/>
      <c r="B7" s="355" t="s">
        <v>2410</v>
      </c>
      <c r="C7" s="444"/>
      <c r="D7" s="444"/>
      <c r="E7" s="444"/>
      <c r="F7" s="1131"/>
      <c r="G7" s="527"/>
      <c r="H7" s="222"/>
      <c r="I7" s="222"/>
      <c r="J7" s="222"/>
      <c r="K7" s="2589"/>
      <c r="L7" s="2560"/>
      <c r="M7" s="2589"/>
      <c r="N7" s="2560"/>
      <c r="O7" s="2589"/>
      <c r="P7" s="2560"/>
      <c r="Q7" s="355" t="s">
        <v>2410</v>
      </c>
      <c r="R7" s="444"/>
    </row>
    <row r="8" spans="1:18" ht="15.75" customHeight="1" thickTop="1">
      <c r="A8" s="222"/>
      <c r="B8" s="413" t="s">
        <v>11751</v>
      </c>
      <c r="C8" s="244" t="s">
        <v>11752</v>
      </c>
      <c r="D8" s="244">
        <v>0</v>
      </c>
      <c r="E8" s="1616">
        <v>1702</v>
      </c>
      <c r="F8" s="1131"/>
      <c r="G8" s="534" t="s">
        <v>11753</v>
      </c>
      <c r="H8" s="222"/>
      <c r="I8" s="1120"/>
      <c r="J8" s="222"/>
      <c r="K8" s="2589"/>
      <c r="L8" s="1121">
        <f>IF( SUM( N8:N8 ) = 0, 0, $N$5 )</f>
        <v>0</v>
      </c>
      <c r="M8" s="2589"/>
      <c r="N8" s="252">
        <f xml:space="preserve"> IF( ISNUMBER(E8 ), 0, 1 )</f>
        <v>0</v>
      </c>
      <c r="O8" s="2589"/>
      <c r="P8" s="2560"/>
      <c r="Q8" s="413" t="s">
        <v>11751</v>
      </c>
      <c r="R8" s="856" t="s">
        <v>11754</v>
      </c>
    </row>
    <row r="9" spans="1:18" ht="15.75" customHeight="1">
      <c r="A9" s="222"/>
      <c r="B9" s="689" t="s">
        <v>11755</v>
      </c>
      <c r="C9" s="253" t="s">
        <v>138</v>
      </c>
      <c r="D9" s="253">
        <v>0</v>
      </c>
      <c r="E9" s="1215">
        <v>20</v>
      </c>
      <c r="F9" s="1131"/>
      <c r="G9" s="535" t="s">
        <v>11756</v>
      </c>
      <c r="H9" s="222"/>
      <c r="I9" s="1122"/>
      <c r="J9" s="222"/>
      <c r="K9" s="2589"/>
      <c r="L9" s="1121">
        <f t="shared" ref="L9:L12" si="0">IF( SUM( N9:N9 ) = 0, 0, $N$5 )</f>
        <v>0</v>
      </c>
      <c r="M9" s="2589"/>
      <c r="N9" s="252">
        <f t="shared" ref="N9:N12" si="1" xml:space="preserve"> IF( ISNUMBER(E9 ), 0, 1 )</f>
        <v>0</v>
      </c>
      <c r="O9" s="2589"/>
      <c r="P9" s="2560"/>
      <c r="Q9" s="422" t="s">
        <v>11757</v>
      </c>
      <c r="R9" s="860" t="s">
        <v>11758</v>
      </c>
    </row>
    <row r="10" spans="1:18" ht="28.5" customHeight="1">
      <c r="A10" s="222"/>
      <c r="B10" s="689" t="s">
        <v>11759</v>
      </c>
      <c r="C10" s="253" t="s">
        <v>138</v>
      </c>
      <c r="D10" s="253">
        <v>0</v>
      </c>
      <c r="E10" s="1215">
        <v>41</v>
      </c>
      <c r="F10" s="1131"/>
      <c r="G10" s="535" t="s">
        <v>11760</v>
      </c>
      <c r="H10" s="222"/>
      <c r="I10" s="1122"/>
      <c r="J10" s="222"/>
      <c r="K10" s="2589"/>
      <c r="L10" s="1121">
        <f t="shared" si="0"/>
        <v>0</v>
      </c>
      <c r="M10" s="2589"/>
      <c r="N10" s="252">
        <f t="shared" si="1"/>
        <v>0</v>
      </c>
      <c r="O10" s="2589"/>
      <c r="P10" s="2560"/>
      <c r="Q10" s="422" t="s">
        <v>11761</v>
      </c>
      <c r="R10" s="860" t="s">
        <v>11762</v>
      </c>
    </row>
    <row r="11" spans="1:18" ht="15.75" customHeight="1">
      <c r="A11" s="222"/>
      <c r="B11" s="689" t="s">
        <v>11763</v>
      </c>
      <c r="C11" s="253" t="s">
        <v>138</v>
      </c>
      <c r="D11" s="253">
        <v>0</v>
      </c>
      <c r="E11" s="1215">
        <v>44</v>
      </c>
      <c r="F11" s="1131"/>
      <c r="G11" s="535" t="s">
        <v>11764</v>
      </c>
      <c r="H11" s="222"/>
      <c r="I11" s="1122"/>
      <c r="J11" s="222"/>
      <c r="K11" s="2589"/>
      <c r="L11" s="1121">
        <f t="shared" si="0"/>
        <v>0</v>
      </c>
      <c r="M11" s="2589"/>
      <c r="N11" s="252">
        <f t="shared" si="1"/>
        <v>0</v>
      </c>
      <c r="O11" s="2589"/>
      <c r="P11" s="2560"/>
      <c r="Q11" s="422" t="s">
        <v>11763</v>
      </c>
      <c r="R11" s="860" t="s">
        <v>11765</v>
      </c>
    </row>
    <row r="12" spans="1:18" ht="15.75" customHeight="1" thickBot="1">
      <c r="A12" s="222"/>
      <c r="B12" s="415" t="s">
        <v>11766</v>
      </c>
      <c r="C12" s="319" t="s">
        <v>138</v>
      </c>
      <c r="D12" s="319">
        <v>0</v>
      </c>
      <c r="E12" s="1618">
        <v>412</v>
      </c>
      <c r="F12" s="1131"/>
      <c r="G12" s="538" t="s">
        <v>11767</v>
      </c>
      <c r="H12" s="222"/>
      <c r="I12" s="1126"/>
      <c r="J12" s="222"/>
      <c r="K12" s="2589"/>
      <c r="L12" s="1121">
        <f t="shared" si="0"/>
        <v>0</v>
      </c>
      <c r="M12" s="2589"/>
      <c r="N12" s="252">
        <f t="shared" si="1"/>
        <v>0</v>
      </c>
      <c r="O12" s="2589"/>
      <c r="P12" s="2560"/>
      <c r="Q12" s="425" t="s">
        <v>11766</v>
      </c>
      <c r="R12" s="1156" t="s">
        <v>11768</v>
      </c>
    </row>
    <row r="13" spans="1:18" ht="15.75" customHeight="1" thickTop="1" thickBot="1">
      <c r="A13" s="222"/>
      <c r="B13" s="322"/>
      <c r="C13" s="83"/>
      <c r="D13" s="83"/>
      <c r="E13" s="768"/>
      <c r="F13" s="1131"/>
      <c r="G13" s="768"/>
      <c r="H13" s="222"/>
      <c r="I13" s="222"/>
      <c r="J13" s="222"/>
      <c r="K13" s="2589"/>
      <c r="L13" s="2560"/>
      <c r="M13" s="2589"/>
      <c r="N13" s="2560"/>
      <c r="O13" s="2589"/>
      <c r="P13" s="2560"/>
      <c r="Q13" s="322"/>
      <c r="R13" s="768"/>
    </row>
    <row r="14" spans="1:18" ht="15.75" customHeight="1" thickTop="1" thickBot="1">
      <c r="A14" s="222"/>
      <c r="B14" s="355" t="s">
        <v>11769</v>
      </c>
      <c r="C14" s="444"/>
      <c r="D14" s="444"/>
      <c r="E14" s="444"/>
      <c r="F14" s="1131"/>
      <c r="G14" s="444"/>
      <c r="H14" s="222"/>
      <c r="I14" s="222"/>
      <c r="J14" s="222"/>
      <c r="K14" s="2589"/>
      <c r="L14" s="2560"/>
      <c r="M14" s="2589"/>
      <c r="N14" s="2560"/>
      <c r="O14" s="2589"/>
      <c r="P14" s="2560"/>
      <c r="Q14" s="355" t="s">
        <v>11769</v>
      </c>
      <c r="R14" s="444"/>
    </row>
    <row r="15" spans="1:18" ht="15.75" customHeight="1" thickTop="1">
      <c r="A15" s="222"/>
      <c r="B15" s="711" t="s">
        <v>11770</v>
      </c>
      <c r="C15" s="283" t="s">
        <v>1402</v>
      </c>
      <c r="D15" s="283">
        <v>3</v>
      </c>
      <c r="E15" s="1637">
        <v>123270.071</v>
      </c>
      <c r="F15" s="1131"/>
      <c r="G15" s="1243" t="s">
        <v>11771</v>
      </c>
      <c r="H15" s="222"/>
      <c r="I15" s="1120"/>
      <c r="J15" s="222"/>
      <c r="K15" s="2589"/>
      <c r="L15" s="1121">
        <f t="shared" ref="L15:L16" si="2">IF( SUM( N15:N15 ) = 0, 0, $N$5 )</f>
        <v>0</v>
      </c>
      <c r="M15" s="2589"/>
      <c r="N15" s="252">
        <f t="shared" ref="N15:N16" si="3" xml:space="preserve"> IF( ISNUMBER(E15 ), 0, 1 )</f>
        <v>0</v>
      </c>
      <c r="O15" s="2589"/>
      <c r="P15" s="2560"/>
      <c r="Q15" s="711" t="s">
        <v>11770</v>
      </c>
      <c r="R15" s="1076" t="s">
        <v>11772</v>
      </c>
    </row>
    <row r="16" spans="1:18" ht="15.75" customHeight="1">
      <c r="A16" s="222"/>
      <c r="B16" s="689" t="s">
        <v>11773</v>
      </c>
      <c r="C16" s="290" t="s">
        <v>1402</v>
      </c>
      <c r="D16" s="290">
        <v>3</v>
      </c>
      <c r="E16" s="691">
        <v>188930.065</v>
      </c>
      <c r="F16" s="1131"/>
      <c r="G16" s="536" t="s">
        <v>11774</v>
      </c>
      <c r="H16" s="222"/>
      <c r="I16" s="1122"/>
      <c r="J16" s="222"/>
      <c r="K16" s="2589"/>
      <c r="L16" s="1121">
        <f t="shared" si="2"/>
        <v>0</v>
      </c>
      <c r="M16" s="2589"/>
      <c r="N16" s="252">
        <f t="shared" si="3"/>
        <v>0</v>
      </c>
      <c r="O16" s="2589"/>
      <c r="P16" s="2560"/>
      <c r="Q16" s="689" t="s">
        <v>11773</v>
      </c>
      <c r="R16" s="1244" t="s">
        <v>11775</v>
      </c>
    </row>
    <row r="17" spans="1:18" ht="15.75" customHeight="1" thickBot="1">
      <c r="A17" s="222"/>
      <c r="B17" s="415" t="s">
        <v>11776</v>
      </c>
      <c r="C17" s="297" t="s">
        <v>1402</v>
      </c>
      <c r="D17" s="297">
        <v>3</v>
      </c>
      <c r="E17" s="1549">
        <f>IFERROR(SUM(E15:E16),0)</f>
        <v>312200.136</v>
      </c>
      <c r="F17" s="1131"/>
      <c r="G17" s="710" t="s">
        <v>11777</v>
      </c>
      <c r="H17" s="222"/>
      <c r="I17" s="1126"/>
      <c r="J17" s="222"/>
      <c r="K17" s="2589"/>
      <c r="L17" s="2560"/>
      <c r="M17" s="2589"/>
      <c r="N17" s="2560"/>
      <c r="O17" s="2589"/>
      <c r="P17" s="2560"/>
      <c r="Q17" s="415" t="s">
        <v>11776</v>
      </c>
      <c r="R17" s="704" t="s">
        <v>11778</v>
      </c>
    </row>
    <row r="18" spans="1:18" ht="16.5" thickTop="1" thickBot="1">
      <c r="A18" s="222"/>
      <c r="B18" s="222"/>
      <c r="C18" s="222"/>
      <c r="D18" s="222"/>
      <c r="E18" s="222"/>
      <c r="F18" s="222"/>
      <c r="G18" s="222"/>
      <c r="H18" s="222"/>
      <c r="I18" s="222"/>
      <c r="J18" s="222"/>
      <c r="K18" s="2560"/>
      <c r="L18" s="2560"/>
      <c r="M18" s="2560"/>
      <c r="N18" s="2560"/>
      <c r="O18" s="2560"/>
      <c r="P18" s="2560"/>
      <c r="Q18" s="2560"/>
      <c r="R18" s="2560"/>
    </row>
    <row r="19" spans="1:18" ht="16.5" thickTop="1" thickBot="1">
      <c r="A19" s="222"/>
      <c r="B19" s="355" t="s">
        <v>11779</v>
      </c>
      <c r="C19" s="444"/>
      <c r="D19" s="444"/>
      <c r="E19" s="444"/>
      <c r="F19" s="1131"/>
      <c r="G19" s="444"/>
      <c r="H19" s="222"/>
      <c r="I19" s="222"/>
      <c r="J19" s="222"/>
      <c r="K19" s="2560"/>
      <c r="L19" s="2560"/>
      <c r="M19" s="2560"/>
      <c r="N19" s="2560"/>
      <c r="O19" s="2560"/>
      <c r="P19" s="2560"/>
      <c r="Q19" s="355" t="s">
        <v>11779</v>
      </c>
      <c r="R19" s="2560"/>
    </row>
    <row r="20" spans="1:18" ht="31.5" thickTop="1">
      <c r="A20" s="222"/>
      <c r="B20" s="711" t="s">
        <v>11780</v>
      </c>
      <c r="C20" s="283" t="s">
        <v>11781</v>
      </c>
      <c r="D20" s="283">
        <v>3</v>
      </c>
      <c r="E20" s="1637">
        <v>5.25</v>
      </c>
      <c r="F20" s="1131"/>
      <c r="G20" s="2322" t="s">
        <v>11782</v>
      </c>
      <c r="H20" s="222"/>
      <c r="I20" s="1120"/>
      <c r="J20" s="222"/>
      <c r="K20" s="2560"/>
      <c r="L20" s="1121">
        <f t="shared" ref="L20" si="4">IF( SUM( N20:N20 ) = 0, 0, $N$5 )</f>
        <v>0</v>
      </c>
      <c r="M20" s="2589"/>
      <c r="N20" s="252">
        <f t="shared" ref="N20" si="5" xml:space="preserve"> IF( ISNUMBER(E20 ), 0, 1 )</f>
        <v>0</v>
      </c>
      <c r="O20" s="2560"/>
      <c r="P20" s="2560"/>
      <c r="Q20" s="711" t="s">
        <v>11780</v>
      </c>
      <c r="R20" s="1076" t="s">
        <v>11783</v>
      </c>
    </row>
    <row r="21" spans="1:18" ht="31">
      <c r="A21" s="222"/>
      <c r="B21" s="689" t="s">
        <v>11784</v>
      </c>
      <c r="C21" s="290" t="s">
        <v>138</v>
      </c>
      <c r="D21" s="290">
        <v>0</v>
      </c>
      <c r="E21" s="2454">
        <v>1</v>
      </c>
      <c r="F21" s="1131"/>
      <c r="G21" s="2323" t="s">
        <v>11785</v>
      </c>
      <c r="H21" s="222"/>
      <c r="I21" s="2186"/>
      <c r="J21" s="222"/>
      <c r="K21" s="2560"/>
      <c r="L21" s="1121">
        <f>IF( SUM( N21:N21 ) = 0, 0, $N$5 )</f>
        <v>0</v>
      </c>
      <c r="M21" s="2589"/>
      <c r="N21" s="252">
        <f xml:space="preserve"> IF( ISNUMBER(E21 ), 0, 1 )</f>
        <v>0</v>
      </c>
      <c r="O21" s="2560"/>
      <c r="P21" s="2560"/>
      <c r="Q21" s="689" t="s">
        <v>11784</v>
      </c>
      <c r="R21" s="1244" t="s">
        <v>11786</v>
      </c>
    </row>
    <row r="22" spans="1:18" ht="31">
      <c r="A22" s="222"/>
      <c r="B22" s="2440" t="s">
        <v>11787</v>
      </c>
      <c r="C22" s="290" t="s">
        <v>1685</v>
      </c>
      <c r="D22" s="290">
        <v>3</v>
      </c>
      <c r="E22" s="691">
        <v>1272</v>
      </c>
      <c r="F22" s="1131"/>
      <c r="G22" s="2324" t="s">
        <v>11788</v>
      </c>
      <c r="H22" s="222"/>
      <c r="I22" s="1122"/>
      <c r="J22" s="222"/>
      <c r="K22" s="2560"/>
      <c r="L22" s="1121">
        <f t="shared" ref="L22" si="6">IF( SUM( N22:N22 ) = 0, 0, $N$5 )</f>
        <v>0</v>
      </c>
      <c r="M22" s="2589"/>
      <c r="N22" s="252">
        <f t="shared" ref="N22" si="7" xml:space="preserve"> IF( ISNUMBER(E22 ), 0, 1 )</f>
        <v>0</v>
      </c>
      <c r="O22" s="2560"/>
      <c r="P22" s="2560"/>
      <c r="Q22" s="689" t="s">
        <v>1684</v>
      </c>
      <c r="R22" s="1244" t="s">
        <v>11789</v>
      </c>
    </row>
    <row r="23" spans="1:18" ht="31">
      <c r="A23" s="222"/>
      <c r="B23" s="2440" t="s">
        <v>11790</v>
      </c>
      <c r="C23" s="290" t="s">
        <v>1685</v>
      </c>
      <c r="D23" s="290">
        <v>3</v>
      </c>
      <c r="E23" s="691">
        <v>0</v>
      </c>
      <c r="F23" s="1131"/>
      <c r="G23" s="2325" t="s">
        <v>11791</v>
      </c>
      <c r="H23" s="222"/>
      <c r="I23" s="2185"/>
      <c r="J23" s="222"/>
      <c r="K23" s="2560"/>
      <c r="L23" s="1121">
        <f t="shared" ref="L23:L31" si="8">IF( SUM( N23:N23 ) = 0, 0, $N$5 )</f>
        <v>0</v>
      </c>
      <c r="M23" s="2589"/>
      <c r="N23" s="252">
        <f t="shared" ref="N23:N31" si="9" xml:space="preserve"> IF( ISNUMBER(E23 ), 0, 1 )</f>
        <v>0</v>
      </c>
      <c r="O23" s="2560"/>
      <c r="P23" s="2560"/>
      <c r="Q23" s="689" t="s">
        <v>1687</v>
      </c>
      <c r="R23" s="1244" t="s">
        <v>11792</v>
      </c>
    </row>
    <row r="24" spans="1:18" ht="31">
      <c r="A24" s="222"/>
      <c r="B24" s="2440" t="s">
        <v>11793</v>
      </c>
      <c r="C24" s="290" t="s">
        <v>1685</v>
      </c>
      <c r="D24" s="290">
        <v>3</v>
      </c>
      <c r="E24" s="691">
        <v>0</v>
      </c>
      <c r="F24" s="1131"/>
      <c r="G24" s="2325" t="s">
        <v>11794</v>
      </c>
      <c r="H24" s="222"/>
      <c r="I24" s="2185"/>
      <c r="J24" s="222"/>
      <c r="K24" s="2560"/>
      <c r="L24" s="1121">
        <f t="shared" si="8"/>
        <v>0</v>
      </c>
      <c r="M24" s="2589"/>
      <c r="N24" s="252">
        <f t="shared" si="9"/>
        <v>0</v>
      </c>
      <c r="O24" s="2560"/>
      <c r="P24" s="2560"/>
      <c r="Q24" s="689" t="s">
        <v>11793</v>
      </c>
      <c r="R24" s="1244" t="s">
        <v>11795</v>
      </c>
    </row>
    <row r="25" spans="1:18" ht="31">
      <c r="A25" s="222"/>
      <c r="B25" s="689" t="s">
        <v>1691</v>
      </c>
      <c r="C25" s="290" t="s">
        <v>1685</v>
      </c>
      <c r="D25" s="290">
        <v>3</v>
      </c>
      <c r="E25" s="691">
        <v>0</v>
      </c>
      <c r="F25" s="1131"/>
      <c r="G25" s="2325" t="s">
        <v>11796</v>
      </c>
      <c r="H25" s="222"/>
      <c r="I25" s="2185"/>
      <c r="J25" s="222"/>
      <c r="K25" s="2560"/>
      <c r="L25" s="1121">
        <f t="shared" si="8"/>
        <v>0</v>
      </c>
      <c r="M25" s="2589"/>
      <c r="N25" s="252">
        <f t="shared" si="9"/>
        <v>0</v>
      </c>
      <c r="O25" s="2560"/>
      <c r="P25" s="2560"/>
      <c r="Q25" s="689" t="s">
        <v>1691</v>
      </c>
      <c r="R25" s="1244" t="s">
        <v>11797</v>
      </c>
    </row>
    <row r="26" spans="1:18" ht="31">
      <c r="A26" s="222"/>
      <c r="B26" s="689" t="s">
        <v>11798</v>
      </c>
      <c r="C26" s="290" t="s">
        <v>138</v>
      </c>
      <c r="D26" s="290">
        <v>0</v>
      </c>
      <c r="E26" s="2454">
        <v>14</v>
      </c>
      <c r="F26" s="1131"/>
      <c r="G26" s="2325" t="s">
        <v>11799</v>
      </c>
      <c r="H26" s="222"/>
      <c r="I26" s="2185"/>
      <c r="J26" s="222"/>
      <c r="K26" s="2560"/>
      <c r="L26" s="1121">
        <f t="shared" si="8"/>
        <v>0</v>
      </c>
      <c r="M26" s="2589"/>
      <c r="N26" s="252">
        <f t="shared" si="9"/>
        <v>0</v>
      </c>
      <c r="O26" s="2560"/>
      <c r="P26" s="2560"/>
      <c r="Q26" s="689" t="s">
        <v>11798</v>
      </c>
      <c r="R26" s="1244" t="s">
        <v>11800</v>
      </c>
    </row>
    <row r="27" spans="1:18" ht="46.5">
      <c r="A27" s="222"/>
      <c r="B27" s="689" t="s">
        <v>11801</v>
      </c>
      <c r="C27" s="290" t="s">
        <v>138</v>
      </c>
      <c r="D27" s="290">
        <v>0</v>
      </c>
      <c r="E27" s="2454">
        <v>0</v>
      </c>
      <c r="F27" s="1131"/>
      <c r="G27" s="2325" t="s">
        <v>11802</v>
      </c>
      <c r="H27" s="222"/>
      <c r="I27" s="2185"/>
      <c r="J27" s="222"/>
      <c r="K27" s="2560"/>
      <c r="L27" s="1121">
        <f t="shared" si="8"/>
        <v>0</v>
      </c>
      <c r="M27" s="2589"/>
      <c r="N27" s="252">
        <f t="shared" si="9"/>
        <v>0</v>
      </c>
      <c r="O27" s="2560"/>
      <c r="P27" s="2560"/>
      <c r="Q27" s="689" t="s">
        <v>11801</v>
      </c>
      <c r="R27" s="1244" t="s">
        <v>11803</v>
      </c>
    </row>
    <row r="28" spans="1:18" ht="31">
      <c r="A28" s="222"/>
      <c r="B28" s="689" t="s">
        <v>11804</v>
      </c>
      <c r="C28" s="290" t="s">
        <v>138</v>
      </c>
      <c r="D28" s="290">
        <v>0</v>
      </c>
      <c r="E28" s="2454">
        <v>0</v>
      </c>
      <c r="F28" s="1131"/>
      <c r="G28" s="2325" t="s">
        <v>11805</v>
      </c>
      <c r="H28" s="222"/>
      <c r="I28" s="2185"/>
      <c r="J28" s="222"/>
      <c r="K28" s="2560"/>
      <c r="L28" s="1121">
        <f t="shared" si="8"/>
        <v>0</v>
      </c>
      <c r="M28" s="2589"/>
      <c r="N28" s="252">
        <f t="shared" si="9"/>
        <v>0</v>
      </c>
      <c r="O28" s="2560"/>
      <c r="P28" s="2560"/>
      <c r="Q28" s="689" t="s">
        <v>11804</v>
      </c>
      <c r="R28" s="1244" t="s">
        <v>11806</v>
      </c>
    </row>
    <row r="29" spans="1:18" ht="31">
      <c r="A29" s="222"/>
      <c r="B29" s="689" t="s">
        <v>11807</v>
      </c>
      <c r="C29" s="290" t="s">
        <v>138</v>
      </c>
      <c r="D29" s="290">
        <v>0</v>
      </c>
      <c r="E29" s="2454">
        <v>0</v>
      </c>
      <c r="F29" s="1131"/>
      <c r="G29" s="2325" t="s">
        <v>11808</v>
      </c>
      <c r="H29" s="222"/>
      <c r="I29" s="2185"/>
      <c r="J29" s="222"/>
      <c r="K29" s="2560"/>
      <c r="L29" s="1121">
        <f>IF( SUM( N29:N29 ) = 0, 0, $N$5 )</f>
        <v>0</v>
      </c>
      <c r="M29" s="2589"/>
      <c r="N29" s="252">
        <f xml:space="preserve"> IF( ISNUMBER(E29 ), 0, 1 )</f>
        <v>0</v>
      </c>
      <c r="O29" s="2560"/>
      <c r="P29" s="2560"/>
      <c r="Q29" s="689" t="s">
        <v>11807</v>
      </c>
      <c r="R29" s="1244" t="s">
        <v>11809</v>
      </c>
    </row>
    <row r="30" spans="1:18" ht="45.65" customHeight="1">
      <c r="A30" s="222"/>
      <c r="B30" s="689" t="s">
        <v>11810</v>
      </c>
      <c r="C30" s="290" t="s">
        <v>138</v>
      </c>
      <c r="D30" s="290">
        <v>0</v>
      </c>
      <c r="E30" s="2454">
        <v>0</v>
      </c>
      <c r="F30" s="1131"/>
      <c r="G30" s="2325" t="s">
        <v>11811</v>
      </c>
      <c r="H30" s="222"/>
      <c r="I30" s="2185"/>
      <c r="J30" s="222"/>
      <c r="K30" s="2560"/>
      <c r="L30" s="1121">
        <f t="shared" si="8"/>
        <v>0</v>
      </c>
      <c r="M30" s="2589"/>
      <c r="N30" s="252">
        <f t="shared" si="9"/>
        <v>0</v>
      </c>
      <c r="O30" s="2560"/>
      <c r="P30" s="2560"/>
      <c r="Q30" s="689" t="s">
        <v>11810</v>
      </c>
      <c r="R30" s="1244" t="s">
        <v>11812</v>
      </c>
    </row>
    <row r="31" spans="1:18" ht="31">
      <c r="A31" s="222"/>
      <c r="B31" s="689" t="s">
        <v>11813</v>
      </c>
      <c r="C31" s="290" t="s">
        <v>138</v>
      </c>
      <c r="D31" s="290">
        <v>0</v>
      </c>
      <c r="E31" s="2454">
        <v>0</v>
      </c>
      <c r="F31" s="1131"/>
      <c r="G31" s="2325" t="s">
        <v>11814</v>
      </c>
      <c r="H31" s="222"/>
      <c r="I31" s="2185"/>
      <c r="J31" s="222"/>
      <c r="K31" s="2560"/>
      <c r="L31" s="1121">
        <f t="shared" si="8"/>
        <v>0</v>
      </c>
      <c r="M31" s="2589"/>
      <c r="N31" s="252">
        <f t="shared" si="9"/>
        <v>0</v>
      </c>
      <c r="O31" s="2560"/>
      <c r="P31" s="2560"/>
      <c r="Q31" s="689" t="s">
        <v>11813</v>
      </c>
      <c r="R31" s="1244" t="s">
        <v>11815</v>
      </c>
    </row>
    <row r="32" spans="1:18" ht="15.5">
      <c r="A32" s="222"/>
      <c r="B32" s="689" t="s">
        <v>11816</v>
      </c>
      <c r="C32" s="290" t="s">
        <v>11817</v>
      </c>
      <c r="D32" s="290">
        <v>0</v>
      </c>
      <c r="E32" s="2454">
        <v>0</v>
      </c>
      <c r="F32" s="1131"/>
      <c r="G32" s="2325" t="s">
        <v>11818</v>
      </c>
      <c r="H32" s="222"/>
      <c r="I32" s="2185"/>
      <c r="J32" s="222"/>
      <c r="K32" s="2560"/>
      <c r="L32" s="2189">
        <f>IF( SUM( N32:N32 ) = 0, 0, $N$5 )</f>
        <v>0</v>
      </c>
      <c r="M32" s="2589"/>
      <c r="N32" s="252">
        <f xml:space="preserve"> IF( ISNUMBER(E32 ), 0, 1 )</f>
        <v>0</v>
      </c>
      <c r="O32" s="2560"/>
      <c r="P32" s="2560"/>
      <c r="Q32" s="689" t="s">
        <v>11816</v>
      </c>
      <c r="R32" s="1244" t="s">
        <v>11819</v>
      </c>
    </row>
    <row r="33" spans="1:18" ht="31">
      <c r="A33" s="222"/>
      <c r="B33" s="689" t="s">
        <v>11820</v>
      </c>
      <c r="C33" s="290" t="s">
        <v>138</v>
      </c>
      <c r="D33" s="290">
        <v>0</v>
      </c>
      <c r="E33" s="2454">
        <v>0</v>
      </c>
      <c r="F33" s="1131"/>
      <c r="G33" s="2325" t="s">
        <v>11821</v>
      </c>
      <c r="H33" s="222"/>
      <c r="I33" s="2185"/>
      <c r="J33" s="222"/>
      <c r="K33" s="2560"/>
      <c r="L33" s="1121">
        <f>IF( SUM( N33:N33 ) = 0, 0, $N$5 )</f>
        <v>0</v>
      </c>
      <c r="M33" s="2589"/>
      <c r="N33" s="252">
        <f xml:space="preserve"> IF( ISNUMBER(E33 ), 0, 1 )</f>
        <v>0</v>
      </c>
      <c r="O33" s="2560"/>
      <c r="P33" s="2560"/>
      <c r="Q33" s="689" t="s">
        <v>11820</v>
      </c>
      <c r="R33" s="1244" t="s">
        <v>11822</v>
      </c>
    </row>
    <row r="34" spans="1:18" ht="31">
      <c r="A34" s="222"/>
      <c r="B34" s="689" t="s">
        <v>11823</v>
      </c>
      <c r="C34" s="290" t="s">
        <v>138</v>
      </c>
      <c r="D34" s="290">
        <v>0</v>
      </c>
      <c r="E34" s="2454">
        <v>9</v>
      </c>
      <c r="F34" s="1131"/>
      <c r="G34" s="2325" t="s">
        <v>11824</v>
      </c>
      <c r="H34" s="222"/>
      <c r="I34" s="2185"/>
      <c r="J34" s="222"/>
      <c r="K34" s="2560"/>
      <c r="L34" s="1121">
        <f>IF( SUM( N34:N34 ) = 0, 0, $N$5 )</f>
        <v>0</v>
      </c>
      <c r="M34" s="2589"/>
      <c r="N34" s="252">
        <f xml:space="preserve"> IF( ISNUMBER(E34 ), 0, 1 )</f>
        <v>0</v>
      </c>
      <c r="O34" s="2560"/>
      <c r="P34" s="2560"/>
      <c r="Q34" s="689" t="s">
        <v>11823</v>
      </c>
      <c r="R34" s="1244" t="s">
        <v>11825</v>
      </c>
    </row>
    <row r="35" spans="1:18" ht="31">
      <c r="A35" s="222"/>
      <c r="B35" s="689" t="s">
        <v>11826</v>
      </c>
      <c r="C35" s="290" t="s">
        <v>138</v>
      </c>
      <c r="D35" s="290">
        <v>0</v>
      </c>
      <c r="E35" s="2454">
        <v>0</v>
      </c>
      <c r="F35" s="1131"/>
      <c r="G35" s="2325" t="s">
        <v>11827</v>
      </c>
      <c r="H35" s="222"/>
      <c r="I35" s="2185"/>
      <c r="J35" s="222"/>
      <c r="K35" s="2560"/>
      <c r="L35" s="1121">
        <f>IF( SUM( N35:N35 ) = 0, 0, $N$5 )</f>
        <v>0</v>
      </c>
      <c r="M35" s="2589"/>
      <c r="N35" s="252">
        <f xml:space="preserve"> IF( ISNUMBER(E35 ), 0, 1 )</f>
        <v>0</v>
      </c>
      <c r="O35" s="2560"/>
      <c r="P35" s="2560"/>
      <c r="Q35" s="689" t="s">
        <v>11826</v>
      </c>
      <c r="R35" s="1244" t="s">
        <v>1399</v>
      </c>
    </row>
    <row r="36" spans="1:18" ht="31.5" thickBot="1">
      <c r="A36" s="222"/>
      <c r="B36" s="415" t="s">
        <v>11828</v>
      </c>
      <c r="C36" s="297" t="s">
        <v>138</v>
      </c>
      <c r="D36" s="297">
        <v>0</v>
      </c>
      <c r="E36" s="2321">
        <v>0</v>
      </c>
      <c r="F36" s="1131"/>
      <c r="G36" s="2402" t="s">
        <v>11829</v>
      </c>
      <c r="H36" s="222"/>
      <c r="I36" s="1126"/>
      <c r="J36" s="222"/>
      <c r="K36" s="2560"/>
      <c r="L36" s="1121">
        <f>IF( SUM( N36:N36 ) = 0, 0, $N$5 )</f>
        <v>0</v>
      </c>
      <c r="M36" s="2589"/>
      <c r="N36" s="252">
        <f xml:space="preserve"> IF( ISNUMBER(E36 ), 0, 1 )</f>
        <v>0</v>
      </c>
      <c r="O36" s="2560"/>
      <c r="P36" s="2560"/>
      <c r="Q36" s="415" t="s">
        <v>11828</v>
      </c>
      <c r="R36" s="1156" t="s">
        <v>1400</v>
      </c>
    </row>
    <row r="37" spans="1:18" ht="14.5" thickTop="1">
      <c r="A37" s="2560"/>
      <c r="B37" s="2560"/>
      <c r="C37" s="2560"/>
      <c r="D37" s="2560"/>
      <c r="E37" s="2560"/>
      <c r="F37" s="2560"/>
      <c r="G37" s="2560"/>
      <c r="H37" s="2560"/>
      <c r="I37" s="2560"/>
      <c r="J37" s="2560"/>
      <c r="K37" s="2560"/>
      <c r="L37" s="2560"/>
      <c r="M37" s="2560"/>
      <c r="N37" s="2560"/>
      <c r="O37" s="2560"/>
      <c r="P37" s="2560"/>
      <c r="Q37" s="2560"/>
      <c r="R37" s="2560"/>
    </row>
  </sheetData>
  <sheetProtection formatColumns="0" formatRows="0"/>
  <mergeCells count="2">
    <mergeCell ref="B3:I3"/>
    <mergeCell ref="Q3:R3"/>
  </mergeCells>
  <phoneticPr fontId="38" type="noConversion"/>
  <conditionalFormatting sqref="L8:L12">
    <cfRule type="cellIs" dxfId="44" priority="7" operator="equal">
      <formula>0</formula>
    </cfRule>
  </conditionalFormatting>
  <conditionalFormatting sqref="L15:L16">
    <cfRule type="cellIs" dxfId="43" priority="5" operator="equal">
      <formula>0</formula>
    </cfRule>
  </conditionalFormatting>
  <conditionalFormatting sqref="L20:L36">
    <cfRule type="cellIs" dxfId="42"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topLeftCell="A22" zoomScale="70" zoomScaleNormal="70" zoomScaleSheetLayoutView="55" workbookViewId="0">
      <selection activeCell="B90" sqref="B9:B90"/>
    </sheetView>
  </sheetViews>
  <sheetFormatPr defaultColWidth="9" defaultRowHeight="14"/>
  <cols>
    <col min="1" max="1" width="9" style="219"/>
    <col min="2" max="2" width="22.58203125" style="219" bestFit="1" customWidth="1"/>
    <col min="3" max="4" width="9.08203125" style="219" customWidth="1"/>
    <col min="5" max="19" width="10.08203125" style="219" customWidth="1"/>
    <col min="20" max="20" width="1.58203125" style="219" customWidth="1"/>
    <col min="21" max="21" width="23.08203125" style="219" customWidth="1"/>
    <col min="22" max="23" width="12.58203125" style="219" customWidth="1"/>
    <col min="24" max="29" width="15.58203125" style="219" customWidth="1"/>
    <col min="30" max="30" width="13.08203125" style="219" customWidth="1"/>
    <col min="31" max="31" width="1.08203125" style="219" customWidth="1"/>
    <col min="32" max="32" width="9.5" style="219" bestFit="1" customWidth="1"/>
    <col min="33" max="34" width="1.58203125" style="219" customWidth="1"/>
    <col min="35" max="35" width="25" style="219" customWidth="1"/>
    <col min="36" max="36" width="1.58203125" style="219" customWidth="1"/>
    <col min="37" max="58" width="10.08203125" style="219" hidden="1" customWidth="1"/>
    <col min="59" max="64" width="7.58203125" style="219" customWidth="1"/>
    <col min="65" max="16384" width="9" style="219"/>
  </cols>
  <sheetData>
    <row r="1" spans="2:64" ht="22.5">
      <c r="B1" s="1119" t="s">
        <v>11830</v>
      </c>
      <c r="C1" s="1119"/>
      <c r="D1" s="1119"/>
      <c r="E1" s="1119"/>
      <c r="F1" s="1119"/>
      <c r="G1" s="1242"/>
      <c r="H1" s="229"/>
      <c r="I1" s="2560"/>
      <c r="J1" s="2560"/>
      <c r="K1" s="1119"/>
      <c r="L1" s="1119"/>
      <c r="M1" s="1119"/>
      <c r="N1" s="1119"/>
      <c r="O1" s="1242"/>
      <c r="P1" s="229"/>
      <c r="Q1" s="2560"/>
      <c r="R1" s="2560"/>
      <c r="S1" s="1119"/>
      <c r="T1" s="1119"/>
      <c r="U1" s="1119"/>
      <c r="V1" s="1119"/>
      <c r="W1" s="1242"/>
      <c r="X1" s="229"/>
      <c r="Y1" s="229"/>
      <c r="Z1" s="229"/>
      <c r="AA1" s="229"/>
      <c r="AB1" s="229"/>
      <c r="AC1" s="229"/>
      <c r="AD1" s="2560"/>
      <c r="AE1" s="2890"/>
      <c r="AF1" s="2890"/>
      <c r="AG1" s="2560"/>
      <c r="AH1" s="2589"/>
      <c r="AI1" s="2560"/>
      <c r="AJ1" s="2589"/>
      <c r="AK1" s="2560"/>
      <c r="AL1" s="2560"/>
      <c r="AM1" s="2560"/>
      <c r="AN1" s="2560"/>
      <c r="AO1" s="2560"/>
      <c r="AP1" s="1245"/>
      <c r="AQ1" s="1245"/>
      <c r="AR1" s="1245"/>
      <c r="AS1" s="1245"/>
      <c r="AT1" s="1245"/>
      <c r="AU1" s="1245"/>
      <c r="AV1" s="1245"/>
      <c r="AW1" s="1245"/>
      <c r="AX1" s="1245"/>
      <c r="AY1" s="1245"/>
      <c r="AZ1" s="1245"/>
      <c r="BA1" s="1245"/>
      <c r="BB1" s="1245"/>
      <c r="BC1" s="1245"/>
      <c r="BD1" s="1245"/>
      <c r="BE1" s="1245"/>
      <c r="BF1" s="2589"/>
      <c r="BG1" s="1245"/>
      <c r="BH1" s="1245"/>
      <c r="BI1" s="1245"/>
      <c r="BJ1" s="1245"/>
      <c r="BK1" s="1245"/>
      <c r="BL1" s="1245"/>
    </row>
    <row r="2" spans="2:64" ht="45">
      <c r="B2" s="1119" t="str">
        <f>SelectCompany!B4</f>
        <v>Yorkshire Water</v>
      </c>
      <c r="C2" s="491"/>
      <c r="D2" s="491"/>
      <c r="E2" s="491"/>
      <c r="F2" s="491"/>
      <c r="G2" s="490"/>
      <c r="H2" s="229"/>
      <c r="I2" s="2560"/>
      <c r="J2" s="2560"/>
      <c r="K2" s="1119"/>
      <c r="L2" s="491"/>
      <c r="M2" s="491"/>
      <c r="N2" s="491"/>
      <c r="O2" s="490"/>
      <c r="P2" s="229"/>
      <c r="Q2" s="2560"/>
      <c r="R2" s="2560"/>
      <c r="S2" s="1119"/>
      <c r="T2" s="491"/>
      <c r="U2" s="491"/>
      <c r="V2" s="491"/>
      <c r="W2" s="490"/>
      <c r="X2" s="229"/>
      <c r="Y2" s="229"/>
      <c r="Z2" s="229"/>
      <c r="AA2" s="229"/>
      <c r="AB2" s="229"/>
      <c r="AC2" s="229"/>
      <c r="AD2" s="2560"/>
      <c r="AE2" s="2890"/>
      <c r="AF2" s="2890"/>
      <c r="AG2" s="2560"/>
      <c r="AH2" s="2589"/>
      <c r="AI2" s="2560"/>
      <c r="AJ2" s="2589"/>
      <c r="AK2" s="2560"/>
      <c r="AL2" s="2560"/>
      <c r="AM2" s="2560"/>
      <c r="AN2" s="2560"/>
      <c r="AO2" s="2560"/>
      <c r="AP2" s="1245"/>
      <c r="AQ2" s="1245"/>
      <c r="AR2" s="1245"/>
      <c r="AS2" s="1245"/>
      <c r="AT2" s="1245"/>
      <c r="AU2" s="1245"/>
      <c r="AV2" s="1245"/>
      <c r="AW2" s="1245"/>
      <c r="AX2" s="1245"/>
      <c r="AY2" s="1245"/>
      <c r="AZ2" s="1245"/>
      <c r="BA2" s="1245"/>
      <c r="BB2" s="1245"/>
      <c r="BC2" s="1245"/>
      <c r="BD2" s="1245"/>
      <c r="BE2" s="1245"/>
      <c r="BF2" s="2589"/>
      <c r="BG2" s="1245"/>
      <c r="BH2" s="1245"/>
      <c r="BI2" s="1245"/>
      <c r="BJ2" s="1245"/>
      <c r="BK2" s="1245"/>
      <c r="BL2" s="1245"/>
    </row>
    <row r="3" spans="2:64" ht="18.75" customHeight="1">
      <c r="B3" s="2781" t="s">
        <v>11831</v>
      </c>
      <c r="C3" s="2781"/>
      <c r="D3" s="2781"/>
      <c r="E3" s="2781"/>
      <c r="F3" s="2781"/>
      <c r="G3" s="2781"/>
      <c r="H3" s="2781"/>
      <c r="I3" s="2781"/>
      <c r="J3" s="2781"/>
      <c r="K3" s="2781"/>
      <c r="L3" s="2781"/>
      <c r="M3" s="2781"/>
      <c r="N3" s="2781"/>
      <c r="O3" s="2781"/>
      <c r="P3" s="2781"/>
      <c r="Q3" s="2781"/>
      <c r="R3" s="2781"/>
      <c r="S3" s="2781"/>
      <c r="T3" s="2781"/>
      <c r="U3" s="2781"/>
      <c r="V3" s="2781"/>
      <c r="W3" s="2781"/>
      <c r="X3" s="2781"/>
      <c r="Y3" s="2781"/>
      <c r="Z3" s="2781"/>
      <c r="AA3" s="2781"/>
      <c r="AB3" s="2781"/>
      <c r="AC3" s="2781"/>
      <c r="AD3" s="2781"/>
      <c r="AE3" s="2890"/>
      <c r="AF3" s="2890"/>
      <c r="AG3" s="229"/>
      <c r="AH3" s="2589"/>
      <c r="AI3" s="1129" t="s">
        <v>1889</v>
      </c>
      <c r="AJ3" s="2589"/>
      <c r="AK3" s="2560"/>
      <c r="AL3" s="2560"/>
      <c r="AM3" s="2560"/>
      <c r="AN3" s="2560"/>
      <c r="AO3" s="2560"/>
      <c r="AP3" s="1245"/>
      <c r="AQ3" s="1245"/>
      <c r="AR3" s="1245"/>
      <c r="AS3" s="1245"/>
      <c r="AT3" s="1245"/>
      <c r="AU3" s="1245"/>
      <c r="AV3" s="1245"/>
      <c r="AW3" s="1245"/>
      <c r="AX3" s="1245"/>
      <c r="AY3" s="1245"/>
      <c r="AZ3" s="1245"/>
      <c r="BA3" s="1245"/>
      <c r="BB3" s="1245"/>
      <c r="BC3" s="1245"/>
      <c r="BD3" s="1245"/>
      <c r="BE3" s="1245"/>
      <c r="BF3" s="2589"/>
      <c r="BG3" s="1245"/>
      <c r="BH3" s="1245"/>
      <c r="BI3" s="1245"/>
      <c r="BJ3" s="1245"/>
      <c r="BK3" s="1245"/>
      <c r="BL3" s="1245"/>
    </row>
    <row r="4" spans="2:64" ht="16" thickBot="1">
      <c r="B4" s="1246"/>
      <c r="C4" s="1246"/>
      <c r="D4" s="1246"/>
      <c r="E4" s="1246"/>
      <c r="F4" s="1246"/>
      <c r="G4" s="1246"/>
      <c r="H4" s="1246"/>
      <c r="I4" s="1246"/>
      <c r="J4" s="1246"/>
      <c r="K4" s="1246"/>
      <c r="L4" s="1246"/>
      <c r="M4" s="1245"/>
      <c r="N4" s="1245"/>
      <c r="O4" s="1245"/>
      <c r="P4" s="1245"/>
      <c r="Q4" s="1245"/>
      <c r="R4" s="1245"/>
      <c r="S4" s="1245"/>
      <c r="T4" s="2890"/>
      <c r="U4" s="2890"/>
      <c r="V4" s="1245"/>
      <c r="W4" s="1245"/>
      <c r="X4" s="1245"/>
      <c r="Y4" s="1245"/>
      <c r="Z4" s="1245"/>
      <c r="AA4" s="1245"/>
      <c r="AB4" s="1245"/>
      <c r="AC4" s="1245"/>
      <c r="AD4" s="1245"/>
      <c r="AE4" s="2890"/>
      <c r="AF4" s="2890"/>
      <c r="AG4" s="222"/>
      <c r="AH4" s="2589"/>
      <c r="AI4" s="2560"/>
      <c r="AJ4" s="2589"/>
      <c r="AK4" s="2869" t="s">
        <v>1890</v>
      </c>
      <c r="AL4" s="2869"/>
      <c r="AM4" s="2869"/>
      <c r="AN4" s="2869"/>
      <c r="AO4" s="2869"/>
      <c r="AP4" s="2869"/>
      <c r="AQ4" s="2869"/>
      <c r="AR4" s="2869"/>
      <c r="AS4" s="2869"/>
      <c r="AT4" s="2869"/>
      <c r="AU4" s="2869"/>
      <c r="AV4" s="2869"/>
      <c r="AW4" s="2869"/>
      <c r="AX4" s="2869"/>
      <c r="AY4" s="2869"/>
      <c r="AZ4" s="2869"/>
      <c r="BA4" s="2869"/>
      <c r="BB4" s="2869"/>
      <c r="BC4" s="2869"/>
      <c r="BD4" s="2869"/>
      <c r="BE4" s="2869"/>
      <c r="BF4" s="2589"/>
      <c r="BG4" s="1245"/>
      <c r="BH4" s="1245"/>
      <c r="BI4" s="1245"/>
      <c r="BJ4" s="1245"/>
      <c r="BK4" s="1245"/>
      <c r="BL4" s="1245"/>
    </row>
    <row r="5" spans="2:64" ht="16.5" thickTop="1" thickBot="1">
      <c r="B5" s="87"/>
      <c r="C5" s="87"/>
      <c r="D5" s="87"/>
      <c r="E5" s="2884" t="s">
        <v>2389</v>
      </c>
      <c r="F5" s="2885"/>
      <c r="G5" s="2885"/>
      <c r="H5" s="2885"/>
      <c r="I5" s="2885"/>
      <c r="J5" s="2885"/>
      <c r="K5" s="2886"/>
      <c r="L5" s="87"/>
      <c r="M5" s="2884" t="s">
        <v>3147</v>
      </c>
      <c r="N5" s="2885"/>
      <c r="O5" s="2885"/>
      <c r="P5" s="2885"/>
      <c r="Q5" s="2885"/>
      <c r="R5" s="2885"/>
      <c r="S5" s="2886"/>
      <c r="T5" s="2887"/>
      <c r="U5" s="2887"/>
      <c r="V5" s="2282" t="s">
        <v>11832</v>
      </c>
      <c r="W5" s="2283" t="s">
        <v>11833</v>
      </c>
      <c r="X5" s="2283" t="s">
        <v>11834</v>
      </c>
      <c r="Y5" s="2283" t="s">
        <v>11835</v>
      </c>
      <c r="Z5" s="2283" t="s">
        <v>11836</v>
      </c>
      <c r="AA5" s="2283" t="s">
        <v>11837</v>
      </c>
      <c r="AB5" s="2283" t="s">
        <v>11838</v>
      </c>
      <c r="AC5" s="2283" t="s">
        <v>11839</v>
      </c>
      <c r="AD5" s="2284" t="s">
        <v>11840</v>
      </c>
      <c r="AE5" s="88"/>
      <c r="AF5" s="2888" t="s">
        <v>1896</v>
      </c>
      <c r="AG5" s="229"/>
      <c r="AH5" s="2589"/>
      <c r="AI5" s="2560"/>
      <c r="AJ5" s="2589"/>
      <c r="AK5" s="236" t="s">
        <v>1898</v>
      </c>
      <c r="AL5" s="236"/>
      <c r="AM5" s="2560"/>
      <c r="AN5" s="2560"/>
      <c r="AO5" s="2560"/>
      <c r="AP5" s="763"/>
      <c r="AQ5" s="763"/>
      <c r="AR5" s="763"/>
      <c r="AS5" s="763"/>
      <c r="AT5" s="763"/>
      <c r="AU5" s="763"/>
      <c r="AV5" s="763"/>
      <c r="AW5" s="763"/>
      <c r="AX5" s="763"/>
      <c r="AY5" s="763"/>
      <c r="AZ5" s="763"/>
      <c r="BA5" s="763"/>
      <c r="BB5" s="763"/>
      <c r="BC5" s="763"/>
      <c r="BD5" s="763"/>
      <c r="BE5" s="763"/>
      <c r="BF5" s="2589"/>
      <c r="BG5" s="763"/>
      <c r="BH5" s="763"/>
      <c r="BI5" s="763"/>
      <c r="BJ5" s="763"/>
      <c r="BK5" s="763"/>
      <c r="BL5" s="763"/>
    </row>
    <row r="6" spans="2:64" ht="95.15" customHeight="1" thickTop="1" thickBot="1">
      <c r="B6" s="2326" t="s">
        <v>11841</v>
      </c>
      <c r="C6" s="2035" t="s">
        <v>1892</v>
      </c>
      <c r="D6" s="2035" t="s">
        <v>136</v>
      </c>
      <c r="E6" s="2333" t="s">
        <v>11842</v>
      </c>
      <c r="F6" s="2333" t="s">
        <v>1854</v>
      </c>
      <c r="G6" s="2333" t="s">
        <v>1696</v>
      </c>
      <c r="H6" s="2333" t="s">
        <v>1855</v>
      </c>
      <c r="I6" s="2333" t="s">
        <v>11035</v>
      </c>
      <c r="J6" s="2333" t="s">
        <v>11036</v>
      </c>
      <c r="K6" s="2334" t="s">
        <v>11037</v>
      </c>
      <c r="L6" s="81"/>
      <c r="M6" s="89" t="s">
        <v>11842</v>
      </c>
      <c r="N6" s="90" t="s">
        <v>1854</v>
      </c>
      <c r="O6" s="90" t="s">
        <v>1696</v>
      </c>
      <c r="P6" s="90" t="s">
        <v>1855</v>
      </c>
      <c r="Q6" s="90" t="s">
        <v>11035</v>
      </c>
      <c r="R6" s="90" t="s">
        <v>11843</v>
      </c>
      <c r="S6" s="91" t="s">
        <v>11037</v>
      </c>
      <c r="T6" s="2887"/>
      <c r="U6" s="2887"/>
      <c r="V6" s="89" t="s">
        <v>11844</v>
      </c>
      <c r="W6" s="90" t="s">
        <v>11845</v>
      </c>
      <c r="X6" s="90" t="s">
        <v>11846</v>
      </c>
      <c r="Y6" s="90" t="s">
        <v>11847</v>
      </c>
      <c r="Z6" s="90" t="s">
        <v>11848</v>
      </c>
      <c r="AA6" s="90" t="s">
        <v>11849</v>
      </c>
      <c r="AB6" s="90" t="s">
        <v>11850</v>
      </c>
      <c r="AC6" s="90" t="s">
        <v>11851</v>
      </c>
      <c r="AD6" s="91" t="s">
        <v>11851</v>
      </c>
      <c r="AE6" s="88"/>
      <c r="AF6" s="2889"/>
      <c r="AG6" s="229"/>
      <c r="AH6" s="2589"/>
      <c r="AI6" s="2560"/>
      <c r="AJ6" s="2589"/>
      <c r="AK6" s="2560"/>
      <c r="AL6" s="2560"/>
      <c r="AM6" s="2560"/>
      <c r="AN6" s="2560"/>
      <c r="AO6" s="2560"/>
      <c r="AP6" s="763"/>
      <c r="AQ6" s="763"/>
      <c r="AR6" s="763"/>
      <c r="AS6" s="763"/>
      <c r="AT6" s="763"/>
      <c r="AU6" s="763"/>
      <c r="AV6" s="763"/>
      <c r="AW6" s="763"/>
      <c r="AX6" s="763"/>
      <c r="AY6" s="763"/>
      <c r="AZ6" s="763"/>
      <c r="BA6" s="763"/>
      <c r="BB6" s="763"/>
      <c r="BC6" s="763"/>
      <c r="BD6" s="763"/>
      <c r="BE6" s="763"/>
      <c r="BF6" s="2589"/>
      <c r="BG6" s="763"/>
      <c r="BH6" s="763"/>
      <c r="BI6" s="763"/>
      <c r="BJ6" s="763"/>
      <c r="BK6" s="763"/>
      <c r="BL6" s="763"/>
    </row>
    <row r="7" spans="2:64" ht="15.75" customHeight="1" thickTop="1">
      <c r="B7" s="211"/>
      <c r="C7" s="2891"/>
      <c r="D7" s="2891"/>
      <c r="E7" s="2891"/>
      <c r="F7" s="82"/>
      <c r="G7" s="82"/>
      <c r="H7" s="82"/>
      <c r="I7" s="82"/>
      <c r="J7" s="82"/>
      <c r="K7" s="83"/>
      <c r="L7" s="84"/>
      <c r="M7" s="88"/>
      <c r="N7" s="88"/>
      <c r="O7" s="88"/>
      <c r="P7" s="88"/>
      <c r="Q7" s="88"/>
      <c r="R7" s="88"/>
      <c r="S7" s="88"/>
      <c r="T7" s="2887"/>
      <c r="U7" s="2887"/>
      <c r="V7" s="88"/>
      <c r="W7" s="88"/>
      <c r="X7" s="88"/>
      <c r="Y7" s="88"/>
      <c r="Z7" s="88"/>
      <c r="AA7" s="88"/>
      <c r="AB7" s="88"/>
      <c r="AC7" s="88"/>
      <c r="AD7" s="88"/>
      <c r="AE7" s="2887"/>
      <c r="AF7" s="2887"/>
      <c r="AG7" s="229"/>
      <c r="AH7" s="2589"/>
      <c r="AI7" s="2560"/>
      <c r="AJ7" s="2589"/>
      <c r="AK7" s="2560"/>
      <c r="AL7" s="2560"/>
      <c r="AM7" s="2560"/>
      <c r="AN7" s="2560"/>
      <c r="AO7" s="2560"/>
      <c r="AP7" s="1245"/>
      <c r="AQ7" s="1245"/>
      <c r="AR7" s="1245"/>
      <c r="AS7" s="1245"/>
      <c r="AT7" s="1245"/>
      <c r="AU7" s="1245"/>
      <c r="AV7" s="1245"/>
      <c r="AW7" s="1245"/>
      <c r="AX7" s="1245"/>
      <c r="AY7" s="1245"/>
      <c r="AZ7" s="1245"/>
      <c r="BA7" s="1245"/>
      <c r="BB7" s="1245"/>
      <c r="BC7" s="1245"/>
      <c r="BD7" s="1245"/>
      <c r="BE7" s="1245"/>
      <c r="BF7" s="2589"/>
      <c r="BG7" s="1245"/>
      <c r="BH7" s="1245"/>
      <c r="BI7" s="1245"/>
      <c r="BJ7" s="1245"/>
      <c r="BK7" s="1245"/>
      <c r="BL7" s="1245"/>
    </row>
    <row r="8" spans="2:64" ht="15.75" customHeight="1" thickBot="1">
      <c r="B8" s="92"/>
      <c r="C8" s="92"/>
      <c r="D8" s="92"/>
      <c r="E8" s="85"/>
      <c r="F8" s="85"/>
      <c r="G8" s="85"/>
      <c r="H8" s="85"/>
      <c r="I8" s="85"/>
      <c r="J8" s="85"/>
      <c r="K8" s="85"/>
      <c r="L8" s="85"/>
      <c r="M8" s="88"/>
      <c r="N8" s="88"/>
      <c r="O8" s="2465"/>
      <c r="P8" s="88"/>
      <c r="Q8" s="88"/>
      <c r="R8" s="88"/>
      <c r="S8" s="88"/>
      <c r="T8" s="2887"/>
      <c r="U8" s="2887"/>
      <c r="V8" s="88"/>
      <c r="W8" s="88"/>
      <c r="X8" s="88"/>
      <c r="Y8" s="88"/>
      <c r="Z8" s="88"/>
      <c r="AA8" s="88"/>
      <c r="AB8" s="88"/>
      <c r="AC8" s="88"/>
      <c r="AD8" s="88"/>
      <c r="AE8" s="2887"/>
      <c r="AF8" s="2887"/>
      <c r="AG8" s="229"/>
      <c r="AH8" s="2589"/>
      <c r="AI8" s="2560"/>
      <c r="AJ8" s="2589"/>
      <c r="AK8" s="2560"/>
      <c r="AL8" s="2560"/>
      <c r="AM8" s="2560"/>
      <c r="AN8" s="2560"/>
      <c r="AO8" s="2560"/>
      <c r="AP8" s="1245"/>
      <c r="AQ8" s="1245"/>
      <c r="AR8" s="1245"/>
      <c r="AS8" s="1245"/>
      <c r="AT8" s="1245"/>
      <c r="AU8" s="1245"/>
      <c r="AV8" s="1245"/>
      <c r="AW8" s="1245"/>
      <c r="AX8" s="1245"/>
      <c r="AY8" s="1245"/>
      <c r="AZ8" s="1245"/>
      <c r="BA8" s="1245"/>
      <c r="BB8" s="1245"/>
      <c r="BC8" s="1245"/>
      <c r="BD8" s="1245"/>
      <c r="BE8" s="1245"/>
      <c r="BF8" s="2589"/>
      <c r="BG8" s="1245"/>
      <c r="BH8" s="1245"/>
      <c r="BI8" s="1245"/>
      <c r="BJ8" s="1245"/>
      <c r="BK8" s="1245"/>
      <c r="BL8" s="1245"/>
    </row>
    <row r="9" spans="2:64" ht="15.75" customHeight="1" thickTop="1">
      <c r="B9" s="93" t="s">
        <v>11852</v>
      </c>
      <c r="C9" s="94" t="s">
        <v>137</v>
      </c>
      <c r="D9" s="94">
        <v>3</v>
      </c>
      <c r="E9" s="1508">
        <v>0</v>
      </c>
      <c r="F9" s="1508">
        <v>0.27600000000000002</v>
      </c>
      <c r="G9" s="1508">
        <v>0</v>
      </c>
      <c r="H9" s="1508">
        <v>0.04</v>
      </c>
      <c r="I9" s="1508">
        <v>0</v>
      </c>
      <c r="J9" s="1508">
        <v>0</v>
      </c>
      <c r="K9" s="2042">
        <v>0</v>
      </c>
      <c r="L9" s="1973"/>
      <c r="M9" s="2044">
        <v>0</v>
      </c>
      <c r="N9" s="1508">
        <v>2.8000000000000001E-2</v>
      </c>
      <c r="O9" s="1508">
        <v>5.7000000000000002E-2</v>
      </c>
      <c r="P9" s="1508">
        <v>5.7000000000000002E-2</v>
      </c>
      <c r="Q9" s="1508">
        <v>5.7000000000000002E-2</v>
      </c>
      <c r="R9" s="1508">
        <v>5.7000000000000002E-2</v>
      </c>
      <c r="S9" s="2042">
        <v>5.7000000000000002E-2</v>
      </c>
      <c r="T9" s="1974"/>
      <c r="U9" s="1975" t="s">
        <v>11852</v>
      </c>
      <c r="V9" s="1508">
        <v>11146</v>
      </c>
      <c r="W9" s="1508" t="s">
        <v>6261</v>
      </c>
      <c r="X9" s="1508">
        <v>0.5</v>
      </c>
      <c r="Y9" s="2197"/>
      <c r="Z9" s="2327"/>
      <c r="AA9" s="2327"/>
      <c r="AB9" s="2327"/>
      <c r="AC9" s="2327"/>
      <c r="AD9" s="2328"/>
      <c r="AE9" s="88"/>
      <c r="AF9" s="95" t="s">
        <v>11853</v>
      </c>
      <c r="AG9" s="229"/>
      <c r="AH9" s="2589"/>
      <c r="AI9" s="1121"/>
      <c r="AJ9" s="2589"/>
      <c r="AK9" s="252">
        <f xml:space="preserve"> IF(SUM($E9:$K9,$M9:$S9,$V9:$AD9)&gt;0,IF( ISNUMBER(E9 ), 0, 1 ),0)</f>
        <v>0</v>
      </c>
      <c r="AL9" s="252">
        <f t="shared" ref="AL9:AL72" si="0" xml:space="preserve"> IF(SUM($E9:$K9,$M9:$S9,$V9:$AD9)&gt;0,IF( ISNUMBER(F9 ), 0, 1 ),0)</f>
        <v>0</v>
      </c>
      <c r="AM9" s="252">
        <f t="shared" ref="AM9:AM72" si="1" xml:space="preserve"> IF(SUM($E9:$K9,$M9:$S9,$V9:$AD9)&gt;0,IF( ISNUMBER(G9 ), 0, 1 ),0)</f>
        <v>0</v>
      </c>
      <c r="AN9" s="252">
        <f t="shared" ref="AN9:AN72" si="2" xml:space="preserve"> IF(SUM($E9:$K9,$M9:$S9,$V9:$AD9)&gt;0,IF( ISNUMBER(H9 ), 0, 1 ),0)</f>
        <v>0</v>
      </c>
      <c r="AO9" s="252">
        <f t="shared" ref="AO9:AO72" si="3" xml:space="preserve"> IF(SUM($E9:$K9,$M9:$S9,$V9:$AD9)&gt;0,IF( ISNUMBER(I9 ), 0, 1 ),0)</f>
        <v>0</v>
      </c>
      <c r="AP9" s="252">
        <f t="shared" ref="AP9:AP72" si="4" xml:space="preserve"> IF(SUM($E9:$K9,$M9:$S9,$V9:$AD9)&gt;0,IF( ISNUMBER(J9 ), 0, 1 ),0)</f>
        <v>0</v>
      </c>
      <c r="AQ9" s="252">
        <f t="shared" ref="AQ9:AQ72" si="5" xml:space="preserve"> IF(SUM($E9:$K9,$M9:$S9,$V9:$AD9)&gt;0,IF( ISNUMBER(K9 ), 0, 1 ),0)</f>
        <v>0</v>
      </c>
      <c r="AR9" s="2560"/>
      <c r="AS9" s="252">
        <f t="shared" ref="AS9:AS72" si="6" xml:space="preserve"> IF(SUM($E9:$K9,$M9:$S9,$V9:$AD9)&gt;0,IF( ISNUMBER(M9 ), 0, 1 ),0)</f>
        <v>0</v>
      </c>
      <c r="AT9" s="252">
        <f t="shared" ref="AT9:AT72" si="7" xml:space="preserve"> IF(SUM($E9:$K9,$M9:$S9,$V9:$AD9)&gt;0,IF( ISNUMBER(N9 ), 0, 1 ),0)</f>
        <v>0</v>
      </c>
      <c r="AU9" s="252">
        <f t="shared" ref="AU9:AU72" si="8" xml:space="preserve"> IF(SUM($E9:$K9,$M9:$S9,$V9:$AD9)&gt;0,IF( ISNUMBER(O9 ), 0, 1 ),0)</f>
        <v>0</v>
      </c>
      <c r="AV9" s="252">
        <f t="shared" ref="AV9:AV72" si="9" xml:space="preserve"> IF(SUM($E9:$K9,$M9:$S9,$V9:$AD9)&gt;0,IF( ISNUMBER(P9 ), 0, 1 ),0)</f>
        <v>0</v>
      </c>
      <c r="AW9" s="252">
        <f t="shared" ref="AW9:AW72" si="10" xml:space="preserve"> IF(SUM($E9:$K9,$M9:$S9,$V9:$AD9)&gt;0,IF( ISNUMBER(Q9 ), 0, 1 ),0)</f>
        <v>0</v>
      </c>
      <c r="AX9" s="252">
        <f t="shared" ref="AX9:AX72" si="11" xml:space="preserve"> IF(SUM($E9:$K9,$M9:$S9,$V9:$AD9)&gt;0,IF( ISNUMBER(R9 ), 0, 1 ),0)</f>
        <v>0</v>
      </c>
      <c r="AY9" s="252">
        <f t="shared" ref="AY9:AY72" si="12" xml:space="preserve"> IF(SUM($E9:$K9,$M9:$S9,$V9:$AD9)&gt;0,IF( ISNUMBER(S9 ), 0, 1 ),0)</f>
        <v>0</v>
      </c>
      <c r="AZ9" s="2560"/>
      <c r="BA9" s="2560"/>
      <c r="BB9" s="252">
        <f t="shared" ref="BB9:BB72" si="13" xml:space="preserve"> IF(SUM($E9:$K9,$M9:$S9,$V9:$AD9)&gt;0,IF( ISNUMBER(V9 ), 0, 1 ),0)</f>
        <v>0</v>
      </c>
      <c r="BC9" s="252">
        <f t="shared" ref="BC9:BC72" si="14" xml:space="preserve"> IF(SUM($E9:$K9,$M9:$S9,$V9:$AD9)&gt;0,IF( ISNUMBER(W9 ), 0, 1 ),0)</f>
        <v>1</v>
      </c>
      <c r="BD9" s="252">
        <f t="shared" ref="BD9:BD72" si="15" xml:space="preserve"> IF(SUM($E9:$K9,$M9:$S9,$V9:$AD9)&gt;0,IF( ISNUMBER(X9 ), 0, 1 ),0)</f>
        <v>0</v>
      </c>
      <c r="BE9" s="252">
        <f t="shared" ref="BE9:BE72" si="16" xml:space="preserve"> IF(SUM($E9:$K9,$M9:$S9,$V9:$AD9)&gt;0,IF( ISNUMBER(AD9 ), 0, 1 ),0)</f>
        <v>1</v>
      </c>
      <c r="BF9" s="2589"/>
      <c r="BG9" s="1247"/>
      <c r="BH9" s="1247"/>
      <c r="BI9" s="1247"/>
      <c r="BJ9" s="1247"/>
      <c r="BK9" s="1247"/>
      <c r="BL9" s="1247"/>
    </row>
    <row r="10" spans="2:64" ht="15.75" customHeight="1">
      <c r="B10" s="96" t="s">
        <v>11854</v>
      </c>
      <c r="C10" s="97" t="s">
        <v>137</v>
      </c>
      <c r="D10" s="97">
        <v>3</v>
      </c>
      <c r="E10" s="1510">
        <v>1E-3</v>
      </c>
      <c r="F10" s="1510">
        <v>3.5000000000000003E-2</v>
      </c>
      <c r="G10" s="1510">
        <v>0.19</v>
      </c>
      <c r="H10" s="1510">
        <v>0.25700000000000001</v>
      </c>
      <c r="I10" s="1510">
        <v>2.0510000000000002</v>
      </c>
      <c r="J10" s="1510">
        <v>7.4999999999999997E-2</v>
      </c>
      <c r="K10" s="2043">
        <v>0</v>
      </c>
      <c r="L10" s="1973"/>
      <c r="M10" s="2045">
        <v>0</v>
      </c>
      <c r="N10" s="1510">
        <v>0</v>
      </c>
      <c r="O10" s="1510">
        <v>0</v>
      </c>
      <c r="P10" s="1510">
        <v>0</v>
      </c>
      <c r="Q10" s="1510">
        <v>0</v>
      </c>
      <c r="R10" s="1510">
        <v>5.6000000000000001E-2</v>
      </c>
      <c r="S10" s="2043">
        <v>0.112</v>
      </c>
      <c r="T10" s="1974"/>
      <c r="U10" s="1976" t="s">
        <v>11855</v>
      </c>
      <c r="V10" s="1510">
        <v>9856</v>
      </c>
      <c r="W10" s="1510" t="s">
        <v>6261</v>
      </c>
      <c r="X10" s="1510">
        <v>0.5</v>
      </c>
      <c r="Y10" s="2198"/>
      <c r="Z10" s="2329"/>
      <c r="AA10" s="2329"/>
      <c r="AB10" s="2329"/>
      <c r="AC10" s="2329"/>
      <c r="AD10" s="2330"/>
      <c r="AE10" s="88"/>
      <c r="AF10" s="98" t="s">
        <v>11856</v>
      </c>
      <c r="AG10" s="229"/>
      <c r="AH10" s="2589"/>
      <c r="AI10" s="1121"/>
      <c r="AJ10" s="2589"/>
      <c r="AK10" s="252">
        <f t="shared" ref="AK10:AK73" si="17" xml:space="preserve"> IF(SUM($E10:$K10,$M10:$S10,$V10:$AD10)&gt;0,IF( ISNUMBER(E10 ), 0, 1 ),0)</f>
        <v>0</v>
      </c>
      <c r="AL10" s="252">
        <f t="shared" si="0"/>
        <v>0</v>
      </c>
      <c r="AM10" s="252">
        <f t="shared" si="1"/>
        <v>0</v>
      </c>
      <c r="AN10" s="252">
        <f t="shared" si="2"/>
        <v>0</v>
      </c>
      <c r="AO10" s="252">
        <f t="shared" si="3"/>
        <v>0</v>
      </c>
      <c r="AP10" s="252">
        <f t="shared" si="4"/>
        <v>0</v>
      </c>
      <c r="AQ10" s="252">
        <f t="shared" si="5"/>
        <v>0</v>
      </c>
      <c r="AR10" s="2560"/>
      <c r="AS10" s="252">
        <f t="shared" si="6"/>
        <v>0</v>
      </c>
      <c r="AT10" s="252">
        <f t="shared" si="7"/>
        <v>0</v>
      </c>
      <c r="AU10" s="252">
        <f t="shared" si="8"/>
        <v>0</v>
      </c>
      <c r="AV10" s="252">
        <f t="shared" si="9"/>
        <v>0</v>
      </c>
      <c r="AW10" s="252">
        <f t="shared" si="10"/>
        <v>0</v>
      </c>
      <c r="AX10" s="252">
        <f t="shared" si="11"/>
        <v>0</v>
      </c>
      <c r="AY10" s="252">
        <f t="shared" si="12"/>
        <v>0</v>
      </c>
      <c r="AZ10" s="2560"/>
      <c r="BA10" s="2560"/>
      <c r="BB10" s="252">
        <f t="shared" si="13"/>
        <v>0</v>
      </c>
      <c r="BC10" s="252">
        <f t="shared" si="14"/>
        <v>1</v>
      </c>
      <c r="BD10" s="252">
        <f t="shared" si="15"/>
        <v>0</v>
      </c>
      <c r="BE10" s="252">
        <f t="shared" si="16"/>
        <v>1</v>
      </c>
      <c r="BF10" s="2589"/>
      <c r="BG10" s="1247"/>
      <c r="BH10" s="1247"/>
      <c r="BI10" s="1247"/>
      <c r="BJ10" s="1247"/>
      <c r="BK10" s="1247"/>
      <c r="BL10" s="1247"/>
    </row>
    <row r="11" spans="2:64" ht="15.75" customHeight="1">
      <c r="B11" s="96" t="s">
        <v>11857</v>
      </c>
      <c r="C11" s="97" t="s">
        <v>137</v>
      </c>
      <c r="D11" s="97">
        <v>3</v>
      </c>
      <c r="E11" s="1510">
        <v>4.0000000000000001E-3</v>
      </c>
      <c r="F11" s="1510">
        <v>5.3999999999999999E-2</v>
      </c>
      <c r="G11" s="1510">
        <v>0.254</v>
      </c>
      <c r="H11" s="1510">
        <v>6.1429999999999998</v>
      </c>
      <c r="I11" s="1510">
        <v>3.0649999999999999</v>
      </c>
      <c r="J11" s="1510">
        <v>1.337</v>
      </c>
      <c r="K11" s="2043">
        <v>0</v>
      </c>
      <c r="L11" s="1973"/>
      <c r="M11" s="2045">
        <v>0</v>
      </c>
      <c r="N11" s="1510">
        <v>0</v>
      </c>
      <c r="O11" s="1510">
        <v>0</v>
      </c>
      <c r="P11" s="1510">
        <v>0</v>
      </c>
      <c r="Q11" s="1510">
        <v>0</v>
      </c>
      <c r="R11" s="1510">
        <v>8.8999999999999996E-2</v>
      </c>
      <c r="S11" s="2043">
        <v>0.17799999999999999</v>
      </c>
      <c r="T11" s="1974"/>
      <c r="U11" s="1976" t="s">
        <v>11858</v>
      </c>
      <c r="V11" s="1510">
        <v>26913</v>
      </c>
      <c r="W11" s="1510" t="s">
        <v>6261</v>
      </c>
      <c r="X11" s="1510">
        <v>0.3</v>
      </c>
      <c r="Y11" s="2198"/>
      <c r="Z11" s="2329"/>
      <c r="AA11" s="2329"/>
      <c r="AB11" s="2329"/>
      <c r="AC11" s="2329"/>
      <c r="AD11" s="2330"/>
      <c r="AE11" s="88"/>
      <c r="AF11" s="98" t="s">
        <v>11859</v>
      </c>
      <c r="AG11" s="229"/>
      <c r="AH11" s="2589"/>
      <c r="AI11" s="1121"/>
      <c r="AJ11" s="2589"/>
      <c r="AK11" s="252">
        <f t="shared" si="17"/>
        <v>0</v>
      </c>
      <c r="AL11" s="252">
        <f t="shared" si="0"/>
        <v>0</v>
      </c>
      <c r="AM11" s="252">
        <f t="shared" si="1"/>
        <v>0</v>
      </c>
      <c r="AN11" s="252">
        <f t="shared" si="2"/>
        <v>0</v>
      </c>
      <c r="AO11" s="252">
        <f t="shared" si="3"/>
        <v>0</v>
      </c>
      <c r="AP11" s="252">
        <f t="shared" si="4"/>
        <v>0</v>
      </c>
      <c r="AQ11" s="252">
        <f t="shared" si="5"/>
        <v>0</v>
      </c>
      <c r="AR11" s="2560"/>
      <c r="AS11" s="252">
        <f t="shared" si="6"/>
        <v>0</v>
      </c>
      <c r="AT11" s="252">
        <f t="shared" si="7"/>
        <v>0</v>
      </c>
      <c r="AU11" s="252">
        <f t="shared" si="8"/>
        <v>0</v>
      </c>
      <c r="AV11" s="252">
        <f t="shared" si="9"/>
        <v>0</v>
      </c>
      <c r="AW11" s="252">
        <f t="shared" si="10"/>
        <v>0</v>
      </c>
      <c r="AX11" s="252">
        <f t="shared" si="11"/>
        <v>0</v>
      </c>
      <c r="AY11" s="252">
        <f t="shared" si="12"/>
        <v>0</v>
      </c>
      <c r="AZ11" s="2560"/>
      <c r="BA11" s="2560"/>
      <c r="BB11" s="252">
        <f t="shared" si="13"/>
        <v>0</v>
      </c>
      <c r="BC11" s="252">
        <f t="shared" si="14"/>
        <v>1</v>
      </c>
      <c r="BD11" s="252">
        <f t="shared" si="15"/>
        <v>0</v>
      </c>
      <c r="BE11" s="252">
        <f t="shared" si="16"/>
        <v>1</v>
      </c>
      <c r="BF11" s="2589"/>
      <c r="BG11" s="1247"/>
      <c r="BH11" s="1247"/>
      <c r="BI11" s="1247"/>
      <c r="BJ11" s="1247"/>
      <c r="BK11" s="1247"/>
      <c r="BL11" s="1247"/>
    </row>
    <row r="12" spans="2:64" ht="15.75" customHeight="1">
      <c r="B12" s="96" t="s">
        <v>11860</v>
      </c>
      <c r="C12" s="97" t="s">
        <v>137</v>
      </c>
      <c r="D12" s="97">
        <v>3</v>
      </c>
      <c r="E12" s="1510">
        <v>1E-3</v>
      </c>
      <c r="F12" s="1510">
        <v>8.6999999999999994E-2</v>
      </c>
      <c r="G12" s="1510">
        <v>0.48599999999999999</v>
      </c>
      <c r="H12" s="1510">
        <v>0.72899999999999998</v>
      </c>
      <c r="I12" s="1510">
        <v>2.5219999999999998</v>
      </c>
      <c r="J12" s="1510">
        <v>0.27200000000000002</v>
      </c>
      <c r="K12" s="2043">
        <v>0</v>
      </c>
      <c r="L12" s="1977"/>
      <c r="M12" s="2045">
        <v>0</v>
      </c>
      <c r="N12" s="1510">
        <v>0</v>
      </c>
      <c r="O12" s="1510">
        <v>0</v>
      </c>
      <c r="P12" s="1510">
        <v>0</v>
      </c>
      <c r="Q12" s="1510">
        <v>0</v>
      </c>
      <c r="R12" s="1510">
        <v>0.1835</v>
      </c>
      <c r="S12" s="2043">
        <v>0.36699999999999999</v>
      </c>
      <c r="T12" s="1974"/>
      <c r="U12" s="1976" t="s">
        <v>11861</v>
      </c>
      <c r="V12" s="1510">
        <v>127978</v>
      </c>
      <c r="W12" s="1510" t="s">
        <v>6261</v>
      </c>
      <c r="X12" s="1510">
        <v>0.7</v>
      </c>
      <c r="Y12" s="2198"/>
      <c r="Z12" s="2329"/>
      <c r="AA12" s="2329"/>
      <c r="AB12" s="2329"/>
      <c r="AC12" s="2329"/>
      <c r="AD12" s="2330"/>
      <c r="AE12" s="88"/>
      <c r="AF12" s="98" t="s">
        <v>11862</v>
      </c>
      <c r="AG12" s="229"/>
      <c r="AH12" s="2589"/>
      <c r="AI12" s="1121"/>
      <c r="AJ12" s="2589"/>
      <c r="AK12" s="252">
        <f t="shared" si="17"/>
        <v>0</v>
      </c>
      <c r="AL12" s="252">
        <f t="shared" si="0"/>
        <v>0</v>
      </c>
      <c r="AM12" s="252">
        <f t="shared" si="1"/>
        <v>0</v>
      </c>
      <c r="AN12" s="252">
        <f t="shared" si="2"/>
        <v>0</v>
      </c>
      <c r="AO12" s="252">
        <f t="shared" si="3"/>
        <v>0</v>
      </c>
      <c r="AP12" s="252">
        <f t="shared" si="4"/>
        <v>0</v>
      </c>
      <c r="AQ12" s="252">
        <f t="shared" si="5"/>
        <v>0</v>
      </c>
      <c r="AR12" s="2560"/>
      <c r="AS12" s="252">
        <f t="shared" si="6"/>
        <v>0</v>
      </c>
      <c r="AT12" s="252">
        <f t="shared" si="7"/>
        <v>0</v>
      </c>
      <c r="AU12" s="252">
        <f t="shared" si="8"/>
        <v>0</v>
      </c>
      <c r="AV12" s="252">
        <f t="shared" si="9"/>
        <v>0</v>
      </c>
      <c r="AW12" s="252">
        <f t="shared" si="10"/>
        <v>0</v>
      </c>
      <c r="AX12" s="252">
        <f t="shared" si="11"/>
        <v>0</v>
      </c>
      <c r="AY12" s="252">
        <f t="shared" si="12"/>
        <v>0</v>
      </c>
      <c r="AZ12" s="2560"/>
      <c r="BA12" s="2560"/>
      <c r="BB12" s="252">
        <f t="shared" si="13"/>
        <v>0</v>
      </c>
      <c r="BC12" s="252">
        <f t="shared" si="14"/>
        <v>1</v>
      </c>
      <c r="BD12" s="252">
        <f t="shared" si="15"/>
        <v>0</v>
      </c>
      <c r="BE12" s="252">
        <f t="shared" si="16"/>
        <v>1</v>
      </c>
      <c r="BF12" s="2589"/>
      <c r="BG12" s="1247"/>
      <c r="BH12" s="1247"/>
      <c r="BI12" s="1247"/>
      <c r="BJ12" s="1247"/>
      <c r="BK12" s="1247"/>
      <c r="BL12" s="1247"/>
    </row>
    <row r="13" spans="2:64" ht="15.75" customHeight="1">
      <c r="B13" s="96" t="s">
        <v>11863</v>
      </c>
      <c r="C13" s="97" t="s">
        <v>137</v>
      </c>
      <c r="D13" s="97">
        <v>3</v>
      </c>
      <c r="E13" s="1510">
        <v>0</v>
      </c>
      <c r="F13" s="1510">
        <v>0.191</v>
      </c>
      <c r="G13" s="1510">
        <v>0.11</v>
      </c>
      <c r="H13" s="1510">
        <v>2.4E-2</v>
      </c>
      <c r="I13" s="1510">
        <v>0.309</v>
      </c>
      <c r="J13" s="1510">
        <v>0</v>
      </c>
      <c r="K13" s="2043">
        <v>0</v>
      </c>
      <c r="L13" s="1977"/>
      <c r="M13" s="2045">
        <v>0</v>
      </c>
      <c r="N13" s="1510">
        <v>0</v>
      </c>
      <c r="O13" s="1510">
        <v>0</v>
      </c>
      <c r="P13" s="1510">
        <v>0</v>
      </c>
      <c r="Q13" s="1510">
        <v>0</v>
      </c>
      <c r="R13" s="1510">
        <v>2.5499999999999998E-2</v>
      </c>
      <c r="S13" s="2043">
        <v>5.0999999999999997E-2</v>
      </c>
      <c r="T13" s="1974"/>
      <c r="U13" s="1976" t="s">
        <v>11864</v>
      </c>
      <c r="V13" s="1510">
        <v>22605</v>
      </c>
      <c r="W13" s="1510">
        <v>2</v>
      </c>
      <c r="X13" s="1510">
        <v>0.25</v>
      </c>
      <c r="Y13" s="2198"/>
      <c r="Z13" s="2329"/>
      <c r="AA13" s="2329"/>
      <c r="AB13" s="2329"/>
      <c r="AC13" s="2329"/>
      <c r="AD13" s="2330"/>
      <c r="AE13" s="88"/>
      <c r="AF13" s="98" t="s">
        <v>11865</v>
      </c>
      <c r="AG13" s="229"/>
      <c r="AH13" s="2589"/>
      <c r="AI13" s="1121"/>
      <c r="AJ13" s="2589"/>
      <c r="AK13" s="252">
        <f t="shared" si="17"/>
        <v>0</v>
      </c>
      <c r="AL13" s="252">
        <f t="shared" si="0"/>
        <v>0</v>
      </c>
      <c r="AM13" s="252">
        <f t="shared" si="1"/>
        <v>0</v>
      </c>
      <c r="AN13" s="252">
        <f t="shared" si="2"/>
        <v>0</v>
      </c>
      <c r="AO13" s="252">
        <f t="shared" si="3"/>
        <v>0</v>
      </c>
      <c r="AP13" s="252">
        <f t="shared" si="4"/>
        <v>0</v>
      </c>
      <c r="AQ13" s="252">
        <f t="shared" si="5"/>
        <v>0</v>
      </c>
      <c r="AR13" s="2560"/>
      <c r="AS13" s="252">
        <f t="shared" si="6"/>
        <v>0</v>
      </c>
      <c r="AT13" s="252">
        <f t="shared" si="7"/>
        <v>0</v>
      </c>
      <c r="AU13" s="252">
        <f t="shared" si="8"/>
        <v>0</v>
      </c>
      <c r="AV13" s="252">
        <f t="shared" si="9"/>
        <v>0</v>
      </c>
      <c r="AW13" s="252">
        <f t="shared" si="10"/>
        <v>0</v>
      </c>
      <c r="AX13" s="252">
        <f t="shared" si="11"/>
        <v>0</v>
      </c>
      <c r="AY13" s="252">
        <f t="shared" si="12"/>
        <v>0</v>
      </c>
      <c r="AZ13" s="2560"/>
      <c r="BA13" s="2560"/>
      <c r="BB13" s="252">
        <f t="shared" si="13"/>
        <v>0</v>
      </c>
      <c r="BC13" s="252">
        <f t="shared" si="14"/>
        <v>0</v>
      </c>
      <c r="BD13" s="252">
        <f t="shared" si="15"/>
        <v>0</v>
      </c>
      <c r="BE13" s="252">
        <f t="shared" si="16"/>
        <v>1</v>
      </c>
      <c r="BF13" s="2589"/>
      <c r="BG13" s="1247"/>
      <c r="BH13" s="1247"/>
      <c r="BI13" s="1247"/>
      <c r="BJ13" s="1247"/>
      <c r="BK13" s="1247"/>
      <c r="BL13" s="1247"/>
    </row>
    <row r="14" spans="2:64" ht="15.75" customHeight="1">
      <c r="B14" s="96" t="s">
        <v>11866</v>
      </c>
      <c r="C14" s="97" t="s">
        <v>137</v>
      </c>
      <c r="D14" s="97">
        <v>3</v>
      </c>
      <c r="E14" s="1510">
        <v>2E-3</v>
      </c>
      <c r="F14" s="1510">
        <v>0.14299999999999999</v>
      </c>
      <c r="G14" s="1510">
        <v>0.13</v>
      </c>
      <c r="H14" s="1510">
        <v>1.0229999999999999</v>
      </c>
      <c r="I14" s="1510">
        <v>1.6419999999999999</v>
      </c>
      <c r="J14" s="1510">
        <v>3.4</v>
      </c>
      <c r="K14" s="2043">
        <v>0</v>
      </c>
      <c r="L14" s="1977"/>
      <c r="M14" s="2045">
        <v>0</v>
      </c>
      <c r="N14" s="1510">
        <v>0</v>
      </c>
      <c r="O14" s="1510">
        <v>0</v>
      </c>
      <c r="P14" s="1510">
        <v>0</v>
      </c>
      <c r="Q14" s="1510">
        <v>0</v>
      </c>
      <c r="R14" s="1510">
        <v>4.9500000000000002E-2</v>
      </c>
      <c r="S14" s="2043">
        <v>9.9000000000000005E-2</v>
      </c>
      <c r="T14" s="1974"/>
      <c r="U14" s="1976" t="s">
        <v>11867</v>
      </c>
      <c r="V14" s="1510">
        <v>26146</v>
      </c>
      <c r="W14" s="1510" t="s">
        <v>6261</v>
      </c>
      <c r="X14" s="1510">
        <v>0.25</v>
      </c>
      <c r="Y14" s="2198"/>
      <c r="Z14" s="2329"/>
      <c r="AA14" s="2329"/>
      <c r="AB14" s="2329"/>
      <c r="AC14" s="2329"/>
      <c r="AD14" s="2330"/>
      <c r="AE14" s="88"/>
      <c r="AF14" s="98" t="s">
        <v>11868</v>
      </c>
      <c r="AG14" s="222"/>
      <c r="AH14" s="2589"/>
      <c r="AI14" s="1121"/>
      <c r="AJ14" s="2589"/>
      <c r="AK14" s="252">
        <f t="shared" si="17"/>
        <v>0</v>
      </c>
      <c r="AL14" s="252">
        <f t="shared" si="0"/>
        <v>0</v>
      </c>
      <c r="AM14" s="252">
        <f t="shared" si="1"/>
        <v>0</v>
      </c>
      <c r="AN14" s="252">
        <f t="shared" si="2"/>
        <v>0</v>
      </c>
      <c r="AO14" s="252">
        <f t="shared" si="3"/>
        <v>0</v>
      </c>
      <c r="AP14" s="252">
        <f t="shared" si="4"/>
        <v>0</v>
      </c>
      <c r="AQ14" s="252">
        <f t="shared" si="5"/>
        <v>0</v>
      </c>
      <c r="AR14" s="2560"/>
      <c r="AS14" s="252">
        <f t="shared" si="6"/>
        <v>0</v>
      </c>
      <c r="AT14" s="252">
        <f t="shared" si="7"/>
        <v>0</v>
      </c>
      <c r="AU14" s="252">
        <f t="shared" si="8"/>
        <v>0</v>
      </c>
      <c r="AV14" s="252">
        <f t="shared" si="9"/>
        <v>0</v>
      </c>
      <c r="AW14" s="252">
        <f t="shared" si="10"/>
        <v>0</v>
      </c>
      <c r="AX14" s="252">
        <f t="shared" si="11"/>
        <v>0</v>
      </c>
      <c r="AY14" s="252">
        <f t="shared" si="12"/>
        <v>0</v>
      </c>
      <c r="AZ14" s="2560"/>
      <c r="BA14" s="2560"/>
      <c r="BB14" s="252">
        <f t="shared" si="13"/>
        <v>0</v>
      </c>
      <c r="BC14" s="252">
        <f t="shared" si="14"/>
        <v>1</v>
      </c>
      <c r="BD14" s="252">
        <f t="shared" si="15"/>
        <v>0</v>
      </c>
      <c r="BE14" s="252">
        <f t="shared" si="16"/>
        <v>1</v>
      </c>
      <c r="BF14" s="2589"/>
      <c r="BG14" s="1247"/>
      <c r="BH14" s="1247"/>
      <c r="BI14" s="1247"/>
      <c r="BJ14" s="1247"/>
      <c r="BK14" s="1247"/>
      <c r="BL14" s="1247"/>
    </row>
    <row r="15" spans="2:64" ht="15.75" customHeight="1">
      <c r="B15" s="96" t="s">
        <v>11869</v>
      </c>
      <c r="C15" s="97" t="s">
        <v>137</v>
      </c>
      <c r="D15" s="97">
        <v>3</v>
      </c>
      <c r="E15" s="1510">
        <v>3.0000000000000001E-3</v>
      </c>
      <c r="F15" s="1510">
        <v>0.08</v>
      </c>
      <c r="G15" s="1510">
        <v>0.127</v>
      </c>
      <c r="H15" s="1510">
        <v>0.81200000000000006</v>
      </c>
      <c r="I15" s="1510">
        <v>1.208</v>
      </c>
      <c r="J15" s="1510">
        <v>0.44600000000000001</v>
      </c>
      <c r="K15" s="2043">
        <v>0</v>
      </c>
      <c r="L15" s="1977"/>
      <c r="M15" s="2045">
        <v>0</v>
      </c>
      <c r="N15" s="1510">
        <v>0</v>
      </c>
      <c r="O15" s="1510">
        <v>0</v>
      </c>
      <c r="P15" s="1510">
        <v>0</v>
      </c>
      <c r="Q15" s="1510">
        <v>0</v>
      </c>
      <c r="R15" s="1510">
        <v>4.4999999999999997E-3</v>
      </c>
      <c r="S15" s="2043">
        <v>8.9999999999999993E-3</v>
      </c>
      <c r="T15" s="1974"/>
      <c r="U15" s="1976" t="s">
        <v>11870</v>
      </c>
      <c r="V15" s="1510">
        <v>484</v>
      </c>
      <c r="W15" s="1510" t="s">
        <v>6261</v>
      </c>
      <c r="X15" s="1510">
        <v>1</v>
      </c>
      <c r="Y15" s="2198"/>
      <c r="Z15" s="2329"/>
      <c r="AA15" s="2329"/>
      <c r="AB15" s="2329"/>
      <c r="AC15" s="2329"/>
      <c r="AD15" s="2330"/>
      <c r="AE15" s="88"/>
      <c r="AF15" s="98" t="s">
        <v>11871</v>
      </c>
      <c r="AG15" s="1168"/>
      <c r="AH15" s="2589"/>
      <c r="AI15" s="1121"/>
      <c r="AJ15" s="2589"/>
      <c r="AK15" s="252">
        <f t="shared" si="17"/>
        <v>0</v>
      </c>
      <c r="AL15" s="252">
        <f t="shared" si="0"/>
        <v>0</v>
      </c>
      <c r="AM15" s="252">
        <f t="shared" si="1"/>
        <v>0</v>
      </c>
      <c r="AN15" s="252">
        <f t="shared" si="2"/>
        <v>0</v>
      </c>
      <c r="AO15" s="252">
        <f t="shared" si="3"/>
        <v>0</v>
      </c>
      <c r="AP15" s="252">
        <f t="shared" si="4"/>
        <v>0</v>
      </c>
      <c r="AQ15" s="252">
        <f t="shared" si="5"/>
        <v>0</v>
      </c>
      <c r="AR15" s="2560"/>
      <c r="AS15" s="252">
        <f t="shared" si="6"/>
        <v>0</v>
      </c>
      <c r="AT15" s="252">
        <f t="shared" si="7"/>
        <v>0</v>
      </c>
      <c r="AU15" s="252">
        <f t="shared" si="8"/>
        <v>0</v>
      </c>
      <c r="AV15" s="252">
        <f t="shared" si="9"/>
        <v>0</v>
      </c>
      <c r="AW15" s="252">
        <f t="shared" si="10"/>
        <v>0</v>
      </c>
      <c r="AX15" s="252">
        <f t="shared" si="11"/>
        <v>0</v>
      </c>
      <c r="AY15" s="252">
        <f t="shared" si="12"/>
        <v>0</v>
      </c>
      <c r="AZ15" s="2560"/>
      <c r="BA15" s="2560"/>
      <c r="BB15" s="252">
        <f t="shared" si="13"/>
        <v>0</v>
      </c>
      <c r="BC15" s="252">
        <f t="shared" si="14"/>
        <v>1</v>
      </c>
      <c r="BD15" s="252">
        <f t="shared" si="15"/>
        <v>0</v>
      </c>
      <c r="BE15" s="252">
        <f t="shared" si="16"/>
        <v>1</v>
      </c>
      <c r="BF15" s="2589"/>
      <c r="BG15" s="1247"/>
      <c r="BH15" s="1247"/>
      <c r="BI15" s="1247"/>
      <c r="BJ15" s="1247"/>
      <c r="BK15" s="1247"/>
      <c r="BL15" s="1247"/>
    </row>
    <row r="16" spans="2:64" ht="15.75" customHeight="1">
      <c r="B16" s="96" t="s">
        <v>11872</v>
      </c>
      <c r="C16" s="97" t="s">
        <v>137</v>
      </c>
      <c r="D16" s="97">
        <v>3</v>
      </c>
      <c r="E16" s="1510">
        <v>1.2999999999999999E-2</v>
      </c>
      <c r="F16" s="1510">
        <v>0.34899999999999998</v>
      </c>
      <c r="G16" s="1510">
        <v>2.0539999999999998</v>
      </c>
      <c r="H16" s="1510">
        <v>6.718</v>
      </c>
      <c r="I16" s="1510">
        <v>20.890999999999998</v>
      </c>
      <c r="J16" s="1510">
        <v>10.085000000000001</v>
      </c>
      <c r="K16" s="2043">
        <v>0</v>
      </c>
      <c r="L16" s="1977"/>
      <c r="M16" s="2045">
        <v>0</v>
      </c>
      <c r="N16" s="1510">
        <v>0</v>
      </c>
      <c r="O16" s="1510">
        <v>0</v>
      </c>
      <c r="P16" s="1510">
        <v>0</v>
      </c>
      <c r="Q16" s="1510">
        <v>0</v>
      </c>
      <c r="R16" s="1510">
        <v>0.93700000000000006</v>
      </c>
      <c r="S16" s="2043">
        <v>1.8740000000000001</v>
      </c>
      <c r="T16" s="1974"/>
      <c r="U16" s="1976" t="s">
        <v>11872</v>
      </c>
      <c r="V16" s="1510">
        <v>622737</v>
      </c>
      <c r="W16" s="1510" t="s">
        <v>6261</v>
      </c>
      <c r="X16" s="1510">
        <v>0.3</v>
      </c>
      <c r="Y16" s="2198"/>
      <c r="Z16" s="2329"/>
      <c r="AA16" s="2329"/>
      <c r="AB16" s="2329"/>
      <c r="AC16" s="2329"/>
      <c r="AD16" s="2330"/>
      <c r="AE16" s="88"/>
      <c r="AF16" s="98" t="s">
        <v>11873</v>
      </c>
      <c r="AG16" s="1168"/>
      <c r="AH16" s="2589"/>
      <c r="AI16" s="1121"/>
      <c r="AJ16" s="2589"/>
      <c r="AK16" s="252">
        <f t="shared" si="17"/>
        <v>0</v>
      </c>
      <c r="AL16" s="252">
        <f t="shared" si="0"/>
        <v>0</v>
      </c>
      <c r="AM16" s="252">
        <f t="shared" si="1"/>
        <v>0</v>
      </c>
      <c r="AN16" s="252">
        <f t="shared" si="2"/>
        <v>0</v>
      </c>
      <c r="AO16" s="252">
        <f t="shared" si="3"/>
        <v>0</v>
      </c>
      <c r="AP16" s="252">
        <f t="shared" si="4"/>
        <v>0</v>
      </c>
      <c r="AQ16" s="252">
        <f t="shared" si="5"/>
        <v>0</v>
      </c>
      <c r="AR16" s="2560"/>
      <c r="AS16" s="252">
        <f t="shared" si="6"/>
        <v>0</v>
      </c>
      <c r="AT16" s="252">
        <f t="shared" si="7"/>
        <v>0</v>
      </c>
      <c r="AU16" s="252">
        <f t="shared" si="8"/>
        <v>0</v>
      </c>
      <c r="AV16" s="252">
        <f t="shared" si="9"/>
        <v>0</v>
      </c>
      <c r="AW16" s="252">
        <f t="shared" si="10"/>
        <v>0</v>
      </c>
      <c r="AX16" s="252">
        <f t="shared" si="11"/>
        <v>0</v>
      </c>
      <c r="AY16" s="252">
        <f t="shared" si="12"/>
        <v>0</v>
      </c>
      <c r="AZ16" s="2560"/>
      <c r="BA16" s="2560"/>
      <c r="BB16" s="252">
        <f t="shared" si="13"/>
        <v>0</v>
      </c>
      <c r="BC16" s="252">
        <f t="shared" si="14"/>
        <v>1</v>
      </c>
      <c r="BD16" s="252">
        <f t="shared" si="15"/>
        <v>0</v>
      </c>
      <c r="BE16" s="252">
        <f t="shared" si="16"/>
        <v>1</v>
      </c>
      <c r="BF16" s="2589"/>
      <c r="BG16" s="1247"/>
      <c r="BH16" s="1247"/>
      <c r="BI16" s="1247"/>
      <c r="BJ16" s="1247"/>
      <c r="BK16" s="1247"/>
      <c r="BL16" s="1247"/>
    </row>
    <row r="17" spans="2:64" ht="15.75" customHeight="1">
      <c r="B17" s="96" t="s">
        <v>11874</v>
      </c>
      <c r="C17" s="97" t="s">
        <v>137</v>
      </c>
      <c r="D17" s="97">
        <v>3</v>
      </c>
      <c r="E17" s="1510">
        <v>5.0000000000000001E-3</v>
      </c>
      <c r="F17" s="1510">
        <v>0.14299999999999999</v>
      </c>
      <c r="G17" s="1510">
        <v>0.29099999999999998</v>
      </c>
      <c r="H17" s="1510">
        <v>0.78700000000000003</v>
      </c>
      <c r="I17" s="1510">
        <v>2.661</v>
      </c>
      <c r="J17" s="1510">
        <v>0.437</v>
      </c>
      <c r="K17" s="2043">
        <v>0</v>
      </c>
      <c r="L17" s="1977"/>
      <c r="M17" s="2045">
        <v>0</v>
      </c>
      <c r="N17" s="1510">
        <v>0</v>
      </c>
      <c r="O17" s="1510">
        <v>0</v>
      </c>
      <c r="P17" s="1510">
        <v>0</v>
      </c>
      <c r="Q17" s="1510">
        <v>0</v>
      </c>
      <c r="R17" s="1510">
        <v>3.9E-2</v>
      </c>
      <c r="S17" s="2043">
        <v>7.8E-2</v>
      </c>
      <c r="T17" s="1974"/>
      <c r="U17" s="1976" t="s">
        <v>11875</v>
      </c>
      <c r="V17" s="1510">
        <v>11848</v>
      </c>
      <c r="W17" s="1510" t="s">
        <v>6261</v>
      </c>
      <c r="X17" s="1510">
        <v>0.3</v>
      </c>
      <c r="Y17" s="2198"/>
      <c r="Z17" s="2329"/>
      <c r="AA17" s="2329"/>
      <c r="AB17" s="2329"/>
      <c r="AC17" s="2329"/>
      <c r="AD17" s="2330"/>
      <c r="AE17" s="88"/>
      <c r="AF17" s="98" t="s">
        <v>11876</v>
      </c>
      <c r="AG17" s="1168"/>
      <c r="AH17" s="2589"/>
      <c r="AI17" s="1121"/>
      <c r="AJ17" s="2589"/>
      <c r="AK17" s="252">
        <f t="shared" si="17"/>
        <v>0</v>
      </c>
      <c r="AL17" s="252">
        <f t="shared" si="0"/>
        <v>0</v>
      </c>
      <c r="AM17" s="252">
        <f t="shared" si="1"/>
        <v>0</v>
      </c>
      <c r="AN17" s="252">
        <f t="shared" si="2"/>
        <v>0</v>
      </c>
      <c r="AO17" s="252">
        <f t="shared" si="3"/>
        <v>0</v>
      </c>
      <c r="AP17" s="252">
        <f t="shared" si="4"/>
        <v>0</v>
      </c>
      <c r="AQ17" s="252">
        <f t="shared" si="5"/>
        <v>0</v>
      </c>
      <c r="AR17" s="2560"/>
      <c r="AS17" s="252">
        <f t="shared" si="6"/>
        <v>0</v>
      </c>
      <c r="AT17" s="252">
        <f t="shared" si="7"/>
        <v>0</v>
      </c>
      <c r="AU17" s="252">
        <f t="shared" si="8"/>
        <v>0</v>
      </c>
      <c r="AV17" s="252">
        <f t="shared" si="9"/>
        <v>0</v>
      </c>
      <c r="AW17" s="252">
        <f t="shared" si="10"/>
        <v>0</v>
      </c>
      <c r="AX17" s="252">
        <f t="shared" si="11"/>
        <v>0</v>
      </c>
      <c r="AY17" s="252">
        <f t="shared" si="12"/>
        <v>0</v>
      </c>
      <c r="AZ17" s="2560"/>
      <c r="BA17" s="2560"/>
      <c r="BB17" s="252">
        <f t="shared" si="13"/>
        <v>0</v>
      </c>
      <c r="BC17" s="252">
        <f t="shared" si="14"/>
        <v>1</v>
      </c>
      <c r="BD17" s="252">
        <f t="shared" si="15"/>
        <v>0</v>
      </c>
      <c r="BE17" s="252">
        <f t="shared" si="16"/>
        <v>1</v>
      </c>
      <c r="BF17" s="2589"/>
      <c r="BG17" s="1247"/>
      <c r="BH17" s="1247"/>
      <c r="BI17" s="1247"/>
      <c r="BJ17" s="1247"/>
      <c r="BK17" s="1247"/>
      <c r="BL17" s="1247"/>
    </row>
    <row r="18" spans="2:64" ht="15.75" customHeight="1">
      <c r="B18" s="96" t="s">
        <v>11877</v>
      </c>
      <c r="C18" s="97" t="s">
        <v>137</v>
      </c>
      <c r="D18" s="97">
        <v>3</v>
      </c>
      <c r="E18" s="1510">
        <v>1E-3</v>
      </c>
      <c r="F18" s="1510">
        <v>7.3999999999999996E-2</v>
      </c>
      <c r="G18" s="1510">
        <v>0.19</v>
      </c>
      <c r="H18" s="1510">
        <v>0.4</v>
      </c>
      <c r="I18" s="1510">
        <v>0.88900000000000001</v>
      </c>
      <c r="J18" s="1510">
        <v>0.95499999999999996</v>
      </c>
      <c r="K18" s="2043">
        <v>0</v>
      </c>
      <c r="L18" s="1977"/>
      <c r="M18" s="2045">
        <v>0</v>
      </c>
      <c r="N18" s="1510">
        <v>0</v>
      </c>
      <c r="O18" s="1510">
        <v>0</v>
      </c>
      <c r="P18" s="1510">
        <v>0</v>
      </c>
      <c r="Q18" s="1510">
        <v>0</v>
      </c>
      <c r="R18" s="1510">
        <v>4.7E-2</v>
      </c>
      <c r="S18" s="2043">
        <v>9.4E-2</v>
      </c>
      <c r="T18" s="1974"/>
      <c r="U18" s="1976" t="s">
        <v>11878</v>
      </c>
      <c r="V18" s="1510">
        <v>32774</v>
      </c>
      <c r="W18" s="1510" t="s">
        <v>6261</v>
      </c>
      <c r="X18" s="1510">
        <v>2</v>
      </c>
      <c r="Y18" s="2198"/>
      <c r="Z18" s="2329"/>
      <c r="AA18" s="2329"/>
      <c r="AB18" s="2329"/>
      <c r="AC18" s="2329"/>
      <c r="AD18" s="2330"/>
      <c r="AE18" s="88"/>
      <c r="AF18" s="98" t="s">
        <v>11879</v>
      </c>
      <c r="AG18" s="1168"/>
      <c r="AH18" s="2589"/>
      <c r="AI18" s="1121"/>
      <c r="AJ18" s="2589"/>
      <c r="AK18" s="252">
        <f t="shared" si="17"/>
        <v>0</v>
      </c>
      <c r="AL18" s="252">
        <f t="shared" si="0"/>
        <v>0</v>
      </c>
      <c r="AM18" s="252">
        <f t="shared" si="1"/>
        <v>0</v>
      </c>
      <c r="AN18" s="252">
        <f t="shared" si="2"/>
        <v>0</v>
      </c>
      <c r="AO18" s="252">
        <f t="shared" si="3"/>
        <v>0</v>
      </c>
      <c r="AP18" s="252">
        <f t="shared" si="4"/>
        <v>0</v>
      </c>
      <c r="AQ18" s="252">
        <f t="shared" si="5"/>
        <v>0</v>
      </c>
      <c r="AR18" s="2560"/>
      <c r="AS18" s="252">
        <f t="shared" si="6"/>
        <v>0</v>
      </c>
      <c r="AT18" s="252">
        <f t="shared" si="7"/>
        <v>0</v>
      </c>
      <c r="AU18" s="252">
        <f t="shared" si="8"/>
        <v>0</v>
      </c>
      <c r="AV18" s="252">
        <f t="shared" si="9"/>
        <v>0</v>
      </c>
      <c r="AW18" s="252">
        <f t="shared" si="10"/>
        <v>0</v>
      </c>
      <c r="AX18" s="252">
        <f t="shared" si="11"/>
        <v>0</v>
      </c>
      <c r="AY18" s="252">
        <f t="shared" si="12"/>
        <v>0</v>
      </c>
      <c r="AZ18" s="2560"/>
      <c r="BA18" s="2560"/>
      <c r="BB18" s="252">
        <f t="shared" si="13"/>
        <v>0</v>
      </c>
      <c r="BC18" s="252">
        <f t="shared" si="14"/>
        <v>1</v>
      </c>
      <c r="BD18" s="252">
        <f t="shared" si="15"/>
        <v>0</v>
      </c>
      <c r="BE18" s="252">
        <f t="shared" si="16"/>
        <v>1</v>
      </c>
      <c r="BF18" s="2589"/>
      <c r="BG18" s="1247"/>
      <c r="BH18" s="1247"/>
      <c r="BI18" s="1247"/>
      <c r="BJ18" s="1247"/>
      <c r="BK18" s="1247"/>
      <c r="BL18" s="1247"/>
    </row>
    <row r="19" spans="2:64" ht="15.75" customHeight="1">
      <c r="B19" s="96" t="s">
        <v>11880</v>
      </c>
      <c r="C19" s="97" t="s">
        <v>137</v>
      </c>
      <c r="D19" s="97">
        <v>3</v>
      </c>
      <c r="E19" s="1510">
        <v>6.0000000000000001E-3</v>
      </c>
      <c r="F19" s="1510">
        <v>0.23799999999999999</v>
      </c>
      <c r="G19" s="1510">
        <v>2.9910000000000001</v>
      </c>
      <c r="H19" s="1510">
        <v>1.7669999999999999</v>
      </c>
      <c r="I19" s="1510">
        <v>9.59</v>
      </c>
      <c r="J19" s="1510">
        <v>2.794</v>
      </c>
      <c r="K19" s="2043">
        <v>0</v>
      </c>
      <c r="L19" s="1977"/>
      <c r="M19" s="2045">
        <v>0</v>
      </c>
      <c r="N19" s="1510">
        <v>0</v>
      </c>
      <c r="O19" s="1510">
        <v>0</v>
      </c>
      <c r="P19" s="1510">
        <v>0</v>
      </c>
      <c r="Q19" s="1510">
        <v>0</v>
      </c>
      <c r="R19" s="1510">
        <v>0.70750000000000002</v>
      </c>
      <c r="S19" s="2043">
        <v>1.415</v>
      </c>
      <c r="T19" s="1974"/>
      <c r="U19" s="1976" t="s">
        <v>11881</v>
      </c>
      <c r="V19" s="1510">
        <v>539336</v>
      </c>
      <c r="W19" s="1510" t="s">
        <v>6261</v>
      </c>
      <c r="X19" s="1510">
        <v>0.5</v>
      </c>
      <c r="Y19" s="2198"/>
      <c r="Z19" s="2329"/>
      <c r="AA19" s="2329"/>
      <c r="AB19" s="2329"/>
      <c r="AC19" s="2329"/>
      <c r="AD19" s="2330"/>
      <c r="AE19" s="88"/>
      <c r="AF19" s="98" t="s">
        <v>11882</v>
      </c>
      <c r="AG19" s="1168"/>
      <c r="AH19" s="2589"/>
      <c r="AI19" s="1121"/>
      <c r="AJ19" s="2589"/>
      <c r="AK19" s="252">
        <f t="shared" si="17"/>
        <v>0</v>
      </c>
      <c r="AL19" s="252">
        <f t="shared" si="0"/>
        <v>0</v>
      </c>
      <c r="AM19" s="252">
        <f t="shared" si="1"/>
        <v>0</v>
      </c>
      <c r="AN19" s="252">
        <f t="shared" si="2"/>
        <v>0</v>
      </c>
      <c r="AO19" s="252">
        <f t="shared" si="3"/>
        <v>0</v>
      </c>
      <c r="AP19" s="252">
        <f t="shared" si="4"/>
        <v>0</v>
      </c>
      <c r="AQ19" s="252">
        <f t="shared" si="5"/>
        <v>0</v>
      </c>
      <c r="AR19" s="2560"/>
      <c r="AS19" s="252">
        <f t="shared" si="6"/>
        <v>0</v>
      </c>
      <c r="AT19" s="252">
        <f t="shared" si="7"/>
        <v>0</v>
      </c>
      <c r="AU19" s="252">
        <f t="shared" si="8"/>
        <v>0</v>
      </c>
      <c r="AV19" s="252">
        <f t="shared" si="9"/>
        <v>0</v>
      </c>
      <c r="AW19" s="252">
        <f t="shared" si="10"/>
        <v>0</v>
      </c>
      <c r="AX19" s="252">
        <f t="shared" si="11"/>
        <v>0</v>
      </c>
      <c r="AY19" s="252">
        <f t="shared" si="12"/>
        <v>0</v>
      </c>
      <c r="AZ19" s="2560"/>
      <c r="BA19" s="2560"/>
      <c r="BB19" s="252">
        <f t="shared" si="13"/>
        <v>0</v>
      </c>
      <c r="BC19" s="252">
        <f t="shared" si="14"/>
        <v>1</v>
      </c>
      <c r="BD19" s="252">
        <f t="shared" si="15"/>
        <v>0</v>
      </c>
      <c r="BE19" s="252">
        <f t="shared" si="16"/>
        <v>1</v>
      </c>
      <c r="BF19" s="2589"/>
      <c r="BG19" s="1247"/>
      <c r="BH19" s="1247"/>
      <c r="BI19" s="1247"/>
      <c r="BJ19" s="1247"/>
      <c r="BK19" s="1247"/>
      <c r="BL19" s="1247"/>
    </row>
    <row r="20" spans="2:64" ht="15.75" customHeight="1">
      <c r="B20" s="96" t="s">
        <v>11883</v>
      </c>
      <c r="C20" s="97" t="s">
        <v>137</v>
      </c>
      <c r="D20" s="97">
        <v>3</v>
      </c>
      <c r="E20" s="1510">
        <v>2E-3</v>
      </c>
      <c r="F20" s="1510">
        <v>0.217</v>
      </c>
      <c r="G20" s="1510">
        <v>2.1669999999999998</v>
      </c>
      <c r="H20" s="1510">
        <v>1.4550000000000001</v>
      </c>
      <c r="I20" s="1510">
        <v>1.085</v>
      </c>
      <c r="J20" s="1510">
        <v>0.86299999999999999</v>
      </c>
      <c r="K20" s="2043">
        <v>0</v>
      </c>
      <c r="L20" s="1977"/>
      <c r="M20" s="2045">
        <v>0</v>
      </c>
      <c r="N20" s="1510">
        <v>0</v>
      </c>
      <c r="O20" s="1510">
        <v>0</v>
      </c>
      <c r="P20" s="1510">
        <v>0</v>
      </c>
      <c r="Q20" s="1510">
        <v>0</v>
      </c>
      <c r="R20" s="1510">
        <v>0.41849999999999998</v>
      </c>
      <c r="S20" s="2043">
        <v>0.83699999999999997</v>
      </c>
      <c r="T20" s="1974"/>
      <c r="U20" s="1976" t="s">
        <v>11883</v>
      </c>
      <c r="V20" s="1510">
        <v>131330</v>
      </c>
      <c r="W20" s="1510" t="s">
        <v>6261</v>
      </c>
      <c r="X20" s="1510">
        <v>0.6</v>
      </c>
      <c r="Y20" s="2198"/>
      <c r="Z20" s="2329"/>
      <c r="AA20" s="2329"/>
      <c r="AB20" s="2329"/>
      <c r="AC20" s="2329"/>
      <c r="AD20" s="2330"/>
      <c r="AE20" s="88"/>
      <c r="AF20" s="98" t="s">
        <v>11884</v>
      </c>
      <c r="AG20" s="1168"/>
      <c r="AH20" s="2589"/>
      <c r="AI20" s="1121"/>
      <c r="AJ20" s="2589"/>
      <c r="AK20" s="252">
        <f t="shared" si="17"/>
        <v>0</v>
      </c>
      <c r="AL20" s="252">
        <f t="shared" si="0"/>
        <v>0</v>
      </c>
      <c r="AM20" s="252">
        <f t="shared" si="1"/>
        <v>0</v>
      </c>
      <c r="AN20" s="252">
        <f t="shared" si="2"/>
        <v>0</v>
      </c>
      <c r="AO20" s="252">
        <f t="shared" si="3"/>
        <v>0</v>
      </c>
      <c r="AP20" s="252">
        <f t="shared" si="4"/>
        <v>0</v>
      </c>
      <c r="AQ20" s="252">
        <f t="shared" si="5"/>
        <v>0</v>
      </c>
      <c r="AR20" s="2560"/>
      <c r="AS20" s="252">
        <f t="shared" si="6"/>
        <v>0</v>
      </c>
      <c r="AT20" s="252">
        <f t="shared" si="7"/>
        <v>0</v>
      </c>
      <c r="AU20" s="252">
        <f t="shared" si="8"/>
        <v>0</v>
      </c>
      <c r="AV20" s="252">
        <f t="shared" si="9"/>
        <v>0</v>
      </c>
      <c r="AW20" s="252">
        <f t="shared" si="10"/>
        <v>0</v>
      </c>
      <c r="AX20" s="252">
        <f t="shared" si="11"/>
        <v>0</v>
      </c>
      <c r="AY20" s="252">
        <f t="shared" si="12"/>
        <v>0</v>
      </c>
      <c r="AZ20" s="2560"/>
      <c r="BA20" s="2560"/>
      <c r="BB20" s="252">
        <f t="shared" si="13"/>
        <v>0</v>
      </c>
      <c r="BC20" s="252">
        <f t="shared" si="14"/>
        <v>1</v>
      </c>
      <c r="BD20" s="252">
        <f t="shared" si="15"/>
        <v>0</v>
      </c>
      <c r="BE20" s="252">
        <f t="shared" si="16"/>
        <v>1</v>
      </c>
      <c r="BF20" s="2589"/>
      <c r="BG20" s="1247"/>
      <c r="BH20" s="1247"/>
      <c r="BI20" s="1247"/>
      <c r="BJ20" s="1247"/>
      <c r="BK20" s="1247"/>
      <c r="BL20" s="1247"/>
    </row>
    <row r="21" spans="2:64" ht="15.75" customHeight="1">
      <c r="B21" s="96" t="s">
        <v>11885</v>
      </c>
      <c r="C21" s="97" t="s">
        <v>137</v>
      </c>
      <c r="D21" s="97">
        <v>3</v>
      </c>
      <c r="E21" s="1510">
        <v>1E-3</v>
      </c>
      <c r="F21" s="1510">
        <v>7.9000000000000001E-2</v>
      </c>
      <c r="G21" s="1510">
        <v>0.13100000000000001</v>
      </c>
      <c r="H21" s="1510">
        <v>0.54200000000000004</v>
      </c>
      <c r="I21" s="1510">
        <v>5.0439999999999996</v>
      </c>
      <c r="J21" s="1510">
        <v>8.4000000000000005E-2</v>
      </c>
      <c r="K21" s="2043">
        <v>0</v>
      </c>
      <c r="L21" s="1977"/>
      <c r="M21" s="2045">
        <v>0</v>
      </c>
      <c r="N21" s="1510">
        <v>0</v>
      </c>
      <c r="O21" s="1510">
        <v>0</v>
      </c>
      <c r="P21" s="1510">
        <v>0</v>
      </c>
      <c r="Q21" s="1510">
        <v>0</v>
      </c>
      <c r="R21" s="1510">
        <v>6.1499999999999999E-2</v>
      </c>
      <c r="S21" s="2043">
        <v>0.123</v>
      </c>
      <c r="T21" s="1974"/>
      <c r="U21" s="1976" t="s">
        <v>11886</v>
      </c>
      <c r="V21" s="1510">
        <v>7447</v>
      </c>
      <c r="W21" s="1510" t="s">
        <v>6261</v>
      </c>
      <c r="X21" s="1510">
        <v>0.25</v>
      </c>
      <c r="Y21" s="2198"/>
      <c r="Z21" s="2329"/>
      <c r="AA21" s="2329"/>
      <c r="AB21" s="2329"/>
      <c r="AC21" s="2329"/>
      <c r="AD21" s="2330"/>
      <c r="AE21" s="88"/>
      <c r="AF21" s="98" t="s">
        <v>11887</v>
      </c>
      <c r="AG21" s="1168"/>
      <c r="AH21" s="2589"/>
      <c r="AI21" s="1121"/>
      <c r="AJ21" s="2589"/>
      <c r="AK21" s="252">
        <f t="shared" si="17"/>
        <v>0</v>
      </c>
      <c r="AL21" s="252">
        <f t="shared" si="0"/>
        <v>0</v>
      </c>
      <c r="AM21" s="252">
        <f t="shared" si="1"/>
        <v>0</v>
      </c>
      <c r="AN21" s="252">
        <f t="shared" si="2"/>
        <v>0</v>
      </c>
      <c r="AO21" s="252">
        <f t="shared" si="3"/>
        <v>0</v>
      </c>
      <c r="AP21" s="252">
        <f t="shared" si="4"/>
        <v>0</v>
      </c>
      <c r="AQ21" s="252">
        <f t="shared" si="5"/>
        <v>0</v>
      </c>
      <c r="AR21" s="2560"/>
      <c r="AS21" s="252">
        <f t="shared" si="6"/>
        <v>0</v>
      </c>
      <c r="AT21" s="252">
        <f t="shared" si="7"/>
        <v>0</v>
      </c>
      <c r="AU21" s="252">
        <f t="shared" si="8"/>
        <v>0</v>
      </c>
      <c r="AV21" s="252">
        <f t="shared" si="9"/>
        <v>0</v>
      </c>
      <c r="AW21" s="252">
        <f t="shared" si="10"/>
        <v>0</v>
      </c>
      <c r="AX21" s="252">
        <f t="shared" si="11"/>
        <v>0</v>
      </c>
      <c r="AY21" s="252">
        <f t="shared" si="12"/>
        <v>0</v>
      </c>
      <c r="AZ21" s="2560"/>
      <c r="BA21" s="2560"/>
      <c r="BB21" s="252">
        <f t="shared" si="13"/>
        <v>0</v>
      </c>
      <c r="BC21" s="252">
        <f t="shared" si="14"/>
        <v>1</v>
      </c>
      <c r="BD21" s="252">
        <f t="shared" si="15"/>
        <v>0</v>
      </c>
      <c r="BE21" s="252">
        <f t="shared" si="16"/>
        <v>1</v>
      </c>
      <c r="BF21" s="2589"/>
      <c r="BG21" s="1247"/>
      <c r="BH21" s="1247"/>
      <c r="BI21" s="1247"/>
      <c r="BJ21" s="1247"/>
      <c r="BK21" s="1247"/>
      <c r="BL21" s="1247"/>
    </row>
    <row r="22" spans="2:64" ht="15.75" customHeight="1">
      <c r="B22" s="96" t="s">
        <v>11888</v>
      </c>
      <c r="C22" s="97" t="s">
        <v>137</v>
      </c>
      <c r="D22" s="97">
        <v>3</v>
      </c>
      <c r="E22" s="1510">
        <v>1E-3</v>
      </c>
      <c r="F22" s="1510">
        <v>1E-3</v>
      </c>
      <c r="G22" s="1510">
        <v>0.106</v>
      </c>
      <c r="H22" s="1510">
        <v>0.216</v>
      </c>
      <c r="I22" s="1510">
        <v>0.78500000000000003</v>
      </c>
      <c r="J22" s="1510">
        <v>0.76700000000000002</v>
      </c>
      <c r="K22" s="2043">
        <v>0</v>
      </c>
      <c r="L22" s="1977"/>
      <c r="M22" s="2045">
        <v>0</v>
      </c>
      <c r="N22" s="1510">
        <v>0</v>
      </c>
      <c r="O22" s="1510">
        <v>0</v>
      </c>
      <c r="P22" s="1510">
        <v>0</v>
      </c>
      <c r="Q22" s="1510">
        <v>0</v>
      </c>
      <c r="R22" s="1510">
        <v>0</v>
      </c>
      <c r="S22" s="2043">
        <v>0</v>
      </c>
      <c r="T22" s="1974"/>
      <c r="U22" s="1976" t="s">
        <v>11889</v>
      </c>
      <c r="V22" s="1510">
        <v>1109</v>
      </c>
      <c r="W22" s="1510" t="s">
        <v>6261</v>
      </c>
      <c r="X22" s="1510">
        <v>0.5</v>
      </c>
      <c r="Y22" s="2198"/>
      <c r="Z22" s="2329"/>
      <c r="AA22" s="2329"/>
      <c r="AB22" s="2329"/>
      <c r="AC22" s="2329"/>
      <c r="AD22" s="2330"/>
      <c r="AE22" s="88"/>
      <c r="AF22" s="98" t="s">
        <v>11890</v>
      </c>
      <c r="AG22" s="1168"/>
      <c r="AH22" s="2589"/>
      <c r="AI22" s="1121"/>
      <c r="AJ22" s="2589"/>
      <c r="AK22" s="252">
        <f t="shared" si="17"/>
        <v>0</v>
      </c>
      <c r="AL22" s="252">
        <f t="shared" si="0"/>
        <v>0</v>
      </c>
      <c r="AM22" s="252">
        <f t="shared" si="1"/>
        <v>0</v>
      </c>
      <c r="AN22" s="252">
        <f t="shared" si="2"/>
        <v>0</v>
      </c>
      <c r="AO22" s="252">
        <f t="shared" si="3"/>
        <v>0</v>
      </c>
      <c r="AP22" s="252">
        <f t="shared" si="4"/>
        <v>0</v>
      </c>
      <c r="AQ22" s="252">
        <f t="shared" si="5"/>
        <v>0</v>
      </c>
      <c r="AR22" s="2560"/>
      <c r="AS22" s="252">
        <f t="shared" si="6"/>
        <v>0</v>
      </c>
      <c r="AT22" s="252">
        <f t="shared" si="7"/>
        <v>0</v>
      </c>
      <c r="AU22" s="252">
        <f t="shared" si="8"/>
        <v>0</v>
      </c>
      <c r="AV22" s="252">
        <f t="shared" si="9"/>
        <v>0</v>
      </c>
      <c r="AW22" s="252">
        <f t="shared" si="10"/>
        <v>0</v>
      </c>
      <c r="AX22" s="252">
        <f t="shared" si="11"/>
        <v>0</v>
      </c>
      <c r="AY22" s="252">
        <f t="shared" si="12"/>
        <v>0</v>
      </c>
      <c r="AZ22" s="2560"/>
      <c r="BA22" s="2560"/>
      <c r="BB22" s="252">
        <f t="shared" si="13"/>
        <v>0</v>
      </c>
      <c r="BC22" s="252">
        <f t="shared" si="14"/>
        <v>1</v>
      </c>
      <c r="BD22" s="252">
        <f t="shared" si="15"/>
        <v>0</v>
      </c>
      <c r="BE22" s="252">
        <f t="shared" si="16"/>
        <v>1</v>
      </c>
      <c r="BF22" s="2589"/>
      <c r="BG22" s="1247"/>
      <c r="BH22" s="1247"/>
      <c r="BI22" s="1247"/>
      <c r="BJ22" s="1247"/>
      <c r="BK22" s="1247"/>
      <c r="BL22" s="1247"/>
    </row>
    <row r="23" spans="2:64" ht="15.75" customHeight="1">
      <c r="B23" s="96" t="s">
        <v>11891</v>
      </c>
      <c r="C23" s="97" t="s">
        <v>137</v>
      </c>
      <c r="D23" s="97">
        <v>3</v>
      </c>
      <c r="E23" s="1510">
        <v>1E-3</v>
      </c>
      <c r="F23" s="1510">
        <v>5.2999999999999999E-2</v>
      </c>
      <c r="G23" s="1510">
        <v>0.51900000000000002</v>
      </c>
      <c r="H23" s="1510">
        <v>0.129</v>
      </c>
      <c r="I23" s="1510">
        <v>1.1399999999999999</v>
      </c>
      <c r="J23" s="1510">
        <v>0.182</v>
      </c>
      <c r="K23" s="2043">
        <v>0</v>
      </c>
      <c r="L23" s="1977"/>
      <c r="M23" s="2045">
        <v>0</v>
      </c>
      <c r="N23" s="1510">
        <v>0</v>
      </c>
      <c r="O23" s="1510">
        <v>0</v>
      </c>
      <c r="P23" s="1510">
        <v>0</v>
      </c>
      <c r="Q23" s="1510">
        <v>0</v>
      </c>
      <c r="R23" s="1510">
        <v>4.0500000000000001E-2</v>
      </c>
      <c r="S23" s="2043">
        <v>8.1000000000000003E-2</v>
      </c>
      <c r="T23" s="1974"/>
      <c r="U23" s="1976" t="s">
        <v>11892</v>
      </c>
      <c r="V23" s="1510">
        <v>42668</v>
      </c>
      <c r="W23" s="1510" t="s">
        <v>6261</v>
      </c>
      <c r="X23" s="1510">
        <v>2</v>
      </c>
      <c r="Y23" s="2198"/>
      <c r="Z23" s="2329"/>
      <c r="AA23" s="2329"/>
      <c r="AB23" s="2329"/>
      <c r="AC23" s="2329"/>
      <c r="AD23" s="2330"/>
      <c r="AE23" s="88"/>
      <c r="AF23" s="98" t="s">
        <v>11893</v>
      </c>
      <c r="AG23" s="1168"/>
      <c r="AH23" s="2589"/>
      <c r="AI23" s="1121"/>
      <c r="AJ23" s="2589"/>
      <c r="AK23" s="252">
        <f t="shared" si="17"/>
        <v>0</v>
      </c>
      <c r="AL23" s="252">
        <f t="shared" si="0"/>
        <v>0</v>
      </c>
      <c r="AM23" s="252">
        <f t="shared" si="1"/>
        <v>0</v>
      </c>
      <c r="AN23" s="252">
        <f t="shared" si="2"/>
        <v>0</v>
      </c>
      <c r="AO23" s="252">
        <f t="shared" si="3"/>
        <v>0</v>
      </c>
      <c r="AP23" s="252">
        <f t="shared" si="4"/>
        <v>0</v>
      </c>
      <c r="AQ23" s="252">
        <f t="shared" si="5"/>
        <v>0</v>
      </c>
      <c r="AR23" s="2560"/>
      <c r="AS23" s="252">
        <f t="shared" si="6"/>
        <v>0</v>
      </c>
      <c r="AT23" s="252">
        <f t="shared" si="7"/>
        <v>0</v>
      </c>
      <c r="AU23" s="252">
        <f t="shared" si="8"/>
        <v>0</v>
      </c>
      <c r="AV23" s="252">
        <f t="shared" si="9"/>
        <v>0</v>
      </c>
      <c r="AW23" s="252">
        <f t="shared" si="10"/>
        <v>0</v>
      </c>
      <c r="AX23" s="252">
        <f t="shared" si="11"/>
        <v>0</v>
      </c>
      <c r="AY23" s="252">
        <f t="shared" si="12"/>
        <v>0</v>
      </c>
      <c r="AZ23" s="2560"/>
      <c r="BA23" s="2560"/>
      <c r="BB23" s="252">
        <f t="shared" si="13"/>
        <v>0</v>
      </c>
      <c r="BC23" s="252">
        <f t="shared" si="14"/>
        <v>1</v>
      </c>
      <c r="BD23" s="252">
        <f t="shared" si="15"/>
        <v>0</v>
      </c>
      <c r="BE23" s="252">
        <f t="shared" si="16"/>
        <v>1</v>
      </c>
      <c r="BF23" s="2589"/>
      <c r="BG23" s="1247"/>
      <c r="BH23" s="1247"/>
      <c r="BI23" s="1247"/>
      <c r="BJ23" s="1247"/>
      <c r="BK23" s="1247"/>
      <c r="BL23" s="1247"/>
    </row>
    <row r="24" spans="2:64" ht="15.75" customHeight="1">
      <c r="B24" s="96" t="s">
        <v>11894</v>
      </c>
      <c r="C24" s="97" t="s">
        <v>137</v>
      </c>
      <c r="D24" s="97">
        <v>3</v>
      </c>
      <c r="E24" s="1510">
        <v>5.0000000000000001E-3</v>
      </c>
      <c r="F24" s="1510">
        <v>6.0000000000000001E-3</v>
      </c>
      <c r="G24" s="1510">
        <v>0.64700000000000002</v>
      </c>
      <c r="H24" s="1510">
        <v>0.19400000000000001</v>
      </c>
      <c r="I24" s="1510">
        <v>0.16</v>
      </c>
      <c r="J24" s="1510">
        <v>3.552</v>
      </c>
      <c r="K24" s="2043">
        <v>0</v>
      </c>
      <c r="L24" s="1977"/>
      <c r="M24" s="2045">
        <v>0</v>
      </c>
      <c r="N24" s="1510">
        <v>0</v>
      </c>
      <c r="O24" s="1510">
        <v>0</v>
      </c>
      <c r="P24" s="1510">
        <v>0</v>
      </c>
      <c r="Q24" s="1510">
        <v>0</v>
      </c>
      <c r="R24" s="1510">
        <v>9.4500000000000001E-2</v>
      </c>
      <c r="S24" s="2043">
        <v>0.189</v>
      </c>
      <c r="T24" s="1974"/>
      <c r="U24" s="1976" t="s">
        <v>11895</v>
      </c>
      <c r="V24" s="1510">
        <v>18938</v>
      </c>
      <c r="W24" s="1510" t="s">
        <v>6261</v>
      </c>
      <c r="X24" s="1510">
        <v>0.5</v>
      </c>
      <c r="Y24" s="2198"/>
      <c r="Z24" s="2329"/>
      <c r="AA24" s="2329"/>
      <c r="AB24" s="2329"/>
      <c r="AC24" s="2329"/>
      <c r="AD24" s="2330"/>
      <c r="AE24" s="88"/>
      <c r="AF24" s="98" t="s">
        <v>11896</v>
      </c>
      <c r="AG24" s="1168"/>
      <c r="AH24" s="2589"/>
      <c r="AI24" s="1121"/>
      <c r="AJ24" s="2589"/>
      <c r="AK24" s="252">
        <f t="shared" si="17"/>
        <v>0</v>
      </c>
      <c r="AL24" s="252">
        <f t="shared" si="0"/>
        <v>0</v>
      </c>
      <c r="AM24" s="252">
        <f t="shared" si="1"/>
        <v>0</v>
      </c>
      <c r="AN24" s="252">
        <f t="shared" si="2"/>
        <v>0</v>
      </c>
      <c r="AO24" s="252">
        <f t="shared" si="3"/>
        <v>0</v>
      </c>
      <c r="AP24" s="252">
        <f t="shared" si="4"/>
        <v>0</v>
      </c>
      <c r="AQ24" s="252">
        <f t="shared" si="5"/>
        <v>0</v>
      </c>
      <c r="AR24" s="2560"/>
      <c r="AS24" s="252">
        <f t="shared" si="6"/>
        <v>0</v>
      </c>
      <c r="AT24" s="252">
        <f t="shared" si="7"/>
        <v>0</v>
      </c>
      <c r="AU24" s="252">
        <f t="shared" si="8"/>
        <v>0</v>
      </c>
      <c r="AV24" s="252">
        <f t="shared" si="9"/>
        <v>0</v>
      </c>
      <c r="AW24" s="252">
        <f t="shared" si="10"/>
        <v>0</v>
      </c>
      <c r="AX24" s="252">
        <f t="shared" si="11"/>
        <v>0</v>
      </c>
      <c r="AY24" s="252">
        <f t="shared" si="12"/>
        <v>0</v>
      </c>
      <c r="AZ24" s="2560"/>
      <c r="BA24" s="2560"/>
      <c r="BB24" s="252">
        <f t="shared" si="13"/>
        <v>0</v>
      </c>
      <c r="BC24" s="252">
        <f t="shared" si="14"/>
        <v>1</v>
      </c>
      <c r="BD24" s="252">
        <f t="shared" si="15"/>
        <v>0</v>
      </c>
      <c r="BE24" s="252">
        <f t="shared" si="16"/>
        <v>1</v>
      </c>
      <c r="BF24" s="2589"/>
      <c r="BG24" s="1247"/>
      <c r="BH24" s="1247"/>
      <c r="BI24" s="1247"/>
      <c r="BJ24" s="1247"/>
      <c r="BK24" s="1247"/>
      <c r="BL24" s="1247"/>
    </row>
    <row r="25" spans="2:64" ht="15.75" customHeight="1">
      <c r="B25" s="96" t="s">
        <v>11897</v>
      </c>
      <c r="C25" s="97" t="s">
        <v>137</v>
      </c>
      <c r="D25" s="97">
        <v>3</v>
      </c>
      <c r="E25" s="1510">
        <v>3.0000000000000001E-3</v>
      </c>
      <c r="F25" s="1510">
        <v>4.0000000000000001E-3</v>
      </c>
      <c r="G25" s="1510">
        <v>0.627</v>
      </c>
      <c r="H25" s="1510">
        <v>0.89100000000000001</v>
      </c>
      <c r="I25" s="1510">
        <v>0.106</v>
      </c>
      <c r="J25" s="1510">
        <v>1.3009999999999999</v>
      </c>
      <c r="K25" s="2043">
        <v>0</v>
      </c>
      <c r="L25" s="1977"/>
      <c r="M25" s="2045">
        <v>0</v>
      </c>
      <c r="N25" s="1510">
        <v>0</v>
      </c>
      <c r="O25" s="1510">
        <v>0</v>
      </c>
      <c r="P25" s="1510">
        <v>0</v>
      </c>
      <c r="Q25" s="1510">
        <v>0</v>
      </c>
      <c r="R25" s="1510">
        <v>0.10249999999999999</v>
      </c>
      <c r="S25" s="2043">
        <v>0.20499999999999999</v>
      </c>
      <c r="T25" s="1974"/>
      <c r="U25" s="1976" t="s">
        <v>11898</v>
      </c>
      <c r="V25" s="1510">
        <v>23872</v>
      </c>
      <c r="W25" s="1510" t="s">
        <v>6261</v>
      </c>
      <c r="X25" s="1510">
        <v>0.25</v>
      </c>
      <c r="Y25" s="2198"/>
      <c r="Z25" s="2329"/>
      <c r="AA25" s="2329"/>
      <c r="AB25" s="2329"/>
      <c r="AC25" s="2329"/>
      <c r="AD25" s="2330"/>
      <c r="AE25" s="88"/>
      <c r="AF25" s="98" t="s">
        <v>11899</v>
      </c>
      <c r="AG25" s="1168"/>
      <c r="AH25" s="2589"/>
      <c r="AI25" s="1121"/>
      <c r="AJ25" s="2589"/>
      <c r="AK25" s="252">
        <f t="shared" si="17"/>
        <v>0</v>
      </c>
      <c r="AL25" s="252">
        <f t="shared" si="0"/>
        <v>0</v>
      </c>
      <c r="AM25" s="252">
        <f t="shared" si="1"/>
        <v>0</v>
      </c>
      <c r="AN25" s="252">
        <f t="shared" si="2"/>
        <v>0</v>
      </c>
      <c r="AO25" s="252">
        <f t="shared" si="3"/>
        <v>0</v>
      </c>
      <c r="AP25" s="252">
        <f t="shared" si="4"/>
        <v>0</v>
      </c>
      <c r="AQ25" s="252">
        <f t="shared" si="5"/>
        <v>0</v>
      </c>
      <c r="AR25" s="2560"/>
      <c r="AS25" s="252">
        <f t="shared" si="6"/>
        <v>0</v>
      </c>
      <c r="AT25" s="252">
        <f t="shared" si="7"/>
        <v>0</v>
      </c>
      <c r="AU25" s="252">
        <f t="shared" si="8"/>
        <v>0</v>
      </c>
      <c r="AV25" s="252">
        <f t="shared" si="9"/>
        <v>0</v>
      </c>
      <c r="AW25" s="252">
        <f t="shared" si="10"/>
        <v>0</v>
      </c>
      <c r="AX25" s="252">
        <f t="shared" si="11"/>
        <v>0</v>
      </c>
      <c r="AY25" s="252">
        <f t="shared" si="12"/>
        <v>0</v>
      </c>
      <c r="AZ25" s="2560"/>
      <c r="BA25" s="2560"/>
      <c r="BB25" s="252">
        <f t="shared" si="13"/>
        <v>0</v>
      </c>
      <c r="BC25" s="252">
        <f t="shared" si="14"/>
        <v>1</v>
      </c>
      <c r="BD25" s="252">
        <f t="shared" si="15"/>
        <v>0</v>
      </c>
      <c r="BE25" s="252">
        <f t="shared" si="16"/>
        <v>1</v>
      </c>
      <c r="BF25" s="2589"/>
      <c r="BG25" s="1247"/>
      <c r="BH25" s="1247"/>
      <c r="BI25" s="1247"/>
      <c r="BJ25" s="1247"/>
      <c r="BK25" s="1247"/>
      <c r="BL25" s="1247"/>
    </row>
    <row r="26" spans="2:64" ht="15.75" customHeight="1">
      <c r="B26" s="96" t="s">
        <v>11900</v>
      </c>
      <c r="C26" s="97" t="s">
        <v>137</v>
      </c>
      <c r="D26" s="97">
        <v>3</v>
      </c>
      <c r="E26" s="1510">
        <v>2E-3</v>
      </c>
      <c r="F26" s="1510">
        <v>0.224</v>
      </c>
      <c r="G26" s="1510">
        <v>1.286</v>
      </c>
      <c r="H26" s="1510">
        <v>6.8000000000000005E-2</v>
      </c>
      <c r="I26" s="1510">
        <v>0.01</v>
      </c>
      <c r="J26" s="1510">
        <v>0</v>
      </c>
      <c r="K26" s="2043">
        <v>0</v>
      </c>
      <c r="L26" s="1977"/>
      <c r="M26" s="2045">
        <v>0</v>
      </c>
      <c r="N26" s="1510">
        <v>0</v>
      </c>
      <c r="O26" s="1510">
        <v>6.0000000000000001E-3</v>
      </c>
      <c r="P26" s="1510">
        <v>1.2E-2</v>
      </c>
      <c r="Q26" s="1510">
        <v>1.2E-2</v>
      </c>
      <c r="R26" s="1510">
        <v>1.2E-2</v>
      </c>
      <c r="S26" s="2043">
        <v>1.2E-2</v>
      </c>
      <c r="T26" s="1974"/>
      <c r="U26" s="1976" t="s">
        <v>11901</v>
      </c>
      <c r="V26" s="1510">
        <v>180</v>
      </c>
      <c r="W26" s="1510" t="s">
        <v>6261</v>
      </c>
      <c r="X26" s="1510">
        <v>4</v>
      </c>
      <c r="Y26" s="2198"/>
      <c r="Z26" s="2329"/>
      <c r="AA26" s="2329"/>
      <c r="AB26" s="2329"/>
      <c r="AC26" s="2329"/>
      <c r="AD26" s="2330"/>
      <c r="AE26" s="88"/>
      <c r="AF26" s="98" t="s">
        <v>11902</v>
      </c>
      <c r="AG26" s="2560"/>
      <c r="AH26" s="2589"/>
      <c r="AI26" s="1121"/>
      <c r="AJ26" s="2589"/>
      <c r="AK26" s="252">
        <f t="shared" si="17"/>
        <v>0</v>
      </c>
      <c r="AL26" s="252">
        <f t="shared" si="0"/>
        <v>0</v>
      </c>
      <c r="AM26" s="252">
        <f t="shared" si="1"/>
        <v>0</v>
      </c>
      <c r="AN26" s="252">
        <f t="shared" si="2"/>
        <v>0</v>
      </c>
      <c r="AO26" s="252">
        <f t="shared" si="3"/>
        <v>0</v>
      </c>
      <c r="AP26" s="252">
        <f t="shared" si="4"/>
        <v>0</v>
      </c>
      <c r="AQ26" s="252">
        <f t="shared" si="5"/>
        <v>0</v>
      </c>
      <c r="AR26" s="2560"/>
      <c r="AS26" s="252">
        <f t="shared" si="6"/>
        <v>0</v>
      </c>
      <c r="AT26" s="252">
        <f t="shared" si="7"/>
        <v>0</v>
      </c>
      <c r="AU26" s="252">
        <f t="shared" si="8"/>
        <v>0</v>
      </c>
      <c r="AV26" s="252">
        <f t="shared" si="9"/>
        <v>0</v>
      </c>
      <c r="AW26" s="252">
        <f t="shared" si="10"/>
        <v>0</v>
      </c>
      <c r="AX26" s="252">
        <f t="shared" si="11"/>
        <v>0</v>
      </c>
      <c r="AY26" s="252">
        <f t="shared" si="12"/>
        <v>0</v>
      </c>
      <c r="AZ26" s="2560"/>
      <c r="BA26" s="2560"/>
      <c r="BB26" s="252">
        <f t="shared" si="13"/>
        <v>0</v>
      </c>
      <c r="BC26" s="252">
        <f t="shared" si="14"/>
        <v>1</v>
      </c>
      <c r="BD26" s="252">
        <f t="shared" si="15"/>
        <v>0</v>
      </c>
      <c r="BE26" s="252">
        <f t="shared" si="16"/>
        <v>1</v>
      </c>
      <c r="BF26" s="2589"/>
      <c r="BG26" s="1247"/>
      <c r="BH26" s="1247"/>
      <c r="BI26" s="1247"/>
      <c r="BJ26" s="1247"/>
      <c r="BK26" s="1247"/>
      <c r="BL26" s="1247"/>
    </row>
    <row r="27" spans="2:64" ht="15.75" customHeight="1">
      <c r="B27" s="96" t="s">
        <v>11903</v>
      </c>
      <c r="C27" s="97" t="s">
        <v>137</v>
      </c>
      <c r="D27" s="97">
        <v>3</v>
      </c>
      <c r="E27" s="1510">
        <v>1E-3</v>
      </c>
      <c r="F27" s="1510">
        <v>7.9000000000000001E-2</v>
      </c>
      <c r="G27" s="1510">
        <v>0.20100000000000001</v>
      </c>
      <c r="H27" s="1510">
        <v>0.53800000000000003</v>
      </c>
      <c r="I27" s="1510">
        <v>1.8819999999999999</v>
      </c>
      <c r="J27" s="1510">
        <v>0</v>
      </c>
      <c r="K27" s="2043">
        <v>0</v>
      </c>
      <c r="L27" s="1977"/>
      <c r="M27" s="2045">
        <v>0</v>
      </c>
      <c r="N27" s="1510">
        <v>0</v>
      </c>
      <c r="O27" s="1510">
        <v>0</v>
      </c>
      <c r="P27" s="1510">
        <v>0</v>
      </c>
      <c r="Q27" s="1510">
        <v>0</v>
      </c>
      <c r="R27" s="1510">
        <v>3.5499999999999997E-2</v>
      </c>
      <c r="S27" s="2043">
        <v>7.0999999999999994E-2</v>
      </c>
      <c r="T27" s="1974"/>
      <c r="U27" s="1976" t="s">
        <v>11904</v>
      </c>
      <c r="V27" s="1510">
        <v>10664</v>
      </c>
      <c r="W27" s="1510" t="s">
        <v>6261</v>
      </c>
      <c r="X27" s="1510">
        <v>0.7</v>
      </c>
      <c r="Y27" s="2198"/>
      <c r="Z27" s="2329"/>
      <c r="AA27" s="2329"/>
      <c r="AB27" s="2329"/>
      <c r="AC27" s="2329"/>
      <c r="AD27" s="2330"/>
      <c r="AE27" s="88"/>
      <c r="AF27" s="98" t="s">
        <v>11905</v>
      </c>
      <c r="AG27" s="2560"/>
      <c r="AH27" s="2589"/>
      <c r="AI27" s="1121"/>
      <c r="AJ27" s="2589"/>
      <c r="AK27" s="252">
        <f t="shared" si="17"/>
        <v>0</v>
      </c>
      <c r="AL27" s="252">
        <f t="shared" si="0"/>
        <v>0</v>
      </c>
      <c r="AM27" s="252">
        <f t="shared" si="1"/>
        <v>0</v>
      </c>
      <c r="AN27" s="252">
        <f t="shared" si="2"/>
        <v>0</v>
      </c>
      <c r="AO27" s="252">
        <f t="shared" si="3"/>
        <v>0</v>
      </c>
      <c r="AP27" s="252">
        <f t="shared" si="4"/>
        <v>0</v>
      </c>
      <c r="AQ27" s="252">
        <f t="shared" si="5"/>
        <v>0</v>
      </c>
      <c r="AR27" s="2560"/>
      <c r="AS27" s="252">
        <f t="shared" si="6"/>
        <v>0</v>
      </c>
      <c r="AT27" s="252">
        <f t="shared" si="7"/>
        <v>0</v>
      </c>
      <c r="AU27" s="252">
        <f t="shared" si="8"/>
        <v>0</v>
      </c>
      <c r="AV27" s="252">
        <f t="shared" si="9"/>
        <v>0</v>
      </c>
      <c r="AW27" s="252">
        <f t="shared" si="10"/>
        <v>0</v>
      </c>
      <c r="AX27" s="252">
        <f t="shared" si="11"/>
        <v>0</v>
      </c>
      <c r="AY27" s="252">
        <f t="shared" si="12"/>
        <v>0</v>
      </c>
      <c r="AZ27" s="2560"/>
      <c r="BA27" s="2560"/>
      <c r="BB27" s="252">
        <f t="shared" si="13"/>
        <v>0</v>
      </c>
      <c r="BC27" s="252">
        <f t="shared" si="14"/>
        <v>1</v>
      </c>
      <c r="BD27" s="252">
        <f t="shared" si="15"/>
        <v>0</v>
      </c>
      <c r="BE27" s="252">
        <f t="shared" si="16"/>
        <v>1</v>
      </c>
      <c r="BF27" s="2589"/>
      <c r="BG27" s="1247"/>
      <c r="BH27" s="1247"/>
      <c r="BI27" s="1247"/>
      <c r="BJ27" s="1247"/>
      <c r="BK27" s="1247"/>
      <c r="BL27" s="1247"/>
    </row>
    <row r="28" spans="2:64" ht="15.75" customHeight="1">
      <c r="B28" s="96" t="s">
        <v>11906</v>
      </c>
      <c r="C28" s="97" t="s">
        <v>137</v>
      </c>
      <c r="D28" s="97">
        <v>3</v>
      </c>
      <c r="E28" s="1510">
        <v>4.0000000000000001E-3</v>
      </c>
      <c r="F28" s="1510">
        <v>0.14899999999999999</v>
      </c>
      <c r="G28" s="1510">
        <v>0.34300000000000003</v>
      </c>
      <c r="H28" s="1510">
        <v>0.60799999999999998</v>
      </c>
      <c r="I28" s="1510">
        <v>0.95299999999999996</v>
      </c>
      <c r="J28" s="1510">
        <v>1.397</v>
      </c>
      <c r="K28" s="2043">
        <v>0</v>
      </c>
      <c r="L28" s="1977"/>
      <c r="M28" s="2045">
        <v>0</v>
      </c>
      <c r="N28" s="1510">
        <v>0</v>
      </c>
      <c r="O28" s="1510">
        <v>0</v>
      </c>
      <c r="P28" s="1510">
        <v>0</v>
      </c>
      <c r="Q28" s="1510">
        <v>0</v>
      </c>
      <c r="R28" s="1510">
        <v>6.6000000000000003E-2</v>
      </c>
      <c r="S28" s="2043">
        <v>0.13200000000000001</v>
      </c>
      <c r="T28" s="1974"/>
      <c r="U28" s="1976" t="s">
        <v>11907</v>
      </c>
      <c r="V28" s="1510">
        <v>7501</v>
      </c>
      <c r="W28" s="1510" t="s">
        <v>6261</v>
      </c>
      <c r="X28" s="1510">
        <v>0.4</v>
      </c>
      <c r="Y28" s="2198"/>
      <c r="Z28" s="2329"/>
      <c r="AA28" s="2329"/>
      <c r="AB28" s="2329"/>
      <c r="AC28" s="2329"/>
      <c r="AD28" s="2330"/>
      <c r="AE28" s="88"/>
      <c r="AF28" s="98" t="s">
        <v>11908</v>
      </c>
      <c r="AG28" s="2560"/>
      <c r="AH28" s="2589"/>
      <c r="AI28" s="1121"/>
      <c r="AJ28" s="2589"/>
      <c r="AK28" s="252">
        <f t="shared" si="17"/>
        <v>0</v>
      </c>
      <c r="AL28" s="252">
        <f t="shared" si="0"/>
        <v>0</v>
      </c>
      <c r="AM28" s="252">
        <f t="shared" si="1"/>
        <v>0</v>
      </c>
      <c r="AN28" s="252">
        <f t="shared" si="2"/>
        <v>0</v>
      </c>
      <c r="AO28" s="252">
        <f t="shared" si="3"/>
        <v>0</v>
      </c>
      <c r="AP28" s="252">
        <f t="shared" si="4"/>
        <v>0</v>
      </c>
      <c r="AQ28" s="252">
        <f t="shared" si="5"/>
        <v>0</v>
      </c>
      <c r="AR28" s="2560"/>
      <c r="AS28" s="252">
        <f t="shared" si="6"/>
        <v>0</v>
      </c>
      <c r="AT28" s="252">
        <f t="shared" si="7"/>
        <v>0</v>
      </c>
      <c r="AU28" s="252">
        <f t="shared" si="8"/>
        <v>0</v>
      </c>
      <c r="AV28" s="252">
        <f t="shared" si="9"/>
        <v>0</v>
      </c>
      <c r="AW28" s="252">
        <f t="shared" si="10"/>
        <v>0</v>
      </c>
      <c r="AX28" s="252">
        <f t="shared" si="11"/>
        <v>0</v>
      </c>
      <c r="AY28" s="252">
        <f t="shared" si="12"/>
        <v>0</v>
      </c>
      <c r="AZ28" s="2560"/>
      <c r="BA28" s="2560"/>
      <c r="BB28" s="252">
        <f t="shared" si="13"/>
        <v>0</v>
      </c>
      <c r="BC28" s="252">
        <f t="shared" si="14"/>
        <v>1</v>
      </c>
      <c r="BD28" s="252">
        <f t="shared" si="15"/>
        <v>0</v>
      </c>
      <c r="BE28" s="252">
        <f t="shared" si="16"/>
        <v>1</v>
      </c>
      <c r="BF28" s="2589"/>
      <c r="BG28" s="1247"/>
      <c r="BH28" s="1247"/>
      <c r="BI28" s="1247"/>
      <c r="BJ28" s="1247"/>
      <c r="BK28" s="1247"/>
      <c r="BL28" s="1247"/>
    </row>
    <row r="29" spans="2:64" ht="15.75" customHeight="1">
      <c r="B29" s="96" t="s">
        <v>11909</v>
      </c>
      <c r="C29" s="97" t="s">
        <v>137</v>
      </c>
      <c r="D29" s="97">
        <v>3</v>
      </c>
      <c r="E29" s="1510">
        <v>0</v>
      </c>
      <c r="F29" s="1510">
        <v>0.153</v>
      </c>
      <c r="G29" s="1510">
        <v>0.28299999999999997</v>
      </c>
      <c r="H29" s="1510">
        <v>0.64500000000000002</v>
      </c>
      <c r="I29" s="1510">
        <v>7.0000000000000001E-3</v>
      </c>
      <c r="J29" s="1510">
        <v>0</v>
      </c>
      <c r="K29" s="2043">
        <v>0</v>
      </c>
      <c r="L29" s="1977"/>
      <c r="M29" s="2045">
        <v>0</v>
      </c>
      <c r="N29" s="1510">
        <v>0</v>
      </c>
      <c r="O29" s="1510">
        <v>0</v>
      </c>
      <c r="P29" s="1510">
        <v>0</v>
      </c>
      <c r="Q29" s="1510">
        <v>0</v>
      </c>
      <c r="R29" s="1510">
        <v>5.45E-2</v>
      </c>
      <c r="S29" s="2043">
        <v>0.109</v>
      </c>
      <c r="T29" s="1974"/>
      <c r="U29" s="1976" t="s">
        <v>11910</v>
      </c>
      <c r="V29" s="1510">
        <v>30478</v>
      </c>
      <c r="W29" s="1510" t="s">
        <v>6261</v>
      </c>
      <c r="X29" s="1510">
        <v>2</v>
      </c>
      <c r="Y29" s="2198"/>
      <c r="Z29" s="2329"/>
      <c r="AA29" s="2329"/>
      <c r="AB29" s="2329"/>
      <c r="AC29" s="2329"/>
      <c r="AD29" s="2330"/>
      <c r="AE29" s="88"/>
      <c r="AF29" s="98" t="s">
        <v>11911</v>
      </c>
      <c r="AG29" s="2560"/>
      <c r="AH29" s="2589"/>
      <c r="AI29" s="1121"/>
      <c r="AJ29" s="2589"/>
      <c r="AK29" s="252">
        <f t="shared" si="17"/>
        <v>0</v>
      </c>
      <c r="AL29" s="252">
        <f t="shared" si="0"/>
        <v>0</v>
      </c>
      <c r="AM29" s="252">
        <f t="shared" si="1"/>
        <v>0</v>
      </c>
      <c r="AN29" s="252">
        <f t="shared" si="2"/>
        <v>0</v>
      </c>
      <c r="AO29" s="252">
        <f t="shared" si="3"/>
        <v>0</v>
      </c>
      <c r="AP29" s="252">
        <f t="shared" si="4"/>
        <v>0</v>
      </c>
      <c r="AQ29" s="252">
        <f t="shared" si="5"/>
        <v>0</v>
      </c>
      <c r="AR29" s="2560"/>
      <c r="AS29" s="252">
        <f t="shared" si="6"/>
        <v>0</v>
      </c>
      <c r="AT29" s="252">
        <f t="shared" si="7"/>
        <v>0</v>
      </c>
      <c r="AU29" s="252">
        <f t="shared" si="8"/>
        <v>0</v>
      </c>
      <c r="AV29" s="252">
        <f t="shared" si="9"/>
        <v>0</v>
      </c>
      <c r="AW29" s="252">
        <f t="shared" si="10"/>
        <v>0</v>
      </c>
      <c r="AX29" s="252">
        <f t="shared" si="11"/>
        <v>0</v>
      </c>
      <c r="AY29" s="252">
        <f t="shared" si="12"/>
        <v>0</v>
      </c>
      <c r="AZ29" s="2560"/>
      <c r="BA29" s="2560"/>
      <c r="BB29" s="252">
        <f t="shared" si="13"/>
        <v>0</v>
      </c>
      <c r="BC29" s="252">
        <f t="shared" si="14"/>
        <v>1</v>
      </c>
      <c r="BD29" s="252">
        <f t="shared" si="15"/>
        <v>0</v>
      </c>
      <c r="BE29" s="252">
        <f t="shared" si="16"/>
        <v>1</v>
      </c>
      <c r="BF29" s="2589"/>
      <c r="BG29" s="1247"/>
      <c r="BH29" s="1247"/>
      <c r="BI29" s="1247"/>
      <c r="BJ29" s="1247"/>
      <c r="BK29" s="1247"/>
      <c r="BL29" s="1247"/>
    </row>
    <row r="30" spans="2:64" ht="15.75" customHeight="1">
      <c r="B30" s="96" t="s">
        <v>11912</v>
      </c>
      <c r="C30" s="97" t="s">
        <v>137</v>
      </c>
      <c r="D30" s="97">
        <v>3</v>
      </c>
      <c r="E30" s="1510">
        <v>1E-3</v>
      </c>
      <c r="F30" s="1510">
        <v>1E-3</v>
      </c>
      <c r="G30" s="1510">
        <v>0.436</v>
      </c>
      <c r="H30" s="1510">
        <v>0.42099999999999999</v>
      </c>
      <c r="I30" s="1510">
        <v>0.627</v>
      </c>
      <c r="J30" s="1510">
        <v>0</v>
      </c>
      <c r="K30" s="2043">
        <v>0</v>
      </c>
      <c r="L30" s="1977"/>
      <c r="M30" s="2045">
        <v>0</v>
      </c>
      <c r="N30" s="1510">
        <v>0</v>
      </c>
      <c r="O30" s="1510">
        <v>0</v>
      </c>
      <c r="P30" s="1510">
        <v>0</v>
      </c>
      <c r="Q30" s="1510">
        <v>0</v>
      </c>
      <c r="R30" s="1510">
        <v>5.6500000000000002E-2</v>
      </c>
      <c r="S30" s="2043">
        <v>0.113</v>
      </c>
      <c r="T30" s="1974"/>
      <c r="U30" s="1976" t="s">
        <v>11913</v>
      </c>
      <c r="V30" s="1510">
        <v>35311</v>
      </c>
      <c r="W30" s="1510" t="s">
        <v>6261</v>
      </c>
      <c r="X30" s="1510">
        <v>0.6</v>
      </c>
      <c r="Y30" s="2198"/>
      <c r="Z30" s="2329"/>
      <c r="AA30" s="2329"/>
      <c r="AB30" s="2329"/>
      <c r="AC30" s="2329"/>
      <c r="AD30" s="2330"/>
      <c r="AE30" s="88"/>
      <c r="AF30" s="98" t="s">
        <v>11914</v>
      </c>
      <c r="AG30" s="2560"/>
      <c r="AH30" s="2589"/>
      <c r="AI30" s="1121"/>
      <c r="AJ30" s="2589"/>
      <c r="AK30" s="252">
        <f t="shared" si="17"/>
        <v>0</v>
      </c>
      <c r="AL30" s="252">
        <f t="shared" si="0"/>
        <v>0</v>
      </c>
      <c r="AM30" s="252">
        <f t="shared" si="1"/>
        <v>0</v>
      </c>
      <c r="AN30" s="252">
        <f t="shared" si="2"/>
        <v>0</v>
      </c>
      <c r="AO30" s="252">
        <f t="shared" si="3"/>
        <v>0</v>
      </c>
      <c r="AP30" s="252">
        <f t="shared" si="4"/>
        <v>0</v>
      </c>
      <c r="AQ30" s="252">
        <f t="shared" si="5"/>
        <v>0</v>
      </c>
      <c r="AR30" s="2560"/>
      <c r="AS30" s="252">
        <f t="shared" si="6"/>
        <v>0</v>
      </c>
      <c r="AT30" s="252">
        <f t="shared" si="7"/>
        <v>0</v>
      </c>
      <c r="AU30" s="252">
        <f t="shared" si="8"/>
        <v>0</v>
      </c>
      <c r="AV30" s="252">
        <f t="shared" si="9"/>
        <v>0</v>
      </c>
      <c r="AW30" s="252">
        <f t="shared" si="10"/>
        <v>0</v>
      </c>
      <c r="AX30" s="252">
        <f t="shared" si="11"/>
        <v>0</v>
      </c>
      <c r="AY30" s="252">
        <f t="shared" si="12"/>
        <v>0</v>
      </c>
      <c r="AZ30" s="2560"/>
      <c r="BA30" s="2560"/>
      <c r="BB30" s="252">
        <f t="shared" si="13"/>
        <v>0</v>
      </c>
      <c r="BC30" s="252">
        <f t="shared" si="14"/>
        <v>1</v>
      </c>
      <c r="BD30" s="252">
        <f t="shared" si="15"/>
        <v>0</v>
      </c>
      <c r="BE30" s="252">
        <f t="shared" si="16"/>
        <v>1</v>
      </c>
      <c r="BF30" s="2589"/>
      <c r="BG30" s="1247"/>
      <c r="BH30" s="1247"/>
      <c r="BI30" s="1247"/>
      <c r="BJ30" s="1247"/>
      <c r="BK30" s="1247"/>
      <c r="BL30" s="1247"/>
    </row>
    <row r="31" spans="2:64" ht="15.75" customHeight="1">
      <c r="B31" s="96" t="s">
        <v>11915</v>
      </c>
      <c r="C31" s="97" t="s">
        <v>137</v>
      </c>
      <c r="D31" s="97">
        <v>3</v>
      </c>
      <c r="E31" s="1510">
        <v>1.6E-2</v>
      </c>
      <c r="F31" s="1510">
        <v>9.2999999999999999E-2</v>
      </c>
      <c r="G31" s="1510">
        <v>0.91500000000000004</v>
      </c>
      <c r="H31" s="1510">
        <v>1.367</v>
      </c>
      <c r="I31" s="1510">
        <v>8.3640000000000008</v>
      </c>
      <c r="J31" s="1510">
        <v>12.492000000000001</v>
      </c>
      <c r="K31" s="2043">
        <v>0</v>
      </c>
      <c r="L31" s="1977"/>
      <c r="M31" s="2045">
        <v>0</v>
      </c>
      <c r="N31" s="1510">
        <v>0</v>
      </c>
      <c r="O31" s="1510">
        <v>0</v>
      </c>
      <c r="P31" s="1510">
        <v>0</v>
      </c>
      <c r="Q31" s="1510">
        <v>0</v>
      </c>
      <c r="R31" s="1510">
        <v>0.82050000000000001</v>
      </c>
      <c r="S31" s="2043">
        <v>1.641</v>
      </c>
      <c r="T31" s="1974"/>
      <c r="U31" s="1976" t="s">
        <v>11916</v>
      </c>
      <c r="V31" s="1510">
        <v>383823</v>
      </c>
      <c r="W31" s="1510" t="s">
        <v>6261</v>
      </c>
      <c r="X31" s="1510">
        <v>0.48</v>
      </c>
      <c r="Y31" s="2198"/>
      <c r="Z31" s="2329"/>
      <c r="AA31" s="2329"/>
      <c r="AB31" s="2329"/>
      <c r="AC31" s="2329"/>
      <c r="AD31" s="2330"/>
      <c r="AE31" s="88"/>
      <c r="AF31" s="98" t="s">
        <v>11917</v>
      </c>
      <c r="AG31" s="2560"/>
      <c r="AH31" s="2589"/>
      <c r="AI31" s="1121"/>
      <c r="AJ31" s="2589"/>
      <c r="AK31" s="252">
        <f t="shared" si="17"/>
        <v>0</v>
      </c>
      <c r="AL31" s="252">
        <f t="shared" si="0"/>
        <v>0</v>
      </c>
      <c r="AM31" s="252">
        <f t="shared" si="1"/>
        <v>0</v>
      </c>
      <c r="AN31" s="252">
        <f t="shared" si="2"/>
        <v>0</v>
      </c>
      <c r="AO31" s="252">
        <f t="shared" si="3"/>
        <v>0</v>
      </c>
      <c r="AP31" s="252">
        <f t="shared" si="4"/>
        <v>0</v>
      </c>
      <c r="AQ31" s="252">
        <f t="shared" si="5"/>
        <v>0</v>
      </c>
      <c r="AR31" s="2560"/>
      <c r="AS31" s="252">
        <f t="shared" si="6"/>
        <v>0</v>
      </c>
      <c r="AT31" s="252">
        <f t="shared" si="7"/>
        <v>0</v>
      </c>
      <c r="AU31" s="252">
        <f t="shared" si="8"/>
        <v>0</v>
      </c>
      <c r="AV31" s="252">
        <f t="shared" si="9"/>
        <v>0</v>
      </c>
      <c r="AW31" s="252">
        <f t="shared" si="10"/>
        <v>0</v>
      </c>
      <c r="AX31" s="252">
        <f t="shared" si="11"/>
        <v>0</v>
      </c>
      <c r="AY31" s="252">
        <f t="shared" si="12"/>
        <v>0</v>
      </c>
      <c r="AZ31" s="2560"/>
      <c r="BA31" s="2560"/>
      <c r="BB31" s="252">
        <f t="shared" si="13"/>
        <v>0</v>
      </c>
      <c r="BC31" s="252">
        <f t="shared" si="14"/>
        <v>1</v>
      </c>
      <c r="BD31" s="252">
        <f t="shared" si="15"/>
        <v>0</v>
      </c>
      <c r="BE31" s="252">
        <f t="shared" si="16"/>
        <v>1</v>
      </c>
      <c r="BF31" s="2589"/>
      <c r="BG31" s="1247"/>
      <c r="BH31" s="1247"/>
      <c r="BI31" s="1247"/>
      <c r="BJ31" s="1247"/>
      <c r="BK31" s="1247"/>
      <c r="BL31" s="1247"/>
    </row>
    <row r="32" spans="2:64" ht="15.75" customHeight="1">
      <c r="B32" s="96" t="s">
        <v>11918</v>
      </c>
      <c r="C32" s="97" t="s">
        <v>137</v>
      </c>
      <c r="D32" s="97">
        <v>3</v>
      </c>
      <c r="E32" s="1510">
        <v>1E-3</v>
      </c>
      <c r="F32" s="1510">
        <v>1E-3</v>
      </c>
      <c r="G32" s="1510">
        <v>0.05</v>
      </c>
      <c r="H32" s="1510">
        <v>0.22500000000000001</v>
      </c>
      <c r="I32" s="1510">
        <v>1.9359999999999999</v>
      </c>
      <c r="J32" s="1510">
        <v>0.79900000000000004</v>
      </c>
      <c r="K32" s="2043">
        <v>0</v>
      </c>
      <c r="L32" s="1977"/>
      <c r="M32" s="2045">
        <v>0</v>
      </c>
      <c r="N32" s="1510">
        <v>0</v>
      </c>
      <c r="O32" s="1510">
        <v>0</v>
      </c>
      <c r="P32" s="1510">
        <v>0</v>
      </c>
      <c r="Q32" s="1510">
        <v>0</v>
      </c>
      <c r="R32" s="1510">
        <v>2.1499999999999998E-2</v>
      </c>
      <c r="S32" s="2043">
        <v>4.2999999999999997E-2</v>
      </c>
      <c r="T32" s="1974"/>
      <c r="U32" s="1976" t="s">
        <v>11919</v>
      </c>
      <c r="V32" s="1510">
        <v>714</v>
      </c>
      <c r="W32" s="1510" t="s">
        <v>6261</v>
      </c>
      <c r="X32" s="1510">
        <v>2.5</v>
      </c>
      <c r="Y32" s="2198"/>
      <c r="Z32" s="2329"/>
      <c r="AA32" s="2329"/>
      <c r="AB32" s="2329"/>
      <c r="AC32" s="2329"/>
      <c r="AD32" s="2330"/>
      <c r="AE32" s="88"/>
      <c r="AF32" s="98" t="s">
        <v>11920</v>
      </c>
      <c r="AG32" s="2560"/>
      <c r="AH32" s="2589"/>
      <c r="AI32" s="1121"/>
      <c r="AJ32" s="2589"/>
      <c r="AK32" s="252">
        <f t="shared" si="17"/>
        <v>0</v>
      </c>
      <c r="AL32" s="252">
        <f t="shared" si="0"/>
        <v>0</v>
      </c>
      <c r="AM32" s="252">
        <f t="shared" si="1"/>
        <v>0</v>
      </c>
      <c r="AN32" s="252">
        <f t="shared" si="2"/>
        <v>0</v>
      </c>
      <c r="AO32" s="252">
        <f t="shared" si="3"/>
        <v>0</v>
      </c>
      <c r="AP32" s="252">
        <f t="shared" si="4"/>
        <v>0</v>
      </c>
      <c r="AQ32" s="252">
        <f t="shared" si="5"/>
        <v>0</v>
      </c>
      <c r="AR32" s="2560"/>
      <c r="AS32" s="252">
        <f t="shared" si="6"/>
        <v>0</v>
      </c>
      <c r="AT32" s="252">
        <f t="shared" si="7"/>
        <v>0</v>
      </c>
      <c r="AU32" s="252">
        <f t="shared" si="8"/>
        <v>0</v>
      </c>
      <c r="AV32" s="252">
        <f t="shared" si="9"/>
        <v>0</v>
      </c>
      <c r="AW32" s="252">
        <f t="shared" si="10"/>
        <v>0</v>
      </c>
      <c r="AX32" s="252">
        <f t="shared" si="11"/>
        <v>0</v>
      </c>
      <c r="AY32" s="252">
        <f t="shared" si="12"/>
        <v>0</v>
      </c>
      <c r="AZ32" s="2560"/>
      <c r="BA32" s="2560"/>
      <c r="BB32" s="252">
        <f t="shared" si="13"/>
        <v>0</v>
      </c>
      <c r="BC32" s="252">
        <f t="shared" si="14"/>
        <v>1</v>
      </c>
      <c r="BD32" s="252">
        <f t="shared" si="15"/>
        <v>0</v>
      </c>
      <c r="BE32" s="252">
        <f t="shared" si="16"/>
        <v>1</v>
      </c>
      <c r="BF32" s="2589"/>
      <c r="BG32" s="1247"/>
      <c r="BH32" s="1247"/>
      <c r="BI32" s="1247"/>
      <c r="BJ32" s="1247"/>
      <c r="BK32" s="1247"/>
      <c r="BL32" s="1247"/>
    </row>
    <row r="33" spans="2:64" ht="15.75" customHeight="1">
      <c r="B33" s="96" t="s">
        <v>11921</v>
      </c>
      <c r="C33" s="97" t="s">
        <v>137</v>
      </c>
      <c r="D33" s="97">
        <v>3</v>
      </c>
      <c r="E33" s="1510">
        <v>5.0000000000000001E-3</v>
      </c>
      <c r="F33" s="1510">
        <v>6.0000000000000001E-3</v>
      </c>
      <c r="G33" s="1510">
        <v>0.80100000000000005</v>
      </c>
      <c r="H33" s="1510">
        <v>0.26900000000000002</v>
      </c>
      <c r="I33" s="1510">
        <v>0.03</v>
      </c>
      <c r="J33" s="1510">
        <v>3.9249999999999998</v>
      </c>
      <c r="K33" s="2043">
        <v>0</v>
      </c>
      <c r="L33" s="1977"/>
      <c r="M33" s="2045">
        <v>0</v>
      </c>
      <c r="N33" s="1510">
        <v>0</v>
      </c>
      <c r="O33" s="1510">
        <v>0</v>
      </c>
      <c r="P33" s="1510">
        <v>0</v>
      </c>
      <c r="Q33" s="1510">
        <v>0</v>
      </c>
      <c r="R33" s="1510">
        <v>7.4999999999999997E-2</v>
      </c>
      <c r="S33" s="2043">
        <v>0.15</v>
      </c>
      <c r="T33" s="1974"/>
      <c r="U33" s="1976" t="s">
        <v>11922</v>
      </c>
      <c r="V33" s="1510">
        <v>46076</v>
      </c>
      <c r="W33" s="1510" t="s">
        <v>6261</v>
      </c>
      <c r="X33" s="1510">
        <v>0.6</v>
      </c>
      <c r="Y33" s="2198"/>
      <c r="Z33" s="2329"/>
      <c r="AA33" s="2329"/>
      <c r="AB33" s="2329"/>
      <c r="AC33" s="2329"/>
      <c r="AD33" s="2330"/>
      <c r="AE33" s="88"/>
      <c r="AF33" s="98" t="s">
        <v>11923</v>
      </c>
      <c r="AG33" s="2560"/>
      <c r="AH33" s="2589"/>
      <c r="AI33" s="1121"/>
      <c r="AJ33" s="2589"/>
      <c r="AK33" s="252">
        <f t="shared" si="17"/>
        <v>0</v>
      </c>
      <c r="AL33" s="252">
        <f t="shared" si="0"/>
        <v>0</v>
      </c>
      <c r="AM33" s="252">
        <f t="shared" si="1"/>
        <v>0</v>
      </c>
      <c r="AN33" s="252">
        <f t="shared" si="2"/>
        <v>0</v>
      </c>
      <c r="AO33" s="252">
        <f t="shared" si="3"/>
        <v>0</v>
      </c>
      <c r="AP33" s="252">
        <f t="shared" si="4"/>
        <v>0</v>
      </c>
      <c r="AQ33" s="252">
        <f t="shared" si="5"/>
        <v>0</v>
      </c>
      <c r="AR33" s="2560"/>
      <c r="AS33" s="252">
        <f t="shared" si="6"/>
        <v>0</v>
      </c>
      <c r="AT33" s="252">
        <f t="shared" si="7"/>
        <v>0</v>
      </c>
      <c r="AU33" s="252">
        <f t="shared" si="8"/>
        <v>0</v>
      </c>
      <c r="AV33" s="252">
        <f t="shared" si="9"/>
        <v>0</v>
      </c>
      <c r="AW33" s="252">
        <f t="shared" si="10"/>
        <v>0</v>
      </c>
      <c r="AX33" s="252">
        <f t="shared" si="11"/>
        <v>0</v>
      </c>
      <c r="AY33" s="252">
        <f t="shared" si="12"/>
        <v>0</v>
      </c>
      <c r="AZ33" s="2560"/>
      <c r="BA33" s="2560"/>
      <c r="BB33" s="252">
        <f t="shared" si="13"/>
        <v>0</v>
      </c>
      <c r="BC33" s="252">
        <f t="shared" si="14"/>
        <v>1</v>
      </c>
      <c r="BD33" s="252">
        <f t="shared" si="15"/>
        <v>0</v>
      </c>
      <c r="BE33" s="252">
        <f t="shared" si="16"/>
        <v>1</v>
      </c>
      <c r="BF33" s="2589"/>
      <c r="BG33" s="1247"/>
      <c r="BH33" s="1247"/>
      <c r="BI33" s="1247"/>
      <c r="BJ33" s="1247"/>
      <c r="BK33" s="1247"/>
      <c r="BL33" s="1247"/>
    </row>
    <row r="34" spans="2:64" ht="15.75" customHeight="1">
      <c r="B34" s="96" t="s">
        <v>11924</v>
      </c>
      <c r="C34" s="97" t="s">
        <v>137</v>
      </c>
      <c r="D34" s="97">
        <v>3</v>
      </c>
      <c r="E34" s="1510">
        <v>2E-3</v>
      </c>
      <c r="F34" s="1510">
        <v>2E-3</v>
      </c>
      <c r="G34" s="1510">
        <v>0.10100000000000001</v>
      </c>
      <c r="H34" s="1510">
        <v>0.248</v>
      </c>
      <c r="I34" s="1510">
        <v>0.90400000000000003</v>
      </c>
      <c r="J34" s="1510">
        <v>1.2709999999999999</v>
      </c>
      <c r="K34" s="2043">
        <v>0</v>
      </c>
      <c r="L34" s="1977"/>
      <c r="M34" s="2045">
        <v>0</v>
      </c>
      <c r="N34" s="1510">
        <v>0</v>
      </c>
      <c r="O34" s="1510">
        <v>0</v>
      </c>
      <c r="P34" s="1510">
        <v>0</v>
      </c>
      <c r="Q34" s="1510">
        <v>0</v>
      </c>
      <c r="R34" s="1510">
        <v>2.6499999999999999E-2</v>
      </c>
      <c r="S34" s="2043">
        <v>5.2999999999999999E-2</v>
      </c>
      <c r="T34" s="1974"/>
      <c r="U34" s="1976" t="s">
        <v>11925</v>
      </c>
      <c r="V34" s="1510">
        <v>402</v>
      </c>
      <c r="W34" s="1510" t="s">
        <v>6261</v>
      </c>
      <c r="X34" s="1510">
        <v>2</v>
      </c>
      <c r="Y34" s="2198"/>
      <c r="Z34" s="2329"/>
      <c r="AA34" s="2329"/>
      <c r="AB34" s="2329"/>
      <c r="AC34" s="2329"/>
      <c r="AD34" s="2330"/>
      <c r="AE34" s="88"/>
      <c r="AF34" s="98" t="s">
        <v>11926</v>
      </c>
      <c r="AG34" s="2560"/>
      <c r="AH34" s="2589"/>
      <c r="AI34" s="1121"/>
      <c r="AJ34" s="2589"/>
      <c r="AK34" s="252">
        <f t="shared" si="17"/>
        <v>0</v>
      </c>
      <c r="AL34" s="252">
        <f t="shared" si="0"/>
        <v>0</v>
      </c>
      <c r="AM34" s="252">
        <f t="shared" si="1"/>
        <v>0</v>
      </c>
      <c r="AN34" s="252">
        <f t="shared" si="2"/>
        <v>0</v>
      </c>
      <c r="AO34" s="252">
        <f t="shared" si="3"/>
        <v>0</v>
      </c>
      <c r="AP34" s="252">
        <f t="shared" si="4"/>
        <v>0</v>
      </c>
      <c r="AQ34" s="252">
        <f t="shared" si="5"/>
        <v>0</v>
      </c>
      <c r="AR34" s="2560"/>
      <c r="AS34" s="252">
        <f t="shared" si="6"/>
        <v>0</v>
      </c>
      <c r="AT34" s="252">
        <f t="shared" si="7"/>
        <v>0</v>
      </c>
      <c r="AU34" s="252">
        <f t="shared" si="8"/>
        <v>0</v>
      </c>
      <c r="AV34" s="252">
        <f t="shared" si="9"/>
        <v>0</v>
      </c>
      <c r="AW34" s="252">
        <f t="shared" si="10"/>
        <v>0</v>
      </c>
      <c r="AX34" s="252">
        <f t="shared" si="11"/>
        <v>0</v>
      </c>
      <c r="AY34" s="252">
        <f t="shared" si="12"/>
        <v>0</v>
      </c>
      <c r="AZ34" s="2560"/>
      <c r="BA34" s="2560"/>
      <c r="BB34" s="252">
        <f t="shared" si="13"/>
        <v>0</v>
      </c>
      <c r="BC34" s="252">
        <f t="shared" si="14"/>
        <v>1</v>
      </c>
      <c r="BD34" s="252">
        <f t="shared" si="15"/>
        <v>0</v>
      </c>
      <c r="BE34" s="252">
        <f t="shared" si="16"/>
        <v>1</v>
      </c>
      <c r="BF34" s="2589"/>
      <c r="BG34" s="1247"/>
      <c r="BH34" s="1247"/>
      <c r="BI34" s="1247"/>
      <c r="BJ34" s="1247"/>
      <c r="BK34" s="1247"/>
      <c r="BL34" s="1247"/>
    </row>
    <row r="35" spans="2:64" ht="15.75" customHeight="1">
      <c r="B35" s="96" t="s">
        <v>11927</v>
      </c>
      <c r="C35" s="97" t="s">
        <v>137</v>
      </c>
      <c r="D35" s="97">
        <v>3</v>
      </c>
      <c r="E35" s="1510">
        <v>4.0000000000000001E-3</v>
      </c>
      <c r="F35" s="1510">
        <v>6.9000000000000006E-2</v>
      </c>
      <c r="G35" s="1510">
        <v>0.68400000000000005</v>
      </c>
      <c r="H35" s="1510">
        <v>1.732</v>
      </c>
      <c r="I35" s="1510">
        <v>6.6280000000000001</v>
      </c>
      <c r="J35" s="1510">
        <v>1.917</v>
      </c>
      <c r="K35" s="2043">
        <v>0</v>
      </c>
      <c r="L35" s="1977"/>
      <c r="M35" s="2045">
        <v>0</v>
      </c>
      <c r="N35" s="1510">
        <v>0</v>
      </c>
      <c r="O35" s="1510">
        <v>0</v>
      </c>
      <c r="P35" s="1510">
        <v>0</v>
      </c>
      <c r="Q35" s="1510">
        <v>0</v>
      </c>
      <c r="R35" s="1510">
        <v>0.1085</v>
      </c>
      <c r="S35" s="2043">
        <v>0.217</v>
      </c>
      <c r="T35" s="1974"/>
      <c r="U35" s="1976" t="s">
        <v>11928</v>
      </c>
      <c r="V35" s="1510">
        <v>24518</v>
      </c>
      <c r="W35" s="1510" t="s">
        <v>6261</v>
      </c>
      <c r="X35" s="1510">
        <v>0.3</v>
      </c>
      <c r="Y35" s="2198"/>
      <c r="Z35" s="2329"/>
      <c r="AA35" s="2329"/>
      <c r="AB35" s="2329"/>
      <c r="AC35" s="2329"/>
      <c r="AD35" s="2330"/>
      <c r="AE35" s="88"/>
      <c r="AF35" s="98" t="s">
        <v>11929</v>
      </c>
      <c r="AG35" s="2560"/>
      <c r="AH35" s="2589"/>
      <c r="AI35" s="1121"/>
      <c r="AJ35" s="2589"/>
      <c r="AK35" s="252">
        <f t="shared" si="17"/>
        <v>0</v>
      </c>
      <c r="AL35" s="252">
        <f t="shared" si="0"/>
        <v>0</v>
      </c>
      <c r="AM35" s="252">
        <f t="shared" si="1"/>
        <v>0</v>
      </c>
      <c r="AN35" s="252">
        <f t="shared" si="2"/>
        <v>0</v>
      </c>
      <c r="AO35" s="252">
        <f t="shared" si="3"/>
        <v>0</v>
      </c>
      <c r="AP35" s="252">
        <f t="shared" si="4"/>
        <v>0</v>
      </c>
      <c r="AQ35" s="252">
        <f t="shared" si="5"/>
        <v>0</v>
      </c>
      <c r="AR35" s="2560"/>
      <c r="AS35" s="252">
        <f t="shared" si="6"/>
        <v>0</v>
      </c>
      <c r="AT35" s="252">
        <f t="shared" si="7"/>
        <v>0</v>
      </c>
      <c r="AU35" s="252">
        <f t="shared" si="8"/>
        <v>0</v>
      </c>
      <c r="AV35" s="252">
        <f t="shared" si="9"/>
        <v>0</v>
      </c>
      <c r="AW35" s="252">
        <f t="shared" si="10"/>
        <v>0</v>
      </c>
      <c r="AX35" s="252">
        <f t="shared" si="11"/>
        <v>0</v>
      </c>
      <c r="AY35" s="252">
        <f t="shared" si="12"/>
        <v>0</v>
      </c>
      <c r="AZ35" s="2560"/>
      <c r="BA35" s="2560"/>
      <c r="BB35" s="252">
        <f t="shared" si="13"/>
        <v>0</v>
      </c>
      <c r="BC35" s="252">
        <f t="shared" si="14"/>
        <v>1</v>
      </c>
      <c r="BD35" s="252">
        <f t="shared" si="15"/>
        <v>0</v>
      </c>
      <c r="BE35" s="252">
        <f t="shared" si="16"/>
        <v>1</v>
      </c>
      <c r="BF35" s="2589"/>
      <c r="BG35" s="1247"/>
      <c r="BH35" s="1247"/>
      <c r="BI35" s="1247"/>
      <c r="BJ35" s="1247"/>
      <c r="BK35" s="1247"/>
      <c r="BL35" s="1247"/>
    </row>
    <row r="36" spans="2:64" ht="15.75" customHeight="1">
      <c r="B36" s="96" t="s">
        <v>11930</v>
      </c>
      <c r="C36" s="97" t="s">
        <v>137</v>
      </c>
      <c r="D36" s="97">
        <v>3</v>
      </c>
      <c r="E36" s="1510">
        <v>1E-3</v>
      </c>
      <c r="F36" s="1510">
        <v>1E-3</v>
      </c>
      <c r="G36" s="1510">
        <v>2E-3</v>
      </c>
      <c r="H36" s="1510">
        <v>0.25700000000000001</v>
      </c>
      <c r="I36" s="1510">
        <v>0.66800000000000004</v>
      </c>
      <c r="J36" s="1510">
        <v>0.88200000000000001</v>
      </c>
      <c r="K36" s="2043">
        <v>0</v>
      </c>
      <c r="L36" s="1977"/>
      <c r="M36" s="2045">
        <v>0</v>
      </c>
      <c r="N36" s="1510">
        <v>0</v>
      </c>
      <c r="O36" s="1510">
        <v>0</v>
      </c>
      <c r="P36" s="1510">
        <v>0</v>
      </c>
      <c r="Q36" s="1510">
        <v>0</v>
      </c>
      <c r="R36" s="1510">
        <v>0</v>
      </c>
      <c r="S36" s="2043">
        <v>0</v>
      </c>
      <c r="T36" s="1974"/>
      <c r="U36" s="1976" t="s">
        <v>11931</v>
      </c>
      <c r="V36" s="1510">
        <v>207</v>
      </c>
      <c r="W36" s="1510" t="s">
        <v>6261</v>
      </c>
      <c r="X36" s="1510">
        <v>4</v>
      </c>
      <c r="Y36" s="2198"/>
      <c r="Z36" s="2329"/>
      <c r="AA36" s="2329"/>
      <c r="AB36" s="2329"/>
      <c r="AC36" s="2329"/>
      <c r="AD36" s="2330"/>
      <c r="AE36" s="88"/>
      <c r="AF36" s="98" t="s">
        <v>11932</v>
      </c>
      <c r="AG36" s="2560"/>
      <c r="AH36" s="2589"/>
      <c r="AI36" s="1121"/>
      <c r="AJ36" s="2589"/>
      <c r="AK36" s="252">
        <f t="shared" si="17"/>
        <v>0</v>
      </c>
      <c r="AL36" s="252">
        <f t="shared" si="0"/>
        <v>0</v>
      </c>
      <c r="AM36" s="252">
        <f t="shared" si="1"/>
        <v>0</v>
      </c>
      <c r="AN36" s="252">
        <f t="shared" si="2"/>
        <v>0</v>
      </c>
      <c r="AO36" s="252">
        <f t="shared" si="3"/>
        <v>0</v>
      </c>
      <c r="AP36" s="252">
        <f t="shared" si="4"/>
        <v>0</v>
      </c>
      <c r="AQ36" s="252">
        <f t="shared" si="5"/>
        <v>0</v>
      </c>
      <c r="AR36" s="2560"/>
      <c r="AS36" s="252">
        <f t="shared" si="6"/>
        <v>0</v>
      </c>
      <c r="AT36" s="252">
        <f t="shared" si="7"/>
        <v>0</v>
      </c>
      <c r="AU36" s="252">
        <f t="shared" si="8"/>
        <v>0</v>
      </c>
      <c r="AV36" s="252">
        <f t="shared" si="9"/>
        <v>0</v>
      </c>
      <c r="AW36" s="252">
        <f t="shared" si="10"/>
        <v>0</v>
      </c>
      <c r="AX36" s="252">
        <f t="shared" si="11"/>
        <v>0</v>
      </c>
      <c r="AY36" s="252">
        <f t="shared" si="12"/>
        <v>0</v>
      </c>
      <c r="AZ36" s="2560"/>
      <c r="BA36" s="2560"/>
      <c r="BB36" s="252">
        <f t="shared" si="13"/>
        <v>0</v>
      </c>
      <c r="BC36" s="252">
        <f t="shared" si="14"/>
        <v>1</v>
      </c>
      <c r="BD36" s="252">
        <f t="shared" si="15"/>
        <v>0</v>
      </c>
      <c r="BE36" s="252">
        <f t="shared" si="16"/>
        <v>1</v>
      </c>
      <c r="BF36" s="2589"/>
      <c r="BG36" s="1247"/>
      <c r="BH36" s="1247"/>
      <c r="BI36" s="1247"/>
      <c r="BJ36" s="1247"/>
      <c r="BK36" s="1247"/>
      <c r="BL36" s="1247"/>
    </row>
    <row r="37" spans="2:64" ht="15.75" customHeight="1">
      <c r="B37" s="96" t="s">
        <v>11933</v>
      </c>
      <c r="C37" s="97" t="s">
        <v>137</v>
      </c>
      <c r="D37" s="97">
        <v>3</v>
      </c>
      <c r="E37" s="1510">
        <v>4.0000000000000001E-3</v>
      </c>
      <c r="F37" s="1510">
        <v>5.0000000000000001E-3</v>
      </c>
      <c r="G37" s="1510">
        <v>0.53700000000000003</v>
      </c>
      <c r="H37" s="1510">
        <v>0.48299999999999998</v>
      </c>
      <c r="I37" s="1510">
        <v>4.8000000000000001E-2</v>
      </c>
      <c r="J37" s="1510">
        <v>2.9220000000000002</v>
      </c>
      <c r="K37" s="2043">
        <v>0</v>
      </c>
      <c r="L37" s="1977"/>
      <c r="M37" s="2045">
        <v>0</v>
      </c>
      <c r="N37" s="1510">
        <v>0</v>
      </c>
      <c r="O37" s="1510">
        <v>0</v>
      </c>
      <c r="P37" s="1510">
        <v>0</v>
      </c>
      <c r="Q37" s="1510">
        <v>0</v>
      </c>
      <c r="R37" s="1510">
        <v>0.03</v>
      </c>
      <c r="S37" s="2043">
        <v>0.06</v>
      </c>
      <c r="T37" s="1974"/>
      <c r="U37" s="1976" t="s">
        <v>11934</v>
      </c>
      <c r="V37" s="1510">
        <v>17415</v>
      </c>
      <c r="W37" s="1510" t="s">
        <v>6261</v>
      </c>
      <c r="X37" s="1510">
        <v>0.5</v>
      </c>
      <c r="Y37" s="2198"/>
      <c r="Z37" s="2329"/>
      <c r="AA37" s="2329"/>
      <c r="AB37" s="2329"/>
      <c r="AC37" s="2329"/>
      <c r="AD37" s="2330"/>
      <c r="AE37" s="88"/>
      <c r="AF37" s="98" t="s">
        <v>11935</v>
      </c>
      <c r="AG37" s="2560"/>
      <c r="AH37" s="2589"/>
      <c r="AI37" s="1121"/>
      <c r="AJ37" s="2589"/>
      <c r="AK37" s="252">
        <f t="shared" si="17"/>
        <v>0</v>
      </c>
      <c r="AL37" s="252">
        <f t="shared" si="0"/>
        <v>0</v>
      </c>
      <c r="AM37" s="252">
        <f t="shared" si="1"/>
        <v>0</v>
      </c>
      <c r="AN37" s="252">
        <f t="shared" si="2"/>
        <v>0</v>
      </c>
      <c r="AO37" s="252">
        <f t="shared" si="3"/>
        <v>0</v>
      </c>
      <c r="AP37" s="252">
        <f t="shared" si="4"/>
        <v>0</v>
      </c>
      <c r="AQ37" s="252">
        <f t="shared" si="5"/>
        <v>0</v>
      </c>
      <c r="AR37" s="2560"/>
      <c r="AS37" s="252">
        <f t="shared" si="6"/>
        <v>0</v>
      </c>
      <c r="AT37" s="252">
        <f t="shared" si="7"/>
        <v>0</v>
      </c>
      <c r="AU37" s="252">
        <f t="shared" si="8"/>
        <v>0</v>
      </c>
      <c r="AV37" s="252">
        <f t="shared" si="9"/>
        <v>0</v>
      </c>
      <c r="AW37" s="252">
        <f t="shared" si="10"/>
        <v>0</v>
      </c>
      <c r="AX37" s="252">
        <f t="shared" si="11"/>
        <v>0</v>
      </c>
      <c r="AY37" s="252">
        <f t="shared" si="12"/>
        <v>0</v>
      </c>
      <c r="AZ37" s="2560"/>
      <c r="BA37" s="2560"/>
      <c r="BB37" s="252">
        <f t="shared" si="13"/>
        <v>0</v>
      </c>
      <c r="BC37" s="252">
        <f t="shared" si="14"/>
        <v>1</v>
      </c>
      <c r="BD37" s="252">
        <f t="shared" si="15"/>
        <v>0</v>
      </c>
      <c r="BE37" s="252">
        <f t="shared" si="16"/>
        <v>1</v>
      </c>
      <c r="BF37" s="2589"/>
      <c r="BG37" s="1247"/>
      <c r="BH37" s="1247"/>
      <c r="BI37" s="1247"/>
      <c r="BJ37" s="1247"/>
      <c r="BK37" s="1247"/>
      <c r="BL37" s="1247"/>
    </row>
    <row r="38" spans="2:64" ht="15.75" customHeight="1">
      <c r="B38" s="96" t="s">
        <v>11936</v>
      </c>
      <c r="C38" s="97" t="s">
        <v>137</v>
      </c>
      <c r="D38" s="97">
        <v>3</v>
      </c>
      <c r="E38" s="1510">
        <v>4.0000000000000001E-3</v>
      </c>
      <c r="F38" s="1510">
        <v>0.14499999999999999</v>
      </c>
      <c r="G38" s="1510">
        <v>0.40100000000000002</v>
      </c>
      <c r="H38" s="1510">
        <v>0.23799999999999999</v>
      </c>
      <c r="I38" s="1510">
        <v>5.548</v>
      </c>
      <c r="J38" s="1510">
        <v>3.1419999999999999</v>
      </c>
      <c r="K38" s="2043">
        <v>0</v>
      </c>
      <c r="L38" s="1977"/>
      <c r="M38" s="2045">
        <v>0</v>
      </c>
      <c r="N38" s="1510">
        <v>0</v>
      </c>
      <c r="O38" s="1510">
        <v>0</v>
      </c>
      <c r="P38" s="1510">
        <v>0</v>
      </c>
      <c r="Q38" s="1510">
        <v>0</v>
      </c>
      <c r="R38" s="1510">
        <v>0.192</v>
      </c>
      <c r="S38" s="2043">
        <v>0.38400000000000001</v>
      </c>
      <c r="T38" s="1974"/>
      <c r="U38" s="1976" t="s">
        <v>11937</v>
      </c>
      <c r="V38" s="1510">
        <v>41954</v>
      </c>
      <c r="W38" s="1510" t="s">
        <v>6261</v>
      </c>
      <c r="X38" s="1510">
        <v>0.3</v>
      </c>
      <c r="Y38" s="2198"/>
      <c r="Z38" s="2329"/>
      <c r="AA38" s="2329"/>
      <c r="AB38" s="2329"/>
      <c r="AC38" s="2329"/>
      <c r="AD38" s="2330"/>
      <c r="AE38" s="88"/>
      <c r="AF38" s="98" t="s">
        <v>11938</v>
      </c>
      <c r="AG38" s="2560"/>
      <c r="AH38" s="2589"/>
      <c r="AI38" s="1121"/>
      <c r="AJ38" s="2589"/>
      <c r="AK38" s="252">
        <f t="shared" si="17"/>
        <v>0</v>
      </c>
      <c r="AL38" s="252">
        <f t="shared" si="0"/>
        <v>0</v>
      </c>
      <c r="AM38" s="252">
        <f t="shared" si="1"/>
        <v>0</v>
      </c>
      <c r="AN38" s="252">
        <f t="shared" si="2"/>
        <v>0</v>
      </c>
      <c r="AO38" s="252">
        <f t="shared" si="3"/>
        <v>0</v>
      </c>
      <c r="AP38" s="252">
        <f t="shared" si="4"/>
        <v>0</v>
      </c>
      <c r="AQ38" s="252">
        <f t="shared" si="5"/>
        <v>0</v>
      </c>
      <c r="AR38" s="2560"/>
      <c r="AS38" s="252">
        <f t="shared" si="6"/>
        <v>0</v>
      </c>
      <c r="AT38" s="252">
        <f t="shared" si="7"/>
        <v>0</v>
      </c>
      <c r="AU38" s="252">
        <f t="shared" si="8"/>
        <v>0</v>
      </c>
      <c r="AV38" s="252">
        <f t="shared" si="9"/>
        <v>0</v>
      </c>
      <c r="AW38" s="252">
        <f t="shared" si="10"/>
        <v>0</v>
      </c>
      <c r="AX38" s="252">
        <f t="shared" si="11"/>
        <v>0</v>
      </c>
      <c r="AY38" s="252">
        <f t="shared" si="12"/>
        <v>0</v>
      </c>
      <c r="AZ38" s="2560"/>
      <c r="BA38" s="2560"/>
      <c r="BB38" s="252">
        <f t="shared" si="13"/>
        <v>0</v>
      </c>
      <c r="BC38" s="252">
        <f t="shared" si="14"/>
        <v>1</v>
      </c>
      <c r="BD38" s="252">
        <f t="shared" si="15"/>
        <v>0</v>
      </c>
      <c r="BE38" s="252">
        <f t="shared" si="16"/>
        <v>1</v>
      </c>
      <c r="BF38" s="2589"/>
      <c r="BG38" s="1247"/>
      <c r="BH38" s="1247"/>
      <c r="BI38" s="1247"/>
      <c r="BJ38" s="1247"/>
      <c r="BK38" s="1247"/>
      <c r="BL38" s="1247"/>
    </row>
    <row r="39" spans="2:64" ht="15.75" customHeight="1">
      <c r="B39" s="96" t="s">
        <v>11939</v>
      </c>
      <c r="C39" s="97" t="s">
        <v>137</v>
      </c>
      <c r="D39" s="97">
        <v>3</v>
      </c>
      <c r="E39" s="1510">
        <v>0</v>
      </c>
      <c r="F39" s="1510">
        <v>0.17399999999999999</v>
      </c>
      <c r="G39" s="1510">
        <v>1.2E-2</v>
      </c>
      <c r="H39" s="1510">
        <v>4.5999999999999999E-2</v>
      </c>
      <c r="I39" s="1510">
        <v>0.13900000000000001</v>
      </c>
      <c r="J39" s="1510">
        <v>0</v>
      </c>
      <c r="K39" s="2043">
        <v>0</v>
      </c>
      <c r="L39" s="1977"/>
      <c r="M39" s="2045">
        <v>0</v>
      </c>
      <c r="N39" s="1510">
        <v>0</v>
      </c>
      <c r="O39" s="1510">
        <v>0</v>
      </c>
      <c r="P39" s="1510">
        <v>0</v>
      </c>
      <c r="Q39" s="1510">
        <v>0</v>
      </c>
      <c r="R39" s="1510">
        <v>2.8000000000000001E-2</v>
      </c>
      <c r="S39" s="2043">
        <v>5.6000000000000001E-2</v>
      </c>
      <c r="T39" s="1974"/>
      <c r="U39" s="1976" t="s">
        <v>11940</v>
      </c>
      <c r="V39" s="1510">
        <v>2123</v>
      </c>
      <c r="W39" s="1510">
        <v>2</v>
      </c>
      <c r="X39" s="1510">
        <v>0.25</v>
      </c>
      <c r="Y39" s="2198"/>
      <c r="Z39" s="2329"/>
      <c r="AA39" s="2329"/>
      <c r="AB39" s="2329"/>
      <c r="AC39" s="2329"/>
      <c r="AD39" s="2330"/>
      <c r="AE39" s="88"/>
      <c r="AF39" s="98" t="s">
        <v>11941</v>
      </c>
      <c r="AG39" s="2560"/>
      <c r="AH39" s="2589"/>
      <c r="AI39" s="1121"/>
      <c r="AJ39" s="2589"/>
      <c r="AK39" s="252">
        <f t="shared" si="17"/>
        <v>0</v>
      </c>
      <c r="AL39" s="252">
        <f t="shared" si="0"/>
        <v>0</v>
      </c>
      <c r="AM39" s="252">
        <f t="shared" si="1"/>
        <v>0</v>
      </c>
      <c r="AN39" s="252">
        <f t="shared" si="2"/>
        <v>0</v>
      </c>
      <c r="AO39" s="252">
        <f t="shared" si="3"/>
        <v>0</v>
      </c>
      <c r="AP39" s="252">
        <f t="shared" si="4"/>
        <v>0</v>
      </c>
      <c r="AQ39" s="252">
        <f t="shared" si="5"/>
        <v>0</v>
      </c>
      <c r="AR39" s="2560"/>
      <c r="AS39" s="252">
        <f t="shared" si="6"/>
        <v>0</v>
      </c>
      <c r="AT39" s="252">
        <f t="shared" si="7"/>
        <v>0</v>
      </c>
      <c r="AU39" s="252">
        <f t="shared" si="8"/>
        <v>0</v>
      </c>
      <c r="AV39" s="252">
        <f t="shared" si="9"/>
        <v>0</v>
      </c>
      <c r="AW39" s="252">
        <f t="shared" si="10"/>
        <v>0</v>
      </c>
      <c r="AX39" s="252">
        <f t="shared" si="11"/>
        <v>0</v>
      </c>
      <c r="AY39" s="252">
        <f t="shared" si="12"/>
        <v>0</v>
      </c>
      <c r="AZ39" s="2560"/>
      <c r="BA39" s="2560"/>
      <c r="BB39" s="252">
        <f t="shared" si="13"/>
        <v>0</v>
      </c>
      <c r="BC39" s="252">
        <f t="shared" si="14"/>
        <v>0</v>
      </c>
      <c r="BD39" s="252">
        <f t="shared" si="15"/>
        <v>0</v>
      </c>
      <c r="BE39" s="252">
        <f t="shared" si="16"/>
        <v>1</v>
      </c>
      <c r="BF39" s="2589"/>
      <c r="BG39" s="1247"/>
      <c r="BH39" s="1247"/>
      <c r="BI39" s="1247"/>
      <c r="BJ39" s="1247"/>
      <c r="BK39" s="1247"/>
      <c r="BL39" s="1247"/>
    </row>
    <row r="40" spans="2:64" ht="15.75" customHeight="1">
      <c r="B40" s="96" t="s">
        <v>11942</v>
      </c>
      <c r="C40" s="97" t="s">
        <v>137</v>
      </c>
      <c r="D40" s="97">
        <v>3</v>
      </c>
      <c r="E40" s="1510">
        <v>1E-3</v>
      </c>
      <c r="F40" s="1510">
        <v>7.6999999999999999E-2</v>
      </c>
      <c r="G40" s="1510">
        <v>0.53600000000000003</v>
      </c>
      <c r="H40" s="1510">
        <v>1.381</v>
      </c>
      <c r="I40" s="1510">
        <v>0.36</v>
      </c>
      <c r="J40" s="1510">
        <v>5.0999999999999997E-2</v>
      </c>
      <c r="K40" s="2043">
        <v>0</v>
      </c>
      <c r="L40" s="1977"/>
      <c r="M40" s="2045">
        <v>0</v>
      </c>
      <c r="N40" s="1510">
        <v>0</v>
      </c>
      <c r="O40" s="1510">
        <v>0</v>
      </c>
      <c r="P40" s="1510">
        <v>0</v>
      </c>
      <c r="Q40" s="1510">
        <v>0</v>
      </c>
      <c r="R40" s="1510">
        <v>4.7500000000000001E-2</v>
      </c>
      <c r="S40" s="2043">
        <v>9.5000000000000001E-2</v>
      </c>
      <c r="T40" s="1974"/>
      <c r="U40" s="1976" t="s">
        <v>11943</v>
      </c>
      <c r="V40" s="1510">
        <v>13950</v>
      </c>
      <c r="W40" s="1510" t="s">
        <v>6261</v>
      </c>
      <c r="X40" s="1510">
        <v>0.9</v>
      </c>
      <c r="Y40" s="2198"/>
      <c r="Z40" s="2329"/>
      <c r="AA40" s="2329"/>
      <c r="AB40" s="2329"/>
      <c r="AC40" s="2329"/>
      <c r="AD40" s="2330"/>
      <c r="AE40" s="88"/>
      <c r="AF40" s="98" t="s">
        <v>11944</v>
      </c>
      <c r="AG40" s="2560"/>
      <c r="AH40" s="2589"/>
      <c r="AI40" s="1121"/>
      <c r="AJ40" s="2589"/>
      <c r="AK40" s="252">
        <f t="shared" si="17"/>
        <v>0</v>
      </c>
      <c r="AL40" s="252">
        <f t="shared" si="0"/>
        <v>0</v>
      </c>
      <c r="AM40" s="252">
        <f t="shared" si="1"/>
        <v>0</v>
      </c>
      <c r="AN40" s="252">
        <f t="shared" si="2"/>
        <v>0</v>
      </c>
      <c r="AO40" s="252">
        <f t="shared" si="3"/>
        <v>0</v>
      </c>
      <c r="AP40" s="252">
        <f t="shared" si="4"/>
        <v>0</v>
      </c>
      <c r="AQ40" s="252">
        <f t="shared" si="5"/>
        <v>0</v>
      </c>
      <c r="AR40" s="2560"/>
      <c r="AS40" s="252">
        <f t="shared" si="6"/>
        <v>0</v>
      </c>
      <c r="AT40" s="252">
        <f t="shared" si="7"/>
        <v>0</v>
      </c>
      <c r="AU40" s="252">
        <f t="shared" si="8"/>
        <v>0</v>
      </c>
      <c r="AV40" s="252">
        <f t="shared" si="9"/>
        <v>0</v>
      </c>
      <c r="AW40" s="252">
        <f t="shared" si="10"/>
        <v>0</v>
      </c>
      <c r="AX40" s="252">
        <f t="shared" si="11"/>
        <v>0</v>
      </c>
      <c r="AY40" s="252">
        <f t="shared" si="12"/>
        <v>0</v>
      </c>
      <c r="AZ40" s="2560"/>
      <c r="BA40" s="2560"/>
      <c r="BB40" s="252">
        <f t="shared" si="13"/>
        <v>0</v>
      </c>
      <c r="BC40" s="252">
        <f t="shared" si="14"/>
        <v>1</v>
      </c>
      <c r="BD40" s="252">
        <f t="shared" si="15"/>
        <v>0</v>
      </c>
      <c r="BE40" s="252">
        <f t="shared" si="16"/>
        <v>1</v>
      </c>
      <c r="BF40" s="2589"/>
      <c r="BG40" s="1247"/>
      <c r="BH40" s="1247"/>
      <c r="BI40" s="1247"/>
      <c r="BJ40" s="1247"/>
      <c r="BK40" s="1247"/>
      <c r="BL40" s="1247"/>
    </row>
    <row r="41" spans="2:64" ht="15.75" customHeight="1">
      <c r="B41" s="96" t="s">
        <v>11945</v>
      </c>
      <c r="C41" s="97" t="s">
        <v>137</v>
      </c>
      <c r="D41" s="97">
        <v>3</v>
      </c>
      <c r="E41" s="1510">
        <v>4.0000000000000001E-3</v>
      </c>
      <c r="F41" s="1510">
        <v>1.2E-2</v>
      </c>
      <c r="G41" s="1510">
        <v>0.183</v>
      </c>
      <c r="H41" s="1510">
        <v>0.55200000000000005</v>
      </c>
      <c r="I41" s="1510">
        <v>2.7210000000000001</v>
      </c>
      <c r="J41" s="1510">
        <v>0.79400000000000004</v>
      </c>
      <c r="K41" s="2043">
        <v>0</v>
      </c>
      <c r="L41" s="1977"/>
      <c r="M41" s="2045">
        <v>0</v>
      </c>
      <c r="N41" s="1510">
        <v>0</v>
      </c>
      <c r="O41" s="1510">
        <v>0</v>
      </c>
      <c r="P41" s="1510">
        <v>0</v>
      </c>
      <c r="Q41" s="1510">
        <v>0</v>
      </c>
      <c r="R41" s="1510">
        <v>9.7000000000000003E-2</v>
      </c>
      <c r="S41" s="2043">
        <v>0.19400000000000001</v>
      </c>
      <c r="T41" s="1974"/>
      <c r="U41" s="1976" t="s">
        <v>11946</v>
      </c>
      <c r="V41" s="1510">
        <v>49314</v>
      </c>
      <c r="W41" s="1510" t="s">
        <v>6261</v>
      </c>
      <c r="X41" s="1510">
        <v>0.25</v>
      </c>
      <c r="Y41" s="2198"/>
      <c r="Z41" s="2329"/>
      <c r="AA41" s="2329"/>
      <c r="AB41" s="2329"/>
      <c r="AC41" s="2329"/>
      <c r="AD41" s="2330"/>
      <c r="AE41" s="88"/>
      <c r="AF41" s="98" t="s">
        <v>11947</v>
      </c>
      <c r="AG41" s="2560"/>
      <c r="AH41" s="2589"/>
      <c r="AI41" s="1121"/>
      <c r="AJ41" s="2589"/>
      <c r="AK41" s="252">
        <f t="shared" si="17"/>
        <v>0</v>
      </c>
      <c r="AL41" s="252">
        <f t="shared" si="0"/>
        <v>0</v>
      </c>
      <c r="AM41" s="252">
        <f t="shared" si="1"/>
        <v>0</v>
      </c>
      <c r="AN41" s="252">
        <f t="shared" si="2"/>
        <v>0</v>
      </c>
      <c r="AO41" s="252">
        <f t="shared" si="3"/>
        <v>0</v>
      </c>
      <c r="AP41" s="252">
        <f t="shared" si="4"/>
        <v>0</v>
      </c>
      <c r="AQ41" s="252">
        <f t="shared" si="5"/>
        <v>0</v>
      </c>
      <c r="AR41" s="2560"/>
      <c r="AS41" s="252">
        <f t="shared" si="6"/>
        <v>0</v>
      </c>
      <c r="AT41" s="252">
        <f t="shared" si="7"/>
        <v>0</v>
      </c>
      <c r="AU41" s="252">
        <f t="shared" si="8"/>
        <v>0</v>
      </c>
      <c r="AV41" s="252">
        <f t="shared" si="9"/>
        <v>0</v>
      </c>
      <c r="AW41" s="252">
        <f t="shared" si="10"/>
        <v>0</v>
      </c>
      <c r="AX41" s="252">
        <f t="shared" si="11"/>
        <v>0</v>
      </c>
      <c r="AY41" s="252">
        <f t="shared" si="12"/>
        <v>0</v>
      </c>
      <c r="AZ41" s="2560"/>
      <c r="BA41" s="2560"/>
      <c r="BB41" s="252">
        <f t="shared" si="13"/>
        <v>0</v>
      </c>
      <c r="BC41" s="252">
        <f t="shared" si="14"/>
        <v>1</v>
      </c>
      <c r="BD41" s="252">
        <f t="shared" si="15"/>
        <v>0</v>
      </c>
      <c r="BE41" s="252">
        <f t="shared" si="16"/>
        <v>1</v>
      </c>
      <c r="BF41" s="2589"/>
      <c r="BG41" s="1247"/>
      <c r="BH41" s="1247"/>
      <c r="BI41" s="1247"/>
      <c r="BJ41" s="1247"/>
      <c r="BK41" s="1247"/>
      <c r="BL41" s="1247"/>
    </row>
    <row r="42" spans="2:64" ht="15.75" customHeight="1">
      <c r="B42" s="96" t="s">
        <v>11948</v>
      </c>
      <c r="C42" s="97" t="s">
        <v>137</v>
      </c>
      <c r="D42" s="97">
        <v>3</v>
      </c>
      <c r="E42" s="1510">
        <v>1E-3</v>
      </c>
      <c r="F42" s="1510">
        <v>0.14499999999999999</v>
      </c>
      <c r="G42" s="1510">
        <v>0.34</v>
      </c>
      <c r="H42" s="1510">
        <v>1.7829999999999999</v>
      </c>
      <c r="I42" s="1510">
        <v>0.28599999999999998</v>
      </c>
      <c r="J42" s="1510">
        <v>0.89700000000000002</v>
      </c>
      <c r="K42" s="2043">
        <v>0</v>
      </c>
      <c r="L42" s="1977"/>
      <c r="M42" s="2045">
        <v>0</v>
      </c>
      <c r="N42" s="1510">
        <v>0</v>
      </c>
      <c r="O42" s="1510">
        <v>0</v>
      </c>
      <c r="P42" s="1510">
        <v>0</v>
      </c>
      <c r="Q42" s="1510">
        <v>0</v>
      </c>
      <c r="R42" s="1510">
        <v>7.3999999999999996E-2</v>
      </c>
      <c r="S42" s="2043">
        <v>0.14799999999999999</v>
      </c>
      <c r="T42" s="1974"/>
      <c r="U42" s="1976" t="s">
        <v>11949</v>
      </c>
      <c r="V42" s="1510">
        <v>17097</v>
      </c>
      <c r="W42" s="1510" t="s">
        <v>6261</v>
      </c>
      <c r="X42" s="1510">
        <v>0.25</v>
      </c>
      <c r="Y42" s="2198"/>
      <c r="Z42" s="2329"/>
      <c r="AA42" s="2329"/>
      <c r="AB42" s="2329"/>
      <c r="AC42" s="2329"/>
      <c r="AD42" s="2330"/>
      <c r="AE42" s="88"/>
      <c r="AF42" s="98" t="s">
        <v>11950</v>
      </c>
      <c r="AG42" s="2560"/>
      <c r="AH42" s="2589"/>
      <c r="AI42" s="1121"/>
      <c r="AJ42" s="2589"/>
      <c r="AK42" s="252">
        <f t="shared" si="17"/>
        <v>0</v>
      </c>
      <c r="AL42" s="252">
        <f t="shared" si="0"/>
        <v>0</v>
      </c>
      <c r="AM42" s="252">
        <f t="shared" si="1"/>
        <v>0</v>
      </c>
      <c r="AN42" s="252">
        <f t="shared" si="2"/>
        <v>0</v>
      </c>
      <c r="AO42" s="252">
        <f t="shared" si="3"/>
        <v>0</v>
      </c>
      <c r="AP42" s="252">
        <f t="shared" si="4"/>
        <v>0</v>
      </c>
      <c r="AQ42" s="252">
        <f t="shared" si="5"/>
        <v>0</v>
      </c>
      <c r="AR42" s="2560"/>
      <c r="AS42" s="252">
        <f t="shared" si="6"/>
        <v>0</v>
      </c>
      <c r="AT42" s="252">
        <f t="shared" si="7"/>
        <v>0</v>
      </c>
      <c r="AU42" s="252">
        <f t="shared" si="8"/>
        <v>0</v>
      </c>
      <c r="AV42" s="252">
        <f t="shared" si="9"/>
        <v>0</v>
      </c>
      <c r="AW42" s="252">
        <f t="shared" si="10"/>
        <v>0</v>
      </c>
      <c r="AX42" s="252">
        <f t="shared" si="11"/>
        <v>0</v>
      </c>
      <c r="AY42" s="252">
        <f t="shared" si="12"/>
        <v>0</v>
      </c>
      <c r="AZ42" s="2560"/>
      <c r="BA42" s="2560"/>
      <c r="BB42" s="252">
        <f t="shared" si="13"/>
        <v>0</v>
      </c>
      <c r="BC42" s="252">
        <f t="shared" si="14"/>
        <v>1</v>
      </c>
      <c r="BD42" s="252">
        <f t="shared" si="15"/>
        <v>0</v>
      </c>
      <c r="BE42" s="252">
        <f t="shared" si="16"/>
        <v>1</v>
      </c>
      <c r="BF42" s="2589"/>
      <c r="BG42" s="1247"/>
      <c r="BH42" s="1247"/>
      <c r="BI42" s="1247"/>
      <c r="BJ42" s="1247"/>
      <c r="BK42" s="1247"/>
      <c r="BL42" s="1247"/>
    </row>
    <row r="43" spans="2:64" ht="15.75" customHeight="1">
      <c r="B43" s="96" t="s">
        <v>11951</v>
      </c>
      <c r="C43" s="97" t="s">
        <v>137</v>
      </c>
      <c r="D43" s="97">
        <v>3</v>
      </c>
      <c r="E43" s="1510">
        <v>1E-3</v>
      </c>
      <c r="F43" s="1510">
        <v>0.155</v>
      </c>
      <c r="G43" s="1510">
        <v>0.59299999999999997</v>
      </c>
      <c r="H43" s="1510">
        <v>0.61699999999999999</v>
      </c>
      <c r="I43" s="1510">
        <v>-1.4219999999999999</v>
      </c>
      <c r="J43" s="1510">
        <v>1.1379999999999999</v>
      </c>
      <c r="K43" s="2043">
        <v>0</v>
      </c>
      <c r="L43" s="1977"/>
      <c r="M43" s="2045">
        <v>0</v>
      </c>
      <c r="N43" s="1510">
        <v>0</v>
      </c>
      <c r="O43" s="1510">
        <v>0</v>
      </c>
      <c r="P43" s="1510">
        <v>0</v>
      </c>
      <c r="Q43" s="1510">
        <v>0</v>
      </c>
      <c r="R43" s="1510">
        <v>6.5000000000000002E-2</v>
      </c>
      <c r="S43" s="2043">
        <v>0.13</v>
      </c>
      <c r="T43" s="1974"/>
      <c r="U43" s="1976" t="s">
        <v>11952</v>
      </c>
      <c r="V43" s="1510">
        <v>167989</v>
      </c>
      <c r="W43" s="1510" t="s">
        <v>6261</v>
      </c>
      <c r="X43" s="1510">
        <v>0.3</v>
      </c>
      <c r="Y43" s="2198"/>
      <c r="Z43" s="2329"/>
      <c r="AA43" s="2329"/>
      <c r="AB43" s="2329"/>
      <c r="AC43" s="2329"/>
      <c r="AD43" s="2330"/>
      <c r="AE43" s="88"/>
      <c r="AF43" s="98" t="s">
        <v>11953</v>
      </c>
      <c r="AG43" s="2560"/>
      <c r="AH43" s="2589"/>
      <c r="AI43" s="1121"/>
      <c r="AJ43" s="2589"/>
      <c r="AK43" s="252">
        <f t="shared" si="17"/>
        <v>0</v>
      </c>
      <c r="AL43" s="252">
        <f t="shared" si="0"/>
        <v>0</v>
      </c>
      <c r="AM43" s="252">
        <f t="shared" si="1"/>
        <v>0</v>
      </c>
      <c r="AN43" s="252">
        <f t="shared" si="2"/>
        <v>0</v>
      </c>
      <c r="AO43" s="252">
        <f t="shared" si="3"/>
        <v>0</v>
      </c>
      <c r="AP43" s="252">
        <f t="shared" si="4"/>
        <v>0</v>
      </c>
      <c r="AQ43" s="252">
        <f t="shared" si="5"/>
        <v>0</v>
      </c>
      <c r="AR43" s="2560"/>
      <c r="AS43" s="252">
        <f t="shared" si="6"/>
        <v>0</v>
      </c>
      <c r="AT43" s="252">
        <f t="shared" si="7"/>
        <v>0</v>
      </c>
      <c r="AU43" s="252">
        <f t="shared" si="8"/>
        <v>0</v>
      </c>
      <c r="AV43" s="252">
        <f t="shared" si="9"/>
        <v>0</v>
      </c>
      <c r="AW43" s="252">
        <f t="shared" si="10"/>
        <v>0</v>
      </c>
      <c r="AX43" s="252">
        <f t="shared" si="11"/>
        <v>0</v>
      </c>
      <c r="AY43" s="252">
        <f t="shared" si="12"/>
        <v>0</v>
      </c>
      <c r="AZ43" s="2560"/>
      <c r="BA43" s="2560"/>
      <c r="BB43" s="252">
        <f t="shared" si="13"/>
        <v>0</v>
      </c>
      <c r="BC43" s="252">
        <f t="shared" si="14"/>
        <v>1</v>
      </c>
      <c r="BD43" s="252">
        <f t="shared" si="15"/>
        <v>0</v>
      </c>
      <c r="BE43" s="252">
        <f t="shared" si="16"/>
        <v>1</v>
      </c>
      <c r="BF43" s="2589"/>
      <c r="BG43" s="1247"/>
      <c r="BH43" s="1247"/>
      <c r="BI43" s="1247"/>
      <c r="BJ43" s="1247"/>
      <c r="BK43" s="1247"/>
      <c r="BL43" s="1247"/>
    </row>
    <row r="44" spans="2:64" ht="15.75" customHeight="1">
      <c r="B44" s="96" t="s">
        <v>11954</v>
      </c>
      <c r="C44" s="97" t="s">
        <v>137</v>
      </c>
      <c r="D44" s="97">
        <v>3</v>
      </c>
      <c r="E44" s="1510">
        <v>3.0000000000000001E-3</v>
      </c>
      <c r="F44" s="1510">
        <v>4.0000000000000001E-3</v>
      </c>
      <c r="G44" s="1510">
        <v>0.82</v>
      </c>
      <c r="H44" s="1510">
        <v>0.20399999999999999</v>
      </c>
      <c r="I44" s="1510">
        <v>1.7999999999999999E-2</v>
      </c>
      <c r="J44" s="1510">
        <v>1.875</v>
      </c>
      <c r="K44" s="2043">
        <v>0</v>
      </c>
      <c r="L44" s="1977"/>
      <c r="M44" s="2045">
        <v>0</v>
      </c>
      <c r="N44" s="1510">
        <v>0</v>
      </c>
      <c r="O44" s="1510">
        <v>0</v>
      </c>
      <c r="P44" s="1510">
        <v>0</v>
      </c>
      <c r="Q44" s="1510">
        <v>0</v>
      </c>
      <c r="R44" s="1510">
        <v>1.4500000000000001E-2</v>
      </c>
      <c r="S44" s="2043">
        <v>2.9000000000000001E-2</v>
      </c>
      <c r="T44" s="1974"/>
      <c r="U44" s="1976" t="s">
        <v>11955</v>
      </c>
      <c r="V44" s="1510">
        <v>1627</v>
      </c>
      <c r="W44" s="1510" t="s">
        <v>6261</v>
      </c>
      <c r="X44" s="1510">
        <v>0.25</v>
      </c>
      <c r="Y44" s="2198"/>
      <c r="Z44" s="2329"/>
      <c r="AA44" s="2329"/>
      <c r="AB44" s="2329"/>
      <c r="AC44" s="2329"/>
      <c r="AD44" s="2330"/>
      <c r="AE44" s="88"/>
      <c r="AF44" s="98" t="s">
        <v>11956</v>
      </c>
      <c r="AG44" s="2560"/>
      <c r="AH44" s="2589"/>
      <c r="AI44" s="1121"/>
      <c r="AJ44" s="2589"/>
      <c r="AK44" s="252">
        <f t="shared" si="17"/>
        <v>0</v>
      </c>
      <c r="AL44" s="252">
        <f t="shared" si="0"/>
        <v>0</v>
      </c>
      <c r="AM44" s="252">
        <f t="shared" si="1"/>
        <v>0</v>
      </c>
      <c r="AN44" s="252">
        <f t="shared" si="2"/>
        <v>0</v>
      </c>
      <c r="AO44" s="252">
        <f t="shared" si="3"/>
        <v>0</v>
      </c>
      <c r="AP44" s="252">
        <f t="shared" si="4"/>
        <v>0</v>
      </c>
      <c r="AQ44" s="252">
        <f t="shared" si="5"/>
        <v>0</v>
      </c>
      <c r="AR44" s="2560"/>
      <c r="AS44" s="252">
        <f t="shared" si="6"/>
        <v>0</v>
      </c>
      <c r="AT44" s="252">
        <f t="shared" si="7"/>
        <v>0</v>
      </c>
      <c r="AU44" s="252">
        <f t="shared" si="8"/>
        <v>0</v>
      </c>
      <c r="AV44" s="252">
        <f t="shared" si="9"/>
        <v>0</v>
      </c>
      <c r="AW44" s="252">
        <f t="shared" si="10"/>
        <v>0</v>
      </c>
      <c r="AX44" s="252">
        <f t="shared" si="11"/>
        <v>0</v>
      </c>
      <c r="AY44" s="252">
        <f t="shared" si="12"/>
        <v>0</v>
      </c>
      <c r="AZ44" s="2560"/>
      <c r="BA44" s="2560"/>
      <c r="BB44" s="252">
        <f t="shared" si="13"/>
        <v>0</v>
      </c>
      <c r="BC44" s="252">
        <f t="shared" si="14"/>
        <v>1</v>
      </c>
      <c r="BD44" s="252">
        <f t="shared" si="15"/>
        <v>0</v>
      </c>
      <c r="BE44" s="252">
        <f t="shared" si="16"/>
        <v>1</v>
      </c>
      <c r="BF44" s="2589"/>
      <c r="BG44" s="1247"/>
      <c r="BH44" s="1247"/>
      <c r="BI44" s="1247"/>
      <c r="BJ44" s="1247"/>
      <c r="BK44" s="1247"/>
      <c r="BL44" s="1247"/>
    </row>
    <row r="45" spans="2:64" ht="15.75" customHeight="1">
      <c r="B45" s="96" t="s">
        <v>11957</v>
      </c>
      <c r="C45" s="97" t="s">
        <v>137</v>
      </c>
      <c r="D45" s="97">
        <v>3</v>
      </c>
      <c r="E45" s="1510">
        <v>1E-3</v>
      </c>
      <c r="F45" s="1510">
        <v>1E-3</v>
      </c>
      <c r="G45" s="1510">
        <v>0.28899999999999998</v>
      </c>
      <c r="H45" s="1510">
        <v>0.82199999999999995</v>
      </c>
      <c r="I45" s="1510">
        <v>0.12</v>
      </c>
      <c r="J45" s="1510">
        <v>1.105</v>
      </c>
      <c r="K45" s="2043">
        <v>0</v>
      </c>
      <c r="L45" s="1977"/>
      <c r="M45" s="2045">
        <v>0</v>
      </c>
      <c r="N45" s="1510">
        <v>0</v>
      </c>
      <c r="O45" s="1510">
        <v>0</v>
      </c>
      <c r="P45" s="1510">
        <v>0</v>
      </c>
      <c r="Q45" s="1510">
        <v>0</v>
      </c>
      <c r="R45" s="1510">
        <v>6.0999999999999999E-2</v>
      </c>
      <c r="S45" s="2043">
        <v>0.122</v>
      </c>
      <c r="T45" s="1974"/>
      <c r="U45" s="1976" t="s">
        <v>11958</v>
      </c>
      <c r="V45" s="1510">
        <v>43698</v>
      </c>
      <c r="W45" s="1510" t="s">
        <v>6261</v>
      </c>
      <c r="X45" s="1510">
        <v>0.4</v>
      </c>
      <c r="Y45" s="2198"/>
      <c r="Z45" s="2329"/>
      <c r="AA45" s="2329"/>
      <c r="AB45" s="2329"/>
      <c r="AC45" s="2329"/>
      <c r="AD45" s="2330"/>
      <c r="AE45" s="88"/>
      <c r="AF45" s="98" t="s">
        <v>11959</v>
      </c>
      <c r="AG45" s="2560"/>
      <c r="AH45" s="2589"/>
      <c r="AI45" s="1121"/>
      <c r="AJ45" s="2589"/>
      <c r="AK45" s="252">
        <f t="shared" si="17"/>
        <v>0</v>
      </c>
      <c r="AL45" s="252">
        <f t="shared" si="0"/>
        <v>0</v>
      </c>
      <c r="AM45" s="252">
        <f t="shared" si="1"/>
        <v>0</v>
      </c>
      <c r="AN45" s="252">
        <f t="shared" si="2"/>
        <v>0</v>
      </c>
      <c r="AO45" s="252">
        <f t="shared" si="3"/>
        <v>0</v>
      </c>
      <c r="AP45" s="252">
        <f t="shared" si="4"/>
        <v>0</v>
      </c>
      <c r="AQ45" s="252">
        <f t="shared" si="5"/>
        <v>0</v>
      </c>
      <c r="AR45" s="2560"/>
      <c r="AS45" s="252">
        <f t="shared" si="6"/>
        <v>0</v>
      </c>
      <c r="AT45" s="252">
        <f t="shared" si="7"/>
        <v>0</v>
      </c>
      <c r="AU45" s="252">
        <f t="shared" si="8"/>
        <v>0</v>
      </c>
      <c r="AV45" s="252">
        <f t="shared" si="9"/>
        <v>0</v>
      </c>
      <c r="AW45" s="252">
        <f t="shared" si="10"/>
        <v>0</v>
      </c>
      <c r="AX45" s="252">
        <f t="shared" si="11"/>
        <v>0</v>
      </c>
      <c r="AY45" s="252">
        <f t="shared" si="12"/>
        <v>0</v>
      </c>
      <c r="AZ45" s="2560"/>
      <c r="BA45" s="2560"/>
      <c r="BB45" s="252">
        <f t="shared" si="13"/>
        <v>0</v>
      </c>
      <c r="BC45" s="252">
        <f t="shared" si="14"/>
        <v>1</v>
      </c>
      <c r="BD45" s="252">
        <f t="shared" si="15"/>
        <v>0</v>
      </c>
      <c r="BE45" s="252">
        <f t="shared" si="16"/>
        <v>1</v>
      </c>
      <c r="BF45" s="2589"/>
      <c r="BG45" s="1247"/>
      <c r="BH45" s="1247"/>
      <c r="BI45" s="1247"/>
      <c r="BJ45" s="1247"/>
      <c r="BK45" s="1247"/>
      <c r="BL45" s="1247"/>
    </row>
    <row r="46" spans="2:64" ht="15.75" customHeight="1">
      <c r="B46" s="96" t="s">
        <v>11960</v>
      </c>
      <c r="C46" s="97" t="s">
        <v>137</v>
      </c>
      <c r="D46" s="97">
        <v>3</v>
      </c>
      <c r="E46" s="1510">
        <v>3.0000000000000001E-3</v>
      </c>
      <c r="F46" s="1510">
        <v>0.154</v>
      </c>
      <c r="G46" s="1510">
        <v>0.13800000000000001</v>
      </c>
      <c r="H46" s="1510">
        <v>0.11700000000000001</v>
      </c>
      <c r="I46" s="1510">
        <v>2.3149999999999999</v>
      </c>
      <c r="J46" s="1510">
        <v>0.57399999999999995</v>
      </c>
      <c r="K46" s="2043">
        <v>0</v>
      </c>
      <c r="L46" s="1977"/>
      <c r="M46" s="2045">
        <v>0</v>
      </c>
      <c r="N46" s="1510">
        <v>0</v>
      </c>
      <c r="O46" s="1510">
        <v>0</v>
      </c>
      <c r="P46" s="1510">
        <v>0</v>
      </c>
      <c r="Q46" s="1510">
        <v>0</v>
      </c>
      <c r="R46" s="1510">
        <v>0</v>
      </c>
      <c r="S46" s="2043">
        <v>0</v>
      </c>
      <c r="T46" s="1974"/>
      <c r="U46" s="1976" t="s">
        <v>11961</v>
      </c>
      <c r="V46" s="1510" t="s">
        <v>11962</v>
      </c>
      <c r="W46" s="1510" t="s">
        <v>6261</v>
      </c>
      <c r="X46" s="1510" t="s">
        <v>6261</v>
      </c>
      <c r="Y46" s="2198"/>
      <c r="Z46" s="2329"/>
      <c r="AA46" s="2329"/>
      <c r="AB46" s="2329"/>
      <c r="AC46" s="2329"/>
      <c r="AD46" s="2330"/>
      <c r="AE46" s="88"/>
      <c r="AF46" s="98" t="s">
        <v>11963</v>
      </c>
      <c r="AG46" s="2560"/>
      <c r="AH46" s="2589"/>
      <c r="AI46" s="1121"/>
      <c r="AJ46" s="2589"/>
      <c r="AK46" s="252">
        <f t="shared" si="17"/>
        <v>0</v>
      </c>
      <c r="AL46" s="252">
        <f t="shared" si="0"/>
        <v>0</v>
      </c>
      <c r="AM46" s="252">
        <f t="shared" si="1"/>
        <v>0</v>
      </c>
      <c r="AN46" s="252">
        <f t="shared" si="2"/>
        <v>0</v>
      </c>
      <c r="AO46" s="252">
        <f t="shared" si="3"/>
        <v>0</v>
      </c>
      <c r="AP46" s="252">
        <f t="shared" si="4"/>
        <v>0</v>
      </c>
      <c r="AQ46" s="252">
        <f t="shared" si="5"/>
        <v>0</v>
      </c>
      <c r="AR46" s="2560"/>
      <c r="AS46" s="252">
        <f t="shared" si="6"/>
        <v>0</v>
      </c>
      <c r="AT46" s="252">
        <f t="shared" si="7"/>
        <v>0</v>
      </c>
      <c r="AU46" s="252">
        <f t="shared" si="8"/>
        <v>0</v>
      </c>
      <c r="AV46" s="252">
        <f t="shared" si="9"/>
        <v>0</v>
      </c>
      <c r="AW46" s="252">
        <f t="shared" si="10"/>
        <v>0</v>
      </c>
      <c r="AX46" s="252">
        <f t="shared" si="11"/>
        <v>0</v>
      </c>
      <c r="AY46" s="252">
        <f t="shared" si="12"/>
        <v>0</v>
      </c>
      <c r="AZ46" s="2560"/>
      <c r="BA46" s="2560"/>
      <c r="BB46" s="252">
        <f t="shared" si="13"/>
        <v>1</v>
      </c>
      <c r="BC46" s="252">
        <f t="shared" si="14"/>
        <v>1</v>
      </c>
      <c r="BD46" s="252">
        <f t="shared" si="15"/>
        <v>1</v>
      </c>
      <c r="BE46" s="252">
        <f t="shared" si="16"/>
        <v>1</v>
      </c>
      <c r="BF46" s="2589"/>
      <c r="BG46" s="1247"/>
      <c r="BH46" s="1247"/>
      <c r="BI46" s="1247"/>
      <c r="BJ46" s="1247"/>
      <c r="BK46" s="1247"/>
      <c r="BL46" s="1247"/>
    </row>
    <row r="47" spans="2:64" ht="15.75" customHeight="1">
      <c r="B47" s="96" t="s">
        <v>11964</v>
      </c>
      <c r="C47" s="97" t="s">
        <v>137</v>
      </c>
      <c r="D47" s="97">
        <v>3</v>
      </c>
      <c r="E47" s="1510">
        <v>4.0000000000000001E-3</v>
      </c>
      <c r="F47" s="1510">
        <v>0.34399999999999997</v>
      </c>
      <c r="G47" s="1510">
        <v>1.7030000000000001</v>
      </c>
      <c r="H47" s="1510">
        <v>1.0489999999999999</v>
      </c>
      <c r="I47" s="1510">
        <v>2.585</v>
      </c>
      <c r="J47" s="1510">
        <v>1.99</v>
      </c>
      <c r="K47" s="2043">
        <v>0</v>
      </c>
      <c r="L47" s="1977"/>
      <c r="M47" s="2045">
        <v>0</v>
      </c>
      <c r="N47" s="1510">
        <v>0</v>
      </c>
      <c r="O47" s="1510">
        <v>0</v>
      </c>
      <c r="P47" s="1510">
        <v>0</v>
      </c>
      <c r="Q47" s="1510">
        <v>0</v>
      </c>
      <c r="R47" s="1510">
        <v>2.2499999999999999E-2</v>
      </c>
      <c r="S47" s="2043">
        <v>4.4999999999999998E-2</v>
      </c>
      <c r="T47" s="1974"/>
      <c r="U47" s="1976" t="s">
        <v>11965</v>
      </c>
      <c r="V47" s="1510">
        <v>13559</v>
      </c>
      <c r="W47" s="1510" t="s">
        <v>6261</v>
      </c>
      <c r="X47" s="1510">
        <v>0.5</v>
      </c>
      <c r="Y47" s="2198"/>
      <c r="Z47" s="2329"/>
      <c r="AA47" s="2329"/>
      <c r="AB47" s="2329"/>
      <c r="AC47" s="2329"/>
      <c r="AD47" s="2330"/>
      <c r="AE47" s="88"/>
      <c r="AF47" s="98" t="s">
        <v>11966</v>
      </c>
      <c r="AG47" s="2560"/>
      <c r="AH47" s="2589"/>
      <c r="AI47" s="1121"/>
      <c r="AJ47" s="2589"/>
      <c r="AK47" s="252">
        <f t="shared" si="17"/>
        <v>0</v>
      </c>
      <c r="AL47" s="252">
        <f t="shared" si="0"/>
        <v>0</v>
      </c>
      <c r="AM47" s="252">
        <f t="shared" si="1"/>
        <v>0</v>
      </c>
      <c r="AN47" s="252">
        <f t="shared" si="2"/>
        <v>0</v>
      </c>
      <c r="AO47" s="252">
        <f t="shared" si="3"/>
        <v>0</v>
      </c>
      <c r="AP47" s="252">
        <f t="shared" si="4"/>
        <v>0</v>
      </c>
      <c r="AQ47" s="252">
        <f t="shared" si="5"/>
        <v>0</v>
      </c>
      <c r="AR47" s="2560"/>
      <c r="AS47" s="252">
        <f t="shared" si="6"/>
        <v>0</v>
      </c>
      <c r="AT47" s="252">
        <f t="shared" si="7"/>
        <v>0</v>
      </c>
      <c r="AU47" s="252">
        <f t="shared" si="8"/>
        <v>0</v>
      </c>
      <c r="AV47" s="252">
        <f t="shared" si="9"/>
        <v>0</v>
      </c>
      <c r="AW47" s="252">
        <f t="shared" si="10"/>
        <v>0</v>
      </c>
      <c r="AX47" s="252">
        <f t="shared" si="11"/>
        <v>0</v>
      </c>
      <c r="AY47" s="252">
        <f t="shared" si="12"/>
        <v>0</v>
      </c>
      <c r="AZ47" s="2560"/>
      <c r="BA47" s="2560"/>
      <c r="BB47" s="252">
        <f t="shared" si="13"/>
        <v>0</v>
      </c>
      <c r="BC47" s="252">
        <f t="shared" si="14"/>
        <v>1</v>
      </c>
      <c r="BD47" s="252">
        <f t="shared" si="15"/>
        <v>0</v>
      </c>
      <c r="BE47" s="252">
        <f t="shared" si="16"/>
        <v>1</v>
      </c>
      <c r="BF47" s="2589"/>
      <c r="BG47" s="1247"/>
      <c r="BH47" s="1247"/>
      <c r="BI47" s="1247"/>
      <c r="BJ47" s="1247"/>
      <c r="BK47" s="1247"/>
      <c r="BL47" s="1247"/>
    </row>
    <row r="48" spans="2:64" ht="15.75" customHeight="1">
      <c r="B48" s="96" t="s">
        <v>11967</v>
      </c>
      <c r="C48" s="97" t="s">
        <v>137</v>
      </c>
      <c r="D48" s="97">
        <v>3</v>
      </c>
      <c r="E48" s="1510">
        <v>1E-3</v>
      </c>
      <c r="F48" s="1510">
        <v>1E-3</v>
      </c>
      <c r="G48" s="1510">
        <v>0.42499999999999999</v>
      </c>
      <c r="H48" s="1510">
        <v>9.7000000000000003E-2</v>
      </c>
      <c r="I48" s="1510">
        <v>0.251</v>
      </c>
      <c r="J48" s="1510">
        <v>0</v>
      </c>
      <c r="K48" s="2043">
        <v>0</v>
      </c>
      <c r="L48" s="1977"/>
      <c r="M48" s="2045">
        <v>0</v>
      </c>
      <c r="N48" s="1510">
        <v>0</v>
      </c>
      <c r="O48" s="1510">
        <v>0</v>
      </c>
      <c r="P48" s="1510">
        <v>0</v>
      </c>
      <c r="Q48" s="1510">
        <v>0</v>
      </c>
      <c r="R48" s="1510">
        <v>3.9E-2</v>
      </c>
      <c r="S48" s="2043">
        <v>7.8E-2</v>
      </c>
      <c r="T48" s="1974"/>
      <c r="U48" s="1976" t="s">
        <v>11968</v>
      </c>
      <c r="V48" s="1510">
        <v>19102</v>
      </c>
      <c r="W48" s="1510" t="s">
        <v>6261</v>
      </c>
      <c r="X48" s="1510">
        <v>0.7</v>
      </c>
      <c r="Y48" s="2198"/>
      <c r="Z48" s="2329"/>
      <c r="AA48" s="2329"/>
      <c r="AB48" s="2329"/>
      <c r="AC48" s="2329"/>
      <c r="AD48" s="2330"/>
      <c r="AE48" s="88"/>
      <c r="AF48" s="98" t="s">
        <v>11969</v>
      </c>
      <c r="AG48" s="2560"/>
      <c r="AH48" s="2589"/>
      <c r="AI48" s="1121"/>
      <c r="AJ48" s="2589"/>
      <c r="AK48" s="252">
        <f t="shared" si="17"/>
        <v>0</v>
      </c>
      <c r="AL48" s="252">
        <f t="shared" si="0"/>
        <v>0</v>
      </c>
      <c r="AM48" s="252">
        <f t="shared" si="1"/>
        <v>0</v>
      </c>
      <c r="AN48" s="252">
        <f t="shared" si="2"/>
        <v>0</v>
      </c>
      <c r="AO48" s="252">
        <f t="shared" si="3"/>
        <v>0</v>
      </c>
      <c r="AP48" s="252">
        <f t="shared" si="4"/>
        <v>0</v>
      </c>
      <c r="AQ48" s="252">
        <f t="shared" si="5"/>
        <v>0</v>
      </c>
      <c r="AR48" s="2560"/>
      <c r="AS48" s="252">
        <f t="shared" si="6"/>
        <v>0</v>
      </c>
      <c r="AT48" s="252">
        <f t="shared" si="7"/>
        <v>0</v>
      </c>
      <c r="AU48" s="252">
        <f t="shared" si="8"/>
        <v>0</v>
      </c>
      <c r="AV48" s="252">
        <f t="shared" si="9"/>
        <v>0</v>
      </c>
      <c r="AW48" s="252">
        <f t="shared" si="10"/>
        <v>0</v>
      </c>
      <c r="AX48" s="252">
        <f t="shared" si="11"/>
        <v>0</v>
      </c>
      <c r="AY48" s="252">
        <f t="shared" si="12"/>
        <v>0</v>
      </c>
      <c r="AZ48" s="2560"/>
      <c r="BA48" s="2560"/>
      <c r="BB48" s="252">
        <f t="shared" si="13"/>
        <v>0</v>
      </c>
      <c r="BC48" s="252">
        <f t="shared" si="14"/>
        <v>1</v>
      </c>
      <c r="BD48" s="252">
        <f t="shared" si="15"/>
        <v>0</v>
      </c>
      <c r="BE48" s="252">
        <f t="shared" si="16"/>
        <v>1</v>
      </c>
      <c r="BF48" s="2589"/>
      <c r="BG48" s="1247"/>
      <c r="BH48" s="1247"/>
      <c r="BI48" s="1247"/>
      <c r="BJ48" s="1247"/>
      <c r="BK48" s="1247"/>
      <c r="BL48" s="1247"/>
    </row>
    <row r="49" spans="2:64" ht="15.75" customHeight="1">
      <c r="B49" s="96" t="s">
        <v>11970</v>
      </c>
      <c r="C49" s="97" t="s">
        <v>137</v>
      </c>
      <c r="D49" s="97">
        <v>3</v>
      </c>
      <c r="E49" s="1510">
        <v>2E-3</v>
      </c>
      <c r="F49" s="1510">
        <v>2E-3</v>
      </c>
      <c r="G49" s="1510">
        <v>0.128</v>
      </c>
      <c r="H49" s="1510">
        <v>0.30199999999999999</v>
      </c>
      <c r="I49" s="1510">
        <v>2.8519999999999999</v>
      </c>
      <c r="J49" s="1510">
        <v>1.9450000000000001</v>
      </c>
      <c r="K49" s="2043">
        <v>0</v>
      </c>
      <c r="L49" s="1977"/>
      <c r="M49" s="2045">
        <v>0</v>
      </c>
      <c r="N49" s="1510">
        <v>0</v>
      </c>
      <c r="O49" s="1510">
        <v>0</v>
      </c>
      <c r="P49" s="1510">
        <v>0</v>
      </c>
      <c r="Q49" s="1510">
        <v>0</v>
      </c>
      <c r="R49" s="1510">
        <v>0</v>
      </c>
      <c r="S49" s="2043">
        <v>0</v>
      </c>
      <c r="T49" s="1974"/>
      <c r="U49" s="1976" t="s">
        <v>11971</v>
      </c>
      <c r="V49" s="1510">
        <v>1159</v>
      </c>
      <c r="W49" s="1510" t="s">
        <v>6261</v>
      </c>
      <c r="X49" s="1510">
        <v>0.4</v>
      </c>
      <c r="Y49" s="2198"/>
      <c r="Z49" s="2329"/>
      <c r="AA49" s="2329"/>
      <c r="AB49" s="2329"/>
      <c r="AC49" s="2329"/>
      <c r="AD49" s="2330"/>
      <c r="AE49" s="88"/>
      <c r="AF49" s="98" t="s">
        <v>11972</v>
      </c>
      <c r="AG49" s="2560"/>
      <c r="AH49" s="2589"/>
      <c r="AI49" s="1121"/>
      <c r="AJ49" s="2589"/>
      <c r="AK49" s="252">
        <f t="shared" si="17"/>
        <v>0</v>
      </c>
      <c r="AL49" s="252">
        <f t="shared" si="0"/>
        <v>0</v>
      </c>
      <c r="AM49" s="252">
        <f t="shared" si="1"/>
        <v>0</v>
      </c>
      <c r="AN49" s="252">
        <f t="shared" si="2"/>
        <v>0</v>
      </c>
      <c r="AO49" s="252">
        <f t="shared" si="3"/>
        <v>0</v>
      </c>
      <c r="AP49" s="252">
        <f t="shared" si="4"/>
        <v>0</v>
      </c>
      <c r="AQ49" s="252">
        <f t="shared" si="5"/>
        <v>0</v>
      </c>
      <c r="AR49" s="2560"/>
      <c r="AS49" s="252">
        <f t="shared" si="6"/>
        <v>0</v>
      </c>
      <c r="AT49" s="252">
        <f t="shared" si="7"/>
        <v>0</v>
      </c>
      <c r="AU49" s="252">
        <f t="shared" si="8"/>
        <v>0</v>
      </c>
      <c r="AV49" s="252">
        <f t="shared" si="9"/>
        <v>0</v>
      </c>
      <c r="AW49" s="252">
        <f t="shared" si="10"/>
        <v>0</v>
      </c>
      <c r="AX49" s="252">
        <f t="shared" si="11"/>
        <v>0</v>
      </c>
      <c r="AY49" s="252">
        <f t="shared" si="12"/>
        <v>0</v>
      </c>
      <c r="AZ49" s="2560"/>
      <c r="BA49" s="2560"/>
      <c r="BB49" s="252">
        <f t="shared" si="13"/>
        <v>0</v>
      </c>
      <c r="BC49" s="252">
        <f t="shared" si="14"/>
        <v>1</v>
      </c>
      <c r="BD49" s="252">
        <f t="shared" si="15"/>
        <v>0</v>
      </c>
      <c r="BE49" s="252">
        <f t="shared" si="16"/>
        <v>1</v>
      </c>
      <c r="BF49" s="2589"/>
      <c r="BG49" s="1247"/>
      <c r="BH49" s="1247"/>
      <c r="BI49" s="1247"/>
      <c r="BJ49" s="1247"/>
      <c r="BK49" s="1247"/>
      <c r="BL49" s="1247"/>
    </row>
    <row r="50" spans="2:64" ht="15.75" customHeight="1">
      <c r="B50" s="96" t="s">
        <v>11973</v>
      </c>
      <c r="C50" s="97" t="s">
        <v>137</v>
      </c>
      <c r="D50" s="97">
        <v>3</v>
      </c>
      <c r="E50" s="1510">
        <v>1.2E-2</v>
      </c>
      <c r="F50" s="1510">
        <v>0.48</v>
      </c>
      <c r="G50" s="1510">
        <v>2.0390000000000001</v>
      </c>
      <c r="H50" s="1510">
        <v>2.77</v>
      </c>
      <c r="I50" s="1510">
        <v>22.780999999999999</v>
      </c>
      <c r="J50" s="1510">
        <v>12.151999999999999</v>
      </c>
      <c r="K50" s="2043">
        <v>0</v>
      </c>
      <c r="L50" s="1977"/>
      <c r="M50" s="2045">
        <v>0</v>
      </c>
      <c r="N50" s="1510">
        <v>0</v>
      </c>
      <c r="O50" s="1510">
        <v>0</v>
      </c>
      <c r="P50" s="1510">
        <v>0</v>
      </c>
      <c r="Q50" s="1510">
        <v>0</v>
      </c>
      <c r="R50" s="1510">
        <v>1.0529999999999999</v>
      </c>
      <c r="S50" s="2043">
        <v>2.1059999999999999</v>
      </c>
      <c r="T50" s="1974"/>
      <c r="U50" s="1976" t="s">
        <v>11973</v>
      </c>
      <c r="V50" s="1510">
        <v>312683</v>
      </c>
      <c r="W50" s="1510" t="s">
        <v>6261</v>
      </c>
      <c r="X50" s="1510">
        <v>0.5</v>
      </c>
      <c r="Y50" s="2198"/>
      <c r="Z50" s="2329"/>
      <c r="AA50" s="2329"/>
      <c r="AB50" s="2329"/>
      <c r="AC50" s="2329"/>
      <c r="AD50" s="2330"/>
      <c r="AE50" s="88"/>
      <c r="AF50" s="98" t="s">
        <v>11974</v>
      </c>
      <c r="AG50" s="2560"/>
      <c r="AH50" s="2589"/>
      <c r="AI50" s="1121"/>
      <c r="AJ50" s="2589"/>
      <c r="AK50" s="252">
        <f t="shared" si="17"/>
        <v>0</v>
      </c>
      <c r="AL50" s="252">
        <f t="shared" si="0"/>
        <v>0</v>
      </c>
      <c r="AM50" s="252">
        <f t="shared" si="1"/>
        <v>0</v>
      </c>
      <c r="AN50" s="252">
        <f t="shared" si="2"/>
        <v>0</v>
      </c>
      <c r="AO50" s="252">
        <f t="shared" si="3"/>
        <v>0</v>
      </c>
      <c r="AP50" s="252">
        <f t="shared" si="4"/>
        <v>0</v>
      </c>
      <c r="AQ50" s="252">
        <f t="shared" si="5"/>
        <v>0</v>
      </c>
      <c r="AR50" s="2560"/>
      <c r="AS50" s="252">
        <f t="shared" si="6"/>
        <v>0</v>
      </c>
      <c r="AT50" s="252">
        <f t="shared" si="7"/>
        <v>0</v>
      </c>
      <c r="AU50" s="252">
        <f t="shared" si="8"/>
        <v>0</v>
      </c>
      <c r="AV50" s="252">
        <f t="shared" si="9"/>
        <v>0</v>
      </c>
      <c r="AW50" s="252">
        <f t="shared" si="10"/>
        <v>0</v>
      </c>
      <c r="AX50" s="252">
        <f t="shared" si="11"/>
        <v>0</v>
      </c>
      <c r="AY50" s="252">
        <f t="shared" si="12"/>
        <v>0</v>
      </c>
      <c r="AZ50" s="2560"/>
      <c r="BA50" s="2560"/>
      <c r="BB50" s="252">
        <f t="shared" si="13"/>
        <v>0</v>
      </c>
      <c r="BC50" s="252">
        <f t="shared" si="14"/>
        <v>1</v>
      </c>
      <c r="BD50" s="252">
        <f t="shared" si="15"/>
        <v>0</v>
      </c>
      <c r="BE50" s="252">
        <f t="shared" si="16"/>
        <v>1</v>
      </c>
      <c r="BF50" s="2589"/>
      <c r="BG50" s="1247"/>
      <c r="BH50" s="1247"/>
      <c r="BI50" s="1247"/>
      <c r="BJ50" s="1247"/>
      <c r="BK50" s="1247"/>
      <c r="BL50" s="1247"/>
    </row>
    <row r="51" spans="2:64" ht="26.25" customHeight="1">
      <c r="B51" s="96" t="s">
        <v>11975</v>
      </c>
      <c r="C51" s="97" t="s">
        <v>137</v>
      </c>
      <c r="D51" s="97">
        <v>3</v>
      </c>
      <c r="E51" s="1510">
        <v>2E-3</v>
      </c>
      <c r="F51" s="1510">
        <v>2E-3</v>
      </c>
      <c r="G51" s="1510">
        <v>0.111</v>
      </c>
      <c r="H51" s="1510">
        <v>0.36799999999999999</v>
      </c>
      <c r="I51" s="1510">
        <v>1.014</v>
      </c>
      <c r="J51" s="1510">
        <v>0.42499999999999999</v>
      </c>
      <c r="K51" s="2043">
        <v>0</v>
      </c>
      <c r="L51" s="1977"/>
      <c r="M51" s="2045">
        <v>0</v>
      </c>
      <c r="N51" s="1510">
        <v>0</v>
      </c>
      <c r="O51" s="1510">
        <v>0</v>
      </c>
      <c r="P51" s="1510">
        <v>0</v>
      </c>
      <c r="Q51" s="1510">
        <v>0</v>
      </c>
      <c r="R51" s="1510">
        <v>1.6E-2</v>
      </c>
      <c r="S51" s="2043">
        <v>3.2000000000000001E-2</v>
      </c>
      <c r="T51" s="1974"/>
      <c r="U51" s="1976" t="s">
        <v>11976</v>
      </c>
      <c r="V51" s="1510">
        <v>662</v>
      </c>
      <c r="W51" s="1510" t="s">
        <v>6261</v>
      </c>
      <c r="X51" s="1510">
        <v>1</v>
      </c>
      <c r="Y51" s="2198"/>
      <c r="Z51" s="2329"/>
      <c r="AA51" s="2329"/>
      <c r="AB51" s="2329"/>
      <c r="AC51" s="2329"/>
      <c r="AD51" s="2330"/>
      <c r="AE51" s="88"/>
      <c r="AF51" s="98" t="s">
        <v>11977</v>
      </c>
      <c r="AG51" s="2560"/>
      <c r="AH51" s="2589"/>
      <c r="AI51" s="1121"/>
      <c r="AJ51" s="2589"/>
      <c r="AK51" s="252">
        <f t="shared" si="17"/>
        <v>0</v>
      </c>
      <c r="AL51" s="252">
        <f t="shared" si="0"/>
        <v>0</v>
      </c>
      <c r="AM51" s="252">
        <f t="shared" si="1"/>
        <v>0</v>
      </c>
      <c r="AN51" s="252">
        <f t="shared" si="2"/>
        <v>0</v>
      </c>
      <c r="AO51" s="252">
        <f t="shared" si="3"/>
        <v>0</v>
      </c>
      <c r="AP51" s="252">
        <f t="shared" si="4"/>
        <v>0</v>
      </c>
      <c r="AQ51" s="252">
        <f t="shared" si="5"/>
        <v>0</v>
      </c>
      <c r="AR51" s="2560"/>
      <c r="AS51" s="252">
        <f t="shared" si="6"/>
        <v>0</v>
      </c>
      <c r="AT51" s="252">
        <f t="shared" si="7"/>
        <v>0</v>
      </c>
      <c r="AU51" s="252">
        <f t="shared" si="8"/>
        <v>0</v>
      </c>
      <c r="AV51" s="252">
        <f t="shared" si="9"/>
        <v>0</v>
      </c>
      <c r="AW51" s="252">
        <f t="shared" si="10"/>
        <v>0</v>
      </c>
      <c r="AX51" s="252">
        <f t="shared" si="11"/>
        <v>0</v>
      </c>
      <c r="AY51" s="252">
        <f t="shared" si="12"/>
        <v>0</v>
      </c>
      <c r="AZ51" s="2560"/>
      <c r="BA51" s="2560"/>
      <c r="BB51" s="252">
        <f t="shared" si="13"/>
        <v>0</v>
      </c>
      <c r="BC51" s="252">
        <f t="shared" si="14"/>
        <v>1</v>
      </c>
      <c r="BD51" s="252">
        <f t="shared" si="15"/>
        <v>0</v>
      </c>
      <c r="BE51" s="252">
        <f t="shared" si="16"/>
        <v>1</v>
      </c>
      <c r="BF51" s="2589"/>
      <c r="BG51" s="1247"/>
      <c r="BH51" s="1247"/>
      <c r="BI51" s="1247"/>
      <c r="BJ51" s="1247"/>
      <c r="BK51" s="1247"/>
      <c r="BL51" s="1247"/>
    </row>
    <row r="52" spans="2:64" ht="26.25" customHeight="1">
      <c r="B52" s="96" t="s">
        <v>11978</v>
      </c>
      <c r="C52" s="97" t="s">
        <v>137</v>
      </c>
      <c r="D52" s="97">
        <v>3</v>
      </c>
      <c r="E52" s="1510">
        <v>1.2E-2</v>
      </c>
      <c r="F52" s="1510">
        <v>0.23499999999999999</v>
      </c>
      <c r="G52" s="1510">
        <v>0.81</v>
      </c>
      <c r="H52" s="1510">
        <v>1.3140000000000001</v>
      </c>
      <c r="I52" s="1510">
        <v>2.4900000000000002</v>
      </c>
      <c r="J52" s="1510">
        <v>6.9329999999999998</v>
      </c>
      <c r="K52" s="2043">
        <v>0</v>
      </c>
      <c r="L52" s="1977"/>
      <c r="M52" s="2045">
        <v>0</v>
      </c>
      <c r="N52" s="1510">
        <v>0</v>
      </c>
      <c r="O52" s="1510">
        <v>0</v>
      </c>
      <c r="P52" s="1510">
        <v>0</v>
      </c>
      <c r="Q52" s="1510">
        <v>0</v>
      </c>
      <c r="R52" s="1510">
        <v>0.42499999999999999</v>
      </c>
      <c r="S52" s="2043">
        <v>0.85</v>
      </c>
      <c r="T52" s="1974"/>
      <c r="U52" s="1976" t="s">
        <v>11979</v>
      </c>
      <c r="V52" s="1510">
        <v>104720</v>
      </c>
      <c r="W52" s="1510" t="s">
        <v>6261</v>
      </c>
      <c r="X52" s="1510">
        <v>0.4</v>
      </c>
      <c r="Y52" s="2198"/>
      <c r="Z52" s="2329"/>
      <c r="AA52" s="2329"/>
      <c r="AB52" s="2329"/>
      <c r="AC52" s="2329"/>
      <c r="AD52" s="2330"/>
      <c r="AE52" s="88"/>
      <c r="AF52" s="98" t="s">
        <v>11980</v>
      </c>
      <c r="AG52" s="2560"/>
      <c r="AH52" s="2589"/>
      <c r="AI52" s="1121"/>
      <c r="AJ52" s="2589"/>
      <c r="AK52" s="252">
        <f t="shared" si="17"/>
        <v>0</v>
      </c>
      <c r="AL52" s="252">
        <f t="shared" si="0"/>
        <v>0</v>
      </c>
      <c r="AM52" s="252">
        <f t="shared" si="1"/>
        <v>0</v>
      </c>
      <c r="AN52" s="252">
        <f t="shared" si="2"/>
        <v>0</v>
      </c>
      <c r="AO52" s="252">
        <f t="shared" si="3"/>
        <v>0</v>
      </c>
      <c r="AP52" s="252">
        <f t="shared" si="4"/>
        <v>0</v>
      </c>
      <c r="AQ52" s="252">
        <f t="shared" si="5"/>
        <v>0</v>
      </c>
      <c r="AR52" s="2560"/>
      <c r="AS52" s="252">
        <f t="shared" si="6"/>
        <v>0</v>
      </c>
      <c r="AT52" s="252">
        <f t="shared" si="7"/>
        <v>0</v>
      </c>
      <c r="AU52" s="252">
        <f t="shared" si="8"/>
        <v>0</v>
      </c>
      <c r="AV52" s="252">
        <f t="shared" si="9"/>
        <v>0</v>
      </c>
      <c r="AW52" s="252">
        <f t="shared" si="10"/>
        <v>0</v>
      </c>
      <c r="AX52" s="252">
        <f t="shared" si="11"/>
        <v>0</v>
      </c>
      <c r="AY52" s="252">
        <f t="shared" si="12"/>
        <v>0</v>
      </c>
      <c r="AZ52" s="2560"/>
      <c r="BA52" s="2560"/>
      <c r="BB52" s="252">
        <f t="shared" si="13"/>
        <v>0</v>
      </c>
      <c r="BC52" s="252">
        <f t="shared" si="14"/>
        <v>1</v>
      </c>
      <c r="BD52" s="252">
        <f t="shared" si="15"/>
        <v>0</v>
      </c>
      <c r="BE52" s="252">
        <f t="shared" si="16"/>
        <v>1</v>
      </c>
      <c r="BF52" s="2589"/>
      <c r="BG52" s="1247"/>
      <c r="BH52" s="1247"/>
      <c r="BI52" s="1247"/>
      <c r="BJ52" s="1247"/>
      <c r="BK52" s="1247"/>
      <c r="BL52" s="1247"/>
    </row>
    <row r="53" spans="2:64" ht="15.75" customHeight="1">
      <c r="B53" s="96" t="s">
        <v>11981</v>
      </c>
      <c r="C53" s="97" t="s">
        <v>137</v>
      </c>
      <c r="D53" s="97">
        <v>3</v>
      </c>
      <c r="E53" s="1510">
        <v>2.5000000000000001E-2</v>
      </c>
      <c r="F53" s="1510">
        <v>9.4E-2</v>
      </c>
      <c r="G53" s="1510">
        <v>9.5000000000000001E-2</v>
      </c>
      <c r="H53" s="1510">
        <v>0.56000000000000005</v>
      </c>
      <c r="I53" s="1510">
        <v>9.6039999999999992</v>
      </c>
      <c r="J53" s="1510">
        <v>13.555999999999999</v>
      </c>
      <c r="K53" s="2043">
        <v>0</v>
      </c>
      <c r="L53" s="1977"/>
      <c r="M53" s="2045">
        <v>0</v>
      </c>
      <c r="N53" s="1510">
        <v>0</v>
      </c>
      <c r="O53" s="1510">
        <v>0</v>
      </c>
      <c r="P53" s="1510">
        <v>0</v>
      </c>
      <c r="Q53" s="1510">
        <v>0</v>
      </c>
      <c r="R53" s="1510">
        <v>0.1205</v>
      </c>
      <c r="S53" s="2043">
        <v>0.24099999999999999</v>
      </c>
      <c r="T53" s="1974"/>
      <c r="U53" s="1976" t="s">
        <v>11982</v>
      </c>
      <c r="V53" s="1510">
        <v>3748</v>
      </c>
      <c r="W53" s="1510" t="s">
        <v>6261</v>
      </c>
      <c r="X53" s="1510">
        <v>0.5</v>
      </c>
      <c r="Y53" s="2198"/>
      <c r="Z53" s="2329"/>
      <c r="AA53" s="2329"/>
      <c r="AB53" s="2329"/>
      <c r="AC53" s="2329"/>
      <c r="AD53" s="2330"/>
      <c r="AE53" s="88"/>
      <c r="AF53" s="98" t="s">
        <v>11983</v>
      </c>
      <c r="AG53" s="2560"/>
      <c r="AH53" s="2589"/>
      <c r="AI53" s="1121"/>
      <c r="AJ53" s="2589"/>
      <c r="AK53" s="252">
        <f t="shared" si="17"/>
        <v>0</v>
      </c>
      <c r="AL53" s="252">
        <f t="shared" si="0"/>
        <v>0</v>
      </c>
      <c r="AM53" s="252">
        <f t="shared" si="1"/>
        <v>0</v>
      </c>
      <c r="AN53" s="252">
        <f t="shared" si="2"/>
        <v>0</v>
      </c>
      <c r="AO53" s="252">
        <f t="shared" si="3"/>
        <v>0</v>
      </c>
      <c r="AP53" s="252">
        <f t="shared" si="4"/>
        <v>0</v>
      </c>
      <c r="AQ53" s="252">
        <f t="shared" si="5"/>
        <v>0</v>
      </c>
      <c r="AR53" s="2560"/>
      <c r="AS53" s="252">
        <f t="shared" si="6"/>
        <v>0</v>
      </c>
      <c r="AT53" s="252">
        <f t="shared" si="7"/>
        <v>0</v>
      </c>
      <c r="AU53" s="252">
        <f t="shared" si="8"/>
        <v>0</v>
      </c>
      <c r="AV53" s="252">
        <f t="shared" si="9"/>
        <v>0</v>
      </c>
      <c r="AW53" s="252">
        <f t="shared" si="10"/>
        <v>0</v>
      </c>
      <c r="AX53" s="252">
        <f t="shared" si="11"/>
        <v>0</v>
      </c>
      <c r="AY53" s="252">
        <f t="shared" si="12"/>
        <v>0</v>
      </c>
      <c r="AZ53" s="2560"/>
      <c r="BA53" s="2560"/>
      <c r="BB53" s="252">
        <f t="shared" si="13"/>
        <v>0</v>
      </c>
      <c r="BC53" s="252">
        <f t="shared" si="14"/>
        <v>1</v>
      </c>
      <c r="BD53" s="252">
        <f t="shared" si="15"/>
        <v>0</v>
      </c>
      <c r="BE53" s="252">
        <f t="shared" si="16"/>
        <v>1</v>
      </c>
      <c r="BF53" s="2589"/>
      <c r="BG53" s="1247"/>
      <c r="BH53" s="1247"/>
      <c r="BI53" s="1247"/>
      <c r="BJ53" s="1247"/>
      <c r="BK53" s="1247"/>
      <c r="BL53" s="1247"/>
    </row>
    <row r="54" spans="2:64" ht="27.75" customHeight="1">
      <c r="B54" s="96" t="s">
        <v>11984</v>
      </c>
      <c r="C54" s="97" t="s">
        <v>137</v>
      </c>
      <c r="D54" s="97">
        <v>3</v>
      </c>
      <c r="E54" s="1510">
        <v>1E-3</v>
      </c>
      <c r="F54" s="1510">
        <v>0.10199999999999999</v>
      </c>
      <c r="G54" s="1510">
        <v>0.16</v>
      </c>
      <c r="H54" s="1510">
        <v>0.224</v>
      </c>
      <c r="I54" s="1510">
        <v>1.083</v>
      </c>
      <c r="J54" s="1510">
        <v>1.6659999999999999</v>
      </c>
      <c r="K54" s="2043">
        <v>0</v>
      </c>
      <c r="L54" s="1977"/>
      <c r="M54" s="2045">
        <v>0</v>
      </c>
      <c r="N54" s="1510">
        <v>0</v>
      </c>
      <c r="O54" s="1510">
        <v>0</v>
      </c>
      <c r="P54" s="1510">
        <v>0</v>
      </c>
      <c r="Q54" s="1510">
        <v>0</v>
      </c>
      <c r="R54" s="1510">
        <v>7.0000000000000001E-3</v>
      </c>
      <c r="S54" s="2043">
        <v>1.4E-2</v>
      </c>
      <c r="T54" s="1974"/>
      <c r="U54" s="1976" t="s">
        <v>11985</v>
      </c>
      <c r="V54" s="1510" t="s">
        <v>11962</v>
      </c>
      <c r="W54" s="1510" t="s">
        <v>6261</v>
      </c>
      <c r="X54" s="1510" t="s">
        <v>6261</v>
      </c>
      <c r="Y54" s="2198"/>
      <c r="Z54" s="2329"/>
      <c r="AA54" s="2329"/>
      <c r="AB54" s="2329"/>
      <c r="AC54" s="2329"/>
      <c r="AD54" s="2330"/>
      <c r="AE54" s="88"/>
      <c r="AF54" s="98" t="s">
        <v>11986</v>
      </c>
      <c r="AG54" s="2560"/>
      <c r="AH54" s="2589"/>
      <c r="AI54" s="1121"/>
      <c r="AJ54" s="2589"/>
      <c r="AK54" s="252">
        <f t="shared" si="17"/>
        <v>0</v>
      </c>
      <c r="AL54" s="252">
        <f t="shared" si="0"/>
        <v>0</v>
      </c>
      <c r="AM54" s="252">
        <f t="shared" si="1"/>
        <v>0</v>
      </c>
      <c r="AN54" s="252">
        <f t="shared" si="2"/>
        <v>0</v>
      </c>
      <c r="AO54" s="252">
        <f t="shared" si="3"/>
        <v>0</v>
      </c>
      <c r="AP54" s="252">
        <f t="shared" si="4"/>
        <v>0</v>
      </c>
      <c r="AQ54" s="252">
        <f t="shared" si="5"/>
        <v>0</v>
      </c>
      <c r="AR54" s="2560"/>
      <c r="AS54" s="252">
        <f t="shared" si="6"/>
        <v>0</v>
      </c>
      <c r="AT54" s="252">
        <f t="shared" si="7"/>
        <v>0</v>
      </c>
      <c r="AU54" s="252">
        <f t="shared" si="8"/>
        <v>0</v>
      </c>
      <c r="AV54" s="252">
        <f t="shared" si="9"/>
        <v>0</v>
      </c>
      <c r="AW54" s="252">
        <f t="shared" si="10"/>
        <v>0</v>
      </c>
      <c r="AX54" s="252">
        <f t="shared" si="11"/>
        <v>0</v>
      </c>
      <c r="AY54" s="252">
        <f t="shared" si="12"/>
        <v>0</v>
      </c>
      <c r="AZ54" s="2560"/>
      <c r="BA54" s="2560"/>
      <c r="BB54" s="252">
        <f t="shared" si="13"/>
        <v>1</v>
      </c>
      <c r="BC54" s="252">
        <f t="shared" si="14"/>
        <v>1</v>
      </c>
      <c r="BD54" s="252">
        <f t="shared" si="15"/>
        <v>1</v>
      </c>
      <c r="BE54" s="252">
        <f t="shared" si="16"/>
        <v>1</v>
      </c>
      <c r="BF54" s="2589"/>
      <c r="BG54" s="1247"/>
      <c r="BH54" s="1247"/>
      <c r="BI54" s="1247"/>
      <c r="BJ54" s="1247"/>
      <c r="BK54" s="1247"/>
      <c r="BL54" s="1247"/>
    </row>
    <row r="55" spans="2:64" ht="15.75" customHeight="1">
      <c r="B55" s="96" t="s">
        <v>11987</v>
      </c>
      <c r="C55" s="97" t="s">
        <v>137</v>
      </c>
      <c r="D55" s="97">
        <v>3</v>
      </c>
      <c r="E55" s="1510">
        <v>0</v>
      </c>
      <c r="F55" s="1510">
        <v>0</v>
      </c>
      <c r="G55" s="1510">
        <v>0.05</v>
      </c>
      <c r="H55" s="1510">
        <v>0.16200000000000001</v>
      </c>
      <c r="I55" s="1510">
        <v>1.139</v>
      </c>
      <c r="J55" s="1510">
        <v>0.627</v>
      </c>
      <c r="K55" s="2043">
        <v>0</v>
      </c>
      <c r="L55" s="1977"/>
      <c r="M55" s="2045">
        <v>0</v>
      </c>
      <c r="N55" s="1510">
        <v>0</v>
      </c>
      <c r="O55" s="1510">
        <v>0</v>
      </c>
      <c r="P55" s="1510">
        <v>0</v>
      </c>
      <c r="Q55" s="1510">
        <v>0</v>
      </c>
      <c r="R55" s="1510">
        <v>9.9500000000000005E-2</v>
      </c>
      <c r="S55" s="2043">
        <v>0.19900000000000001</v>
      </c>
      <c r="T55" s="1974"/>
      <c r="U55" s="1976" t="s">
        <v>11988</v>
      </c>
      <c r="V55" s="1510">
        <v>1795</v>
      </c>
      <c r="W55" s="1510" t="s">
        <v>6261</v>
      </c>
      <c r="X55" s="1510">
        <v>1.5</v>
      </c>
      <c r="Y55" s="2198"/>
      <c r="Z55" s="2329"/>
      <c r="AA55" s="2329"/>
      <c r="AB55" s="2329"/>
      <c r="AC55" s="2329"/>
      <c r="AD55" s="2330"/>
      <c r="AE55" s="88"/>
      <c r="AF55" s="98" t="s">
        <v>11989</v>
      </c>
      <c r="AG55" s="2560"/>
      <c r="AH55" s="2589"/>
      <c r="AI55" s="1121"/>
      <c r="AJ55" s="2589"/>
      <c r="AK55" s="252">
        <f t="shared" si="17"/>
        <v>0</v>
      </c>
      <c r="AL55" s="252">
        <f t="shared" si="0"/>
        <v>0</v>
      </c>
      <c r="AM55" s="252">
        <f t="shared" si="1"/>
        <v>0</v>
      </c>
      <c r="AN55" s="252">
        <f t="shared" si="2"/>
        <v>0</v>
      </c>
      <c r="AO55" s="252">
        <f t="shared" si="3"/>
        <v>0</v>
      </c>
      <c r="AP55" s="252">
        <f t="shared" si="4"/>
        <v>0</v>
      </c>
      <c r="AQ55" s="252">
        <f t="shared" si="5"/>
        <v>0</v>
      </c>
      <c r="AR55" s="2560"/>
      <c r="AS55" s="252">
        <f t="shared" si="6"/>
        <v>0</v>
      </c>
      <c r="AT55" s="252">
        <f t="shared" si="7"/>
        <v>0</v>
      </c>
      <c r="AU55" s="252">
        <f t="shared" si="8"/>
        <v>0</v>
      </c>
      <c r="AV55" s="252">
        <f t="shared" si="9"/>
        <v>0</v>
      </c>
      <c r="AW55" s="252">
        <f t="shared" si="10"/>
        <v>0</v>
      </c>
      <c r="AX55" s="252">
        <f t="shared" si="11"/>
        <v>0</v>
      </c>
      <c r="AY55" s="252">
        <f t="shared" si="12"/>
        <v>0</v>
      </c>
      <c r="AZ55" s="2560"/>
      <c r="BA55" s="2560"/>
      <c r="BB55" s="252">
        <f t="shared" si="13"/>
        <v>0</v>
      </c>
      <c r="BC55" s="252">
        <f t="shared" si="14"/>
        <v>1</v>
      </c>
      <c r="BD55" s="252">
        <f t="shared" si="15"/>
        <v>0</v>
      </c>
      <c r="BE55" s="252">
        <f t="shared" si="16"/>
        <v>1</v>
      </c>
      <c r="BF55" s="2589"/>
      <c r="BG55" s="1247"/>
      <c r="BH55" s="1247"/>
      <c r="BI55" s="1247"/>
      <c r="BJ55" s="1247"/>
      <c r="BK55" s="1247"/>
      <c r="BL55" s="1247"/>
    </row>
    <row r="56" spans="2:64" ht="15.75" customHeight="1">
      <c r="B56" s="96" t="s">
        <v>11990</v>
      </c>
      <c r="C56" s="97" t="s">
        <v>137</v>
      </c>
      <c r="D56" s="97">
        <v>3</v>
      </c>
      <c r="E56" s="1510">
        <v>1.2E-2</v>
      </c>
      <c r="F56" s="1510">
        <v>0.28399999999999997</v>
      </c>
      <c r="G56" s="1510">
        <v>6.4050000000000002</v>
      </c>
      <c r="H56" s="1510">
        <v>25.34</v>
      </c>
      <c r="I56" s="1510">
        <v>20.448</v>
      </c>
      <c r="J56" s="1510">
        <v>5.6150000000000002</v>
      </c>
      <c r="K56" s="2043">
        <v>0</v>
      </c>
      <c r="L56" s="1977"/>
      <c r="M56" s="2045">
        <v>0</v>
      </c>
      <c r="N56" s="1510">
        <v>0</v>
      </c>
      <c r="O56" s="1510">
        <v>0</v>
      </c>
      <c r="P56" s="1510">
        <v>0</v>
      </c>
      <c r="Q56" s="1510">
        <v>0</v>
      </c>
      <c r="R56" s="1510">
        <v>1.409</v>
      </c>
      <c r="S56" s="2043">
        <v>2.8180000000000001</v>
      </c>
      <c r="T56" s="1974"/>
      <c r="U56" s="1976" t="s">
        <v>11991</v>
      </c>
      <c r="V56" s="1510">
        <v>870076</v>
      </c>
      <c r="W56" s="1510" t="s">
        <v>6261</v>
      </c>
      <c r="X56" s="1510">
        <v>0.4</v>
      </c>
      <c r="Y56" s="2198"/>
      <c r="Z56" s="2329"/>
      <c r="AA56" s="2329"/>
      <c r="AB56" s="2329"/>
      <c r="AC56" s="2329"/>
      <c r="AD56" s="2330"/>
      <c r="AE56" s="88"/>
      <c r="AF56" s="98" t="s">
        <v>11992</v>
      </c>
      <c r="AG56" s="2560"/>
      <c r="AH56" s="2589"/>
      <c r="AI56" s="1121"/>
      <c r="AJ56" s="2589"/>
      <c r="AK56" s="252">
        <f t="shared" si="17"/>
        <v>0</v>
      </c>
      <c r="AL56" s="252">
        <f t="shared" si="0"/>
        <v>0</v>
      </c>
      <c r="AM56" s="252">
        <f t="shared" si="1"/>
        <v>0</v>
      </c>
      <c r="AN56" s="252">
        <f t="shared" si="2"/>
        <v>0</v>
      </c>
      <c r="AO56" s="252">
        <f t="shared" si="3"/>
        <v>0</v>
      </c>
      <c r="AP56" s="252">
        <f t="shared" si="4"/>
        <v>0</v>
      </c>
      <c r="AQ56" s="252">
        <f t="shared" si="5"/>
        <v>0</v>
      </c>
      <c r="AR56" s="2560"/>
      <c r="AS56" s="252">
        <f t="shared" si="6"/>
        <v>0</v>
      </c>
      <c r="AT56" s="252">
        <f t="shared" si="7"/>
        <v>0</v>
      </c>
      <c r="AU56" s="252">
        <f t="shared" si="8"/>
        <v>0</v>
      </c>
      <c r="AV56" s="252">
        <f t="shared" si="9"/>
        <v>0</v>
      </c>
      <c r="AW56" s="252">
        <f t="shared" si="10"/>
        <v>0</v>
      </c>
      <c r="AX56" s="252">
        <f t="shared" si="11"/>
        <v>0</v>
      </c>
      <c r="AY56" s="252">
        <f t="shared" si="12"/>
        <v>0</v>
      </c>
      <c r="AZ56" s="2560"/>
      <c r="BA56" s="2560"/>
      <c r="BB56" s="252">
        <f t="shared" si="13"/>
        <v>0</v>
      </c>
      <c r="BC56" s="252">
        <f t="shared" si="14"/>
        <v>1</v>
      </c>
      <c r="BD56" s="252">
        <f t="shared" si="15"/>
        <v>0</v>
      </c>
      <c r="BE56" s="252">
        <f t="shared" si="16"/>
        <v>1</v>
      </c>
      <c r="BF56" s="2589"/>
      <c r="BG56" s="1247"/>
      <c r="BH56" s="1247"/>
      <c r="BI56" s="1247"/>
      <c r="BJ56" s="1247"/>
      <c r="BK56" s="1247"/>
      <c r="BL56" s="1247"/>
    </row>
    <row r="57" spans="2:64" ht="15.75" customHeight="1">
      <c r="B57" s="96" t="s">
        <v>11993</v>
      </c>
      <c r="C57" s="97" t="s">
        <v>137</v>
      </c>
      <c r="D57" s="97">
        <v>3</v>
      </c>
      <c r="E57" s="1510">
        <v>1E-3</v>
      </c>
      <c r="F57" s="1510">
        <v>1E-3</v>
      </c>
      <c r="G57" s="1510">
        <v>0.49399999999999999</v>
      </c>
      <c r="H57" s="1510">
        <v>0.33500000000000002</v>
      </c>
      <c r="I57" s="1510">
        <v>0.39300000000000002</v>
      </c>
      <c r="J57" s="1510">
        <v>1.6950000000000001</v>
      </c>
      <c r="K57" s="2043">
        <v>0</v>
      </c>
      <c r="L57" s="1977"/>
      <c r="M57" s="2045">
        <v>0</v>
      </c>
      <c r="N57" s="1510">
        <v>0</v>
      </c>
      <c r="O57" s="1510">
        <v>0</v>
      </c>
      <c r="P57" s="1510">
        <v>0</v>
      </c>
      <c r="Q57" s="1510">
        <v>0</v>
      </c>
      <c r="R57" s="1510">
        <v>6.0499999999999998E-2</v>
      </c>
      <c r="S57" s="2043">
        <v>0.121</v>
      </c>
      <c r="T57" s="1974"/>
      <c r="U57" s="1976" t="s">
        <v>11994</v>
      </c>
      <c r="V57" s="1510">
        <v>39823</v>
      </c>
      <c r="W57" s="1510" t="s">
        <v>6261</v>
      </c>
      <c r="X57" s="1510">
        <v>2</v>
      </c>
      <c r="Y57" s="2198"/>
      <c r="Z57" s="2329"/>
      <c r="AA57" s="2329"/>
      <c r="AB57" s="2329"/>
      <c r="AC57" s="2329"/>
      <c r="AD57" s="2330"/>
      <c r="AE57" s="88"/>
      <c r="AF57" s="98" t="s">
        <v>11995</v>
      </c>
      <c r="AG57" s="2560"/>
      <c r="AH57" s="2589"/>
      <c r="AI57" s="1121"/>
      <c r="AJ57" s="2589"/>
      <c r="AK57" s="252">
        <f t="shared" si="17"/>
        <v>0</v>
      </c>
      <c r="AL57" s="252">
        <f t="shared" si="0"/>
        <v>0</v>
      </c>
      <c r="AM57" s="252">
        <f t="shared" si="1"/>
        <v>0</v>
      </c>
      <c r="AN57" s="252">
        <f t="shared" si="2"/>
        <v>0</v>
      </c>
      <c r="AO57" s="252">
        <f t="shared" si="3"/>
        <v>0</v>
      </c>
      <c r="AP57" s="252">
        <f t="shared" si="4"/>
        <v>0</v>
      </c>
      <c r="AQ57" s="252">
        <f t="shared" si="5"/>
        <v>0</v>
      </c>
      <c r="AR57" s="2560"/>
      <c r="AS57" s="252">
        <f t="shared" si="6"/>
        <v>0</v>
      </c>
      <c r="AT57" s="252">
        <f t="shared" si="7"/>
        <v>0</v>
      </c>
      <c r="AU57" s="252">
        <f t="shared" si="8"/>
        <v>0</v>
      </c>
      <c r="AV57" s="252">
        <f t="shared" si="9"/>
        <v>0</v>
      </c>
      <c r="AW57" s="252">
        <f t="shared" si="10"/>
        <v>0</v>
      </c>
      <c r="AX57" s="252">
        <f t="shared" si="11"/>
        <v>0</v>
      </c>
      <c r="AY57" s="252">
        <f t="shared" si="12"/>
        <v>0</v>
      </c>
      <c r="AZ57" s="2560"/>
      <c r="BA57" s="2560"/>
      <c r="BB57" s="252">
        <f t="shared" si="13"/>
        <v>0</v>
      </c>
      <c r="BC57" s="252">
        <f t="shared" si="14"/>
        <v>1</v>
      </c>
      <c r="BD57" s="252">
        <f t="shared" si="15"/>
        <v>0</v>
      </c>
      <c r="BE57" s="252">
        <f t="shared" si="16"/>
        <v>1</v>
      </c>
      <c r="BF57" s="2589"/>
      <c r="BG57" s="1247"/>
      <c r="BH57" s="1247"/>
      <c r="BI57" s="1247"/>
      <c r="BJ57" s="1247"/>
      <c r="BK57" s="1247"/>
      <c r="BL57" s="1247"/>
    </row>
    <row r="58" spans="2:64" ht="15.75" customHeight="1">
      <c r="B58" s="96" t="s">
        <v>11996</v>
      </c>
      <c r="C58" s="97" t="s">
        <v>137</v>
      </c>
      <c r="D58" s="97">
        <v>3</v>
      </c>
      <c r="E58" s="1510">
        <v>4.0000000000000001E-3</v>
      </c>
      <c r="F58" s="1510">
        <v>5.0000000000000001E-3</v>
      </c>
      <c r="G58" s="1510">
        <v>0.41299999999999998</v>
      </c>
      <c r="H58" s="1510">
        <v>0.253</v>
      </c>
      <c r="I58" s="1510">
        <v>0.14599999999999999</v>
      </c>
      <c r="J58" s="1510">
        <v>2.8690000000000002</v>
      </c>
      <c r="K58" s="2043">
        <v>0</v>
      </c>
      <c r="L58" s="1977"/>
      <c r="M58" s="2045">
        <v>0</v>
      </c>
      <c r="N58" s="1510">
        <v>0</v>
      </c>
      <c r="O58" s="1510">
        <v>0</v>
      </c>
      <c r="P58" s="1510">
        <v>0</v>
      </c>
      <c r="Q58" s="1510">
        <v>0</v>
      </c>
      <c r="R58" s="1510">
        <v>0.05</v>
      </c>
      <c r="S58" s="2043">
        <v>0.1</v>
      </c>
      <c r="T58" s="1974"/>
      <c r="U58" s="1976" t="s">
        <v>11997</v>
      </c>
      <c r="V58" s="1510">
        <v>26809</v>
      </c>
      <c r="W58" s="1510" t="s">
        <v>6261</v>
      </c>
      <c r="X58" s="1510">
        <v>0.5</v>
      </c>
      <c r="Y58" s="2198"/>
      <c r="Z58" s="2329"/>
      <c r="AA58" s="2329"/>
      <c r="AB58" s="2329"/>
      <c r="AC58" s="2329"/>
      <c r="AD58" s="2330"/>
      <c r="AE58" s="88"/>
      <c r="AF58" s="98" t="s">
        <v>11998</v>
      </c>
      <c r="AG58" s="2560"/>
      <c r="AH58" s="2589"/>
      <c r="AI58" s="1121"/>
      <c r="AJ58" s="2589"/>
      <c r="AK58" s="252">
        <f t="shared" si="17"/>
        <v>0</v>
      </c>
      <c r="AL58" s="252">
        <f t="shared" si="0"/>
        <v>0</v>
      </c>
      <c r="AM58" s="252">
        <f t="shared" si="1"/>
        <v>0</v>
      </c>
      <c r="AN58" s="252">
        <f t="shared" si="2"/>
        <v>0</v>
      </c>
      <c r="AO58" s="252">
        <f t="shared" si="3"/>
        <v>0</v>
      </c>
      <c r="AP58" s="252">
        <f t="shared" si="4"/>
        <v>0</v>
      </c>
      <c r="AQ58" s="252">
        <f t="shared" si="5"/>
        <v>0</v>
      </c>
      <c r="AR58" s="2560"/>
      <c r="AS58" s="252">
        <f t="shared" si="6"/>
        <v>0</v>
      </c>
      <c r="AT58" s="252">
        <f t="shared" si="7"/>
        <v>0</v>
      </c>
      <c r="AU58" s="252">
        <f t="shared" si="8"/>
        <v>0</v>
      </c>
      <c r="AV58" s="252">
        <f t="shared" si="9"/>
        <v>0</v>
      </c>
      <c r="AW58" s="252">
        <f t="shared" si="10"/>
        <v>0</v>
      </c>
      <c r="AX58" s="252">
        <f t="shared" si="11"/>
        <v>0</v>
      </c>
      <c r="AY58" s="252">
        <f t="shared" si="12"/>
        <v>0</v>
      </c>
      <c r="AZ58" s="2560"/>
      <c r="BA58" s="2560"/>
      <c r="BB58" s="252">
        <f t="shared" si="13"/>
        <v>0</v>
      </c>
      <c r="BC58" s="252">
        <f t="shared" si="14"/>
        <v>1</v>
      </c>
      <c r="BD58" s="252">
        <f t="shared" si="15"/>
        <v>0</v>
      </c>
      <c r="BE58" s="252">
        <f t="shared" si="16"/>
        <v>1</v>
      </c>
      <c r="BF58" s="2589"/>
      <c r="BG58" s="1247"/>
      <c r="BH58" s="1247"/>
      <c r="BI58" s="1247"/>
      <c r="BJ58" s="1247"/>
      <c r="BK58" s="1247"/>
      <c r="BL58" s="1247"/>
    </row>
    <row r="59" spans="2:64" ht="15.75" customHeight="1">
      <c r="B59" s="96" t="s">
        <v>11999</v>
      </c>
      <c r="C59" s="97" t="s">
        <v>137</v>
      </c>
      <c r="D59" s="97">
        <v>3</v>
      </c>
      <c r="E59" s="1510">
        <v>1E-3</v>
      </c>
      <c r="F59" s="1510">
        <v>5.5E-2</v>
      </c>
      <c r="G59" s="1510">
        <v>0.46200000000000002</v>
      </c>
      <c r="H59" s="1510">
        <v>0.23400000000000001</v>
      </c>
      <c r="I59" s="1510">
        <v>1.925</v>
      </c>
      <c r="J59" s="1510">
        <v>0.39700000000000002</v>
      </c>
      <c r="K59" s="2043">
        <v>0</v>
      </c>
      <c r="L59" s="1977"/>
      <c r="M59" s="2045">
        <v>0</v>
      </c>
      <c r="N59" s="1510">
        <v>0</v>
      </c>
      <c r="O59" s="1510">
        <v>0</v>
      </c>
      <c r="P59" s="1510">
        <v>0</v>
      </c>
      <c r="Q59" s="1510">
        <v>0</v>
      </c>
      <c r="R59" s="1510">
        <v>0.318</v>
      </c>
      <c r="S59" s="2043">
        <v>0.63600000000000001</v>
      </c>
      <c r="T59" s="1974"/>
      <c r="U59" s="1976" t="s">
        <v>12000</v>
      </c>
      <c r="V59" s="1510">
        <v>112732</v>
      </c>
      <c r="W59" s="1510" t="s">
        <v>6261</v>
      </c>
      <c r="X59" s="1510">
        <v>2</v>
      </c>
      <c r="Y59" s="2198"/>
      <c r="Z59" s="2329"/>
      <c r="AA59" s="2329"/>
      <c r="AB59" s="2329"/>
      <c r="AC59" s="2329"/>
      <c r="AD59" s="2330"/>
      <c r="AE59" s="88"/>
      <c r="AF59" s="98" t="s">
        <v>12001</v>
      </c>
      <c r="AG59" s="2560"/>
      <c r="AH59" s="2589"/>
      <c r="AI59" s="1121"/>
      <c r="AJ59" s="2589"/>
      <c r="AK59" s="252">
        <f t="shared" si="17"/>
        <v>0</v>
      </c>
      <c r="AL59" s="252">
        <f t="shared" si="0"/>
        <v>0</v>
      </c>
      <c r="AM59" s="252">
        <f t="shared" si="1"/>
        <v>0</v>
      </c>
      <c r="AN59" s="252">
        <f t="shared" si="2"/>
        <v>0</v>
      </c>
      <c r="AO59" s="252">
        <f t="shared" si="3"/>
        <v>0</v>
      </c>
      <c r="AP59" s="252">
        <f t="shared" si="4"/>
        <v>0</v>
      </c>
      <c r="AQ59" s="252">
        <f t="shared" si="5"/>
        <v>0</v>
      </c>
      <c r="AR59" s="2560"/>
      <c r="AS59" s="252">
        <f t="shared" si="6"/>
        <v>0</v>
      </c>
      <c r="AT59" s="252">
        <f t="shared" si="7"/>
        <v>0</v>
      </c>
      <c r="AU59" s="252">
        <f t="shared" si="8"/>
        <v>0</v>
      </c>
      <c r="AV59" s="252">
        <f t="shared" si="9"/>
        <v>0</v>
      </c>
      <c r="AW59" s="252">
        <f t="shared" si="10"/>
        <v>0</v>
      </c>
      <c r="AX59" s="252">
        <f t="shared" si="11"/>
        <v>0</v>
      </c>
      <c r="AY59" s="252">
        <f t="shared" si="12"/>
        <v>0</v>
      </c>
      <c r="AZ59" s="2560"/>
      <c r="BA59" s="2560"/>
      <c r="BB59" s="252">
        <f t="shared" si="13"/>
        <v>0</v>
      </c>
      <c r="BC59" s="252">
        <f t="shared" si="14"/>
        <v>1</v>
      </c>
      <c r="BD59" s="252">
        <f t="shared" si="15"/>
        <v>0</v>
      </c>
      <c r="BE59" s="252">
        <f t="shared" si="16"/>
        <v>1</v>
      </c>
      <c r="BF59" s="2589"/>
      <c r="BG59" s="1247"/>
      <c r="BH59" s="1247"/>
      <c r="BI59" s="1247"/>
      <c r="BJ59" s="1247"/>
      <c r="BK59" s="1247"/>
      <c r="BL59" s="1247"/>
    </row>
    <row r="60" spans="2:64" ht="15.75" customHeight="1">
      <c r="B60" s="96" t="s">
        <v>12002</v>
      </c>
      <c r="C60" s="97" t="s">
        <v>137</v>
      </c>
      <c r="D60" s="97">
        <v>3</v>
      </c>
      <c r="E60" s="1510">
        <v>3.0000000000000001E-3</v>
      </c>
      <c r="F60" s="1510">
        <v>4.0000000000000001E-3</v>
      </c>
      <c r="G60" s="1510">
        <v>0.66400000000000003</v>
      </c>
      <c r="H60" s="1510">
        <v>1.032</v>
      </c>
      <c r="I60" s="1510">
        <v>0.108</v>
      </c>
      <c r="J60" s="1510">
        <v>1.2849999999999999</v>
      </c>
      <c r="K60" s="2043">
        <v>0</v>
      </c>
      <c r="L60" s="1977"/>
      <c r="M60" s="2045">
        <v>0</v>
      </c>
      <c r="N60" s="1510">
        <v>0</v>
      </c>
      <c r="O60" s="1510">
        <v>0</v>
      </c>
      <c r="P60" s="1510">
        <v>0</v>
      </c>
      <c r="Q60" s="1510">
        <v>0</v>
      </c>
      <c r="R60" s="1510">
        <v>6.2E-2</v>
      </c>
      <c r="S60" s="2043">
        <v>0.124</v>
      </c>
      <c r="T60" s="1974"/>
      <c r="U60" s="1976" t="s">
        <v>12003</v>
      </c>
      <c r="V60" s="1510">
        <v>9707</v>
      </c>
      <c r="W60" s="1510" t="s">
        <v>6261</v>
      </c>
      <c r="X60" s="1510">
        <v>0.4</v>
      </c>
      <c r="Y60" s="2198"/>
      <c r="Z60" s="2329"/>
      <c r="AA60" s="2329"/>
      <c r="AB60" s="2329"/>
      <c r="AC60" s="2329"/>
      <c r="AD60" s="2330"/>
      <c r="AE60" s="88"/>
      <c r="AF60" s="98" t="s">
        <v>12004</v>
      </c>
      <c r="AG60" s="2560"/>
      <c r="AH60" s="2589"/>
      <c r="AI60" s="1121"/>
      <c r="AJ60" s="2589"/>
      <c r="AK60" s="252">
        <f t="shared" si="17"/>
        <v>0</v>
      </c>
      <c r="AL60" s="252">
        <f t="shared" si="0"/>
        <v>0</v>
      </c>
      <c r="AM60" s="252">
        <f t="shared" si="1"/>
        <v>0</v>
      </c>
      <c r="AN60" s="252">
        <f t="shared" si="2"/>
        <v>0</v>
      </c>
      <c r="AO60" s="252">
        <f t="shared" si="3"/>
        <v>0</v>
      </c>
      <c r="AP60" s="252">
        <f t="shared" si="4"/>
        <v>0</v>
      </c>
      <c r="AQ60" s="252">
        <f t="shared" si="5"/>
        <v>0</v>
      </c>
      <c r="AR60" s="2560"/>
      <c r="AS60" s="252">
        <f t="shared" si="6"/>
        <v>0</v>
      </c>
      <c r="AT60" s="252">
        <f t="shared" si="7"/>
        <v>0</v>
      </c>
      <c r="AU60" s="252">
        <f t="shared" si="8"/>
        <v>0</v>
      </c>
      <c r="AV60" s="252">
        <f t="shared" si="9"/>
        <v>0</v>
      </c>
      <c r="AW60" s="252">
        <f t="shared" si="10"/>
        <v>0</v>
      </c>
      <c r="AX60" s="252">
        <f t="shared" si="11"/>
        <v>0</v>
      </c>
      <c r="AY60" s="252">
        <f t="shared" si="12"/>
        <v>0</v>
      </c>
      <c r="AZ60" s="2560"/>
      <c r="BA60" s="2560"/>
      <c r="BB60" s="252">
        <f t="shared" si="13"/>
        <v>0</v>
      </c>
      <c r="BC60" s="252">
        <f t="shared" si="14"/>
        <v>1</v>
      </c>
      <c r="BD60" s="252">
        <f t="shared" si="15"/>
        <v>0</v>
      </c>
      <c r="BE60" s="252">
        <f t="shared" si="16"/>
        <v>1</v>
      </c>
      <c r="BF60" s="2589"/>
      <c r="BG60" s="1247"/>
      <c r="BH60" s="1247"/>
      <c r="BI60" s="1247"/>
      <c r="BJ60" s="1247"/>
      <c r="BK60" s="1247"/>
      <c r="BL60" s="1247"/>
    </row>
    <row r="61" spans="2:64" ht="15.75" customHeight="1">
      <c r="B61" s="96" t="s">
        <v>12005</v>
      </c>
      <c r="C61" s="97" t="s">
        <v>137</v>
      </c>
      <c r="D61" s="97">
        <v>3</v>
      </c>
      <c r="E61" s="1510">
        <v>1E-3</v>
      </c>
      <c r="F61" s="1510">
        <v>1E-3</v>
      </c>
      <c r="G61" s="1510">
        <v>7.3999999999999996E-2</v>
      </c>
      <c r="H61" s="1510">
        <v>0.18</v>
      </c>
      <c r="I61" s="1510">
        <v>1.2010000000000001</v>
      </c>
      <c r="J61" s="1510">
        <v>0.153</v>
      </c>
      <c r="K61" s="2043">
        <v>0</v>
      </c>
      <c r="L61" s="1977"/>
      <c r="M61" s="2045">
        <v>0</v>
      </c>
      <c r="N61" s="1510">
        <v>0</v>
      </c>
      <c r="O61" s="1510">
        <v>0</v>
      </c>
      <c r="P61" s="1510">
        <v>0</v>
      </c>
      <c r="Q61" s="1510">
        <v>0</v>
      </c>
      <c r="R61" s="1510">
        <v>3.95E-2</v>
      </c>
      <c r="S61" s="2043">
        <v>7.9000000000000001E-2</v>
      </c>
      <c r="T61" s="1974"/>
      <c r="U61" s="1976" t="s">
        <v>12006</v>
      </c>
      <c r="V61" s="1510">
        <v>19027</v>
      </c>
      <c r="W61" s="1510" t="s">
        <v>6261</v>
      </c>
      <c r="X61" s="1510">
        <v>1</v>
      </c>
      <c r="Y61" s="2198"/>
      <c r="Z61" s="2329"/>
      <c r="AA61" s="2329"/>
      <c r="AB61" s="2329"/>
      <c r="AC61" s="2329"/>
      <c r="AD61" s="2330"/>
      <c r="AE61" s="88"/>
      <c r="AF61" s="98" t="s">
        <v>12007</v>
      </c>
      <c r="AG61" s="2560"/>
      <c r="AH61" s="2589"/>
      <c r="AI61" s="1121"/>
      <c r="AJ61" s="2589"/>
      <c r="AK61" s="252">
        <f t="shared" si="17"/>
        <v>0</v>
      </c>
      <c r="AL61" s="252">
        <f t="shared" si="0"/>
        <v>0</v>
      </c>
      <c r="AM61" s="252">
        <f t="shared" si="1"/>
        <v>0</v>
      </c>
      <c r="AN61" s="252">
        <f t="shared" si="2"/>
        <v>0</v>
      </c>
      <c r="AO61" s="252">
        <f t="shared" si="3"/>
        <v>0</v>
      </c>
      <c r="AP61" s="252">
        <f t="shared" si="4"/>
        <v>0</v>
      </c>
      <c r="AQ61" s="252">
        <f t="shared" si="5"/>
        <v>0</v>
      </c>
      <c r="AR61" s="2560"/>
      <c r="AS61" s="252">
        <f t="shared" si="6"/>
        <v>0</v>
      </c>
      <c r="AT61" s="252">
        <f t="shared" si="7"/>
        <v>0</v>
      </c>
      <c r="AU61" s="252">
        <f t="shared" si="8"/>
        <v>0</v>
      </c>
      <c r="AV61" s="252">
        <f t="shared" si="9"/>
        <v>0</v>
      </c>
      <c r="AW61" s="252">
        <f t="shared" si="10"/>
        <v>0</v>
      </c>
      <c r="AX61" s="252">
        <f t="shared" si="11"/>
        <v>0</v>
      </c>
      <c r="AY61" s="252">
        <f t="shared" si="12"/>
        <v>0</v>
      </c>
      <c r="AZ61" s="2560"/>
      <c r="BA61" s="2560"/>
      <c r="BB61" s="252">
        <f t="shared" si="13"/>
        <v>0</v>
      </c>
      <c r="BC61" s="252">
        <f t="shared" si="14"/>
        <v>1</v>
      </c>
      <c r="BD61" s="252">
        <f t="shared" si="15"/>
        <v>0</v>
      </c>
      <c r="BE61" s="252">
        <f t="shared" si="16"/>
        <v>1</v>
      </c>
      <c r="BF61" s="2589"/>
      <c r="BG61" s="1247"/>
      <c r="BH61" s="1247"/>
      <c r="BI61" s="1247"/>
      <c r="BJ61" s="1247"/>
      <c r="BK61" s="1247"/>
      <c r="BL61" s="1247"/>
    </row>
    <row r="62" spans="2:64" ht="15.75" customHeight="1">
      <c r="B62" s="96" t="s">
        <v>12008</v>
      </c>
      <c r="C62" s="97" t="s">
        <v>137</v>
      </c>
      <c r="D62" s="97">
        <v>3</v>
      </c>
      <c r="E62" s="1510">
        <v>2E-3</v>
      </c>
      <c r="F62" s="1510">
        <v>2E-3</v>
      </c>
      <c r="G62" s="1510">
        <v>5.5E-2</v>
      </c>
      <c r="H62" s="1510">
        <v>0.16</v>
      </c>
      <c r="I62" s="1510">
        <v>0.28199999999999997</v>
      </c>
      <c r="J62" s="1510">
        <v>1.0409999999999999</v>
      </c>
      <c r="K62" s="2043">
        <v>0</v>
      </c>
      <c r="L62" s="1977"/>
      <c r="M62" s="2045">
        <v>0</v>
      </c>
      <c r="N62" s="1510">
        <v>0</v>
      </c>
      <c r="O62" s="1510">
        <v>0</v>
      </c>
      <c r="P62" s="1510">
        <v>0</v>
      </c>
      <c r="Q62" s="1510">
        <v>0</v>
      </c>
      <c r="R62" s="1510">
        <v>0</v>
      </c>
      <c r="S62" s="2043">
        <v>0</v>
      </c>
      <c r="T62" s="1974"/>
      <c r="U62" s="1976" t="s">
        <v>12008</v>
      </c>
      <c r="V62" s="1510">
        <v>32985</v>
      </c>
      <c r="W62" s="1510" t="s">
        <v>6261</v>
      </c>
      <c r="X62" s="1510">
        <v>0.4</v>
      </c>
      <c r="Y62" s="2198"/>
      <c r="Z62" s="2329"/>
      <c r="AA62" s="2329"/>
      <c r="AB62" s="2329"/>
      <c r="AC62" s="2329"/>
      <c r="AD62" s="2330"/>
      <c r="AE62" s="88"/>
      <c r="AF62" s="98" t="s">
        <v>12009</v>
      </c>
      <c r="AG62" s="2560"/>
      <c r="AH62" s="2589"/>
      <c r="AI62" s="1121"/>
      <c r="AJ62" s="2589"/>
      <c r="AK62" s="252">
        <f t="shared" si="17"/>
        <v>0</v>
      </c>
      <c r="AL62" s="252">
        <f t="shared" si="0"/>
        <v>0</v>
      </c>
      <c r="AM62" s="252">
        <f t="shared" si="1"/>
        <v>0</v>
      </c>
      <c r="AN62" s="252">
        <f t="shared" si="2"/>
        <v>0</v>
      </c>
      <c r="AO62" s="252">
        <f t="shared" si="3"/>
        <v>0</v>
      </c>
      <c r="AP62" s="252">
        <f t="shared" si="4"/>
        <v>0</v>
      </c>
      <c r="AQ62" s="252">
        <f t="shared" si="5"/>
        <v>0</v>
      </c>
      <c r="AR62" s="2560"/>
      <c r="AS62" s="252">
        <f t="shared" si="6"/>
        <v>0</v>
      </c>
      <c r="AT62" s="252">
        <f t="shared" si="7"/>
        <v>0</v>
      </c>
      <c r="AU62" s="252">
        <f t="shared" si="8"/>
        <v>0</v>
      </c>
      <c r="AV62" s="252">
        <f t="shared" si="9"/>
        <v>0</v>
      </c>
      <c r="AW62" s="252">
        <f t="shared" si="10"/>
        <v>0</v>
      </c>
      <c r="AX62" s="252">
        <f t="shared" si="11"/>
        <v>0</v>
      </c>
      <c r="AY62" s="252">
        <f t="shared" si="12"/>
        <v>0</v>
      </c>
      <c r="AZ62" s="2560"/>
      <c r="BA62" s="2560"/>
      <c r="BB62" s="252">
        <f t="shared" si="13"/>
        <v>0</v>
      </c>
      <c r="BC62" s="252">
        <f t="shared" si="14"/>
        <v>1</v>
      </c>
      <c r="BD62" s="252">
        <f t="shared" si="15"/>
        <v>0</v>
      </c>
      <c r="BE62" s="252">
        <f t="shared" si="16"/>
        <v>1</v>
      </c>
      <c r="BF62" s="2589"/>
      <c r="BG62" s="1247"/>
      <c r="BH62" s="1247"/>
      <c r="BI62" s="1247"/>
      <c r="BJ62" s="1247"/>
      <c r="BK62" s="1247"/>
      <c r="BL62" s="1247"/>
    </row>
    <row r="63" spans="2:64" ht="15.75" customHeight="1">
      <c r="B63" s="96" t="s">
        <v>12010</v>
      </c>
      <c r="C63" s="97" t="s">
        <v>137</v>
      </c>
      <c r="D63" s="97">
        <v>3</v>
      </c>
      <c r="E63" s="1510">
        <v>1E-3</v>
      </c>
      <c r="F63" s="1510">
        <v>2E-3</v>
      </c>
      <c r="G63" s="1510">
        <v>0.442</v>
      </c>
      <c r="H63" s="1510">
        <v>0.19400000000000001</v>
      </c>
      <c r="I63" s="1510">
        <v>0.60399999999999998</v>
      </c>
      <c r="J63" s="1510">
        <v>0</v>
      </c>
      <c r="K63" s="2043">
        <v>0</v>
      </c>
      <c r="L63" s="1977"/>
      <c r="M63" s="2045">
        <v>0</v>
      </c>
      <c r="N63" s="1510">
        <v>0</v>
      </c>
      <c r="O63" s="1510">
        <v>0</v>
      </c>
      <c r="P63" s="1510">
        <v>0</v>
      </c>
      <c r="Q63" s="1510">
        <v>0</v>
      </c>
      <c r="R63" s="1510">
        <v>8.8999999999999996E-2</v>
      </c>
      <c r="S63" s="2043">
        <v>0.17799999999999999</v>
      </c>
      <c r="T63" s="1974"/>
      <c r="U63" s="1976" t="s">
        <v>12011</v>
      </c>
      <c r="V63" s="1510">
        <v>53425</v>
      </c>
      <c r="W63" s="1510" t="s">
        <v>6261</v>
      </c>
      <c r="X63" s="1510">
        <v>0.8</v>
      </c>
      <c r="Y63" s="2198"/>
      <c r="Z63" s="2329"/>
      <c r="AA63" s="2329"/>
      <c r="AB63" s="2329"/>
      <c r="AC63" s="2329"/>
      <c r="AD63" s="2330"/>
      <c r="AE63" s="88"/>
      <c r="AF63" s="98" t="s">
        <v>12012</v>
      </c>
      <c r="AG63" s="2560"/>
      <c r="AH63" s="2589"/>
      <c r="AI63" s="1121"/>
      <c r="AJ63" s="2589"/>
      <c r="AK63" s="252">
        <f t="shared" si="17"/>
        <v>0</v>
      </c>
      <c r="AL63" s="252">
        <f t="shared" si="0"/>
        <v>0</v>
      </c>
      <c r="AM63" s="252">
        <f t="shared" si="1"/>
        <v>0</v>
      </c>
      <c r="AN63" s="252">
        <f t="shared" si="2"/>
        <v>0</v>
      </c>
      <c r="AO63" s="252">
        <f t="shared" si="3"/>
        <v>0</v>
      </c>
      <c r="AP63" s="252">
        <f t="shared" si="4"/>
        <v>0</v>
      </c>
      <c r="AQ63" s="252">
        <f t="shared" si="5"/>
        <v>0</v>
      </c>
      <c r="AR63" s="2560"/>
      <c r="AS63" s="252">
        <f t="shared" si="6"/>
        <v>0</v>
      </c>
      <c r="AT63" s="252">
        <f t="shared" si="7"/>
        <v>0</v>
      </c>
      <c r="AU63" s="252">
        <f t="shared" si="8"/>
        <v>0</v>
      </c>
      <c r="AV63" s="252">
        <f t="shared" si="9"/>
        <v>0</v>
      </c>
      <c r="AW63" s="252">
        <f t="shared" si="10"/>
        <v>0</v>
      </c>
      <c r="AX63" s="252">
        <f t="shared" si="11"/>
        <v>0</v>
      </c>
      <c r="AY63" s="252">
        <f t="shared" si="12"/>
        <v>0</v>
      </c>
      <c r="AZ63" s="2560"/>
      <c r="BA63" s="2560"/>
      <c r="BB63" s="252">
        <f t="shared" si="13"/>
        <v>0</v>
      </c>
      <c r="BC63" s="252">
        <f t="shared" si="14"/>
        <v>1</v>
      </c>
      <c r="BD63" s="252">
        <f t="shared" si="15"/>
        <v>0</v>
      </c>
      <c r="BE63" s="252">
        <f t="shared" si="16"/>
        <v>1</v>
      </c>
      <c r="BF63" s="2589"/>
      <c r="BG63" s="1247"/>
      <c r="BH63" s="1247"/>
      <c r="BI63" s="1247"/>
      <c r="BJ63" s="1247"/>
      <c r="BK63" s="1247"/>
      <c r="BL63" s="1247"/>
    </row>
    <row r="64" spans="2:64" ht="15.75" customHeight="1">
      <c r="B64" s="96" t="s">
        <v>12013</v>
      </c>
      <c r="C64" s="97" t="s">
        <v>137</v>
      </c>
      <c r="D64" s="97">
        <v>3</v>
      </c>
      <c r="E64" s="1510">
        <v>2E-3</v>
      </c>
      <c r="F64" s="1510">
        <v>0.114</v>
      </c>
      <c r="G64" s="1510">
        <v>0.27700000000000002</v>
      </c>
      <c r="H64" s="1510">
        <v>0.23899999999999999</v>
      </c>
      <c r="I64" s="1510">
        <v>3.4409999999999998</v>
      </c>
      <c r="J64" s="1510">
        <v>0.74199999999999999</v>
      </c>
      <c r="K64" s="2043">
        <v>0</v>
      </c>
      <c r="L64" s="1977"/>
      <c r="M64" s="2045">
        <v>0</v>
      </c>
      <c r="N64" s="1510">
        <v>0</v>
      </c>
      <c r="O64" s="1510">
        <v>0</v>
      </c>
      <c r="P64" s="1510">
        <v>0</v>
      </c>
      <c r="Q64" s="1510">
        <v>0</v>
      </c>
      <c r="R64" s="1510">
        <v>6.3500000000000001E-2</v>
      </c>
      <c r="S64" s="2043">
        <v>0.127</v>
      </c>
      <c r="T64" s="1974"/>
      <c r="U64" s="1976" t="s">
        <v>12014</v>
      </c>
      <c r="V64" s="1510">
        <v>12059</v>
      </c>
      <c r="W64" s="1510" t="s">
        <v>6261</v>
      </c>
      <c r="X64" s="1510">
        <v>0.25</v>
      </c>
      <c r="Y64" s="2198"/>
      <c r="Z64" s="2329"/>
      <c r="AA64" s="2329"/>
      <c r="AB64" s="2329"/>
      <c r="AC64" s="2329"/>
      <c r="AD64" s="2330"/>
      <c r="AE64" s="88"/>
      <c r="AF64" s="98" t="s">
        <v>12015</v>
      </c>
      <c r="AG64" s="2560"/>
      <c r="AH64" s="2589"/>
      <c r="AI64" s="1121"/>
      <c r="AJ64" s="2589"/>
      <c r="AK64" s="252">
        <f t="shared" si="17"/>
        <v>0</v>
      </c>
      <c r="AL64" s="252">
        <f t="shared" si="0"/>
        <v>0</v>
      </c>
      <c r="AM64" s="252">
        <f t="shared" si="1"/>
        <v>0</v>
      </c>
      <c r="AN64" s="252">
        <f t="shared" si="2"/>
        <v>0</v>
      </c>
      <c r="AO64" s="252">
        <f t="shared" si="3"/>
        <v>0</v>
      </c>
      <c r="AP64" s="252">
        <f t="shared" si="4"/>
        <v>0</v>
      </c>
      <c r="AQ64" s="252">
        <f t="shared" si="5"/>
        <v>0</v>
      </c>
      <c r="AR64" s="2560"/>
      <c r="AS64" s="252">
        <f t="shared" si="6"/>
        <v>0</v>
      </c>
      <c r="AT64" s="252">
        <f t="shared" si="7"/>
        <v>0</v>
      </c>
      <c r="AU64" s="252">
        <f t="shared" si="8"/>
        <v>0</v>
      </c>
      <c r="AV64" s="252">
        <f t="shared" si="9"/>
        <v>0</v>
      </c>
      <c r="AW64" s="252">
        <f t="shared" si="10"/>
        <v>0</v>
      </c>
      <c r="AX64" s="252">
        <f t="shared" si="11"/>
        <v>0</v>
      </c>
      <c r="AY64" s="252">
        <f t="shared" si="12"/>
        <v>0</v>
      </c>
      <c r="AZ64" s="2560"/>
      <c r="BA64" s="2560"/>
      <c r="BB64" s="252">
        <f t="shared" si="13"/>
        <v>0</v>
      </c>
      <c r="BC64" s="252">
        <f t="shared" si="14"/>
        <v>1</v>
      </c>
      <c r="BD64" s="252">
        <f t="shared" si="15"/>
        <v>0</v>
      </c>
      <c r="BE64" s="252">
        <f t="shared" si="16"/>
        <v>1</v>
      </c>
      <c r="BF64" s="2589"/>
      <c r="BG64" s="1247"/>
      <c r="BH64" s="1247"/>
      <c r="BI64" s="1247"/>
      <c r="BJ64" s="1247"/>
      <c r="BK64" s="1247"/>
      <c r="BL64" s="1247"/>
    </row>
    <row r="65" spans="2:64" ht="15.75" customHeight="1">
      <c r="B65" s="96" t="s">
        <v>12016</v>
      </c>
      <c r="C65" s="97" t="s">
        <v>137</v>
      </c>
      <c r="D65" s="97">
        <v>3</v>
      </c>
      <c r="E65" s="1510">
        <v>5.0000000000000001E-3</v>
      </c>
      <c r="F65" s="1510">
        <v>0.188</v>
      </c>
      <c r="G65" s="1510">
        <v>1.113</v>
      </c>
      <c r="H65" s="1510">
        <v>2.194</v>
      </c>
      <c r="I65" s="1510">
        <v>7.2770000000000001</v>
      </c>
      <c r="J65" s="1510">
        <v>4.63</v>
      </c>
      <c r="K65" s="2043">
        <v>0</v>
      </c>
      <c r="L65" s="1977"/>
      <c r="M65" s="2045">
        <v>0</v>
      </c>
      <c r="N65" s="1510">
        <v>0</v>
      </c>
      <c r="O65" s="1510">
        <v>0</v>
      </c>
      <c r="P65" s="1510">
        <v>0</v>
      </c>
      <c r="Q65" s="1510">
        <v>0</v>
      </c>
      <c r="R65" s="1510">
        <v>0.58499999999999996</v>
      </c>
      <c r="S65" s="2043">
        <v>1.17</v>
      </c>
      <c r="T65" s="1974"/>
      <c r="U65" s="1976" t="s">
        <v>12017</v>
      </c>
      <c r="V65" s="1510">
        <v>132236</v>
      </c>
      <c r="W65" s="1510" t="s">
        <v>6261</v>
      </c>
      <c r="X65" s="1510">
        <v>0.3</v>
      </c>
      <c r="Y65" s="2198"/>
      <c r="Z65" s="2329"/>
      <c r="AA65" s="2329"/>
      <c r="AB65" s="2329"/>
      <c r="AC65" s="2329"/>
      <c r="AD65" s="2330"/>
      <c r="AE65" s="88"/>
      <c r="AF65" s="98" t="s">
        <v>12018</v>
      </c>
      <c r="AG65" s="2560"/>
      <c r="AH65" s="2589"/>
      <c r="AI65" s="1121"/>
      <c r="AJ65" s="2589"/>
      <c r="AK65" s="252">
        <f t="shared" si="17"/>
        <v>0</v>
      </c>
      <c r="AL65" s="252">
        <f t="shared" si="0"/>
        <v>0</v>
      </c>
      <c r="AM65" s="252">
        <f t="shared" si="1"/>
        <v>0</v>
      </c>
      <c r="AN65" s="252">
        <f t="shared" si="2"/>
        <v>0</v>
      </c>
      <c r="AO65" s="252">
        <f t="shared" si="3"/>
        <v>0</v>
      </c>
      <c r="AP65" s="252">
        <f t="shared" si="4"/>
        <v>0</v>
      </c>
      <c r="AQ65" s="252">
        <f t="shared" si="5"/>
        <v>0</v>
      </c>
      <c r="AR65" s="2560"/>
      <c r="AS65" s="252">
        <f t="shared" si="6"/>
        <v>0</v>
      </c>
      <c r="AT65" s="252">
        <f t="shared" si="7"/>
        <v>0</v>
      </c>
      <c r="AU65" s="252">
        <f t="shared" si="8"/>
        <v>0</v>
      </c>
      <c r="AV65" s="252">
        <f t="shared" si="9"/>
        <v>0</v>
      </c>
      <c r="AW65" s="252">
        <f t="shared" si="10"/>
        <v>0</v>
      </c>
      <c r="AX65" s="252">
        <f t="shared" si="11"/>
        <v>0</v>
      </c>
      <c r="AY65" s="252">
        <f t="shared" si="12"/>
        <v>0</v>
      </c>
      <c r="AZ65" s="2560"/>
      <c r="BA65" s="2560"/>
      <c r="BB65" s="252">
        <f t="shared" si="13"/>
        <v>0</v>
      </c>
      <c r="BC65" s="252">
        <f t="shared" si="14"/>
        <v>1</v>
      </c>
      <c r="BD65" s="252">
        <f t="shared" si="15"/>
        <v>0</v>
      </c>
      <c r="BE65" s="252">
        <f t="shared" si="16"/>
        <v>1</v>
      </c>
      <c r="BF65" s="2589"/>
      <c r="BG65" s="1247"/>
      <c r="BH65" s="1247"/>
      <c r="BI65" s="1247"/>
      <c r="BJ65" s="1247"/>
      <c r="BK65" s="1247"/>
      <c r="BL65" s="1247"/>
    </row>
    <row r="66" spans="2:64" ht="15.75" customHeight="1">
      <c r="B66" s="96" t="s">
        <v>12019</v>
      </c>
      <c r="C66" s="97" t="s">
        <v>137</v>
      </c>
      <c r="D66" s="97">
        <v>3</v>
      </c>
      <c r="E66" s="1510">
        <v>2E-3</v>
      </c>
      <c r="F66" s="1510">
        <v>1.847</v>
      </c>
      <c r="G66" s="1510">
        <v>2.5259999999999998</v>
      </c>
      <c r="H66" s="1510">
        <v>0.67800000000000005</v>
      </c>
      <c r="I66" s="1510">
        <v>0.308</v>
      </c>
      <c r="J66" s="1510">
        <v>0</v>
      </c>
      <c r="K66" s="2043">
        <v>0</v>
      </c>
      <c r="L66" s="1977"/>
      <c r="M66" s="2045">
        <v>0</v>
      </c>
      <c r="N66" s="1510">
        <v>0</v>
      </c>
      <c r="O66" s="1510">
        <v>0.06</v>
      </c>
      <c r="P66" s="1510">
        <v>0.115</v>
      </c>
      <c r="Q66" s="1510">
        <v>0.115</v>
      </c>
      <c r="R66" s="1510">
        <v>0.115</v>
      </c>
      <c r="S66" s="2043">
        <v>0.115</v>
      </c>
      <c r="T66" s="1974"/>
      <c r="U66" s="1976" t="s">
        <v>12020</v>
      </c>
      <c r="V66" s="1510">
        <v>2604</v>
      </c>
      <c r="W66" s="1510" t="s">
        <v>6261</v>
      </c>
      <c r="X66" s="1510">
        <v>0.3</v>
      </c>
      <c r="Y66" s="2198"/>
      <c r="Z66" s="2329"/>
      <c r="AA66" s="2329"/>
      <c r="AB66" s="2329"/>
      <c r="AC66" s="2329"/>
      <c r="AD66" s="2330"/>
      <c r="AE66" s="88"/>
      <c r="AF66" s="98" t="s">
        <v>12021</v>
      </c>
      <c r="AG66" s="2560"/>
      <c r="AH66" s="2589"/>
      <c r="AI66" s="1121"/>
      <c r="AJ66" s="2589"/>
      <c r="AK66" s="252">
        <f t="shared" si="17"/>
        <v>0</v>
      </c>
      <c r="AL66" s="252">
        <f t="shared" si="0"/>
        <v>0</v>
      </c>
      <c r="AM66" s="252">
        <f t="shared" si="1"/>
        <v>0</v>
      </c>
      <c r="AN66" s="252">
        <f t="shared" si="2"/>
        <v>0</v>
      </c>
      <c r="AO66" s="252">
        <f t="shared" si="3"/>
        <v>0</v>
      </c>
      <c r="AP66" s="252">
        <f t="shared" si="4"/>
        <v>0</v>
      </c>
      <c r="AQ66" s="252">
        <f t="shared" si="5"/>
        <v>0</v>
      </c>
      <c r="AR66" s="2560"/>
      <c r="AS66" s="252">
        <f t="shared" si="6"/>
        <v>0</v>
      </c>
      <c r="AT66" s="252">
        <f t="shared" si="7"/>
        <v>0</v>
      </c>
      <c r="AU66" s="252">
        <f t="shared" si="8"/>
        <v>0</v>
      </c>
      <c r="AV66" s="252">
        <f t="shared" si="9"/>
        <v>0</v>
      </c>
      <c r="AW66" s="252">
        <f t="shared" si="10"/>
        <v>0</v>
      </c>
      <c r="AX66" s="252">
        <f t="shared" si="11"/>
        <v>0</v>
      </c>
      <c r="AY66" s="252">
        <f t="shared" si="12"/>
        <v>0</v>
      </c>
      <c r="AZ66" s="2560"/>
      <c r="BA66" s="2560"/>
      <c r="BB66" s="252">
        <f t="shared" si="13"/>
        <v>0</v>
      </c>
      <c r="BC66" s="252">
        <f t="shared" si="14"/>
        <v>1</v>
      </c>
      <c r="BD66" s="252">
        <f t="shared" si="15"/>
        <v>0</v>
      </c>
      <c r="BE66" s="252">
        <f t="shared" si="16"/>
        <v>1</v>
      </c>
      <c r="BF66" s="2589"/>
      <c r="BG66" s="1247"/>
      <c r="BH66" s="1247"/>
      <c r="BI66" s="1247"/>
      <c r="BJ66" s="1247"/>
      <c r="BK66" s="1247"/>
      <c r="BL66" s="1247"/>
    </row>
    <row r="67" spans="2:64" ht="15.75" customHeight="1">
      <c r="B67" s="96" t="s">
        <v>12022</v>
      </c>
      <c r="C67" s="97" t="s">
        <v>137</v>
      </c>
      <c r="D67" s="97">
        <v>3</v>
      </c>
      <c r="E67" s="1510">
        <v>3.0000000000000001E-3</v>
      </c>
      <c r="F67" s="1510">
        <v>0.17799999999999999</v>
      </c>
      <c r="G67" s="1510">
        <v>0.42099999999999999</v>
      </c>
      <c r="H67" s="1510">
        <v>0.27</v>
      </c>
      <c r="I67" s="1510">
        <v>1.7649999999999999</v>
      </c>
      <c r="J67" s="1510">
        <v>1.6140000000000001</v>
      </c>
      <c r="K67" s="2043">
        <v>0</v>
      </c>
      <c r="L67" s="1977"/>
      <c r="M67" s="2045">
        <v>0</v>
      </c>
      <c r="N67" s="1510">
        <v>0</v>
      </c>
      <c r="O67" s="1510">
        <v>0</v>
      </c>
      <c r="P67" s="1510">
        <v>0</v>
      </c>
      <c r="Q67" s="1510">
        <v>0</v>
      </c>
      <c r="R67" s="1510">
        <v>0</v>
      </c>
      <c r="S67" s="2043">
        <v>0</v>
      </c>
      <c r="T67" s="1974"/>
      <c r="U67" s="1976" t="s">
        <v>12023</v>
      </c>
      <c r="V67" s="1510">
        <v>11336</v>
      </c>
      <c r="W67" s="1510">
        <v>1</v>
      </c>
      <c r="X67" s="1510">
        <v>0.25</v>
      </c>
      <c r="Y67" s="2198"/>
      <c r="Z67" s="2329"/>
      <c r="AA67" s="2329"/>
      <c r="AB67" s="2329"/>
      <c r="AC67" s="2329"/>
      <c r="AD67" s="2330"/>
      <c r="AE67" s="88"/>
      <c r="AF67" s="98" t="s">
        <v>12024</v>
      </c>
      <c r="AG67" s="2560"/>
      <c r="AH67" s="2589"/>
      <c r="AI67" s="1121"/>
      <c r="AJ67" s="2589"/>
      <c r="AK67" s="252">
        <f t="shared" si="17"/>
        <v>0</v>
      </c>
      <c r="AL67" s="252">
        <f t="shared" si="0"/>
        <v>0</v>
      </c>
      <c r="AM67" s="252">
        <f t="shared" si="1"/>
        <v>0</v>
      </c>
      <c r="AN67" s="252">
        <f t="shared" si="2"/>
        <v>0</v>
      </c>
      <c r="AO67" s="252">
        <f t="shared" si="3"/>
        <v>0</v>
      </c>
      <c r="AP67" s="252">
        <f t="shared" si="4"/>
        <v>0</v>
      </c>
      <c r="AQ67" s="252">
        <f t="shared" si="5"/>
        <v>0</v>
      </c>
      <c r="AR67" s="2560"/>
      <c r="AS67" s="252">
        <f t="shared" si="6"/>
        <v>0</v>
      </c>
      <c r="AT67" s="252">
        <f t="shared" si="7"/>
        <v>0</v>
      </c>
      <c r="AU67" s="252">
        <f t="shared" si="8"/>
        <v>0</v>
      </c>
      <c r="AV67" s="252">
        <f t="shared" si="9"/>
        <v>0</v>
      </c>
      <c r="AW67" s="252">
        <f t="shared" si="10"/>
        <v>0</v>
      </c>
      <c r="AX67" s="252">
        <f t="shared" si="11"/>
        <v>0</v>
      </c>
      <c r="AY67" s="252">
        <f t="shared" si="12"/>
        <v>0</v>
      </c>
      <c r="AZ67" s="2560"/>
      <c r="BA67" s="2560"/>
      <c r="BB67" s="252">
        <f t="shared" si="13"/>
        <v>0</v>
      </c>
      <c r="BC67" s="252">
        <f t="shared" si="14"/>
        <v>0</v>
      </c>
      <c r="BD67" s="252">
        <f t="shared" si="15"/>
        <v>0</v>
      </c>
      <c r="BE67" s="252">
        <f t="shared" si="16"/>
        <v>1</v>
      </c>
      <c r="BF67" s="2589"/>
      <c r="BG67" s="1247"/>
      <c r="BH67" s="1247"/>
      <c r="BI67" s="1247"/>
      <c r="BJ67" s="1247"/>
      <c r="BK67" s="1247"/>
      <c r="BL67" s="1247"/>
    </row>
    <row r="68" spans="2:64" ht="15.75" customHeight="1">
      <c r="B68" s="96" t="s">
        <v>12025</v>
      </c>
      <c r="C68" s="97" t="s">
        <v>137</v>
      </c>
      <c r="D68" s="97">
        <v>3</v>
      </c>
      <c r="E68" s="1510">
        <v>2E-3</v>
      </c>
      <c r="F68" s="1510">
        <v>2E-3</v>
      </c>
      <c r="G68" s="1510">
        <v>5.5E-2</v>
      </c>
      <c r="H68" s="1510">
        <v>0.32500000000000001</v>
      </c>
      <c r="I68" s="1510">
        <v>0.98099999999999998</v>
      </c>
      <c r="J68" s="1510">
        <v>0.254</v>
      </c>
      <c r="K68" s="2043">
        <v>0</v>
      </c>
      <c r="L68" s="1977"/>
      <c r="M68" s="2045">
        <v>0</v>
      </c>
      <c r="N68" s="1510">
        <v>0</v>
      </c>
      <c r="O68" s="1510">
        <v>0</v>
      </c>
      <c r="P68" s="1510">
        <v>0</v>
      </c>
      <c r="Q68" s="1510">
        <v>0</v>
      </c>
      <c r="R68" s="1510">
        <v>0.1515</v>
      </c>
      <c r="S68" s="2043">
        <v>0.30299999999999999</v>
      </c>
      <c r="T68" s="1974"/>
      <c r="U68" s="1976" t="s">
        <v>12026</v>
      </c>
      <c r="V68" s="1510">
        <v>436</v>
      </c>
      <c r="W68" s="1510" t="s">
        <v>6261</v>
      </c>
      <c r="X68" s="1510">
        <v>3</v>
      </c>
      <c r="Y68" s="2198"/>
      <c r="Z68" s="2329"/>
      <c r="AA68" s="2329"/>
      <c r="AB68" s="2329"/>
      <c r="AC68" s="2329"/>
      <c r="AD68" s="2330"/>
      <c r="AE68" s="88"/>
      <c r="AF68" s="98" t="s">
        <v>12027</v>
      </c>
      <c r="AG68" s="2560"/>
      <c r="AH68" s="2589"/>
      <c r="AI68" s="1121"/>
      <c r="AJ68" s="2589"/>
      <c r="AK68" s="252">
        <f t="shared" si="17"/>
        <v>0</v>
      </c>
      <c r="AL68" s="252">
        <f t="shared" si="0"/>
        <v>0</v>
      </c>
      <c r="AM68" s="252">
        <f t="shared" si="1"/>
        <v>0</v>
      </c>
      <c r="AN68" s="252">
        <f t="shared" si="2"/>
        <v>0</v>
      </c>
      <c r="AO68" s="252">
        <f t="shared" si="3"/>
        <v>0</v>
      </c>
      <c r="AP68" s="252">
        <f t="shared" si="4"/>
        <v>0</v>
      </c>
      <c r="AQ68" s="252">
        <f t="shared" si="5"/>
        <v>0</v>
      </c>
      <c r="AR68" s="2560"/>
      <c r="AS68" s="252">
        <f t="shared" si="6"/>
        <v>0</v>
      </c>
      <c r="AT68" s="252">
        <f t="shared" si="7"/>
        <v>0</v>
      </c>
      <c r="AU68" s="252">
        <f t="shared" si="8"/>
        <v>0</v>
      </c>
      <c r="AV68" s="252">
        <f t="shared" si="9"/>
        <v>0</v>
      </c>
      <c r="AW68" s="252">
        <f t="shared" si="10"/>
        <v>0</v>
      </c>
      <c r="AX68" s="252">
        <f t="shared" si="11"/>
        <v>0</v>
      </c>
      <c r="AY68" s="252">
        <f t="shared" si="12"/>
        <v>0</v>
      </c>
      <c r="AZ68" s="2560"/>
      <c r="BA68" s="2560"/>
      <c r="BB68" s="252">
        <f t="shared" si="13"/>
        <v>0</v>
      </c>
      <c r="BC68" s="252">
        <f t="shared" si="14"/>
        <v>1</v>
      </c>
      <c r="BD68" s="252">
        <f t="shared" si="15"/>
        <v>0</v>
      </c>
      <c r="BE68" s="252">
        <f t="shared" si="16"/>
        <v>1</v>
      </c>
      <c r="BF68" s="2589"/>
      <c r="BG68" s="1247"/>
      <c r="BH68" s="1247"/>
      <c r="BI68" s="1247"/>
      <c r="BJ68" s="1247"/>
      <c r="BK68" s="1247"/>
      <c r="BL68" s="1247"/>
    </row>
    <row r="69" spans="2:64" ht="15.75" customHeight="1">
      <c r="B69" s="96" t="s">
        <v>12028</v>
      </c>
      <c r="C69" s="97" t="s">
        <v>137</v>
      </c>
      <c r="D69" s="97">
        <v>3</v>
      </c>
      <c r="E69" s="1510">
        <v>4.0000000000000001E-3</v>
      </c>
      <c r="F69" s="1510">
        <v>0.123</v>
      </c>
      <c r="G69" s="1510">
        <v>0.54300000000000004</v>
      </c>
      <c r="H69" s="1510">
        <v>1.0589999999999999</v>
      </c>
      <c r="I69" s="1510">
        <v>1.2090000000000001</v>
      </c>
      <c r="J69" s="1510">
        <v>1.3380000000000001</v>
      </c>
      <c r="K69" s="2043">
        <v>0</v>
      </c>
      <c r="L69" s="1977"/>
      <c r="M69" s="2045">
        <v>0</v>
      </c>
      <c r="N69" s="1510">
        <v>0</v>
      </c>
      <c r="O69" s="1510">
        <v>0</v>
      </c>
      <c r="P69" s="1510">
        <v>0</v>
      </c>
      <c r="Q69" s="1510">
        <v>0</v>
      </c>
      <c r="R69" s="1510">
        <v>5.7000000000000002E-2</v>
      </c>
      <c r="S69" s="2043">
        <v>0.114</v>
      </c>
      <c r="T69" s="1974"/>
      <c r="U69" s="1976" t="s">
        <v>12029</v>
      </c>
      <c r="V69" s="1510">
        <v>9579</v>
      </c>
      <c r="W69" s="1510" t="s">
        <v>6261</v>
      </c>
      <c r="X69" s="1510">
        <v>0.5</v>
      </c>
      <c r="Y69" s="2198"/>
      <c r="Z69" s="2329"/>
      <c r="AA69" s="2329"/>
      <c r="AB69" s="2329"/>
      <c r="AC69" s="2329"/>
      <c r="AD69" s="2330"/>
      <c r="AE69" s="88"/>
      <c r="AF69" s="98" t="s">
        <v>12030</v>
      </c>
      <c r="AG69" s="2560"/>
      <c r="AH69" s="2589"/>
      <c r="AI69" s="1121"/>
      <c r="AJ69" s="2589"/>
      <c r="AK69" s="252">
        <f t="shared" si="17"/>
        <v>0</v>
      </c>
      <c r="AL69" s="252">
        <f t="shared" si="0"/>
        <v>0</v>
      </c>
      <c r="AM69" s="252">
        <f t="shared" si="1"/>
        <v>0</v>
      </c>
      <c r="AN69" s="252">
        <f t="shared" si="2"/>
        <v>0</v>
      </c>
      <c r="AO69" s="252">
        <f t="shared" si="3"/>
        <v>0</v>
      </c>
      <c r="AP69" s="252">
        <f t="shared" si="4"/>
        <v>0</v>
      </c>
      <c r="AQ69" s="252">
        <f t="shared" si="5"/>
        <v>0</v>
      </c>
      <c r="AR69" s="2560"/>
      <c r="AS69" s="252">
        <f t="shared" si="6"/>
        <v>0</v>
      </c>
      <c r="AT69" s="252">
        <f t="shared" si="7"/>
        <v>0</v>
      </c>
      <c r="AU69" s="252">
        <f t="shared" si="8"/>
        <v>0</v>
      </c>
      <c r="AV69" s="252">
        <f t="shared" si="9"/>
        <v>0</v>
      </c>
      <c r="AW69" s="252">
        <f t="shared" si="10"/>
        <v>0</v>
      </c>
      <c r="AX69" s="252">
        <f t="shared" si="11"/>
        <v>0</v>
      </c>
      <c r="AY69" s="252">
        <f t="shared" si="12"/>
        <v>0</v>
      </c>
      <c r="AZ69" s="2560"/>
      <c r="BA69" s="2560"/>
      <c r="BB69" s="252">
        <f t="shared" si="13"/>
        <v>0</v>
      </c>
      <c r="BC69" s="252">
        <f t="shared" si="14"/>
        <v>1</v>
      </c>
      <c r="BD69" s="252">
        <f t="shared" si="15"/>
        <v>0</v>
      </c>
      <c r="BE69" s="252">
        <f t="shared" si="16"/>
        <v>1</v>
      </c>
      <c r="BF69" s="2589"/>
      <c r="BG69" s="1247"/>
      <c r="BH69" s="1247"/>
      <c r="BI69" s="1247"/>
      <c r="BJ69" s="1247"/>
      <c r="BK69" s="1247"/>
      <c r="BL69" s="1247"/>
    </row>
    <row r="70" spans="2:64" ht="15.75" customHeight="1">
      <c r="B70" s="96" t="s">
        <v>12031</v>
      </c>
      <c r="C70" s="97" t="s">
        <v>137</v>
      </c>
      <c r="D70" s="97">
        <v>3</v>
      </c>
      <c r="E70" s="1510">
        <v>2E-3</v>
      </c>
      <c r="F70" s="1510">
        <v>4.2000000000000003E-2</v>
      </c>
      <c r="G70" s="1510">
        <v>0.27700000000000002</v>
      </c>
      <c r="H70" s="1510">
        <v>0.36799999999999999</v>
      </c>
      <c r="I70" s="1510">
        <v>1.0069999999999999</v>
      </c>
      <c r="J70" s="1510">
        <v>5.4109999999999996</v>
      </c>
      <c r="K70" s="2043">
        <v>0</v>
      </c>
      <c r="L70" s="1977"/>
      <c r="M70" s="2045">
        <v>0</v>
      </c>
      <c r="N70" s="1510">
        <v>0</v>
      </c>
      <c r="O70" s="1510">
        <v>0</v>
      </c>
      <c r="P70" s="1510">
        <v>0</v>
      </c>
      <c r="Q70" s="1510">
        <v>0</v>
      </c>
      <c r="R70" s="1510">
        <v>0.182</v>
      </c>
      <c r="S70" s="2043">
        <v>0.36399999999999999</v>
      </c>
      <c r="T70" s="1974"/>
      <c r="U70" s="1976" t="s">
        <v>12032</v>
      </c>
      <c r="V70" s="1510">
        <v>6069</v>
      </c>
      <c r="W70" s="1510" t="s">
        <v>6261</v>
      </c>
      <c r="X70" s="1510">
        <v>0.5</v>
      </c>
      <c r="Y70" s="2198"/>
      <c r="Z70" s="2329"/>
      <c r="AA70" s="2329"/>
      <c r="AB70" s="2329"/>
      <c r="AC70" s="2329"/>
      <c r="AD70" s="2330"/>
      <c r="AE70" s="88"/>
      <c r="AF70" s="98" t="s">
        <v>12033</v>
      </c>
      <c r="AG70" s="2560"/>
      <c r="AH70" s="2589"/>
      <c r="AI70" s="1121"/>
      <c r="AJ70" s="2589"/>
      <c r="AK70" s="252">
        <f t="shared" si="17"/>
        <v>0</v>
      </c>
      <c r="AL70" s="252">
        <f t="shared" si="0"/>
        <v>0</v>
      </c>
      <c r="AM70" s="252">
        <f t="shared" si="1"/>
        <v>0</v>
      </c>
      <c r="AN70" s="252">
        <f t="shared" si="2"/>
        <v>0</v>
      </c>
      <c r="AO70" s="252">
        <f t="shared" si="3"/>
        <v>0</v>
      </c>
      <c r="AP70" s="252">
        <f t="shared" si="4"/>
        <v>0</v>
      </c>
      <c r="AQ70" s="252">
        <f t="shared" si="5"/>
        <v>0</v>
      </c>
      <c r="AR70" s="2560"/>
      <c r="AS70" s="252">
        <f t="shared" si="6"/>
        <v>0</v>
      </c>
      <c r="AT70" s="252">
        <f t="shared" si="7"/>
        <v>0</v>
      </c>
      <c r="AU70" s="252">
        <f t="shared" si="8"/>
        <v>0</v>
      </c>
      <c r="AV70" s="252">
        <f t="shared" si="9"/>
        <v>0</v>
      </c>
      <c r="AW70" s="252">
        <f t="shared" si="10"/>
        <v>0</v>
      </c>
      <c r="AX70" s="252">
        <f t="shared" si="11"/>
        <v>0</v>
      </c>
      <c r="AY70" s="252">
        <f t="shared" si="12"/>
        <v>0</v>
      </c>
      <c r="AZ70" s="2560"/>
      <c r="BA70" s="2560"/>
      <c r="BB70" s="252">
        <f t="shared" si="13"/>
        <v>0</v>
      </c>
      <c r="BC70" s="252">
        <f t="shared" si="14"/>
        <v>1</v>
      </c>
      <c r="BD70" s="252">
        <f t="shared" si="15"/>
        <v>0</v>
      </c>
      <c r="BE70" s="252">
        <f t="shared" si="16"/>
        <v>1</v>
      </c>
      <c r="BF70" s="2589"/>
      <c r="BG70" s="1247"/>
      <c r="BH70" s="1247"/>
      <c r="BI70" s="1247"/>
      <c r="BJ70" s="1247"/>
      <c r="BK70" s="1247"/>
      <c r="BL70" s="1247"/>
    </row>
    <row r="71" spans="2:64" ht="15.75" customHeight="1">
      <c r="B71" s="96" t="s">
        <v>12034</v>
      </c>
      <c r="C71" s="97" t="s">
        <v>137</v>
      </c>
      <c r="D71" s="97">
        <v>3</v>
      </c>
      <c r="E71" s="1510">
        <v>3.0000000000000001E-3</v>
      </c>
      <c r="F71" s="1510">
        <v>7.4999999999999997E-2</v>
      </c>
      <c r="G71" s="1510">
        <v>0.48499999999999999</v>
      </c>
      <c r="H71" s="1510">
        <v>2.6230000000000002</v>
      </c>
      <c r="I71" s="1510">
        <v>4.077</v>
      </c>
      <c r="J71" s="1510">
        <v>1.48</v>
      </c>
      <c r="K71" s="2043">
        <v>0</v>
      </c>
      <c r="L71" s="1977"/>
      <c r="M71" s="2045">
        <v>0</v>
      </c>
      <c r="N71" s="1510">
        <v>0</v>
      </c>
      <c r="O71" s="1510">
        <v>0</v>
      </c>
      <c r="P71" s="1510">
        <v>0</v>
      </c>
      <c r="Q71" s="1510">
        <v>0</v>
      </c>
      <c r="R71" s="1510">
        <v>0.192</v>
      </c>
      <c r="S71" s="2043">
        <v>0.38400000000000001</v>
      </c>
      <c r="T71" s="1974"/>
      <c r="U71" s="1976" t="s">
        <v>12035</v>
      </c>
      <c r="V71" s="1510">
        <v>107604</v>
      </c>
      <c r="W71" s="1510" t="s">
        <v>6261</v>
      </c>
      <c r="X71" s="1510">
        <v>2</v>
      </c>
      <c r="Y71" s="2198"/>
      <c r="Z71" s="2329"/>
      <c r="AA71" s="2329"/>
      <c r="AB71" s="2329"/>
      <c r="AC71" s="2329"/>
      <c r="AD71" s="2330"/>
      <c r="AE71" s="88"/>
      <c r="AF71" s="98" t="s">
        <v>12036</v>
      </c>
      <c r="AG71" s="2560"/>
      <c r="AH71" s="2589"/>
      <c r="AI71" s="1121"/>
      <c r="AJ71" s="2589"/>
      <c r="AK71" s="252">
        <f t="shared" si="17"/>
        <v>0</v>
      </c>
      <c r="AL71" s="252">
        <f t="shared" si="0"/>
        <v>0</v>
      </c>
      <c r="AM71" s="252">
        <f t="shared" si="1"/>
        <v>0</v>
      </c>
      <c r="AN71" s="252">
        <f t="shared" si="2"/>
        <v>0</v>
      </c>
      <c r="AO71" s="252">
        <f t="shared" si="3"/>
        <v>0</v>
      </c>
      <c r="AP71" s="252">
        <f t="shared" si="4"/>
        <v>0</v>
      </c>
      <c r="AQ71" s="252">
        <f t="shared" si="5"/>
        <v>0</v>
      </c>
      <c r="AR71" s="2560"/>
      <c r="AS71" s="252">
        <f t="shared" si="6"/>
        <v>0</v>
      </c>
      <c r="AT71" s="252">
        <f t="shared" si="7"/>
        <v>0</v>
      </c>
      <c r="AU71" s="252">
        <f t="shared" si="8"/>
        <v>0</v>
      </c>
      <c r="AV71" s="252">
        <f t="shared" si="9"/>
        <v>0</v>
      </c>
      <c r="AW71" s="252">
        <f t="shared" si="10"/>
        <v>0</v>
      </c>
      <c r="AX71" s="252">
        <f t="shared" si="11"/>
        <v>0</v>
      </c>
      <c r="AY71" s="252">
        <f t="shared" si="12"/>
        <v>0</v>
      </c>
      <c r="AZ71" s="2560"/>
      <c r="BA71" s="2560"/>
      <c r="BB71" s="252">
        <f t="shared" si="13"/>
        <v>0</v>
      </c>
      <c r="BC71" s="252">
        <f t="shared" si="14"/>
        <v>1</v>
      </c>
      <c r="BD71" s="252">
        <f t="shared" si="15"/>
        <v>0</v>
      </c>
      <c r="BE71" s="252">
        <f t="shared" si="16"/>
        <v>1</v>
      </c>
      <c r="BF71" s="2589"/>
      <c r="BG71" s="1247"/>
      <c r="BH71" s="1247"/>
      <c r="BI71" s="1247"/>
      <c r="BJ71" s="1247"/>
      <c r="BK71" s="1247"/>
      <c r="BL71" s="1247"/>
    </row>
    <row r="72" spans="2:64" ht="15.75" customHeight="1">
      <c r="B72" s="96" t="s">
        <v>12037</v>
      </c>
      <c r="C72" s="97" t="s">
        <v>137</v>
      </c>
      <c r="D72" s="97">
        <v>3</v>
      </c>
      <c r="E72" s="1510">
        <v>3.0000000000000001E-3</v>
      </c>
      <c r="F72" s="1510">
        <v>5.6000000000000001E-2</v>
      </c>
      <c r="G72" s="1510">
        <v>0.13100000000000001</v>
      </c>
      <c r="H72" s="1510">
        <v>0.16200000000000001</v>
      </c>
      <c r="I72" s="1510">
        <v>1.476</v>
      </c>
      <c r="J72" s="1510">
        <v>0.879</v>
      </c>
      <c r="K72" s="2043">
        <v>0</v>
      </c>
      <c r="L72" s="1977"/>
      <c r="M72" s="2045">
        <v>0</v>
      </c>
      <c r="N72" s="1510">
        <v>0</v>
      </c>
      <c r="O72" s="1510">
        <v>0</v>
      </c>
      <c r="P72" s="1510">
        <v>0</v>
      </c>
      <c r="Q72" s="1510">
        <v>0</v>
      </c>
      <c r="R72" s="1510">
        <v>2.4E-2</v>
      </c>
      <c r="S72" s="2043">
        <v>4.8000000000000001E-2</v>
      </c>
      <c r="T72" s="1974"/>
      <c r="U72" s="1976" t="s">
        <v>12038</v>
      </c>
      <c r="V72" s="1510">
        <v>716</v>
      </c>
      <c r="W72" s="1510" t="s">
        <v>6261</v>
      </c>
      <c r="X72" s="1510">
        <v>1</v>
      </c>
      <c r="Y72" s="2198"/>
      <c r="Z72" s="2329"/>
      <c r="AA72" s="2329"/>
      <c r="AB72" s="2329"/>
      <c r="AC72" s="2329"/>
      <c r="AD72" s="2330"/>
      <c r="AE72" s="88"/>
      <c r="AF72" s="98" t="s">
        <v>12039</v>
      </c>
      <c r="AG72" s="2560"/>
      <c r="AH72" s="2589"/>
      <c r="AI72" s="1121"/>
      <c r="AJ72" s="2589"/>
      <c r="AK72" s="252">
        <f t="shared" si="17"/>
        <v>0</v>
      </c>
      <c r="AL72" s="252">
        <f t="shared" si="0"/>
        <v>0</v>
      </c>
      <c r="AM72" s="252">
        <f t="shared" si="1"/>
        <v>0</v>
      </c>
      <c r="AN72" s="252">
        <f t="shared" si="2"/>
        <v>0</v>
      </c>
      <c r="AO72" s="252">
        <f t="shared" si="3"/>
        <v>0</v>
      </c>
      <c r="AP72" s="252">
        <f t="shared" si="4"/>
        <v>0</v>
      </c>
      <c r="AQ72" s="252">
        <f t="shared" si="5"/>
        <v>0</v>
      </c>
      <c r="AR72" s="2560"/>
      <c r="AS72" s="252">
        <f t="shared" si="6"/>
        <v>0</v>
      </c>
      <c r="AT72" s="252">
        <f t="shared" si="7"/>
        <v>0</v>
      </c>
      <c r="AU72" s="252">
        <f t="shared" si="8"/>
        <v>0</v>
      </c>
      <c r="AV72" s="252">
        <f t="shared" si="9"/>
        <v>0</v>
      </c>
      <c r="AW72" s="252">
        <f t="shared" si="10"/>
        <v>0</v>
      </c>
      <c r="AX72" s="252">
        <f t="shared" si="11"/>
        <v>0</v>
      </c>
      <c r="AY72" s="252">
        <f t="shared" si="12"/>
        <v>0</v>
      </c>
      <c r="AZ72" s="2560"/>
      <c r="BA72" s="2560"/>
      <c r="BB72" s="252">
        <f t="shared" si="13"/>
        <v>0</v>
      </c>
      <c r="BC72" s="252">
        <f t="shared" si="14"/>
        <v>1</v>
      </c>
      <c r="BD72" s="252">
        <f t="shared" si="15"/>
        <v>0</v>
      </c>
      <c r="BE72" s="252">
        <f t="shared" si="16"/>
        <v>1</v>
      </c>
      <c r="BF72" s="2589"/>
      <c r="BG72" s="1247"/>
      <c r="BH72" s="1247"/>
      <c r="BI72" s="1247"/>
      <c r="BJ72" s="1247"/>
      <c r="BK72" s="1247"/>
      <c r="BL72" s="1247"/>
    </row>
    <row r="73" spans="2:64" ht="15.75" customHeight="1">
      <c r="B73" s="96" t="s">
        <v>12040</v>
      </c>
      <c r="C73" s="97" t="s">
        <v>137</v>
      </c>
      <c r="D73" s="97">
        <v>3</v>
      </c>
      <c r="E73" s="1510">
        <v>3.0000000000000001E-3</v>
      </c>
      <c r="F73" s="1510">
        <v>0.16200000000000001</v>
      </c>
      <c r="G73" s="1510">
        <v>0.217</v>
      </c>
      <c r="H73" s="1510">
        <v>0.54100000000000004</v>
      </c>
      <c r="I73" s="1510">
        <v>2.3580000000000001</v>
      </c>
      <c r="J73" s="1510">
        <v>1.7430000000000001</v>
      </c>
      <c r="K73" s="2043">
        <v>0</v>
      </c>
      <c r="L73" s="1977"/>
      <c r="M73" s="2045">
        <v>0</v>
      </c>
      <c r="N73" s="1510">
        <v>0</v>
      </c>
      <c r="O73" s="1510">
        <v>0</v>
      </c>
      <c r="P73" s="1510">
        <v>0</v>
      </c>
      <c r="Q73" s="1510">
        <v>0</v>
      </c>
      <c r="R73" s="1510">
        <v>8.9499999999999996E-2</v>
      </c>
      <c r="S73" s="2043">
        <v>0.17899999999999999</v>
      </c>
      <c r="T73" s="1974"/>
      <c r="U73" s="1976" t="s">
        <v>12041</v>
      </c>
      <c r="V73" s="1510">
        <v>16896</v>
      </c>
      <c r="W73" s="1510">
        <v>5</v>
      </c>
      <c r="X73" s="1510">
        <v>0.5</v>
      </c>
      <c r="Y73" s="2198"/>
      <c r="Z73" s="2329"/>
      <c r="AA73" s="2329"/>
      <c r="AB73" s="2329"/>
      <c r="AC73" s="2329"/>
      <c r="AD73" s="2330"/>
      <c r="AE73" s="88"/>
      <c r="AF73" s="98" t="s">
        <v>12042</v>
      </c>
      <c r="AG73" s="2560"/>
      <c r="AH73" s="2589"/>
      <c r="AI73" s="1121"/>
      <c r="AJ73" s="2589"/>
      <c r="AK73" s="252">
        <f t="shared" si="17"/>
        <v>0</v>
      </c>
      <c r="AL73" s="252">
        <f t="shared" ref="AL73:AL136" si="18" xml:space="preserve"> IF(SUM($E73:$K73,$M73:$S73,$V73:$AD73)&gt;0,IF( ISNUMBER(F73 ), 0, 1 ),0)</f>
        <v>0</v>
      </c>
      <c r="AM73" s="252">
        <f t="shared" ref="AM73:AM136" si="19" xml:space="preserve"> IF(SUM($E73:$K73,$M73:$S73,$V73:$AD73)&gt;0,IF( ISNUMBER(G73 ), 0, 1 ),0)</f>
        <v>0</v>
      </c>
      <c r="AN73" s="252">
        <f t="shared" ref="AN73:AN136" si="20" xml:space="preserve"> IF(SUM($E73:$K73,$M73:$S73,$V73:$AD73)&gt;0,IF( ISNUMBER(H73 ), 0, 1 ),0)</f>
        <v>0</v>
      </c>
      <c r="AO73" s="252">
        <f t="shared" ref="AO73:AO136" si="21" xml:space="preserve"> IF(SUM($E73:$K73,$M73:$S73,$V73:$AD73)&gt;0,IF( ISNUMBER(I73 ), 0, 1 ),0)</f>
        <v>0</v>
      </c>
      <c r="AP73" s="252">
        <f t="shared" ref="AP73:AP136" si="22" xml:space="preserve"> IF(SUM($E73:$K73,$M73:$S73,$V73:$AD73)&gt;0,IF( ISNUMBER(J73 ), 0, 1 ),0)</f>
        <v>0</v>
      </c>
      <c r="AQ73" s="252">
        <f t="shared" ref="AQ73:AQ136" si="23" xml:space="preserve"> IF(SUM($E73:$K73,$M73:$S73,$V73:$AD73)&gt;0,IF( ISNUMBER(K73 ), 0, 1 ),0)</f>
        <v>0</v>
      </c>
      <c r="AR73" s="2560"/>
      <c r="AS73" s="252">
        <f t="shared" ref="AS73:AS136" si="24" xml:space="preserve"> IF(SUM($E73:$K73,$M73:$S73,$V73:$AD73)&gt;0,IF( ISNUMBER(M73 ), 0, 1 ),0)</f>
        <v>0</v>
      </c>
      <c r="AT73" s="252">
        <f t="shared" ref="AT73:AT136" si="25" xml:space="preserve"> IF(SUM($E73:$K73,$M73:$S73,$V73:$AD73)&gt;0,IF( ISNUMBER(N73 ), 0, 1 ),0)</f>
        <v>0</v>
      </c>
      <c r="AU73" s="252">
        <f t="shared" ref="AU73:AU136" si="26" xml:space="preserve"> IF(SUM($E73:$K73,$M73:$S73,$V73:$AD73)&gt;0,IF( ISNUMBER(O73 ), 0, 1 ),0)</f>
        <v>0</v>
      </c>
      <c r="AV73" s="252">
        <f t="shared" ref="AV73:AV136" si="27" xml:space="preserve"> IF(SUM($E73:$K73,$M73:$S73,$V73:$AD73)&gt;0,IF( ISNUMBER(P73 ), 0, 1 ),0)</f>
        <v>0</v>
      </c>
      <c r="AW73" s="252">
        <f t="shared" ref="AW73:AW136" si="28" xml:space="preserve"> IF(SUM($E73:$K73,$M73:$S73,$V73:$AD73)&gt;0,IF( ISNUMBER(Q73 ), 0, 1 ),0)</f>
        <v>0</v>
      </c>
      <c r="AX73" s="252">
        <f t="shared" ref="AX73:AX136" si="29" xml:space="preserve"> IF(SUM($E73:$K73,$M73:$S73,$V73:$AD73)&gt;0,IF( ISNUMBER(R73 ), 0, 1 ),0)</f>
        <v>0</v>
      </c>
      <c r="AY73" s="252">
        <f t="shared" ref="AY73:AY136" si="30" xml:space="preserve"> IF(SUM($E73:$K73,$M73:$S73,$V73:$AD73)&gt;0,IF( ISNUMBER(S73 ), 0, 1 ),0)</f>
        <v>0</v>
      </c>
      <c r="AZ73" s="2560"/>
      <c r="BA73" s="2560"/>
      <c r="BB73" s="252">
        <f t="shared" ref="BB73:BB136" si="31" xml:space="preserve"> IF(SUM($E73:$K73,$M73:$S73,$V73:$AD73)&gt;0,IF( ISNUMBER(V73 ), 0, 1 ),0)</f>
        <v>0</v>
      </c>
      <c r="BC73" s="252">
        <f t="shared" ref="BC73:BC136" si="32" xml:space="preserve"> IF(SUM($E73:$K73,$M73:$S73,$V73:$AD73)&gt;0,IF( ISNUMBER(W73 ), 0, 1 ),0)</f>
        <v>0</v>
      </c>
      <c r="BD73" s="252">
        <f t="shared" ref="BD73:BD136" si="33" xml:space="preserve"> IF(SUM($E73:$K73,$M73:$S73,$V73:$AD73)&gt;0,IF( ISNUMBER(X73 ), 0, 1 ),0)</f>
        <v>0</v>
      </c>
      <c r="BE73" s="252">
        <f t="shared" ref="BE73:BE136" si="34" xml:space="preserve"> IF(SUM($E73:$K73,$M73:$S73,$V73:$AD73)&gt;0,IF( ISNUMBER(AD73 ), 0, 1 ),0)</f>
        <v>1</v>
      </c>
      <c r="BF73" s="2589"/>
      <c r="BG73" s="1247"/>
      <c r="BH73" s="1247"/>
      <c r="BI73" s="1247"/>
      <c r="BJ73" s="1247"/>
      <c r="BK73" s="1247"/>
      <c r="BL73" s="1247"/>
    </row>
    <row r="74" spans="2:64" ht="15.75" customHeight="1">
      <c r="B74" s="96" t="s">
        <v>12043</v>
      </c>
      <c r="C74" s="97" t="s">
        <v>137</v>
      </c>
      <c r="D74" s="97">
        <v>3</v>
      </c>
      <c r="E74" s="1510">
        <v>0.01</v>
      </c>
      <c r="F74" s="1510">
        <v>1.6950000000000001</v>
      </c>
      <c r="G74" s="1510">
        <v>0.222</v>
      </c>
      <c r="H74" s="1510">
        <v>5.0000000000000001E-3</v>
      </c>
      <c r="I74" s="1510">
        <v>1.2E-2</v>
      </c>
      <c r="J74" s="1510">
        <v>0</v>
      </c>
      <c r="K74" s="2043">
        <v>0</v>
      </c>
      <c r="L74" s="1977"/>
      <c r="M74" s="2045">
        <v>0</v>
      </c>
      <c r="N74" s="1510">
        <v>0</v>
      </c>
      <c r="O74" s="1510">
        <v>1.6E-2</v>
      </c>
      <c r="P74" s="1510">
        <v>3.3000000000000002E-2</v>
      </c>
      <c r="Q74" s="1510">
        <v>3.3000000000000002E-2</v>
      </c>
      <c r="R74" s="1510">
        <v>3.3000000000000002E-2</v>
      </c>
      <c r="S74" s="2043">
        <v>3.3000000000000002E-2</v>
      </c>
      <c r="T74" s="1974"/>
      <c r="U74" s="1976" t="s">
        <v>12044</v>
      </c>
      <c r="V74" s="1510">
        <v>1433</v>
      </c>
      <c r="W74" s="1510" t="s">
        <v>6261</v>
      </c>
      <c r="X74" s="1510">
        <v>1</v>
      </c>
      <c r="Y74" s="2198"/>
      <c r="Z74" s="2329"/>
      <c r="AA74" s="2329"/>
      <c r="AB74" s="2329"/>
      <c r="AC74" s="2329"/>
      <c r="AD74" s="2330"/>
      <c r="AE74" s="88"/>
      <c r="AF74" s="98" t="s">
        <v>12045</v>
      </c>
      <c r="AG74" s="2560"/>
      <c r="AH74" s="2589"/>
      <c r="AI74" s="1121"/>
      <c r="AJ74" s="2589"/>
      <c r="AK74" s="252">
        <f t="shared" ref="AK74:AK137" si="35" xml:space="preserve"> IF(SUM($E74:$K74,$M74:$S74,$V74:$AD74)&gt;0,IF( ISNUMBER(E74 ), 0, 1 ),0)</f>
        <v>0</v>
      </c>
      <c r="AL74" s="252">
        <f t="shared" si="18"/>
        <v>0</v>
      </c>
      <c r="AM74" s="252">
        <f t="shared" si="19"/>
        <v>0</v>
      </c>
      <c r="AN74" s="252">
        <f t="shared" si="20"/>
        <v>0</v>
      </c>
      <c r="AO74" s="252">
        <f t="shared" si="21"/>
        <v>0</v>
      </c>
      <c r="AP74" s="252">
        <f t="shared" si="22"/>
        <v>0</v>
      </c>
      <c r="AQ74" s="252">
        <f t="shared" si="23"/>
        <v>0</v>
      </c>
      <c r="AR74" s="2560"/>
      <c r="AS74" s="252">
        <f t="shared" si="24"/>
        <v>0</v>
      </c>
      <c r="AT74" s="252">
        <f t="shared" si="25"/>
        <v>0</v>
      </c>
      <c r="AU74" s="252">
        <f t="shared" si="26"/>
        <v>0</v>
      </c>
      <c r="AV74" s="252">
        <f t="shared" si="27"/>
        <v>0</v>
      </c>
      <c r="AW74" s="252">
        <f t="shared" si="28"/>
        <v>0</v>
      </c>
      <c r="AX74" s="252">
        <f t="shared" si="29"/>
        <v>0</v>
      </c>
      <c r="AY74" s="252">
        <f t="shared" si="30"/>
        <v>0</v>
      </c>
      <c r="AZ74" s="2560"/>
      <c r="BA74" s="2560"/>
      <c r="BB74" s="252">
        <f t="shared" si="31"/>
        <v>0</v>
      </c>
      <c r="BC74" s="252">
        <f t="shared" si="32"/>
        <v>1</v>
      </c>
      <c r="BD74" s="252">
        <f t="shared" si="33"/>
        <v>0</v>
      </c>
      <c r="BE74" s="252">
        <f t="shared" si="34"/>
        <v>1</v>
      </c>
      <c r="BF74" s="2589"/>
      <c r="BG74" s="1247"/>
      <c r="BH74" s="1247"/>
      <c r="BI74" s="1247"/>
      <c r="BJ74" s="1247"/>
      <c r="BK74" s="1247"/>
      <c r="BL74" s="1247"/>
    </row>
    <row r="75" spans="2:64" ht="15.75" customHeight="1">
      <c r="B75" s="96" t="s">
        <v>12046</v>
      </c>
      <c r="C75" s="97" t="s">
        <v>137</v>
      </c>
      <c r="D75" s="97">
        <v>3</v>
      </c>
      <c r="E75" s="1510">
        <v>0</v>
      </c>
      <c r="F75" s="1510">
        <v>0</v>
      </c>
      <c r="G75" s="1510">
        <v>0</v>
      </c>
      <c r="H75" s="1510">
        <v>0</v>
      </c>
      <c r="I75" s="1510">
        <v>0</v>
      </c>
      <c r="J75" s="1510">
        <v>0</v>
      </c>
      <c r="K75" s="2043">
        <v>0</v>
      </c>
      <c r="L75" s="1977"/>
      <c r="M75" s="2045">
        <v>0</v>
      </c>
      <c r="N75" s="1510">
        <v>0</v>
      </c>
      <c r="O75" s="1510">
        <v>0</v>
      </c>
      <c r="P75" s="1510">
        <v>0</v>
      </c>
      <c r="Q75" s="1510">
        <v>0</v>
      </c>
      <c r="R75" s="1510">
        <v>0</v>
      </c>
      <c r="S75" s="2043">
        <v>0</v>
      </c>
      <c r="T75" s="1974"/>
      <c r="U75" s="1976" t="s">
        <v>12047</v>
      </c>
      <c r="V75" s="1510">
        <v>19750</v>
      </c>
      <c r="W75" s="1510">
        <v>0.5</v>
      </c>
      <c r="X75" s="1510">
        <v>0.3</v>
      </c>
      <c r="Y75" s="2198"/>
      <c r="Z75" s="2329"/>
      <c r="AA75" s="2329"/>
      <c r="AB75" s="2329"/>
      <c r="AC75" s="2329"/>
      <c r="AD75" s="2330"/>
      <c r="AE75" s="88"/>
      <c r="AF75" s="98" t="s">
        <v>12048</v>
      </c>
      <c r="AG75" s="2560"/>
      <c r="AH75" s="2589"/>
      <c r="AI75" s="1121"/>
      <c r="AJ75" s="2589"/>
      <c r="AK75" s="252">
        <f t="shared" si="35"/>
        <v>0</v>
      </c>
      <c r="AL75" s="252">
        <f t="shared" si="18"/>
        <v>0</v>
      </c>
      <c r="AM75" s="252">
        <f t="shared" si="19"/>
        <v>0</v>
      </c>
      <c r="AN75" s="252">
        <f t="shared" si="20"/>
        <v>0</v>
      </c>
      <c r="AO75" s="252">
        <f t="shared" si="21"/>
        <v>0</v>
      </c>
      <c r="AP75" s="252">
        <f t="shared" si="22"/>
        <v>0</v>
      </c>
      <c r="AQ75" s="252">
        <f t="shared" si="23"/>
        <v>0</v>
      </c>
      <c r="AR75" s="2560"/>
      <c r="AS75" s="252">
        <f t="shared" si="24"/>
        <v>0</v>
      </c>
      <c r="AT75" s="252">
        <f t="shared" si="25"/>
        <v>0</v>
      </c>
      <c r="AU75" s="252">
        <f t="shared" si="26"/>
        <v>0</v>
      </c>
      <c r="AV75" s="252">
        <f t="shared" si="27"/>
        <v>0</v>
      </c>
      <c r="AW75" s="252">
        <f t="shared" si="28"/>
        <v>0</v>
      </c>
      <c r="AX75" s="252">
        <f t="shared" si="29"/>
        <v>0</v>
      </c>
      <c r="AY75" s="252">
        <f t="shared" si="30"/>
        <v>0</v>
      </c>
      <c r="AZ75" s="2560"/>
      <c r="BA75" s="2560"/>
      <c r="BB75" s="252">
        <f t="shared" si="31"/>
        <v>0</v>
      </c>
      <c r="BC75" s="252">
        <f t="shared" si="32"/>
        <v>0</v>
      </c>
      <c r="BD75" s="252">
        <f t="shared" si="33"/>
        <v>0</v>
      </c>
      <c r="BE75" s="252">
        <f t="shared" si="34"/>
        <v>1</v>
      </c>
      <c r="BF75" s="2589"/>
      <c r="BG75" s="1247"/>
      <c r="BH75" s="1247"/>
      <c r="BI75" s="1247"/>
      <c r="BJ75" s="1247"/>
      <c r="BK75" s="1247"/>
      <c r="BL75" s="1247"/>
    </row>
    <row r="76" spans="2:64" ht="15.75" customHeight="1">
      <c r="B76" s="96" t="s">
        <v>12049</v>
      </c>
      <c r="C76" s="97" t="s">
        <v>137</v>
      </c>
      <c r="D76" s="97">
        <v>3</v>
      </c>
      <c r="E76" s="1510">
        <v>0</v>
      </c>
      <c r="F76" s="1510">
        <v>0</v>
      </c>
      <c r="G76" s="1510">
        <v>0.312</v>
      </c>
      <c r="H76" s="1510">
        <v>0.18</v>
      </c>
      <c r="I76" s="1510">
        <v>0.38</v>
      </c>
      <c r="J76" s="1510">
        <v>0.378</v>
      </c>
      <c r="K76" s="2043">
        <v>0</v>
      </c>
      <c r="L76" s="1977"/>
      <c r="M76" s="2045">
        <v>0</v>
      </c>
      <c r="N76" s="1510">
        <v>0</v>
      </c>
      <c r="O76" s="1510">
        <v>0</v>
      </c>
      <c r="P76" s="1510">
        <v>0</v>
      </c>
      <c r="Q76" s="1510">
        <v>0</v>
      </c>
      <c r="R76" s="1510">
        <v>1.9E-2</v>
      </c>
      <c r="S76" s="2043">
        <v>3.7999999999999999E-2</v>
      </c>
      <c r="T76" s="1974"/>
      <c r="U76" s="1976" t="s">
        <v>12050</v>
      </c>
      <c r="V76" s="1510">
        <v>10708</v>
      </c>
      <c r="W76" s="1510" t="s">
        <v>6261</v>
      </c>
      <c r="X76" s="1510">
        <v>2</v>
      </c>
      <c r="Y76" s="2198"/>
      <c r="Z76" s="2329"/>
      <c r="AA76" s="2329"/>
      <c r="AB76" s="2329"/>
      <c r="AC76" s="2329"/>
      <c r="AD76" s="2330"/>
      <c r="AE76" s="88"/>
      <c r="AF76" s="98" t="s">
        <v>12051</v>
      </c>
      <c r="AG76" s="2560"/>
      <c r="AH76" s="2589"/>
      <c r="AI76" s="1121"/>
      <c r="AJ76" s="2589"/>
      <c r="AK76" s="252">
        <f t="shared" si="35"/>
        <v>0</v>
      </c>
      <c r="AL76" s="252">
        <f t="shared" si="18"/>
        <v>0</v>
      </c>
      <c r="AM76" s="252">
        <f t="shared" si="19"/>
        <v>0</v>
      </c>
      <c r="AN76" s="252">
        <f t="shared" si="20"/>
        <v>0</v>
      </c>
      <c r="AO76" s="252">
        <f t="shared" si="21"/>
        <v>0</v>
      </c>
      <c r="AP76" s="252">
        <f t="shared" si="22"/>
        <v>0</v>
      </c>
      <c r="AQ76" s="252">
        <f t="shared" si="23"/>
        <v>0</v>
      </c>
      <c r="AR76" s="2560"/>
      <c r="AS76" s="252">
        <f t="shared" si="24"/>
        <v>0</v>
      </c>
      <c r="AT76" s="252">
        <f t="shared" si="25"/>
        <v>0</v>
      </c>
      <c r="AU76" s="252">
        <f t="shared" si="26"/>
        <v>0</v>
      </c>
      <c r="AV76" s="252">
        <f t="shared" si="27"/>
        <v>0</v>
      </c>
      <c r="AW76" s="252">
        <f t="shared" si="28"/>
        <v>0</v>
      </c>
      <c r="AX76" s="252">
        <f t="shared" si="29"/>
        <v>0</v>
      </c>
      <c r="AY76" s="252">
        <f t="shared" si="30"/>
        <v>0</v>
      </c>
      <c r="AZ76" s="2560"/>
      <c r="BA76" s="2560"/>
      <c r="BB76" s="252">
        <f t="shared" si="31"/>
        <v>0</v>
      </c>
      <c r="BC76" s="252">
        <f t="shared" si="32"/>
        <v>1</v>
      </c>
      <c r="BD76" s="252">
        <f t="shared" si="33"/>
        <v>0</v>
      </c>
      <c r="BE76" s="252">
        <f t="shared" si="34"/>
        <v>1</v>
      </c>
      <c r="BF76" s="2589"/>
      <c r="BG76" s="1247"/>
      <c r="BH76" s="1247"/>
      <c r="BI76" s="1247"/>
      <c r="BJ76" s="1247"/>
      <c r="BK76" s="1247"/>
      <c r="BL76" s="1247"/>
    </row>
    <row r="77" spans="2:64" ht="15.75" customHeight="1">
      <c r="B77" s="96" t="s">
        <v>12052</v>
      </c>
      <c r="C77" s="97" t="s">
        <v>137</v>
      </c>
      <c r="D77" s="97">
        <v>3</v>
      </c>
      <c r="E77" s="1510">
        <v>0</v>
      </c>
      <c r="F77" s="1510">
        <v>3.2000000000000001E-2</v>
      </c>
      <c r="G77" s="1510">
        <v>0.125</v>
      </c>
      <c r="H77" s="1510">
        <v>0.19</v>
      </c>
      <c r="I77" s="1510">
        <v>2.5270000000000001</v>
      </c>
      <c r="J77" s="1510">
        <v>0.99199999999999999</v>
      </c>
      <c r="K77" s="2043">
        <v>0</v>
      </c>
      <c r="L77" s="1977"/>
      <c r="M77" s="2045">
        <v>0</v>
      </c>
      <c r="N77" s="1510">
        <v>0</v>
      </c>
      <c r="O77" s="1510">
        <v>0</v>
      </c>
      <c r="P77" s="1510">
        <v>0</v>
      </c>
      <c r="Q77" s="1510">
        <v>0</v>
      </c>
      <c r="R77" s="1510">
        <v>7.2499999999999995E-2</v>
      </c>
      <c r="S77" s="2043">
        <v>0.14499999999999999</v>
      </c>
      <c r="T77" s="1974"/>
      <c r="U77" s="1976" t="s">
        <v>12053</v>
      </c>
      <c r="V77" s="1510">
        <v>24110</v>
      </c>
      <c r="W77" s="1510" t="s">
        <v>6261</v>
      </c>
      <c r="X77" s="1510">
        <v>1</v>
      </c>
      <c r="Y77" s="2198"/>
      <c r="Z77" s="2329"/>
      <c r="AA77" s="2329"/>
      <c r="AB77" s="2329"/>
      <c r="AC77" s="2329"/>
      <c r="AD77" s="2330"/>
      <c r="AE77" s="88"/>
      <c r="AF77" s="98" t="s">
        <v>12054</v>
      </c>
      <c r="AG77" s="2560"/>
      <c r="AH77" s="2589"/>
      <c r="AI77" s="1121"/>
      <c r="AJ77" s="2589"/>
      <c r="AK77" s="252">
        <f t="shared" si="35"/>
        <v>0</v>
      </c>
      <c r="AL77" s="252">
        <f t="shared" si="18"/>
        <v>0</v>
      </c>
      <c r="AM77" s="252">
        <f t="shared" si="19"/>
        <v>0</v>
      </c>
      <c r="AN77" s="252">
        <f t="shared" si="20"/>
        <v>0</v>
      </c>
      <c r="AO77" s="252">
        <f t="shared" si="21"/>
        <v>0</v>
      </c>
      <c r="AP77" s="252">
        <f t="shared" si="22"/>
        <v>0</v>
      </c>
      <c r="AQ77" s="252">
        <f t="shared" si="23"/>
        <v>0</v>
      </c>
      <c r="AR77" s="2560"/>
      <c r="AS77" s="252">
        <f t="shared" si="24"/>
        <v>0</v>
      </c>
      <c r="AT77" s="252">
        <f t="shared" si="25"/>
        <v>0</v>
      </c>
      <c r="AU77" s="252">
        <f t="shared" si="26"/>
        <v>0</v>
      </c>
      <c r="AV77" s="252">
        <f t="shared" si="27"/>
        <v>0</v>
      </c>
      <c r="AW77" s="252">
        <f t="shared" si="28"/>
        <v>0</v>
      </c>
      <c r="AX77" s="252">
        <f t="shared" si="29"/>
        <v>0</v>
      </c>
      <c r="AY77" s="252">
        <f t="shared" si="30"/>
        <v>0</v>
      </c>
      <c r="AZ77" s="2560"/>
      <c r="BA77" s="2560"/>
      <c r="BB77" s="252">
        <f t="shared" si="31"/>
        <v>0</v>
      </c>
      <c r="BC77" s="252">
        <f t="shared" si="32"/>
        <v>1</v>
      </c>
      <c r="BD77" s="252">
        <f t="shared" si="33"/>
        <v>0</v>
      </c>
      <c r="BE77" s="252">
        <f t="shared" si="34"/>
        <v>1</v>
      </c>
      <c r="BF77" s="2589"/>
      <c r="BG77" s="1247"/>
      <c r="BH77" s="1247"/>
      <c r="BI77" s="1247"/>
      <c r="BJ77" s="1247"/>
      <c r="BK77" s="1247"/>
      <c r="BL77" s="1247"/>
    </row>
    <row r="78" spans="2:64" ht="15.75" customHeight="1">
      <c r="B78" s="96" t="s">
        <v>12055</v>
      </c>
      <c r="C78" s="97" t="s">
        <v>137</v>
      </c>
      <c r="D78" s="97">
        <v>3</v>
      </c>
      <c r="E78" s="1510">
        <v>3.0000000000000001E-3</v>
      </c>
      <c r="F78" s="1510">
        <v>3.0000000000000001E-3</v>
      </c>
      <c r="G78" s="1510">
        <v>1.7000000000000001E-2</v>
      </c>
      <c r="H78" s="1510">
        <v>0.496</v>
      </c>
      <c r="I78" s="1510">
        <v>0.46899999999999997</v>
      </c>
      <c r="J78" s="1510">
        <v>1.4279999999999999</v>
      </c>
      <c r="K78" s="2043">
        <v>0</v>
      </c>
      <c r="L78" s="1977"/>
      <c r="M78" s="2045">
        <v>0</v>
      </c>
      <c r="N78" s="1510">
        <v>0</v>
      </c>
      <c r="O78" s="1510">
        <v>0</v>
      </c>
      <c r="P78" s="1510">
        <v>0</v>
      </c>
      <c r="Q78" s="1510">
        <v>0</v>
      </c>
      <c r="R78" s="1510">
        <v>4.2999999999999997E-2</v>
      </c>
      <c r="S78" s="2043">
        <v>8.5999999999999993E-2</v>
      </c>
      <c r="T78" s="1974"/>
      <c r="U78" s="1976" t="s">
        <v>12056</v>
      </c>
      <c r="V78" s="1510">
        <v>39714</v>
      </c>
      <c r="W78" s="1510" t="s">
        <v>6261</v>
      </c>
      <c r="X78" s="1510">
        <v>0.25</v>
      </c>
      <c r="Y78" s="2198"/>
      <c r="Z78" s="2329"/>
      <c r="AA78" s="2329"/>
      <c r="AB78" s="2329"/>
      <c r="AC78" s="2329"/>
      <c r="AD78" s="2330"/>
      <c r="AE78" s="88"/>
      <c r="AF78" s="98" t="s">
        <v>12057</v>
      </c>
      <c r="AG78" s="2560"/>
      <c r="AH78" s="2589"/>
      <c r="AI78" s="1121"/>
      <c r="AJ78" s="2589"/>
      <c r="AK78" s="252">
        <f t="shared" si="35"/>
        <v>0</v>
      </c>
      <c r="AL78" s="252">
        <f t="shared" si="18"/>
        <v>0</v>
      </c>
      <c r="AM78" s="252">
        <f t="shared" si="19"/>
        <v>0</v>
      </c>
      <c r="AN78" s="252">
        <f t="shared" si="20"/>
        <v>0</v>
      </c>
      <c r="AO78" s="252">
        <f t="shared" si="21"/>
        <v>0</v>
      </c>
      <c r="AP78" s="252">
        <f t="shared" si="22"/>
        <v>0</v>
      </c>
      <c r="AQ78" s="252">
        <f t="shared" si="23"/>
        <v>0</v>
      </c>
      <c r="AR78" s="2560"/>
      <c r="AS78" s="252">
        <f t="shared" si="24"/>
        <v>0</v>
      </c>
      <c r="AT78" s="252">
        <f t="shared" si="25"/>
        <v>0</v>
      </c>
      <c r="AU78" s="252">
        <f t="shared" si="26"/>
        <v>0</v>
      </c>
      <c r="AV78" s="252">
        <f t="shared" si="27"/>
        <v>0</v>
      </c>
      <c r="AW78" s="252">
        <f t="shared" si="28"/>
        <v>0</v>
      </c>
      <c r="AX78" s="252">
        <f t="shared" si="29"/>
        <v>0</v>
      </c>
      <c r="AY78" s="252">
        <f t="shared" si="30"/>
        <v>0</v>
      </c>
      <c r="AZ78" s="2560"/>
      <c r="BA78" s="2560"/>
      <c r="BB78" s="252">
        <f t="shared" si="31"/>
        <v>0</v>
      </c>
      <c r="BC78" s="252">
        <f t="shared" si="32"/>
        <v>1</v>
      </c>
      <c r="BD78" s="252">
        <f t="shared" si="33"/>
        <v>0</v>
      </c>
      <c r="BE78" s="252">
        <f t="shared" si="34"/>
        <v>1</v>
      </c>
      <c r="BF78" s="2589"/>
      <c r="BG78" s="1247"/>
      <c r="BH78" s="1247"/>
      <c r="BI78" s="1247"/>
      <c r="BJ78" s="1247"/>
      <c r="BK78" s="1247"/>
      <c r="BL78" s="1247"/>
    </row>
    <row r="79" spans="2:64" ht="15.75" customHeight="1">
      <c r="B79" s="96" t="s">
        <v>12058</v>
      </c>
      <c r="C79" s="97" t="s">
        <v>137</v>
      </c>
      <c r="D79" s="97">
        <v>3</v>
      </c>
      <c r="E79" s="1510">
        <v>4.0000000000000001E-3</v>
      </c>
      <c r="F79" s="1510">
        <v>1.0940000000000001</v>
      </c>
      <c r="G79" s="1510">
        <v>0.25800000000000001</v>
      </c>
      <c r="H79" s="1510">
        <v>7.8E-2</v>
      </c>
      <c r="I79" s="1510">
        <v>8.9999999999999993E-3</v>
      </c>
      <c r="J79" s="1510">
        <v>0</v>
      </c>
      <c r="K79" s="2043">
        <v>0</v>
      </c>
      <c r="L79" s="1977"/>
      <c r="M79" s="2045">
        <v>0</v>
      </c>
      <c r="N79" s="1510">
        <v>0</v>
      </c>
      <c r="O79" s="1510">
        <v>1.4999999999999999E-2</v>
      </c>
      <c r="P79" s="1510">
        <v>2.9000000000000001E-2</v>
      </c>
      <c r="Q79" s="1510">
        <v>2.9000000000000001E-2</v>
      </c>
      <c r="R79" s="1510">
        <v>2.9000000000000001E-2</v>
      </c>
      <c r="S79" s="2043">
        <v>2.9000000000000001E-2</v>
      </c>
      <c r="T79" s="1974"/>
      <c r="U79" s="1976" t="s">
        <v>12059</v>
      </c>
      <c r="V79" s="1510">
        <v>877</v>
      </c>
      <c r="W79" s="1510" t="s">
        <v>6261</v>
      </c>
      <c r="X79" s="1510">
        <v>1.5</v>
      </c>
      <c r="Y79" s="2198"/>
      <c r="Z79" s="2329"/>
      <c r="AA79" s="2329"/>
      <c r="AB79" s="2329"/>
      <c r="AC79" s="2329"/>
      <c r="AD79" s="2330"/>
      <c r="AE79" s="88"/>
      <c r="AF79" s="98" t="s">
        <v>12060</v>
      </c>
      <c r="AG79" s="2560"/>
      <c r="AH79" s="2589"/>
      <c r="AI79" s="1121"/>
      <c r="AJ79" s="2589"/>
      <c r="AK79" s="252">
        <f t="shared" si="35"/>
        <v>0</v>
      </c>
      <c r="AL79" s="252">
        <f t="shared" si="18"/>
        <v>0</v>
      </c>
      <c r="AM79" s="252">
        <f t="shared" si="19"/>
        <v>0</v>
      </c>
      <c r="AN79" s="252">
        <f t="shared" si="20"/>
        <v>0</v>
      </c>
      <c r="AO79" s="252">
        <f t="shared" si="21"/>
        <v>0</v>
      </c>
      <c r="AP79" s="252">
        <f t="shared" si="22"/>
        <v>0</v>
      </c>
      <c r="AQ79" s="252">
        <f t="shared" si="23"/>
        <v>0</v>
      </c>
      <c r="AR79" s="2560"/>
      <c r="AS79" s="252">
        <f t="shared" si="24"/>
        <v>0</v>
      </c>
      <c r="AT79" s="252">
        <f t="shared" si="25"/>
        <v>0</v>
      </c>
      <c r="AU79" s="252">
        <f t="shared" si="26"/>
        <v>0</v>
      </c>
      <c r="AV79" s="252">
        <f t="shared" si="27"/>
        <v>0</v>
      </c>
      <c r="AW79" s="252">
        <f t="shared" si="28"/>
        <v>0</v>
      </c>
      <c r="AX79" s="252">
        <f t="shared" si="29"/>
        <v>0</v>
      </c>
      <c r="AY79" s="252">
        <f t="shared" si="30"/>
        <v>0</v>
      </c>
      <c r="AZ79" s="2560"/>
      <c r="BA79" s="2560"/>
      <c r="BB79" s="252">
        <f t="shared" si="31"/>
        <v>0</v>
      </c>
      <c r="BC79" s="252">
        <f t="shared" si="32"/>
        <v>1</v>
      </c>
      <c r="BD79" s="252">
        <f t="shared" si="33"/>
        <v>0</v>
      </c>
      <c r="BE79" s="252">
        <f t="shared" si="34"/>
        <v>1</v>
      </c>
      <c r="BF79" s="2589"/>
      <c r="BG79" s="1247"/>
      <c r="BH79" s="1247"/>
      <c r="BI79" s="1247"/>
      <c r="BJ79" s="1247"/>
      <c r="BK79" s="1247"/>
      <c r="BL79" s="1247"/>
    </row>
    <row r="80" spans="2:64" ht="15.75" customHeight="1">
      <c r="B80" s="96" t="s">
        <v>12061</v>
      </c>
      <c r="C80" s="97" t="s">
        <v>137</v>
      </c>
      <c r="D80" s="97">
        <v>3</v>
      </c>
      <c r="E80" s="1510">
        <v>3.0000000000000001E-3</v>
      </c>
      <c r="F80" s="1510">
        <v>7.0000000000000007E-2</v>
      </c>
      <c r="G80" s="1510">
        <v>0.28999999999999998</v>
      </c>
      <c r="H80" s="1510">
        <v>0.19600000000000001</v>
      </c>
      <c r="I80" s="1510">
        <v>2.2639999999999998</v>
      </c>
      <c r="J80" s="1510">
        <v>3.2000000000000001E-2</v>
      </c>
      <c r="K80" s="2043">
        <v>0</v>
      </c>
      <c r="L80" s="1977"/>
      <c r="M80" s="2045">
        <v>0</v>
      </c>
      <c r="N80" s="1510">
        <v>0</v>
      </c>
      <c r="O80" s="1510">
        <v>0</v>
      </c>
      <c r="P80" s="1510">
        <v>0</v>
      </c>
      <c r="Q80" s="1510">
        <v>0</v>
      </c>
      <c r="R80" s="1510">
        <v>4.1000000000000002E-2</v>
      </c>
      <c r="S80" s="2043">
        <v>8.2000000000000003E-2</v>
      </c>
      <c r="T80" s="1974"/>
      <c r="U80" s="1976" t="s">
        <v>12062</v>
      </c>
      <c r="V80" s="1510">
        <v>3215</v>
      </c>
      <c r="W80" s="1510" t="s">
        <v>6261</v>
      </c>
      <c r="X80" s="1510">
        <v>0.5</v>
      </c>
      <c r="Y80" s="2198"/>
      <c r="Z80" s="2329"/>
      <c r="AA80" s="2329"/>
      <c r="AB80" s="2329"/>
      <c r="AC80" s="2329"/>
      <c r="AD80" s="2330"/>
      <c r="AE80" s="88"/>
      <c r="AF80" s="98" t="s">
        <v>12063</v>
      </c>
      <c r="AG80" s="2560"/>
      <c r="AH80" s="2589"/>
      <c r="AI80" s="1121"/>
      <c r="AJ80" s="2589"/>
      <c r="AK80" s="252">
        <f t="shared" si="35"/>
        <v>0</v>
      </c>
      <c r="AL80" s="252">
        <f t="shared" si="18"/>
        <v>0</v>
      </c>
      <c r="AM80" s="252">
        <f t="shared" si="19"/>
        <v>0</v>
      </c>
      <c r="AN80" s="252">
        <f t="shared" si="20"/>
        <v>0</v>
      </c>
      <c r="AO80" s="252">
        <f t="shared" si="21"/>
        <v>0</v>
      </c>
      <c r="AP80" s="252">
        <f t="shared" si="22"/>
        <v>0</v>
      </c>
      <c r="AQ80" s="252">
        <f t="shared" si="23"/>
        <v>0</v>
      </c>
      <c r="AR80" s="2560"/>
      <c r="AS80" s="252">
        <f t="shared" si="24"/>
        <v>0</v>
      </c>
      <c r="AT80" s="252">
        <f t="shared" si="25"/>
        <v>0</v>
      </c>
      <c r="AU80" s="252">
        <f t="shared" si="26"/>
        <v>0</v>
      </c>
      <c r="AV80" s="252">
        <f t="shared" si="27"/>
        <v>0</v>
      </c>
      <c r="AW80" s="252">
        <f t="shared" si="28"/>
        <v>0</v>
      </c>
      <c r="AX80" s="252">
        <f t="shared" si="29"/>
        <v>0</v>
      </c>
      <c r="AY80" s="252">
        <f t="shared" si="30"/>
        <v>0</v>
      </c>
      <c r="AZ80" s="2560"/>
      <c r="BA80" s="2560"/>
      <c r="BB80" s="252">
        <f t="shared" si="31"/>
        <v>0</v>
      </c>
      <c r="BC80" s="252">
        <f t="shared" si="32"/>
        <v>1</v>
      </c>
      <c r="BD80" s="252">
        <f t="shared" si="33"/>
        <v>0</v>
      </c>
      <c r="BE80" s="252">
        <f t="shared" si="34"/>
        <v>1</v>
      </c>
      <c r="BF80" s="2589"/>
      <c r="BG80" s="1247"/>
      <c r="BH80" s="1247"/>
      <c r="BI80" s="1247"/>
      <c r="BJ80" s="1247"/>
      <c r="BK80" s="1247"/>
      <c r="BL80" s="1247"/>
    </row>
    <row r="81" spans="2:64" ht="15.75" customHeight="1">
      <c r="B81" s="96" t="s">
        <v>12064</v>
      </c>
      <c r="C81" s="97" t="s">
        <v>137</v>
      </c>
      <c r="D81" s="97">
        <v>3</v>
      </c>
      <c r="E81" s="1510">
        <v>8.9999999999999993E-3</v>
      </c>
      <c r="F81" s="1510">
        <v>1.702</v>
      </c>
      <c r="G81" s="1510">
        <v>0.65300000000000002</v>
      </c>
      <c r="H81" s="1510">
        <v>8.5000000000000006E-2</v>
      </c>
      <c r="I81" s="1510">
        <v>1.4999999999999999E-2</v>
      </c>
      <c r="J81" s="1510">
        <v>0</v>
      </c>
      <c r="K81" s="2043">
        <v>0</v>
      </c>
      <c r="L81" s="1977"/>
      <c r="M81" s="2045">
        <v>0</v>
      </c>
      <c r="N81" s="1510">
        <v>0</v>
      </c>
      <c r="O81" s="1510">
        <v>5.3999999999999999E-2</v>
      </c>
      <c r="P81" s="1510">
        <v>0.108</v>
      </c>
      <c r="Q81" s="1510">
        <v>0.108</v>
      </c>
      <c r="R81" s="1510">
        <v>0.108</v>
      </c>
      <c r="S81" s="2043">
        <v>0.108</v>
      </c>
      <c r="T81" s="1974"/>
      <c r="U81" s="1976" t="s">
        <v>12064</v>
      </c>
      <c r="V81" s="1510">
        <v>1778</v>
      </c>
      <c r="W81" s="1510" t="s">
        <v>6261</v>
      </c>
      <c r="X81" s="1510">
        <v>0.7</v>
      </c>
      <c r="Y81" s="2198"/>
      <c r="Z81" s="2329"/>
      <c r="AA81" s="2329"/>
      <c r="AB81" s="2329"/>
      <c r="AC81" s="2329"/>
      <c r="AD81" s="2330"/>
      <c r="AE81" s="88"/>
      <c r="AF81" s="98" t="s">
        <v>12065</v>
      </c>
      <c r="AG81" s="2560"/>
      <c r="AH81" s="2589"/>
      <c r="AI81" s="1121"/>
      <c r="AJ81" s="2589"/>
      <c r="AK81" s="252">
        <f t="shared" si="35"/>
        <v>0</v>
      </c>
      <c r="AL81" s="252">
        <f t="shared" si="18"/>
        <v>0</v>
      </c>
      <c r="AM81" s="252">
        <f t="shared" si="19"/>
        <v>0</v>
      </c>
      <c r="AN81" s="252">
        <f t="shared" si="20"/>
        <v>0</v>
      </c>
      <c r="AO81" s="252">
        <f t="shared" si="21"/>
        <v>0</v>
      </c>
      <c r="AP81" s="252">
        <f t="shared" si="22"/>
        <v>0</v>
      </c>
      <c r="AQ81" s="252">
        <f t="shared" si="23"/>
        <v>0</v>
      </c>
      <c r="AR81" s="2560"/>
      <c r="AS81" s="252">
        <f t="shared" si="24"/>
        <v>0</v>
      </c>
      <c r="AT81" s="252">
        <f t="shared" si="25"/>
        <v>0</v>
      </c>
      <c r="AU81" s="252">
        <f t="shared" si="26"/>
        <v>0</v>
      </c>
      <c r="AV81" s="252">
        <f t="shared" si="27"/>
        <v>0</v>
      </c>
      <c r="AW81" s="252">
        <f t="shared" si="28"/>
        <v>0</v>
      </c>
      <c r="AX81" s="252">
        <f t="shared" si="29"/>
        <v>0</v>
      </c>
      <c r="AY81" s="252">
        <f t="shared" si="30"/>
        <v>0</v>
      </c>
      <c r="AZ81" s="2560"/>
      <c r="BA81" s="2560"/>
      <c r="BB81" s="252">
        <f t="shared" si="31"/>
        <v>0</v>
      </c>
      <c r="BC81" s="252">
        <f t="shared" si="32"/>
        <v>1</v>
      </c>
      <c r="BD81" s="252">
        <f t="shared" si="33"/>
        <v>0</v>
      </c>
      <c r="BE81" s="252">
        <f t="shared" si="34"/>
        <v>1</v>
      </c>
      <c r="BF81" s="2589"/>
      <c r="BG81" s="1247"/>
      <c r="BH81" s="1247"/>
      <c r="BI81" s="1247"/>
      <c r="BJ81" s="1247"/>
      <c r="BK81" s="1247"/>
      <c r="BL81" s="1247"/>
    </row>
    <row r="82" spans="2:64" ht="15.75" customHeight="1">
      <c r="B82" s="96" t="s">
        <v>12066</v>
      </c>
      <c r="C82" s="97" t="s">
        <v>137</v>
      </c>
      <c r="D82" s="97">
        <v>3</v>
      </c>
      <c r="E82" s="1510">
        <v>1E-3</v>
      </c>
      <c r="F82" s="1510">
        <v>0.121</v>
      </c>
      <c r="G82" s="1510">
        <v>0.246</v>
      </c>
      <c r="H82" s="1510">
        <v>0.44600000000000001</v>
      </c>
      <c r="I82" s="1510">
        <v>1.095</v>
      </c>
      <c r="J82" s="1510">
        <v>0.14399999999999999</v>
      </c>
      <c r="K82" s="2043">
        <v>0</v>
      </c>
      <c r="L82" s="1977"/>
      <c r="M82" s="2045">
        <v>0</v>
      </c>
      <c r="N82" s="1510">
        <v>0</v>
      </c>
      <c r="O82" s="1510">
        <v>0</v>
      </c>
      <c r="P82" s="1510">
        <v>0</v>
      </c>
      <c r="Q82" s="1510">
        <v>0</v>
      </c>
      <c r="R82" s="1510">
        <v>7.4999999999999997E-2</v>
      </c>
      <c r="S82" s="2043">
        <v>0.15</v>
      </c>
      <c r="T82" s="1974"/>
      <c r="U82" s="1976" t="s">
        <v>12067</v>
      </c>
      <c r="V82" s="1510">
        <v>73525</v>
      </c>
      <c r="W82" s="1510" t="s">
        <v>6261</v>
      </c>
      <c r="X82" s="1510">
        <v>1</v>
      </c>
      <c r="Y82" s="2198"/>
      <c r="Z82" s="2329"/>
      <c r="AA82" s="2329"/>
      <c r="AB82" s="2329"/>
      <c r="AC82" s="2329"/>
      <c r="AD82" s="2330"/>
      <c r="AE82" s="88"/>
      <c r="AF82" s="98" t="s">
        <v>12068</v>
      </c>
      <c r="AG82" s="2560"/>
      <c r="AH82" s="2589"/>
      <c r="AI82" s="1121"/>
      <c r="AJ82" s="2589"/>
      <c r="AK82" s="252">
        <f t="shared" si="35"/>
        <v>0</v>
      </c>
      <c r="AL82" s="252">
        <f t="shared" si="18"/>
        <v>0</v>
      </c>
      <c r="AM82" s="252">
        <f t="shared" si="19"/>
        <v>0</v>
      </c>
      <c r="AN82" s="252">
        <f t="shared" si="20"/>
        <v>0</v>
      </c>
      <c r="AO82" s="252">
        <f t="shared" si="21"/>
        <v>0</v>
      </c>
      <c r="AP82" s="252">
        <f t="shared" si="22"/>
        <v>0</v>
      </c>
      <c r="AQ82" s="252">
        <f t="shared" si="23"/>
        <v>0</v>
      </c>
      <c r="AR82" s="2560"/>
      <c r="AS82" s="252">
        <f t="shared" si="24"/>
        <v>0</v>
      </c>
      <c r="AT82" s="252">
        <f t="shared" si="25"/>
        <v>0</v>
      </c>
      <c r="AU82" s="252">
        <f t="shared" si="26"/>
        <v>0</v>
      </c>
      <c r="AV82" s="252">
        <f t="shared" si="27"/>
        <v>0</v>
      </c>
      <c r="AW82" s="252">
        <f t="shared" si="28"/>
        <v>0</v>
      </c>
      <c r="AX82" s="252">
        <f t="shared" si="29"/>
        <v>0</v>
      </c>
      <c r="AY82" s="252">
        <f t="shared" si="30"/>
        <v>0</v>
      </c>
      <c r="AZ82" s="2560"/>
      <c r="BA82" s="2560"/>
      <c r="BB82" s="252">
        <f t="shared" si="31"/>
        <v>0</v>
      </c>
      <c r="BC82" s="252">
        <f t="shared" si="32"/>
        <v>1</v>
      </c>
      <c r="BD82" s="252">
        <f t="shared" si="33"/>
        <v>0</v>
      </c>
      <c r="BE82" s="252">
        <f t="shared" si="34"/>
        <v>1</v>
      </c>
      <c r="BF82" s="2589"/>
      <c r="BG82" s="1247"/>
      <c r="BH82" s="1247"/>
      <c r="BI82" s="1247"/>
      <c r="BJ82" s="1247"/>
      <c r="BK82" s="1247"/>
      <c r="BL82" s="1247"/>
    </row>
    <row r="83" spans="2:64" ht="15.75" customHeight="1">
      <c r="B83" s="96" t="s">
        <v>12069</v>
      </c>
      <c r="C83" s="97" t="s">
        <v>137</v>
      </c>
      <c r="D83" s="97">
        <v>3</v>
      </c>
      <c r="E83" s="1510">
        <v>1E-3</v>
      </c>
      <c r="F83" s="1510">
        <v>0.13100000000000001</v>
      </c>
      <c r="G83" s="1510">
        <v>0.27400000000000002</v>
      </c>
      <c r="H83" s="1510">
        <v>0.34599999999999997</v>
      </c>
      <c r="I83" s="1510">
        <v>1.095</v>
      </c>
      <c r="J83" s="1510">
        <v>3.1E-2</v>
      </c>
      <c r="K83" s="2043">
        <v>0</v>
      </c>
      <c r="L83" s="1977"/>
      <c r="M83" s="2045">
        <v>0</v>
      </c>
      <c r="N83" s="1510">
        <v>0</v>
      </c>
      <c r="O83" s="1510">
        <v>0</v>
      </c>
      <c r="P83" s="1510">
        <v>0</v>
      </c>
      <c r="Q83" s="1510">
        <v>0</v>
      </c>
      <c r="R83" s="1510">
        <v>5.9499999999999997E-2</v>
      </c>
      <c r="S83" s="2043">
        <v>0.11899999999999999</v>
      </c>
      <c r="T83" s="1974"/>
      <c r="U83" s="1976" t="s">
        <v>12070</v>
      </c>
      <c r="V83" s="1510">
        <v>51857</v>
      </c>
      <c r="W83" s="1510" t="s">
        <v>6261</v>
      </c>
      <c r="X83" s="1510">
        <v>2</v>
      </c>
      <c r="Y83" s="2198"/>
      <c r="Z83" s="2329"/>
      <c r="AA83" s="2329"/>
      <c r="AB83" s="2329"/>
      <c r="AC83" s="2329"/>
      <c r="AD83" s="2330"/>
      <c r="AE83" s="88"/>
      <c r="AF83" s="98" t="s">
        <v>12071</v>
      </c>
      <c r="AG83" s="2560"/>
      <c r="AH83" s="2589"/>
      <c r="AI83" s="1121"/>
      <c r="AJ83" s="2589"/>
      <c r="AK83" s="252">
        <f t="shared" si="35"/>
        <v>0</v>
      </c>
      <c r="AL83" s="252">
        <f t="shared" si="18"/>
        <v>0</v>
      </c>
      <c r="AM83" s="252">
        <f t="shared" si="19"/>
        <v>0</v>
      </c>
      <c r="AN83" s="252">
        <f t="shared" si="20"/>
        <v>0</v>
      </c>
      <c r="AO83" s="252">
        <f t="shared" si="21"/>
        <v>0</v>
      </c>
      <c r="AP83" s="252">
        <f t="shared" si="22"/>
        <v>0</v>
      </c>
      <c r="AQ83" s="252">
        <f t="shared" si="23"/>
        <v>0</v>
      </c>
      <c r="AR83" s="2560"/>
      <c r="AS83" s="252">
        <f t="shared" si="24"/>
        <v>0</v>
      </c>
      <c r="AT83" s="252">
        <f t="shared" si="25"/>
        <v>0</v>
      </c>
      <c r="AU83" s="252">
        <f t="shared" si="26"/>
        <v>0</v>
      </c>
      <c r="AV83" s="252">
        <f t="shared" si="27"/>
        <v>0</v>
      </c>
      <c r="AW83" s="252">
        <f t="shared" si="28"/>
        <v>0</v>
      </c>
      <c r="AX83" s="252">
        <f t="shared" si="29"/>
        <v>0</v>
      </c>
      <c r="AY83" s="252">
        <f t="shared" si="30"/>
        <v>0</v>
      </c>
      <c r="AZ83" s="2560"/>
      <c r="BA83" s="2560"/>
      <c r="BB83" s="252">
        <f t="shared" si="31"/>
        <v>0</v>
      </c>
      <c r="BC83" s="252">
        <f t="shared" si="32"/>
        <v>1</v>
      </c>
      <c r="BD83" s="252">
        <f t="shared" si="33"/>
        <v>0</v>
      </c>
      <c r="BE83" s="252">
        <f t="shared" si="34"/>
        <v>1</v>
      </c>
      <c r="BF83" s="2589"/>
      <c r="BG83" s="1247"/>
      <c r="BH83" s="1247"/>
      <c r="BI83" s="1247"/>
      <c r="BJ83" s="1247"/>
      <c r="BK83" s="1247"/>
      <c r="BL83" s="1247"/>
    </row>
    <row r="84" spans="2:64" ht="15.75" customHeight="1">
      <c r="B84" s="96" t="s">
        <v>12072</v>
      </c>
      <c r="C84" s="97" t="s">
        <v>137</v>
      </c>
      <c r="D84" s="97">
        <v>3</v>
      </c>
      <c r="E84" s="1510">
        <v>1E-3</v>
      </c>
      <c r="F84" s="1510">
        <v>0.14599999999999999</v>
      </c>
      <c r="G84" s="1510">
        <v>0.40699999999999997</v>
      </c>
      <c r="H84" s="1510">
        <v>0.152</v>
      </c>
      <c r="I84" s="1510">
        <v>0.72499999999999998</v>
      </c>
      <c r="J84" s="1510">
        <v>0.22600000000000001</v>
      </c>
      <c r="K84" s="2043">
        <v>0</v>
      </c>
      <c r="L84" s="1977"/>
      <c r="M84" s="2045">
        <v>0</v>
      </c>
      <c r="N84" s="1510">
        <v>0</v>
      </c>
      <c r="O84" s="1510">
        <v>0</v>
      </c>
      <c r="P84" s="1510">
        <v>0</v>
      </c>
      <c r="Q84" s="1510">
        <v>0</v>
      </c>
      <c r="R84" s="1510">
        <v>0.02</v>
      </c>
      <c r="S84" s="2043">
        <v>0.04</v>
      </c>
      <c r="T84" s="1974"/>
      <c r="U84" s="1976" t="s">
        <v>12073</v>
      </c>
      <c r="V84" s="1510">
        <v>208</v>
      </c>
      <c r="W84" s="1510" t="s">
        <v>6261</v>
      </c>
      <c r="X84" s="1510">
        <v>1.5</v>
      </c>
      <c r="Y84" s="2198"/>
      <c r="Z84" s="2329"/>
      <c r="AA84" s="2329"/>
      <c r="AB84" s="2329"/>
      <c r="AC84" s="2329"/>
      <c r="AD84" s="2330"/>
      <c r="AE84" s="88"/>
      <c r="AF84" s="98" t="s">
        <v>12074</v>
      </c>
      <c r="AG84" s="2560"/>
      <c r="AH84" s="2589"/>
      <c r="AI84" s="1121"/>
      <c r="AJ84" s="2589"/>
      <c r="AK84" s="252">
        <f t="shared" si="35"/>
        <v>0</v>
      </c>
      <c r="AL84" s="252">
        <f t="shared" si="18"/>
        <v>0</v>
      </c>
      <c r="AM84" s="252">
        <f t="shared" si="19"/>
        <v>0</v>
      </c>
      <c r="AN84" s="252">
        <f t="shared" si="20"/>
        <v>0</v>
      </c>
      <c r="AO84" s="252">
        <f t="shared" si="21"/>
        <v>0</v>
      </c>
      <c r="AP84" s="252">
        <f t="shared" si="22"/>
        <v>0</v>
      </c>
      <c r="AQ84" s="252">
        <f t="shared" si="23"/>
        <v>0</v>
      </c>
      <c r="AR84" s="2560"/>
      <c r="AS84" s="252">
        <f t="shared" si="24"/>
        <v>0</v>
      </c>
      <c r="AT84" s="252">
        <f t="shared" si="25"/>
        <v>0</v>
      </c>
      <c r="AU84" s="252">
        <f t="shared" si="26"/>
        <v>0</v>
      </c>
      <c r="AV84" s="252">
        <f t="shared" si="27"/>
        <v>0</v>
      </c>
      <c r="AW84" s="252">
        <f t="shared" si="28"/>
        <v>0</v>
      </c>
      <c r="AX84" s="252">
        <f t="shared" si="29"/>
        <v>0</v>
      </c>
      <c r="AY84" s="252">
        <f t="shared" si="30"/>
        <v>0</v>
      </c>
      <c r="AZ84" s="2560"/>
      <c r="BA84" s="2560"/>
      <c r="BB84" s="252">
        <f t="shared" si="31"/>
        <v>0</v>
      </c>
      <c r="BC84" s="252">
        <f t="shared" si="32"/>
        <v>1</v>
      </c>
      <c r="BD84" s="252">
        <f t="shared" si="33"/>
        <v>0</v>
      </c>
      <c r="BE84" s="252">
        <f t="shared" si="34"/>
        <v>1</v>
      </c>
      <c r="BF84" s="2589"/>
      <c r="BG84" s="1247"/>
      <c r="BH84" s="1247"/>
      <c r="BI84" s="1247"/>
      <c r="BJ84" s="1247"/>
      <c r="BK84" s="1247"/>
      <c r="BL84" s="1247"/>
    </row>
    <row r="85" spans="2:64" ht="15.75" customHeight="1">
      <c r="B85" s="96" t="s">
        <v>12075</v>
      </c>
      <c r="C85" s="97" t="s">
        <v>137</v>
      </c>
      <c r="D85" s="97">
        <v>3</v>
      </c>
      <c r="E85" s="1510">
        <v>4.0000000000000001E-3</v>
      </c>
      <c r="F85" s="1510">
        <v>5.0000000000000001E-3</v>
      </c>
      <c r="G85" s="1510">
        <v>0.57199999999999995</v>
      </c>
      <c r="H85" s="1510">
        <v>0.63400000000000001</v>
      </c>
      <c r="I85" s="1510">
        <v>0.98099999999999998</v>
      </c>
      <c r="J85" s="1510">
        <v>1.4790000000000001</v>
      </c>
      <c r="K85" s="2043">
        <v>0</v>
      </c>
      <c r="L85" s="1977"/>
      <c r="M85" s="2045">
        <v>0</v>
      </c>
      <c r="N85" s="1510">
        <v>0</v>
      </c>
      <c r="O85" s="1510">
        <v>0</v>
      </c>
      <c r="P85" s="1510">
        <v>0</v>
      </c>
      <c r="Q85" s="1510">
        <v>0</v>
      </c>
      <c r="R85" s="1510">
        <v>5.8000000000000003E-2</v>
      </c>
      <c r="S85" s="2043">
        <v>0.11600000000000001</v>
      </c>
      <c r="T85" s="1974"/>
      <c r="U85" s="1976" t="s">
        <v>12076</v>
      </c>
      <c r="V85" s="1510">
        <v>12093</v>
      </c>
      <c r="W85" s="1510" t="s">
        <v>6261</v>
      </c>
      <c r="X85" s="1510">
        <v>0.25</v>
      </c>
      <c r="Y85" s="2198"/>
      <c r="Z85" s="2329"/>
      <c r="AA85" s="2329"/>
      <c r="AB85" s="2329"/>
      <c r="AC85" s="2329"/>
      <c r="AD85" s="2330"/>
      <c r="AE85" s="88"/>
      <c r="AF85" s="98" t="s">
        <v>12077</v>
      </c>
      <c r="AG85" s="2560"/>
      <c r="AH85" s="2589"/>
      <c r="AI85" s="1121"/>
      <c r="AJ85" s="2589"/>
      <c r="AK85" s="252">
        <f t="shared" si="35"/>
        <v>0</v>
      </c>
      <c r="AL85" s="252">
        <f t="shared" si="18"/>
        <v>0</v>
      </c>
      <c r="AM85" s="252">
        <f t="shared" si="19"/>
        <v>0</v>
      </c>
      <c r="AN85" s="252">
        <f t="shared" si="20"/>
        <v>0</v>
      </c>
      <c r="AO85" s="252">
        <f t="shared" si="21"/>
        <v>0</v>
      </c>
      <c r="AP85" s="252">
        <f t="shared" si="22"/>
        <v>0</v>
      </c>
      <c r="AQ85" s="252">
        <f t="shared" si="23"/>
        <v>0</v>
      </c>
      <c r="AR85" s="2560"/>
      <c r="AS85" s="252">
        <f t="shared" si="24"/>
        <v>0</v>
      </c>
      <c r="AT85" s="252">
        <f t="shared" si="25"/>
        <v>0</v>
      </c>
      <c r="AU85" s="252">
        <f t="shared" si="26"/>
        <v>0</v>
      </c>
      <c r="AV85" s="252">
        <f t="shared" si="27"/>
        <v>0</v>
      </c>
      <c r="AW85" s="252">
        <f t="shared" si="28"/>
        <v>0</v>
      </c>
      <c r="AX85" s="252">
        <f t="shared" si="29"/>
        <v>0</v>
      </c>
      <c r="AY85" s="252">
        <f t="shared" si="30"/>
        <v>0</v>
      </c>
      <c r="AZ85" s="2560"/>
      <c r="BA85" s="2560"/>
      <c r="BB85" s="252">
        <f t="shared" si="31"/>
        <v>0</v>
      </c>
      <c r="BC85" s="252">
        <f t="shared" si="32"/>
        <v>1</v>
      </c>
      <c r="BD85" s="252">
        <f t="shared" si="33"/>
        <v>0</v>
      </c>
      <c r="BE85" s="252">
        <f t="shared" si="34"/>
        <v>1</v>
      </c>
      <c r="BF85" s="2589"/>
      <c r="BG85" s="1247"/>
      <c r="BH85" s="1247"/>
      <c r="BI85" s="1247"/>
      <c r="BJ85" s="1247"/>
      <c r="BK85" s="1247"/>
      <c r="BL85" s="1247"/>
    </row>
    <row r="86" spans="2:64" ht="15.75" customHeight="1">
      <c r="B86" s="96" t="s">
        <v>12078</v>
      </c>
      <c r="C86" s="97" t="s">
        <v>137</v>
      </c>
      <c r="D86" s="97">
        <v>3</v>
      </c>
      <c r="E86" s="1510">
        <v>7.0000000000000001E-3</v>
      </c>
      <c r="F86" s="1510">
        <v>0.124</v>
      </c>
      <c r="G86" s="1510">
        <v>0.17799999999999999</v>
      </c>
      <c r="H86" s="1510">
        <v>0.245</v>
      </c>
      <c r="I86" s="1510">
        <v>3.9940000000000002</v>
      </c>
      <c r="J86" s="1510">
        <v>2.6339999999999999</v>
      </c>
      <c r="K86" s="2043">
        <v>0</v>
      </c>
      <c r="L86" s="1977"/>
      <c r="M86" s="2045">
        <v>0</v>
      </c>
      <c r="N86" s="1510">
        <v>0</v>
      </c>
      <c r="O86" s="1510">
        <v>0</v>
      </c>
      <c r="P86" s="1510">
        <v>0</v>
      </c>
      <c r="Q86" s="1510">
        <v>0</v>
      </c>
      <c r="R86" s="1510">
        <v>4.0500000000000001E-2</v>
      </c>
      <c r="S86" s="2043">
        <v>8.1000000000000003E-2</v>
      </c>
      <c r="T86" s="1974"/>
      <c r="U86" s="1976" t="s">
        <v>12079</v>
      </c>
      <c r="V86" s="1510">
        <v>7357</v>
      </c>
      <c r="W86" s="1510" t="s">
        <v>6261</v>
      </c>
      <c r="X86" s="1510">
        <v>0.5</v>
      </c>
      <c r="Y86" s="2198"/>
      <c r="Z86" s="2329"/>
      <c r="AA86" s="2329"/>
      <c r="AB86" s="2329"/>
      <c r="AC86" s="2329"/>
      <c r="AD86" s="2330"/>
      <c r="AE86" s="88"/>
      <c r="AF86" s="98" t="s">
        <v>12080</v>
      </c>
      <c r="AG86" s="2560"/>
      <c r="AH86" s="2589"/>
      <c r="AI86" s="1121"/>
      <c r="AJ86" s="2589"/>
      <c r="AK86" s="252">
        <f t="shared" si="35"/>
        <v>0</v>
      </c>
      <c r="AL86" s="252">
        <f t="shared" si="18"/>
        <v>0</v>
      </c>
      <c r="AM86" s="252">
        <f t="shared" si="19"/>
        <v>0</v>
      </c>
      <c r="AN86" s="252">
        <f t="shared" si="20"/>
        <v>0</v>
      </c>
      <c r="AO86" s="252">
        <f t="shared" si="21"/>
        <v>0</v>
      </c>
      <c r="AP86" s="252">
        <f t="shared" si="22"/>
        <v>0</v>
      </c>
      <c r="AQ86" s="252">
        <f t="shared" si="23"/>
        <v>0</v>
      </c>
      <c r="AR86" s="2560"/>
      <c r="AS86" s="252">
        <f t="shared" si="24"/>
        <v>0</v>
      </c>
      <c r="AT86" s="252">
        <f t="shared" si="25"/>
        <v>0</v>
      </c>
      <c r="AU86" s="252">
        <f t="shared" si="26"/>
        <v>0</v>
      </c>
      <c r="AV86" s="252">
        <f t="shared" si="27"/>
        <v>0</v>
      </c>
      <c r="AW86" s="252">
        <f t="shared" si="28"/>
        <v>0</v>
      </c>
      <c r="AX86" s="252">
        <f t="shared" si="29"/>
        <v>0</v>
      </c>
      <c r="AY86" s="252">
        <f t="shared" si="30"/>
        <v>0</v>
      </c>
      <c r="AZ86" s="2560"/>
      <c r="BA86" s="2560"/>
      <c r="BB86" s="252">
        <f t="shared" si="31"/>
        <v>0</v>
      </c>
      <c r="BC86" s="252">
        <f t="shared" si="32"/>
        <v>1</v>
      </c>
      <c r="BD86" s="252">
        <f t="shared" si="33"/>
        <v>0</v>
      </c>
      <c r="BE86" s="252">
        <f t="shared" si="34"/>
        <v>1</v>
      </c>
      <c r="BF86" s="2589"/>
      <c r="BG86" s="1247"/>
      <c r="BH86" s="1247"/>
      <c r="BI86" s="1247"/>
      <c r="BJ86" s="1247"/>
      <c r="BK86" s="1247"/>
      <c r="BL86" s="1247"/>
    </row>
    <row r="87" spans="2:64" ht="15.75" customHeight="1">
      <c r="B87" s="96" t="s">
        <v>12081</v>
      </c>
      <c r="C87" s="97" t="s">
        <v>137</v>
      </c>
      <c r="D87" s="97">
        <v>3</v>
      </c>
      <c r="E87" s="1510">
        <v>2E-3</v>
      </c>
      <c r="F87" s="1510">
        <v>0.08</v>
      </c>
      <c r="G87" s="1510">
        <v>0.112</v>
      </c>
      <c r="H87" s="1510">
        <v>0.35899999999999999</v>
      </c>
      <c r="I87" s="1510">
        <v>5.5129999999999999</v>
      </c>
      <c r="J87" s="1510">
        <v>0.88</v>
      </c>
      <c r="K87" s="2043">
        <v>0</v>
      </c>
      <c r="L87" s="1977"/>
      <c r="M87" s="2045">
        <v>0</v>
      </c>
      <c r="N87" s="1510">
        <v>0</v>
      </c>
      <c r="O87" s="1510">
        <v>0</v>
      </c>
      <c r="P87" s="1510">
        <v>0</v>
      </c>
      <c r="Q87" s="1510">
        <v>0</v>
      </c>
      <c r="R87" s="1510">
        <v>0.04</v>
      </c>
      <c r="S87" s="2043">
        <v>0.08</v>
      </c>
      <c r="T87" s="1974"/>
      <c r="U87" s="1976" t="s">
        <v>12082</v>
      </c>
      <c r="V87" s="1510">
        <v>24667</v>
      </c>
      <c r="W87" s="1510" t="s">
        <v>6261</v>
      </c>
      <c r="X87" s="1510">
        <v>2</v>
      </c>
      <c r="Y87" s="2198"/>
      <c r="Z87" s="2329"/>
      <c r="AA87" s="2329"/>
      <c r="AB87" s="2329"/>
      <c r="AC87" s="2329"/>
      <c r="AD87" s="2330"/>
      <c r="AE87" s="88"/>
      <c r="AF87" s="98" t="s">
        <v>12083</v>
      </c>
      <c r="AG87" s="2560"/>
      <c r="AH87" s="2589"/>
      <c r="AI87" s="1121"/>
      <c r="AJ87" s="2589"/>
      <c r="AK87" s="252">
        <f t="shared" si="35"/>
        <v>0</v>
      </c>
      <c r="AL87" s="252">
        <f t="shared" si="18"/>
        <v>0</v>
      </c>
      <c r="AM87" s="252">
        <f t="shared" si="19"/>
        <v>0</v>
      </c>
      <c r="AN87" s="252">
        <f t="shared" si="20"/>
        <v>0</v>
      </c>
      <c r="AO87" s="252">
        <f t="shared" si="21"/>
        <v>0</v>
      </c>
      <c r="AP87" s="252">
        <f t="shared" si="22"/>
        <v>0</v>
      </c>
      <c r="AQ87" s="252">
        <f t="shared" si="23"/>
        <v>0</v>
      </c>
      <c r="AR87" s="2560"/>
      <c r="AS87" s="252">
        <f t="shared" si="24"/>
        <v>0</v>
      </c>
      <c r="AT87" s="252">
        <f t="shared" si="25"/>
        <v>0</v>
      </c>
      <c r="AU87" s="252">
        <f t="shared" si="26"/>
        <v>0</v>
      </c>
      <c r="AV87" s="252">
        <f t="shared" si="27"/>
        <v>0</v>
      </c>
      <c r="AW87" s="252">
        <f t="shared" si="28"/>
        <v>0</v>
      </c>
      <c r="AX87" s="252">
        <f t="shared" si="29"/>
        <v>0</v>
      </c>
      <c r="AY87" s="252">
        <f t="shared" si="30"/>
        <v>0</v>
      </c>
      <c r="AZ87" s="2560"/>
      <c r="BA87" s="2560"/>
      <c r="BB87" s="252">
        <f t="shared" si="31"/>
        <v>0</v>
      </c>
      <c r="BC87" s="252">
        <f t="shared" si="32"/>
        <v>1</v>
      </c>
      <c r="BD87" s="252">
        <f t="shared" si="33"/>
        <v>0</v>
      </c>
      <c r="BE87" s="252">
        <f t="shared" si="34"/>
        <v>1</v>
      </c>
      <c r="BF87" s="2589"/>
      <c r="BG87" s="1247"/>
      <c r="BH87" s="1247"/>
      <c r="BI87" s="1247"/>
      <c r="BJ87" s="1247"/>
      <c r="BK87" s="1247"/>
      <c r="BL87" s="1247"/>
    </row>
    <row r="88" spans="2:64" ht="15.75" customHeight="1">
      <c r="B88" s="96" t="s">
        <v>12084</v>
      </c>
      <c r="C88" s="97" t="s">
        <v>137</v>
      </c>
      <c r="D88" s="97">
        <v>3</v>
      </c>
      <c r="E88" s="1510">
        <v>0</v>
      </c>
      <c r="F88" s="1510">
        <v>0.14799999999999999</v>
      </c>
      <c r="G88" s="1510">
        <v>0.22700000000000001</v>
      </c>
      <c r="H88" s="1510">
        <v>0.64900000000000002</v>
      </c>
      <c r="I88" s="1510">
        <v>0.55200000000000005</v>
      </c>
      <c r="J88" s="1510">
        <v>0.2</v>
      </c>
      <c r="K88" s="2043">
        <v>0</v>
      </c>
      <c r="L88" s="1977"/>
      <c r="M88" s="2045">
        <v>0</v>
      </c>
      <c r="N88" s="1510">
        <v>0</v>
      </c>
      <c r="O88" s="1510">
        <v>0</v>
      </c>
      <c r="P88" s="1510">
        <v>0</v>
      </c>
      <c r="Q88" s="1510">
        <v>0</v>
      </c>
      <c r="R88" s="1510">
        <v>7.4499999999999997E-2</v>
      </c>
      <c r="S88" s="2043">
        <v>0.14899999999999999</v>
      </c>
      <c r="T88" s="1974"/>
      <c r="U88" s="1976" t="s">
        <v>12085</v>
      </c>
      <c r="V88" s="1510">
        <v>71921</v>
      </c>
      <c r="W88" s="1510" t="s">
        <v>6261</v>
      </c>
      <c r="X88" s="1510">
        <v>2</v>
      </c>
      <c r="Y88" s="2198"/>
      <c r="Z88" s="2329"/>
      <c r="AA88" s="2329"/>
      <c r="AB88" s="2329"/>
      <c r="AC88" s="2329"/>
      <c r="AD88" s="2330"/>
      <c r="AE88" s="88"/>
      <c r="AF88" s="98" t="s">
        <v>12086</v>
      </c>
      <c r="AG88" s="2560"/>
      <c r="AH88" s="2589"/>
      <c r="AI88" s="1121"/>
      <c r="AJ88" s="2589"/>
      <c r="AK88" s="252">
        <f t="shared" si="35"/>
        <v>0</v>
      </c>
      <c r="AL88" s="252">
        <f t="shared" si="18"/>
        <v>0</v>
      </c>
      <c r="AM88" s="252">
        <f t="shared" si="19"/>
        <v>0</v>
      </c>
      <c r="AN88" s="252">
        <f t="shared" si="20"/>
        <v>0</v>
      </c>
      <c r="AO88" s="252">
        <f t="shared" si="21"/>
        <v>0</v>
      </c>
      <c r="AP88" s="252">
        <f t="shared" si="22"/>
        <v>0</v>
      </c>
      <c r="AQ88" s="252">
        <f t="shared" si="23"/>
        <v>0</v>
      </c>
      <c r="AR88" s="2560"/>
      <c r="AS88" s="252">
        <f t="shared" si="24"/>
        <v>0</v>
      </c>
      <c r="AT88" s="252">
        <f t="shared" si="25"/>
        <v>0</v>
      </c>
      <c r="AU88" s="252">
        <f t="shared" si="26"/>
        <v>0</v>
      </c>
      <c r="AV88" s="252">
        <f t="shared" si="27"/>
        <v>0</v>
      </c>
      <c r="AW88" s="252">
        <f t="shared" si="28"/>
        <v>0</v>
      </c>
      <c r="AX88" s="252">
        <f t="shared" si="29"/>
        <v>0</v>
      </c>
      <c r="AY88" s="252">
        <f t="shared" si="30"/>
        <v>0</v>
      </c>
      <c r="AZ88" s="2560"/>
      <c r="BA88" s="2560"/>
      <c r="BB88" s="252">
        <f t="shared" si="31"/>
        <v>0</v>
      </c>
      <c r="BC88" s="252">
        <f t="shared" si="32"/>
        <v>1</v>
      </c>
      <c r="BD88" s="252">
        <f t="shared" si="33"/>
        <v>0</v>
      </c>
      <c r="BE88" s="252">
        <f t="shared" si="34"/>
        <v>1</v>
      </c>
      <c r="BF88" s="2589"/>
      <c r="BG88" s="1247"/>
      <c r="BH88" s="1247"/>
      <c r="BI88" s="1247"/>
      <c r="BJ88" s="1247"/>
      <c r="BK88" s="1247"/>
      <c r="BL88" s="1247"/>
    </row>
    <row r="89" spans="2:64" ht="15.75" customHeight="1">
      <c r="B89" s="96" t="s">
        <v>12087</v>
      </c>
      <c r="C89" s="97" t="s">
        <v>137</v>
      </c>
      <c r="D89" s="97">
        <v>3</v>
      </c>
      <c r="E89" s="1510">
        <v>2E-3</v>
      </c>
      <c r="F89" s="1510">
        <v>0.22500000000000001</v>
      </c>
      <c r="G89" s="1510">
        <v>1.0189999999999999</v>
      </c>
      <c r="H89" s="1510">
        <v>0.877</v>
      </c>
      <c r="I89" s="1510">
        <v>1.93</v>
      </c>
      <c r="J89" s="1510">
        <v>0.18099999999999999</v>
      </c>
      <c r="K89" s="2043">
        <v>0</v>
      </c>
      <c r="L89" s="1977"/>
      <c r="M89" s="2045">
        <v>0</v>
      </c>
      <c r="N89" s="1510">
        <v>0</v>
      </c>
      <c r="O89" s="1510">
        <v>0</v>
      </c>
      <c r="P89" s="1510">
        <v>0</v>
      </c>
      <c r="Q89" s="1510">
        <v>0</v>
      </c>
      <c r="R89" s="1510">
        <v>0.216</v>
      </c>
      <c r="S89" s="2043">
        <v>0.432</v>
      </c>
      <c r="T89" s="1974"/>
      <c r="U89" s="1976" t="s">
        <v>12088</v>
      </c>
      <c r="V89" s="1510">
        <v>157589</v>
      </c>
      <c r="W89" s="1510" t="s">
        <v>6261</v>
      </c>
      <c r="X89" s="1510">
        <v>0.9</v>
      </c>
      <c r="Y89" s="2198"/>
      <c r="Z89" s="2329"/>
      <c r="AA89" s="2329"/>
      <c r="AB89" s="2329"/>
      <c r="AC89" s="2329"/>
      <c r="AD89" s="2330"/>
      <c r="AE89" s="88"/>
      <c r="AF89" s="98" t="s">
        <v>12089</v>
      </c>
      <c r="AG89" s="2560"/>
      <c r="AH89" s="2589"/>
      <c r="AI89" s="1121"/>
      <c r="AJ89" s="2589"/>
      <c r="AK89" s="252">
        <f t="shared" si="35"/>
        <v>0</v>
      </c>
      <c r="AL89" s="252">
        <f t="shared" si="18"/>
        <v>0</v>
      </c>
      <c r="AM89" s="252">
        <f t="shared" si="19"/>
        <v>0</v>
      </c>
      <c r="AN89" s="252">
        <f t="shared" si="20"/>
        <v>0</v>
      </c>
      <c r="AO89" s="252">
        <f t="shared" si="21"/>
        <v>0</v>
      </c>
      <c r="AP89" s="252">
        <f t="shared" si="22"/>
        <v>0</v>
      </c>
      <c r="AQ89" s="252">
        <f t="shared" si="23"/>
        <v>0</v>
      </c>
      <c r="AR89" s="2560"/>
      <c r="AS89" s="252">
        <f t="shared" si="24"/>
        <v>0</v>
      </c>
      <c r="AT89" s="252">
        <f t="shared" si="25"/>
        <v>0</v>
      </c>
      <c r="AU89" s="252">
        <f t="shared" si="26"/>
        <v>0</v>
      </c>
      <c r="AV89" s="252">
        <f t="shared" si="27"/>
        <v>0</v>
      </c>
      <c r="AW89" s="252">
        <f t="shared" si="28"/>
        <v>0</v>
      </c>
      <c r="AX89" s="252">
        <f t="shared" si="29"/>
        <v>0</v>
      </c>
      <c r="AY89" s="252">
        <f t="shared" si="30"/>
        <v>0</v>
      </c>
      <c r="AZ89" s="2560"/>
      <c r="BA89" s="2560"/>
      <c r="BB89" s="252">
        <f t="shared" si="31"/>
        <v>0</v>
      </c>
      <c r="BC89" s="252">
        <f t="shared" si="32"/>
        <v>1</v>
      </c>
      <c r="BD89" s="252">
        <f t="shared" si="33"/>
        <v>0</v>
      </c>
      <c r="BE89" s="252">
        <f t="shared" si="34"/>
        <v>1</v>
      </c>
      <c r="BF89" s="2589"/>
      <c r="BG89" s="1247"/>
      <c r="BH89" s="1247"/>
      <c r="BI89" s="1247"/>
      <c r="BJ89" s="1247"/>
      <c r="BK89" s="1247"/>
      <c r="BL89" s="1247"/>
    </row>
    <row r="90" spans="2:64" ht="15.75" customHeight="1">
      <c r="B90" s="96" t="s">
        <v>12090</v>
      </c>
      <c r="C90" s="97" t="s">
        <v>137</v>
      </c>
      <c r="D90" s="97">
        <v>3</v>
      </c>
      <c r="E90" s="1510">
        <v>2E-3</v>
      </c>
      <c r="F90" s="1510">
        <v>5.8999999999999997E-2</v>
      </c>
      <c r="G90" s="1510">
        <v>0.27700000000000002</v>
      </c>
      <c r="H90" s="1510">
        <v>0.67700000000000005</v>
      </c>
      <c r="I90" s="1510">
        <v>2.9380000000000002</v>
      </c>
      <c r="J90" s="1510">
        <v>0.55100000000000005</v>
      </c>
      <c r="K90" s="2043">
        <v>0</v>
      </c>
      <c r="L90" s="1977"/>
      <c r="M90" s="2045">
        <v>0</v>
      </c>
      <c r="N90" s="1510">
        <v>0</v>
      </c>
      <c r="O90" s="1510">
        <v>0</v>
      </c>
      <c r="P90" s="1510">
        <v>0</v>
      </c>
      <c r="Q90" s="1510">
        <v>0</v>
      </c>
      <c r="R90" s="1510">
        <v>8.1000000000000003E-2</v>
      </c>
      <c r="S90" s="2043">
        <v>0.16200000000000001</v>
      </c>
      <c r="T90" s="1974"/>
      <c r="U90" s="1976" t="s">
        <v>12091</v>
      </c>
      <c r="V90" s="1510">
        <v>26960</v>
      </c>
      <c r="W90" s="1510" t="s">
        <v>6261</v>
      </c>
      <c r="X90" s="1510">
        <v>2</v>
      </c>
      <c r="Y90" s="2198"/>
      <c r="Z90" s="2329"/>
      <c r="AA90" s="2329"/>
      <c r="AB90" s="2329"/>
      <c r="AC90" s="2329"/>
      <c r="AD90" s="2330"/>
      <c r="AE90" s="88"/>
      <c r="AF90" s="98" t="s">
        <v>12092</v>
      </c>
      <c r="AG90" s="2560"/>
      <c r="AH90" s="2589"/>
      <c r="AI90" s="1121"/>
      <c r="AJ90" s="2589"/>
      <c r="AK90" s="252">
        <f t="shared" si="35"/>
        <v>0</v>
      </c>
      <c r="AL90" s="252">
        <f t="shared" si="18"/>
        <v>0</v>
      </c>
      <c r="AM90" s="252">
        <f t="shared" si="19"/>
        <v>0</v>
      </c>
      <c r="AN90" s="252">
        <f t="shared" si="20"/>
        <v>0</v>
      </c>
      <c r="AO90" s="252">
        <f t="shared" si="21"/>
        <v>0</v>
      </c>
      <c r="AP90" s="252">
        <f t="shared" si="22"/>
        <v>0</v>
      </c>
      <c r="AQ90" s="252">
        <f t="shared" si="23"/>
        <v>0</v>
      </c>
      <c r="AR90" s="2560"/>
      <c r="AS90" s="252">
        <f t="shared" si="24"/>
        <v>0</v>
      </c>
      <c r="AT90" s="252">
        <f t="shared" si="25"/>
        <v>0</v>
      </c>
      <c r="AU90" s="252">
        <f t="shared" si="26"/>
        <v>0</v>
      </c>
      <c r="AV90" s="252">
        <f t="shared" si="27"/>
        <v>0</v>
      </c>
      <c r="AW90" s="252">
        <f t="shared" si="28"/>
        <v>0</v>
      </c>
      <c r="AX90" s="252">
        <f t="shared" si="29"/>
        <v>0</v>
      </c>
      <c r="AY90" s="252">
        <f t="shared" si="30"/>
        <v>0</v>
      </c>
      <c r="AZ90" s="2560"/>
      <c r="BA90" s="2560"/>
      <c r="BB90" s="252">
        <f t="shared" si="31"/>
        <v>0</v>
      </c>
      <c r="BC90" s="252">
        <f t="shared" si="32"/>
        <v>1</v>
      </c>
      <c r="BD90" s="252">
        <f t="shared" si="33"/>
        <v>0</v>
      </c>
      <c r="BE90" s="252">
        <f t="shared" si="34"/>
        <v>1</v>
      </c>
      <c r="BF90" s="2589"/>
      <c r="BG90" s="1247"/>
      <c r="BH90" s="1247"/>
      <c r="BI90" s="1247"/>
      <c r="BJ90" s="1247"/>
      <c r="BK90" s="1247"/>
      <c r="BL90" s="1247"/>
    </row>
    <row r="91" spans="2:64" ht="15.75" customHeight="1">
      <c r="B91" s="96" t="s">
        <v>12093</v>
      </c>
      <c r="C91" s="97" t="s">
        <v>137</v>
      </c>
      <c r="D91" s="97">
        <v>3</v>
      </c>
      <c r="E91" s="1510"/>
      <c r="F91" s="1510"/>
      <c r="G91" s="1510"/>
      <c r="H91" s="1510"/>
      <c r="I91" s="1510"/>
      <c r="J91" s="1510"/>
      <c r="K91" s="2043"/>
      <c r="L91" s="1977"/>
      <c r="M91" s="2045"/>
      <c r="N91" s="1510"/>
      <c r="O91" s="1510"/>
      <c r="P91" s="1510"/>
      <c r="Q91" s="1510"/>
      <c r="R91" s="1510"/>
      <c r="S91" s="2043"/>
      <c r="T91" s="1974"/>
      <c r="U91" s="1976" t="s">
        <v>12094</v>
      </c>
      <c r="V91" s="1510"/>
      <c r="W91" s="1510"/>
      <c r="X91" s="1510"/>
      <c r="Y91" s="2198"/>
      <c r="Z91" s="2329"/>
      <c r="AA91" s="2329"/>
      <c r="AB91" s="2329"/>
      <c r="AC91" s="2329"/>
      <c r="AD91" s="2330"/>
      <c r="AE91" s="88"/>
      <c r="AF91" s="98" t="s">
        <v>12095</v>
      </c>
      <c r="AG91" s="2560"/>
      <c r="AH91" s="2589"/>
      <c r="AI91" s="1121"/>
      <c r="AJ91" s="2589"/>
      <c r="AK91" s="252">
        <f t="shared" si="35"/>
        <v>0</v>
      </c>
      <c r="AL91" s="252">
        <f t="shared" si="18"/>
        <v>0</v>
      </c>
      <c r="AM91" s="252">
        <f t="shared" si="19"/>
        <v>0</v>
      </c>
      <c r="AN91" s="252">
        <f t="shared" si="20"/>
        <v>0</v>
      </c>
      <c r="AO91" s="252">
        <f t="shared" si="21"/>
        <v>0</v>
      </c>
      <c r="AP91" s="252">
        <f t="shared" si="22"/>
        <v>0</v>
      </c>
      <c r="AQ91" s="252">
        <f t="shared" si="23"/>
        <v>0</v>
      </c>
      <c r="AR91" s="2560"/>
      <c r="AS91" s="252">
        <f t="shared" si="24"/>
        <v>0</v>
      </c>
      <c r="AT91" s="252">
        <f t="shared" si="25"/>
        <v>0</v>
      </c>
      <c r="AU91" s="252">
        <f t="shared" si="26"/>
        <v>0</v>
      </c>
      <c r="AV91" s="252">
        <f t="shared" si="27"/>
        <v>0</v>
      </c>
      <c r="AW91" s="252">
        <f t="shared" si="28"/>
        <v>0</v>
      </c>
      <c r="AX91" s="252">
        <f t="shared" si="29"/>
        <v>0</v>
      </c>
      <c r="AY91" s="252">
        <f t="shared" si="30"/>
        <v>0</v>
      </c>
      <c r="AZ91" s="2560"/>
      <c r="BA91" s="2560"/>
      <c r="BB91" s="252">
        <f t="shared" si="31"/>
        <v>0</v>
      </c>
      <c r="BC91" s="252">
        <f t="shared" si="32"/>
        <v>0</v>
      </c>
      <c r="BD91" s="252">
        <f t="shared" si="33"/>
        <v>0</v>
      </c>
      <c r="BE91" s="252">
        <f t="shared" si="34"/>
        <v>0</v>
      </c>
      <c r="BF91" s="2589"/>
      <c r="BG91" s="1247"/>
      <c r="BH91" s="1247"/>
      <c r="BI91" s="1247"/>
      <c r="BJ91" s="1247"/>
      <c r="BK91" s="1247"/>
      <c r="BL91" s="1247"/>
    </row>
    <row r="92" spans="2:64" ht="15.75" customHeight="1">
      <c r="B92" s="96" t="s">
        <v>12096</v>
      </c>
      <c r="C92" s="97" t="s">
        <v>137</v>
      </c>
      <c r="D92" s="97">
        <v>3</v>
      </c>
      <c r="E92" s="1510"/>
      <c r="F92" s="1510"/>
      <c r="G92" s="1510"/>
      <c r="H92" s="1510"/>
      <c r="I92" s="1510"/>
      <c r="J92" s="1510"/>
      <c r="K92" s="2043"/>
      <c r="L92" s="1977"/>
      <c r="M92" s="2045"/>
      <c r="N92" s="1510"/>
      <c r="O92" s="1510"/>
      <c r="P92" s="1510"/>
      <c r="Q92" s="1510"/>
      <c r="R92" s="1510"/>
      <c r="S92" s="2043"/>
      <c r="T92" s="1974"/>
      <c r="U92" s="1976" t="s">
        <v>12094</v>
      </c>
      <c r="V92" s="1510"/>
      <c r="W92" s="1510"/>
      <c r="X92" s="1510"/>
      <c r="Y92" s="2198"/>
      <c r="Z92" s="2329"/>
      <c r="AA92" s="2329"/>
      <c r="AB92" s="2329"/>
      <c r="AC92" s="2329"/>
      <c r="AD92" s="2330"/>
      <c r="AE92" s="88"/>
      <c r="AF92" s="98" t="s">
        <v>12097</v>
      </c>
      <c r="AG92" s="2560"/>
      <c r="AH92" s="2589"/>
      <c r="AI92" s="1121"/>
      <c r="AJ92" s="2589"/>
      <c r="AK92" s="252">
        <f t="shared" si="35"/>
        <v>0</v>
      </c>
      <c r="AL92" s="252">
        <f t="shared" si="18"/>
        <v>0</v>
      </c>
      <c r="AM92" s="252">
        <f t="shared" si="19"/>
        <v>0</v>
      </c>
      <c r="AN92" s="252">
        <f t="shared" si="20"/>
        <v>0</v>
      </c>
      <c r="AO92" s="252">
        <f t="shared" si="21"/>
        <v>0</v>
      </c>
      <c r="AP92" s="252">
        <f t="shared" si="22"/>
        <v>0</v>
      </c>
      <c r="AQ92" s="252">
        <f t="shared" si="23"/>
        <v>0</v>
      </c>
      <c r="AR92" s="2560"/>
      <c r="AS92" s="252">
        <f t="shared" si="24"/>
        <v>0</v>
      </c>
      <c r="AT92" s="252">
        <f t="shared" si="25"/>
        <v>0</v>
      </c>
      <c r="AU92" s="252">
        <f t="shared" si="26"/>
        <v>0</v>
      </c>
      <c r="AV92" s="252">
        <f t="shared" si="27"/>
        <v>0</v>
      </c>
      <c r="AW92" s="252">
        <f t="shared" si="28"/>
        <v>0</v>
      </c>
      <c r="AX92" s="252">
        <f t="shared" si="29"/>
        <v>0</v>
      </c>
      <c r="AY92" s="252">
        <f t="shared" si="30"/>
        <v>0</v>
      </c>
      <c r="AZ92" s="2560"/>
      <c r="BA92" s="2560"/>
      <c r="BB92" s="252">
        <f t="shared" si="31"/>
        <v>0</v>
      </c>
      <c r="BC92" s="252">
        <f t="shared" si="32"/>
        <v>0</v>
      </c>
      <c r="BD92" s="252">
        <f t="shared" si="33"/>
        <v>0</v>
      </c>
      <c r="BE92" s="252">
        <f t="shared" si="34"/>
        <v>0</v>
      </c>
      <c r="BF92" s="2589"/>
      <c r="BG92" s="1247"/>
      <c r="BH92" s="1247"/>
      <c r="BI92" s="1247"/>
      <c r="BJ92" s="1247"/>
      <c r="BK92" s="1247"/>
      <c r="BL92" s="1247"/>
    </row>
    <row r="93" spans="2:64" ht="15.75" customHeight="1">
      <c r="B93" s="96" t="s">
        <v>12098</v>
      </c>
      <c r="C93" s="97" t="s">
        <v>137</v>
      </c>
      <c r="D93" s="97">
        <v>3</v>
      </c>
      <c r="E93" s="1510"/>
      <c r="F93" s="1510"/>
      <c r="G93" s="1510"/>
      <c r="H93" s="1510"/>
      <c r="I93" s="1510"/>
      <c r="J93" s="1510"/>
      <c r="K93" s="2043"/>
      <c r="L93" s="1977"/>
      <c r="M93" s="2045"/>
      <c r="N93" s="1510"/>
      <c r="O93" s="1510"/>
      <c r="P93" s="1510"/>
      <c r="Q93" s="1510"/>
      <c r="R93" s="1510"/>
      <c r="S93" s="2043"/>
      <c r="T93" s="1974"/>
      <c r="U93" s="1976" t="s">
        <v>12094</v>
      </c>
      <c r="V93" s="1510"/>
      <c r="W93" s="1510"/>
      <c r="X93" s="1510"/>
      <c r="Y93" s="2198"/>
      <c r="Z93" s="2329"/>
      <c r="AA93" s="2329"/>
      <c r="AB93" s="2329"/>
      <c r="AC93" s="2329"/>
      <c r="AD93" s="2330"/>
      <c r="AE93" s="88"/>
      <c r="AF93" s="98" t="s">
        <v>12099</v>
      </c>
      <c r="AG93" s="2560"/>
      <c r="AH93" s="2589"/>
      <c r="AI93" s="1121"/>
      <c r="AJ93" s="2589"/>
      <c r="AK93" s="252">
        <f t="shared" si="35"/>
        <v>0</v>
      </c>
      <c r="AL93" s="252">
        <f t="shared" si="18"/>
        <v>0</v>
      </c>
      <c r="AM93" s="252">
        <f t="shared" si="19"/>
        <v>0</v>
      </c>
      <c r="AN93" s="252">
        <f t="shared" si="20"/>
        <v>0</v>
      </c>
      <c r="AO93" s="252">
        <f t="shared" si="21"/>
        <v>0</v>
      </c>
      <c r="AP93" s="252">
        <f t="shared" si="22"/>
        <v>0</v>
      </c>
      <c r="AQ93" s="252">
        <f t="shared" si="23"/>
        <v>0</v>
      </c>
      <c r="AR93" s="2560"/>
      <c r="AS93" s="252">
        <f t="shared" si="24"/>
        <v>0</v>
      </c>
      <c r="AT93" s="252">
        <f t="shared" si="25"/>
        <v>0</v>
      </c>
      <c r="AU93" s="252">
        <f t="shared" si="26"/>
        <v>0</v>
      </c>
      <c r="AV93" s="252">
        <f t="shared" si="27"/>
        <v>0</v>
      </c>
      <c r="AW93" s="252">
        <f t="shared" si="28"/>
        <v>0</v>
      </c>
      <c r="AX93" s="252">
        <f t="shared" si="29"/>
        <v>0</v>
      </c>
      <c r="AY93" s="252">
        <f t="shared" si="30"/>
        <v>0</v>
      </c>
      <c r="AZ93" s="2560"/>
      <c r="BA93" s="2560"/>
      <c r="BB93" s="252">
        <f t="shared" si="31"/>
        <v>0</v>
      </c>
      <c r="BC93" s="252">
        <f t="shared" si="32"/>
        <v>0</v>
      </c>
      <c r="BD93" s="252">
        <f t="shared" si="33"/>
        <v>0</v>
      </c>
      <c r="BE93" s="252">
        <f t="shared" si="34"/>
        <v>0</v>
      </c>
      <c r="BF93" s="2589"/>
      <c r="BG93" s="1247"/>
      <c r="BH93" s="1247"/>
      <c r="BI93" s="1247"/>
      <c r="BJ93" s="1247"/>
      <c r="BK93" s="1247"/>
      <c r="BL93" s="1247"/>
    </row>
    <row r="94" spans="2:64" ht="15.75" customHeight="1">
      <c r="B94" s="96" t="s">
        <v>12100</v>
      </c>
      <c r="C94" s="97" t="s">
        <v>137</v>
      </c>
      <c r="D94" s="97">
        <v>3</v>
      </c>
      <c r="E94" s="1510"/>
      <c r="F94" s="1510"/>
      <c r="G94" s="1510"/>
      <c r="H94" s="1510"/>
      <c r="I94" s="1510"/>
      <c r="J94" s="1510"/>
      <c r="K94" s="2043"/>
      <c r="L94" s="1977"/>
      <c r="M94" s="2045"/>
      <c r="N94" s="1510"/>
      <c r="O94" s="1510"/>
      <c r="P94" s="1510"/>
      <c r="Q94" s="1510"/>
      <c r="R94" s="1510"/>
      <c r="S94" s="2043"/>
      <c r="T94" s="1974"/>
      <c r="U94" s="1976" t="s">
        <v>12094</v>
      </c>
      <c r="V94" s="1510"/>
      <c r="W94" s="1510"/>
      <c r="X94" s="1510"/>
      <c r="Y94" s="2198"/>
      <c r="Z94" s="2329"/>
      <c r="AA94" s="2329"/>
      <c r="AB94" s="2329"/>
      <c r="AC94" s="2329"/>
      <c r="AD94" s="2330"/>
      <c r="AE94" s="88"/>
      <c r="AF94" s="98" t="s">
        <v>12101</v>
      </c>
      <c r="AG94" s="2560"/>
      <c r="AH94" s="2589"/>
      <c r="AI94" s="1121"/>
      <c r="AJ94" s="2589"/>
      <c r="AK94" s="252">
        <f t="shared" si="35"/>
        <v>0</v>
      </c>
      <c r="AL94" s="252">
        <f t="shared" si="18"/>
        <v>0</v>
      </c>
      <c r="AM94" s="252">
        <f t="shared" si="19"/>
        <v>0</v>
      </c>
      <c r="AN94" s="252">
        <f t="shared" si="20"/>
        <v>0</v>
      </c>
      <c r="AO94" s="252">
        <f t="shared" si="21"/>
        <v>0</v>
      </c>
      <c r="AP94" s="252">
        <f t="shared" si="22"/>
        <v>0</v>
      </c>
      <c r="AQ94" s="252">
        <f t="shared" si="23"/>
        <v>0</v>
      </c>
      <c r="AR94" s="2560"/>
      <c r="AS94" s="252">
        <f t="shared" si="24"/>
        <v>0</v>
      </c>
      <c r="AT94" s="252">
        <f t="shared" si="25"/>
        <v>0</v>
      </c>
      <c r="AU94" s="252">
        <f t="shared" si="26"/>
        <v>0</v>
      </c>
      <c r="AV94" s="252">
        <f t="shared" si="27"/>
        <v>0</v>
      </c>
      <c r="AW94" s="252">
        <f t="shared" si="28"/>
        <v>0</v>
      </c>
      <c r="AX94" s="252">
        <f t="shared" si="29"/>
        <v>0</v>
      </c>
      <c r="AY94" s="252">
        <f t="shared" si="30"/>
        <v>0</v>
      </c>
      <c r="AZ94" s="2560"/>
      <c r="BA94" s="2560"/>
      <c r="BB94" s="252">
        <f t="shared" si="31"/>
        <v>0</v>
      </c>
      <c r="BC94" s="252">
        <f t="shared" si="32"/>
        <v>0</v>
      </c>
      <c r="BD94" s="252">
        <f t="shared" si="33"/>
        <v>0</v>
      </c>
      <c r="BE94" s="252">
        <f t="shared" si="34"/>
        <v>0</v>
      </c>
      <c r="BF94" s="2589"/>
      <c r="BG94" s="1247"/>
      <c r="BH94" s="1247"/>
      <c r="BI94" s="1247"/>
      <c r="BJ94" s="1247"/>
      <c r="BK94" s="1247"/>
      <c r="BL94" s="1247"/>
    </row>
    <row r="95" spans="2:64" ht="15.75" customHeight="1">
      <c r="B95" s="96" t="s">
        <v>12102</v>
      </c>
      <c r="C95" s="97" t="s">
        <v>137</v>
      </c>
      <c r="D95" s="97">
        <v>3</v>
      </c>
      <c r="E95" s="1510"/>
      <c r="F95" s="1510"/>
      <c r="G95" s="1510"/>
      <c r="H95" s="1510"/>
      <c r="I95" s="1510"/>
      <c r="J95" s="1510"/>
      <c r="K95" s="2043"/>
      <c r="L95" s="1977"/>
      <c r="M95" s="2045"/>
      <c r="N95" s="1510"/>
      <c r="O95" s="1510"/>
      <c r="P95" s="1510"/>
      <c r="Q95" s="1510"/>
      <c r="R95" s="1510"/>
      <c r="S95" s="2043"/>
      <c r="T95" s="1974"/>
      <c r="U95" s="1976" t="s">
        <v>12094</v>
      </c>
      <c r="V95" s="1510"/>
      <c r="W95" s="1510"/>
      <c r="X95" s="1510"/>
      <c r="Y95" s="2198"/>
      <c r="Z95" s="2329"/>
      <c r="AA95" s="2329"/>
      <c r="AB95" s="2329"/>
      <c r="AC95" s="2329"/>
      <c r="AD95" s="2330"/>
      <c r="AE95" s="88"/>
      <c r="AF95" s="98" t="s">
        <v>12103</v>
      </c>
      <c r="AG95" s="2560"/>
      <c r="AH95" s="2589"/>
      <c r="AI95" s="1121"/>
      <c r="AJ95" s="2589"/>
      <c r="AK95" s="252">
        <f t="shared" si="35"/>
        <v>0</v>
      </c>
      <c r="AL95" s="252">
        <f t="shared" si="18"/>
        <v>0</v>
      </c>
      <c r="AM95" s="252">
        <f t="shared" si="19"/>
        <v>0</v>
      </c>
      <c r="AN95" s="252">
        <f t="shared" si="20"/>
        <v>0</v>
      </c>
      <c r="AO95" s="252">
        <f t="shared" si="21"/>
        <v>0</v>
      </c>
      <c r="AP95" s="252">
        <f t="shared" si="22"/>
        <v>0</v>
      </c>
      <c r="AQ95" s="252">
        <f t="shared" si="23"/>
        <v>0</v>
      </c>
      <c r="AR95" s="2560"/>
      <c r="AS95" s="252">
        <f t="shared" si="24"/>
        <v>0</v>
      </c>
      <c r="AT95" s="252">
        <f t="shared" si="25"/>
        <v>0</v>
      </c>
      <c r="AU95" s="252">
        <f t="shared" si="26"/>
        <v>0</v>
      </c>
      <c r="AV95" s="252">
        <f t="shared" si="27"/>
        <v>0</v>
      </c>
      <c r="AW95" s="252">
        <f t="shared" si="28"/>
        <v>0</v>
      </c>
      <c r="AX95" s="252">
        <f t="shared" si="29"/>
        <v>0</v>
      </c>
      <c r="AY95" s="252">
        <f t="shared" si="30"/>
        <v>0</v>
      </c>
      <c r="AZ95" s="2560"/>
      <c r="BA95" s="2560"/>
      <c r="BB95" s="252">
        <f t="shared" si="31"/>
        <v>0</v>
      </c>
      <c r="BC95" s="252">
        <f t="shared" si="32"/>
        <v>0</v>
      </c>
      <c r="BD95" s="252">
        <f t="shared" si="33"/>
        <v>0</v>
      </c>
      <c r="BE95" s="252">
        <f t="shared" si="34"/>
        <v>0</v>
      </c>
      <c r="BF95" s="2589"/>
      <c r="BG95" s="1247"/>
      <c r="BH95" s="1247"/>
      <c r="BI95" s="1247"/>
      <c r="BJ95" s="1247"/>
      <c r="BK95" s="1247"/>
      <c r="BL95" s="1247"/>
    </row>
    <row r="96" spans="2:64" ht="15.75" customHeight="1">
      <c r="B96" s="96" t="s">
        <v>12104</v>
      </c>
      <c r="C96" s="97" t="s">
        <v>137</v>
      </c>
      <c r="D96" s="97">
        <v>3</v>
      </c>
      <c r="E96" s="1510"/>
      <c r="F96" s="1510"/>
      <c r="G96" s="1510"/>
      <c r="H96" s="1510"/>
      <c r="I96" s="1510"/>
      <c r="J96" s="1510"/>
      <c r="K96" s="2043"/>
      <c r="L96" s="1977"/>
      <c r="M96" s="2045"/>
      <c r="N96" s="1510"/>
      <c r="O96" s="1510"/>
      <c r="P96" s="1510"/>
      <c r="Q96" s="1510"/>
      <c r="R96" s="1510"/>
      <c r="S96" s="2043"/>
      <c r="T96" s="1974"/>
      <c r="U96" s="1976" t="s">
        <v>12094</v>
      </c>
      <c r="V96" s="1510"/>
      <c r="W96" s="1510"/>
      <c r="X96" s="1510"/>
      <c r="Y96" s="2198"/>
      <c r="Z96" s="2329"/>
      <c r="AA96" s="2329"/>
      <c r="AB96" s="2329"/>
      <c r="AC96" s="2329"/>
      <c r="AD96" s="2330"/>
      <c r="AE96" s="88"/>
      <c r="AF96" s="98" t="s">
        <v>12105</v>
      </c>
      <c r="AG96" s="2560"/>
      <c r="AH96" s="2589"/>
      <c r="AI96" s="1121"/>
      <c r="AJ96" s="2589"/>
      <c r="AK96" s="252">
        <f t="shared" si="35"/>
        <v>0</v>
      </c>
      <c r="AL96" s="252">
        <f t="shared" si="18"/>
        <v>0</v>
      </c>
      <c r="AM96" s="252">
        <f t="shared" si="19"/>
        <v>0</v>
      </c>
      <c r="AN96" s="252">
        <f t="shared" si="20"/>
        <v>0</v>
      </c>
      <c r="AO96" s="252">
        <f t="shared" si="21"/>
        <v>0</v>
      </c>
      <c r="AP96" s="252">
        <f t="shared" si="22"/>
        <v>0</v>
      </c>
      <c r="AQ96" s="252">
        <f t="shared" si="23"/>
        <v>0</v>
      </c>
      <c r="AR96" s="2560"/>
      <c r="AS96" s="252">
        <f t="shared" si="24"/>
        <v>0</v>
      </c>
      <c r="AT96" s="252">
        <f t="shared" si="25"/>
        <v>0</v>
      </c>
      <c r="AU96" s="252">
        <f t="shared" si="26"/>
        <v>0</v>
      </c>
      <c r="AV96" s="252">
        <f t="shared" si="27"/>
        <v>0</v>
      </c>
      <c r="AW96" s="252">
        <f t="shared" si="28"/>
        <v>0</v>
      </c>
      <c r="AX96" s="252">
        <f t="shared" si="29"/>
        <v>0</v>
      </c>
      <c r="AY96" s="252">
        <f t="shared" si="30"/>
        <v>0</v>
      </c>
      <c r="AZ96" s="2560"/>
      <c r="BA96" s="2560"/>
      <c r="BB96" s="252">
        <f t="shared" si="31"/>
        <v>0</v>
      </c>
      <c r="BC96" s="252">
        <f t="shared" si="32"/>
        <v>0</v>
      </c>
      <c r="BD96" s="252">
        <f t="shared" si="33"/>
        <v>0</v>
      </c>
      <c r="BE96" s="252">
        <f t="shared" si="34"/>
        <v>0</v>
      </c>
      <c r="BF96" s="2589"/>
      <c r="BG96" s="1247"/>
      <c r="BH96" s="1247"/>
      <c r="BI96" s="1247"/>
      <c r="BJ96" s="1247"/>
      <c r="BK96" s="1247"/>
      <c r="BL96" s="1247"/>
    </row>
    <row r="97" spans="2:64" ht="15.75" customHeight="1">
      <c r="B97" s="96" t="s">
        <v>12106</v>
      </c>
      <c r="C97" s="97" t="s">
        <v>137</v>
      </c>
      <c r="D97" s="97">
        <v>3</v>
      </c>
      <c r="E97" s="1510"/>
      <c r="F97" s="1510"/>
      <c r="G97" s="1510"/>
      <c r="H97" s="1510"/>
      <c r="I97" s="1510"/>
      <c r="J97" s="1510"/>
      <c r="K97" s="2043"/>
      <c r="L97" s="1977"/>
      <c r="M97" s="2045"/>
      <c r="N97" s="1510"/>
      <c r="O97" s="1510"/>
      <c r="P97" s="1510"/>
      <c r="Q97" s="1510"/>
      <c r="R97" s="1510"/>
      <c r="S97" s="2043"/>
      <c r="T97" s="1974"/>
      <c r="U97" s="1976" t="s">
        <v>12094</v>
      </c>
      <c r="V97" s="1510"/>
      <c r="W97" s="1510"/>
      <c r="X97" s="1510"/>
      <c r="Y97" s="2198"/>
      <c r="Z97" s="2329"/>
      <c r="AA97" s="2329"/>
      <c r="AB97" s="2329"/>
      <c r="AC97" s="2329"/>
      <c r="AD97" s="2330"/>
      <c r="AE97" s="88"/>
      <c r="AF97" s="98" t="s">
        <v>12107</v>
      </c>
      <c r="AG97" s="2560"/>
      <c r="AH97" s="2589"/>
      <c r="AI97" s="1121"/>
      <c r="AJ97" s="2589"/>
      <c r="AK97" s="252">
        <f t="shared" si="35"/>
        <v>0</v>
      </c>
      <c r="AL97" s="252">
        <f t="shared" si="18"/>
        <v>0</v>
      </c>
      <c r="AM97" s="252">
        <f t="shared" si="19"/>
        <v>0</v>
      </c>
      <c r="AN97" s="252">
        <f t="shared" si="20"/>
        <v>0</v>
      </c>
      <c r="AO97" s="252">
        <f t="shared" si="21"/>
        <v>0</v>
      </c>
      <c r="AP97" s="252">
        <f t="shared" si="22"/>
        <v>0</v>
      </c>
      <c r="AQ97" s="252">
        <f t="shared" si="23"/>
        <v>0</v>
      </c>
      <c r="AR97" s="2560"/>
      <c r="AS97" s="252">
        <f t="shared" si="24"/>
        <v>0</v>
      </c>
      <c r="AT97" s="252">
        <f t="shared" si="25"/>
        <v>0</v>
      </c>
      <c r="AU97" s="252">
        <f t="shared" si="26"/>
        <v>0</v>
      </c>
      <c r="AV97" s="252">
        <f t="shared" si="27"/>
        <v>0</v>
      </c>
      <c r="AW97" s="252">
        <f t="shared" si="28"/>
        <v>0</v>
      </c>
      <c r="AX97" s="252">
        <f t="shared" si="29"/>
        <v>0</v>
      </c>
      <c r="AY97" s="252">
        <f t="shared" si="30"/>
        <v>0</v>
      </c>
      <c r="AZ97" s="2560"/>
      <c r="BA97" s="2560"/>
      <c r="BB97" s="252">
        <f t="shared" si="31"/>
        <v>0</v>
      </c>
      <c r="BC97" s="252">
        <f t="shared" si="32"/>
        <v>0</v>
      </c>
      <c r="BD97" s="252">
        <f t="shared" si="33"/>
        <v>0</v>
      </c>
      <c r="BE97" s="252">
        <f t="shared" si="34"/>
        <v>0</v>
      </c>
      <c r="BF97" s="2589"/>
      <c r="BG97" s="1247"/>
      <c r="BH97" s="1247"/>
      <c r="BI97" s="1247"/>
      <c r="BJ97" s="1247"/>
      <c r="BK97" s="1247"/>
      <c r="BL97" s="1247"/>
    </row>
    <row r="98" spans="2:64" ht="15.75" customHeight="1">
      <c r="B98" s="96" t="s">
        <v>12108</v>
      </c>
      <c r="C98" s="97" t="s">
        <v>137</v>
      </c>
      <c r="D98" s="97">
        <v>3</v>
      </c>
      <c r="E98" s="1510"/>
      <c r="F98" s="1510"/>
      <c r="G98" s="1510"/>
      <c r="H98" s="1510"/>
      <c r="I98" s="1510"/>
      <c r="J98" s="1510"/>
      <c r="K98" s="2043"/>
      <c r="L98" s="1977"/>
      <c r="M98" s="2045"/>
      <c r="N98" s="1510"/>
      <c r="O98" s="1510"/>
      <c r="P98" s="1510"/>
      <c r="Q98" s="1510"/>
      <c r="R98" s="1510"/>
      <c r="S98" s="2043"/>
      <c r="T98" s="1974"/>
      <c r="U98" s="1976" t="s">
        <v>12094</v>
      </c>
      <c r="V98" s="1510"/>
      <c r="W98" s="1510"/>
      <c r="X98" s="1510"/>
      <c r="Y98" s="2198"/>
      <c r="Z98" s="2329"/>
      <c r="AA98" s="2329"/>
      <c r="AB98" s="2329"/>
      <c r="AC98" s="2329"/>
      <c r="AD98" s="2330"/>
      <c r="AE98" s="88"/>
      <c r="AF98" s="98" t="s">
        <v>12109</v>
      </c>
      <c r="AG98" s="2560"/>
      <c r="AH98" s="2589"/>
      <c r="AI98" s="1121"/>
      <c r="AJ98" s="2589"/>
      <c r="AK98" s="252">
        <f t="shared" si="35"/>
        <v>0</v>
      </c>
      <c r="AL98" s="252">
        <f t="shared" si="18"/>
        <v>0</v>
      </c>
      <c r="AM98" s="252">
        <f t="shared" si="19"/>
        <v>0</v>
      </c>
      <c r="AN98" s="252">
        <f t="shared" si="20"/>
        <v>0</v>
      </c>
      <c r="AO98" s="252">
        <f t="shared" si="21"/>
        <v>0</v>
      </c>
      <c r="AP98" s="252">
        <f t="shared" si="22"/>
        <v>0</v>
      </c>
      <c r="AQ98" s="252">
        <f t="shared" si="23"/>
        <v>0</v>
      </c>
      <c r="AR98" s="2560"/>
      <c r="AS98" s="252">
        <f t="shared" si="24"/>
        <v>0</v>
      </c>
      <c r="AT98" s="252">
        <f t="shared" si="25"/>
        <v>0</v>
      </c>
      <c r="AU98" s="252">
        <f t="shared" si="26"/>
        <v>0</v>
      </c>
      <c r="AV98" s="252">
        <f t="shared" si="27"/>
        <v>0</v>
      </c>
      <c r="AW98" s="252">
        <f t="shared" si="28"/>
        <v>0</v>
      </c>
      <c r="AX98" s="252">
        <f t="shared" si="29"/>
        <v>0</v>
      </c>
      <c r="AY98" s="252">
        <f t="shared" si="30"/>
        <v>0</v>
      </c>
      <c r="AZ98" s="2560"/>
      <c r="BA98" s="2560"/>
      <c r="BB98" s="252">
        <f t="shared" si="31"/>
        <v>0</v>
      </c>
      <c r="BC98" s="252">
        <f t="shared" si="32"/>
        <v>0</v>
      </c>
      <c r="BD98" s="252">
        <f t="shared" si="33"/>
        <v>0</v>
      </c>
      <c r="BE98" s="252">
        <f t="shared" si="34"/>
        <v>0</v>
      </c>
      <c r="BF98" s="2589"/>
      <c r="BG98" s="1247"/>
      <c r="BH98" s="1247"/>
      <c r="BI98" s="1247"/>
      <c r="BJ98" s="1247"/>
      <c r="BK98" s="1247"/>
      <c r="BL98" s="1247"/>
    </row>
    <row r="99" spans="2:64" ht="15.75" customHeight="1">
      <c r="B99" s="96" t="s">
        <v>12110</v>
      </c>
      <c r="C99" s="97" t="s">
        <v>137</v>
      </c>
      <c r="D99" s="97">
        <v>3</v>
      </c>
      <c r="E99" s="1510"/>
      <c r="F99" s="1510"/>
      <c r="G99" s="1510"/>
      <c r="H99" s="1510"/>
      <c r="I99" s="1510"/>
      <c r="J99" s="1510"/>
      <c r="K99" s="2043"/>
      <c r="L99" s="1977"/>
      <c r="M99" s="2045"/>
      <c r="N99" s="1510"/>
      <c r="O99" s="1510"/>
      <c r="P99" s="1510"/>
      <c r="Q99" s="1510"/>
      <c r="R99" s="1510"/>
      <c r="S99" s="2043"/>
      <c r="T99" s="1974"/>
      <c r="U99" s="1976" t="s">
        <v>12094</v>
      </c>
      <c r="V99" s="1510"/>
      <c r="W99" s="1510"/>
      <c r="X99" s="1510"/>
      <c r="Y99" s="2198"/>
      <c r="Z99" s="2329"/>
      <c r="AA99" s="2329"/>
      <c r="AB99" s="2329"/>
      <c r="AC99" s="2329"/>
      <c r="AD99" s="2330"/>
      <c r="AE99" s="88"/>
      <c r="AF99" s="98" t="s">
        <v>12111</v>
      </c>
      <c r="AG99" s="2560"/>
      <c r="AH99" s="2589"/>
      <c r="AI99" s="1121"/>
      <c r="AJ99" s="2589"/>
      <c r="AK99" s="252">
        <f t="shared" si="35"/>
        <v>0</v>
      </c>
      <c r="AL99" s="252">
        <f t="shared" si="18"/>
        <v>0</v>
      </c>
      <c r="AM99" s="252">
        <f t="shared" si="19"/>
        <v>0</v>
      </c>
      <c r="AN99" s="252">
        <f t="shared" si="20"/>
        <v>0</v>
      </c>
      <c r="AO99" s="252">
        <f t="shared" si="21"/>
        <v>0</v>
      </c>
      <c r="AP99" s="252">
        <f t="shared" si="22"/>
        <v>0</v>
      </c>
      <c r="AQ99" s="252">
        <f t="shared" si="23"/>
        <v>0</v>
      </c>
      <c r="AR99" s="2560"/>
      <c r="AS99" s="252">
        <f t="shared" si="24"/>
        <v>0</v>
      </c>
      <c r="AT99" s="252">
        <f t="shared" si="25"/>
        <v>0</v>
      </c>
      <c r="AU99" s="252">
        <f t="shared" si="26"/>
        <v>0</v>
      </c>
      <c r="AV99" s="252">
        <f t="shared" si="27"/>
        <v>0</v>
      </c>
      <c r="AW99" s="252">
        <f t="shared" si="28"/>
        <v>0</v>
      </c>
      <c r="AX99" s="252">
        <f t="shared" si="29"/>
        <v>0</v>
      </c>
      <c r="AY99" s="252">
        <f t="shared" si="30"/>
        <v>0</v>
      </c>
      <c r="AZ99" s="2560"/>
      <c r="BA99" s="2560"/>
      <c r="BB99" s="252">
        <f t="shared" si="31"/>
        <v>0</v>
      </c>
      <c r="BC99" s="252">
        <f t="shared" si="32"/>
        <v>0</v>
      </c>
      <c r="BD99" s="252">
        <f t="shared" si="33"/>
        <v>0</v>
      </c>
      <c r="BE99" s="252">
        <f t="shared" si="34"/>
        <v>0</v>
      </c>
      <c r="BF99" s="2589"/>
      <c r="BG99" s="1247"/>
      <c r="BH99" s="1247"/>
      <c r="BI99" s="1247"/>
      <c r="BJ99" s="1247"/>
      <c r="BK99" s="1247"/>
      <c r="BL99" s="1247"/>
    </row>
    <row r="100" spans="2:64" ht="15.75" customHeight="1">
      <c r="B100" s="96" t="s">
        <v>12112</v>
      </c>
      <c r="C100" s="97" t="s">
        <v>137</v>
      </c>
      <c r="D100" s="97">
        <v>3</v>
      </c>
      <c r="E100" s="1510"/>
      <c r="F100" s="1510"/>
      <c r="G100" s="1510"/>
      <c r="H100" s="1510"/>
      <c r="I100" s="1510"/>
      <c r="J100" s="1510"/>
      <c r="K100" s="2043"/>
      <c r="L100" s="1977"/>
      <c r="M100" s="2045"/>
      <c r="N100" s="1510"/>
      <c r="O100" s="1510"/>
      <c r="P100" s="1510"/>
      <c r="Q100" s="1510"/>
      <c r="R100" s="1510"/>
      <c r="S100" s="2043"/>
      <c r="T100" s="1974"/>
      <c r="U100" s="1976" t="s">
        <v>12094</v>
      </c>
      <c r="V100" s="1510"/>
      <c r="W100" s="1510"/>
      <c r="X100" s="1510"/>
      <c r="Y100" s="2198"/>
      <c r="Z100" s="2329"/>
      <c r="AA100" s="2329"/>
      <c r="AB100" s="2329"/>
      <c r="AC100" s="2329"/>
      <c r="AD100" s="2330"/>
      <c r="AE100" s="88"/>
      <c r="AF100" s="98" t="s">
        <v>12113</v>
      </c>
      <c r="AG100" s="2560"/>
      <c r="AH100" s="2589"/>
      <c r="AI100" s="1121"/>
      <c r="AJ100" s="2589"/>
      <c r="AK100" s="252">
        <f t="shared" si="35"/>
        <v>0</v>
      </c>
      <c r="AL100" s="252">
        <f t="shared" si="18"/>
        <v>0</v>
      </c>
      <c r="AM100" s="252">
        <f t="shared" si="19"/>
        <v>0</v>
      </c>
      <c r="AN100" s="252">
        <f t="shared" si="20"/>
        <v>0</v>
      </c>
      <c r="AO100" s="252">
        <f t="shared" si="21"/>
        <v>0</v>
      </c>
      <c r="AP100" s="252">
        <f t="shared" si="22"/>
        <v>0</v>
      </c>
      <c r="AQ100" s="252">
        <f t="shared" si="23"/>
        <v>0</v>
      </c>
      <c r="AR100" s="2560"/>
      <c r="AS100" s="252">
        <f t="shared" si="24"/>
        <v>0</v>
      </c>
      <c r="AT100" s="252">
        <f t="shared" si="25"/>
        <v>0</v>
      </c>
      <c r="AU100" s="252">
        <f t="shared" si="26"/>
        <v>0</v>
      </c>
      <c r="AV100" s="252">
        <f t="shared" si="27"/>
        <v>0</v>
      </c>
      <c r="AW100" s="252">
        <f t="shared" si="28"/>
        <v>0</v>
      </c>
      <c r="AX100" s="252">
        <f t="shared" si="29"/>
        <v>0</v>
      </c>
      <c r="AY100" s="252">
        <f t="shared" si="30"/>
        <v>0</v>
      </c>
      <c r="AZ100" s="2560"/>
      <c r="BA100" s="2560"/>
      <c r="BB100" s="252">
        <f t="shared" si="31"/>
        <v>0</v>
      </c>
      <c r="BC100" s="252">
        <f t="shared" si="32"/>
        <v>0</v>
      </c>
      <c r="BD100" s="252">
        <f t="shared" si="33"/>
        <v>0</v>
      </c>
      <c r="BE100" s="252">
        <f t="shared" si="34"/>
        <v>0</v>
      </c>
      <c r="BF100" s="2589"/>
      <c r="BG100" s="1247"/>
      <c r="BH100" s="1247"/>
      <c r="BI100" s="1247"/>
      <c r="BJ100" s="1247"/>
      <c r="BK100" s="1247"/>
      <c r="BL100" s="1247"/>
    </row>
    <row r="101" spans="2:64" ht="15.75" customHeight="1">
      <c r="B101" s="96" t="s">
        <v>12114</v>
      </c>
      <c r="C101" s="97" t="s">
        <v>137</v>
      </c>
      <c r="D101" s="97">
        <v>3</v>
      </c>
      <c r="E101" s="1510"/>
      <c r="F101" s="1510"/>
      <c r="G101" s="1510"/>
      <c r="H101" s="1510"/>
      <c r="I101" s="1510"/>
      <c r="J101" s="1510"/>
      <c r="K101" s="2043"/>
      <c r="L101" s="1977"/>
      <c r="M101" s="2045"/>
      <c r="N101" s="1510"/>
      <c r="O101" s="1510"/>
      <c r="P101" s="1510"/>
      <c r="Q101" s="1510"/>
      <c r="R101" s="1510"/>
      <c r="S101" s="2043"/>
      <c r="T101" s="1974"/>
      <c r="U101" s="1976" t="s">
        <v>12094</v>
      </c>
      <c r="V101" s="1510"/>
      <c r="W101" s="1510"/>
      <c r="X101" s="1510"/>
      <c r="Y101" s="2198"/>
      <c r="Z101" s="2329"/>
      <c r="AA101" s="2329"/>
      <c r="AB101" s="2329"/>
      <c r="AC101" s="2329"/>
      <c r="AD101" s="2330"/>
      <c r="AE101" s="88"/>
      <c r="AF101" s="98" t="s">
        <v>12115</v>
      </c>
      <c r="AG101" s="2560"/>
      <c r="AH101" s="2589"/>
      <c r="AI101" s="1121"/>
      <c r="AJ101" s="2589"/>
      <c r="AK101" s="252">
        <f t="shared" si="35"/>
        <v>0</v>
      </c>
      <c r="AL101" s="252">
        <f t="shared" si="18"/>
        <v>0</v>
      </c>
      <c r="AM101" s="252">
        <f t="shared" si="19"/>
        <v>0</v>
      </c>
      <c r="AN101" s="252">
        <f t="shared" si="20"/>
        <v>0</v>
      </c>
      <c r="AO101" s="252">
        <f t="shared" si="21"/>
        <v>0</v>
      </c>
      <c r="AP101" s="252">
        <f t="shared" si="22"/>
        <v>0</v>
      </c>
      <c r="AQ101" s="252">
        <f t="shared" si="23"/>
        <v>0</v>
      </c>
      <c r="AR101" s="2560"/>
      <c r="AS101" s="252">
        <f t="shared" si="24"/>
        <v>0</v>
      </c>
      <c r="AT101" s="252">
        <f t="shared" si="25"/>
        <v>0</v>
      </c>
      <c r="AU101" s="252">
        <f t="shared" si="26"/>
        <v>0</v>
      </c>
      <c r="AV101" s="252">
        <f t="shared" si="27"/>
        <v>0</v>
      </c>
      <c r="AW101" s="252">
        <f t="shared" si="28"/>
        <v>0</v>
      </c>
      <c r="AX101" s="252">
        <f t="shared" si="29"/>
        <v>0</v>
      </c>
      <c r="AY101" s="252">
        <f t="shared" si="30"/>
        <v>0</v>
      </c>
      <c r="AZ101" s="2560"/>
      <c r="BA101" s="2560"/>
      <c r="BB101" s="252">
        <f t="shared" si="31"/>
        <v>0</v>
      </c>
      <c r="BC101" s="252">
        <f t="shared" si="32"/>
        <v>0</v>
      </c>
      <c r="BD101" s="252">
        <f t="shared" si="33"/>
        <v>0</v>
      </c>
      <c r="BE101" s="252">
        <f t="shared" si="34"/>
        <v>0</v>
      </c>
      <c r="BF101" s="2589"/>
      <c r="BG101" s="1247"/>
      <c r="BH101" s="1247"/>
      <c r="BI101" s="1247"/>
      <c r="BJ101" s="1247"/>
      <c r="BK101" s="1247"/>
      <c r="BL101" s="1247"/>
    </row>
    <row r="102" spans="2:64" ht="15.75" customHeight="1">
      <c r="B102" s="96" t="s">
        <v>12116</v>
      </c>
      <c r="C102" s="97" t="s">
        <v>137</v>
      </c>
      <c r="D102" s="97">
        <v>3</v>
      </c>
      <c r="E102" s="1510"/>
      <c r="F102" s="1510"/>
      <c r="G102" s="1510"/>
      <c r="H102" s="1510"/>
      <c r="I102" s="1510"/>
      <c r="J102" s="1510"/>
      <c r="K102" s="2043"/>
      <c r="L102" s="1977"/>
      <c r="M102" s="2045"/>
      <c r="N102" s="1510"/>
      <c r="O102" s="1510"/>
      <c r="P102" s="1510"/>
      <c r="Q102" s="1510"/>
      <c r="R102" s="1510"/>
      <c r="S102" s="2043"/>
      <c r="T102" s="1974"/>
      <c r="U102" s="1976" t="s">
        <v>12094</v>
      </c>
      <c r="V102" s="1510"/>
      <c r="W102" s="1510"/>
      <c r="X102" s="1510"/>
      <c r="Y102" s="2198"/>
      <c r="Z102" s="2329"/>
      <c r="AA102" s="2329"/>
      <c r="AB102" s="2329"/>
      <c r="AC102" s="2329"/>
      <c r="AD102" s="2330"/>
      <c r="AE102" s="88"/>
      <c r="AF102" s="98" t="s">
        <v>12117</v>
      </c>
      <c r="AG102" s="2560"/>
      <c r="AH102" s="2589"/>
      <c r="AI102" s="1121"/>
      <c r="AJ102" s="2589"/>
      <c r="AK102" s="252">
        <f t="shared" si="35"/>
        <v>0</v>
      </c>
      <c r="AL102" s="252">
        <f t="shared" si="18"/>
        <v>0</v>
      </c>
      <c r="AM102" s="252">
        <f t="shared" si="19"/>
        <v>0</v>
      </c>
      <c r="AN102" s="252">
        <f t="shared" si="20"/>
        <v>0</v>
      </c>
      <c r="AO102" s="252">
        <f t="shared" si="21"/>
        <v>0</v>
      </c>
      <c r="AP102" s="252">
        <f t="shared" si="22"/>
        <v>0</v>
      </c>
      <c r="AQ102" s="252">
        <f t="shared" si="23"/>
        <v>0</v>
      </c>
      <c r="AR102" s="2560"/>
      <c r="AS102" s="252">
        <f t="shared" si="24"/>
        <v>0</v>
      </c>
      <c r="AT102" s="252">
        <f t="shared" si="25"/>
        <v>0</v>
      </c>
      <c r="AU102" s="252">
        <f t="shared" si="26"/>
        <v>0</v>
      </c>
      <c r="AV102" s="252">
        <f t="shared" si="27"/>
        <v>0</v>
      </c>
      <c r="AW102" s="252">
        <f t="shared" si="28"/>
        <v>0</v>
      </c>
      <c r="AX102" s="252">
        <f t="shared" si="29"/>
        <v>0</v>
      </c>
      <c r="AY102" s="252">
        <f t="shared" si="30"/>
        <v>0</v>
      </c>
      <c r="AZ102" s="2560"/>
      <c r="BA102" s="2560"/>
      <c r="BB102" s="252">
        <f t="shared" si="31"/>
        <v>0</v>
      </c>
      <c r="BC102" s="252">
        <f t="shared" si="32"/>
        <v>0</v>
      </c>
      <c r="BD102" s="252">
        <f t="shared" si="33"/>
        <v>0</v>
      </c>
      <c r="BE102" s="252">
        <f t="shared" si="34"/>
        <v>0</v>
      </c>
      <c r="BF102" s="2589"/>
      <c r="BG102" s="1247"/>
      <c r="BH102" s="1247"/>
      <c r="BI102" s="1247"/>
      <c r="BJ102" s="1247"/>
      <c r="BK102" s="1247"/>
      <c r="BL102" s="1247"/>
    </row>
    <row r="103" spans="2:64" ht="15.75" customHeight="1">
      <c r="B103" s="96" t="s">
        <v>12118</v>
      </c>
      <c r="C103" s="97" t="s">
        <v>137</v>
      </c>
      <c r="D103" s="97">
        <v>3</v>
      </c>
      <c r="E103" s="1510"/>
      <c r="F103" s="1510"/>
      <c r="G103" s="1510"/>
      <c r="H103" s="1510"/>
      <c r="I103" s="1510"/>
      <c r="J103" s="1510"/>
      <c r="K103" s="2043"/>
      <c r="L103" s="1977"/>
      <c r="M103" s="2045"/>
      <c r="N103" s="1510"/>
      <c r="O103" s="1510"/>
      <c r="P103" s="1510"/>
      <c r="Q103" s="1510"/>
      <c r="R103" s="1510"/>
      <c r="S103" s="2043"/>
      <c r="T103" s="1974"/>
      <c r="U103" s="1976" t="s">
        <v>12094</v>
      </c>
      <c r="V103" s="1510"/>
      <c r="W103" s="1510"/>
      <c r="X103" s="1510"/>
      <c r="Y103" s="2198"/>
      <c r="Z103" s="2329"/>
      <c r="AA103" s="2329"/>
      <c r="AB103" s="2329"/>
      <c r="AC103" s="2329"/>
      <c r="AD103" s="2330"/>
      <c r="AE103" s="88"/>
      <c r="AF103" s="98" t="s">
        <v>12119</v>
      </c>
      <c r="AG103" s="2560"/>
      <c r="AH103" s="2589"/>
      <c r="AI103" s="1121"/>
      <c r="AJ103" s="2589"/>
      <c r="AK103" s="252">
        <f t="shared" si="35"/>
        <v>0</v>
      </c>
      <c r="AL103" s="252">
        <f t="shared" si="18"/>
        <v>0</v>
      </c>
      <c r="AM103" s="252">
        <f t="shared" si="19"/>
        <v>0</v>
      </c>
      <c r="AN103" s="252">
        <f t="shared" si="20"/>
        <v>0</v>
      </c>
      <c r="AO103" s="252">
        <f t="shared" si="21"/>
        <v>0</v>
      </c>
      <c r="AP103" s="252">
        <f t="shared" si="22"/>
        <v>0</v>
      </c>
      <c r="AQ103" s="252">
        <f t="shared" si="23"/>
        <v>0</v>
      </c>
      <c r="AR103" s="2560"/>
      <c r="AS103" s="252">
        <f t="shared" si="24"/>
        <v>0</v>
      </c>
      <c r="AT103" s="252">
        <f t="shared" si="25"/>
        <v>0</v>
      </c>
      <c r="AU103" s="252">
        <f t="shared" si="26"/>
        <v>0</v>
      </c>
      <c r="AV103" s="252">
        <f t="shared" si="27"/>
        <v>0</v>
      </c>
      <c r="AW103" s="252">
        <f t="shared" si="28"/>
        <v>0</v>
      </c>
      <c r="AX103" s="252">
        <f t="shared" si="29"/>
        <v>0</v>
      </c>
      <c r="AY103" s="252">
        <f t="shared" si="30"/>
        <v>0</v>
      </c>
      <c r="AZ103" s="2560"/>
      <c r="BA103" s="2560"/>
      <c r="BB103" s="252">
        <f t="shared" si="31"/>
        <v>0</v>
      </c>
      <c r="BC103" s="252">
        <f t="shared" si="32"/>
        <v>0</v>
      </c>
      <c r="BD103" s="252">
        <f t="shared" si="33"/>
        <v>0</v>
      </c>
      <c r="BE103" s="252">
        <f t="shared" si="34"/>
        <v>0</v>
      </c>
      <c r="BF103" s="2589"/>
      <c r="BG103" s="1247"/>
      <c r="BH103" s="1247"/>
      <c r="BI103" s="1247"/>
      <c r="BJ103" s="1247"/>
      <c r="BK103" s="1247"/>
      <c r="BL103" s="1247"/>
    </row>
    <row r="104" spans="2:64" ht="15.75" customHeight="1">
      <c r="B104" s="96" t="s">
        <v>12120</v>
      </c>
      <c r="C104" s="97" t="s">
        <v>137</v>
      </c>
      <c r="D104" s="97">
        <v>3</v>
      </c>
      <c r="E104" s="1510"/>
      <c r="F104" s="1510"/>
      <c r="G104" s="1510"/>
      <c r="H104" s="1510"/>
      <c r="I104" s="1510"/>
      <c r="J104" s="1510"/>
      <c r="K104" s="2043"/>
      <c r="L104" s="1977"/>
      <c r="M104" s="2045"/>
      <c r="N104" s="1510"/>
      <c r="O104" s="1510"/>
      <c r="P104" s="1510"/>
      <c r="Q104" s="1510"/>
      <c r="R104" s="1510"/>
      <c r="S104" s="2043"/>
      <c r="T104" s="1974"/>
      <c r="U104" s="1976" t="s">
        <v>12094</v>
      </c>
      <c r="V104" s="1510"/>
      <c r="W104" s="1510"/>
      <c r="X104" s="1510"/>
      <c r="Y104" s="2198"/>
      <c r="Z104" s="2329"/>
      <c r="AA104" s="2329"/>
      <c r="AB104" s="2329"/>
      <c r="AC104" s="2329"/>
      <c r="AD104" s="2330"/>
      <c r="AE104" s="88"/>
      <c r="AF104" s="98" t="s">
        <v>12121</v>
      </c>
      <c r="AG104" s="2560"/>
      <c r="AH104" s="2589"/>
      <c r="AI104" s="1121"/>
      <c r="AJ104" s="2589"/>
      <c r="AK104" s="252">
        <f t="shared" si="35"/>
        <v>0</v>
      </c>
      <c r="AL104" s="252">
        <f t="shared" si="18"/>
        <v>0</v>
      </c>
      <c r="AM104" s="252">
        <f t="shared" si="19"/>
        <v>0</v>
      </c>
      <c r="AN104" s="252">
        <f t="shared" si="20"/>
        <v>0</v>
      </c>
      <c r="AO104" s="252">
        <f t="shared" si="21"/>
        <v>0</v>
      </c>
      <c r="AP104" s="252">
        <f t="shared" si="22"/>
        <v>0</v>
      </c>
      <c r="AQ104" s="252">
        <f t="shared" si="23"/>
        <v>0</v>
      </c>
      <c r="AR104" s="2560"/>
      <c r="AS104" s="252">
        <f t="shared" si="24"/>
        <v>0</v>
      </c>
      <c r="AT104" s="252">
        <f t="shared" si="25"/>
        <v>0</v>
      </c>
      <c r="AU104" s="252">
        <f t="shared" si="26"/>
        <v>0</v>
      </c>
      <c r="AV104" s="252">
        <f t="shared" si="27"/>
        <v>0</v>
      </c>
      <c r="AW104" s="252">
        <f t="shared" si="28"/>
        <v>0</v>
      </c>
      <c r="AX104" s="252">
        <f t="shared" si="29"/>
        <v>0</v>
      </c>
      <c r="AY104" s="252">
        <f t="shared" si="30"/>
        <v>0</v>
      </c>
      <c r="AZ104" s="2560"/>
      <c r="BA104" s="2560"/>
      <c r="BB104" s="252">
        <f t="shared" si="31"/>
        <v>0</v>
      </c>
      <c r="BC104" s="252">
        <f t="shared" si="32"/>
        <v>0</v>
      </c>
      <c r="BD104" s="252">
        <f t="shared" si="33"/>
        <v>0</v>
      </c>
      <c r="BE104" s="252">
        <f t="shared" si="34"/>
        <v>0</v>
      </c>
      <c r="BF104" s="2589"/>
      <c r="BG104" s="1247"/>
      <c r="BH104" s="1247"/>
      <c r="BI104" s="1247"/>
      <c r="BJ104" s="1247"/>
      <c r="BK104" s="1247"/>
      <c r="BL104" s="1247"/>
    </row>
    <row r="105" spans="2:64" ht="15.75" customHeight="1">
      <c r="B105" s="96" t="s">
        <v>12122</v>
      </c>
      <c r="C105" s="97" t="s">
        <v>137</v>
      </c>
      <c r="D105" s="97">
        <v>3</v>
      </c>
      <c r="E105" s="1510"/>
      <c r="F105" s="1510"/>
      <c r="G105" s="1510"/>
      <c r="H105" s="1510"/>
      <c r="I105" s="1510"/>
      <c r="J105" s="1510"/>
      <c r="K105" s="2043"/>
      <c r="L105" s="1977"/>
      <c r="M105" s="2045"/>
      <c r="N105" s="1510"/>
      <c r="O105" s="1510"/>
      <c r="P105" s="1510"/>
      <c r="Q105" s="1510"/>
      <c r="R105" s="1510"/>
      <c r="S105" s="2043"/>
      <c r="T105" s="1974"/>
      <c r="U105" s="1976" t="s">
        <v>12094</v>
      </c>
      <c r="V105" s="1510"/>
      <c r="W105" s="1510"/>
      <c r="X105" s="1510"/>
      <c r="Y105" s="2198"/>
      <c r="Z105" s="2329"/>
      <c r="AA105" s="2329"/>
      <c r="AB105" s="2329"/>
      <c r="AC105" s="2329"/>
      <c r="AD105" s="2330"/>
      <c r="AE105" s="88"/>
      <c r="AF105" s="98" t="s">
        <v>12123</v>
      </c>
      <c r="AG105" s="2560"/>
      <c r="AH105" s="2589"/>
      <c r="AI105" s="1121"/>
      <c r="AJ105" s="2589"/>
      <c r="AK105" s="252">
        <f t="shared" si="35"/>
        <v>0</v>
      </c>
      <c r="AL105" s="252">
        <f t="shared" si="18"/>
        <v>0</v>
      </c>
      <c r="AM105" s="252">
        <f t="shared" si="19"/>
        <v>0</v>
      </c>
      <c r="AN105" s="252">
        <f t="shared" si="20"/>
        <v>0</v>
      </c>
      <c r="AO105" s="252">
        <f t="shared" si="21"/>
        <v>0</v>
      </c>
      <c r="AP105" s="252">
        <f t="shared" si="22"/>
        <v>0</v>
      </c>
      <c r="AQ105" s="252">
        <f t="shared" si="23"/>
        <v>0</v>
      </c>
      <c r="AR105" s="2560"/>
      <c r="AS105" s="252">
        <f t="shared" si="24"/>
        <v>0</v>
      </c>
      <c r="AT105" s="252">
        <f t="shared" si="25"/>
        <v>0</v>
      </c>
      <c r="AU105" s="252">
        <f t="shared" si="26"/>
        <v>0</v>
      </c>
      <c r="AV105" s="252">
        <f t="shared" si="27"/>
        <v>0</v>
      </c>
      <c r="AW105" s="252">
        <f t="shared" si="28"/>
        <v>0</v>
      </c>
      <c r="AX105" s="252">
        <f t="shared" si="29"/>
        <v>0</v>
      </c>
      <c r="AY105" s="252">
        <f t="shared" si="30"/>
        <v>0</v>
      </c>
      <c r="AZ105" s="2560"/>
      <c r="BA105" s="2560"/>
      <c r="BB105" s="252">
        <f t="shared" si="31"/>
        <v>0</v>
      </c>
      <c r="BC105" s="252">
        <f t="shared" si="32"/>
        <v>0</v>
      </c>
      <c r="BD105" s="252">
        <f t="shared" si="33"/>
        <v>0</v>
      </c>
      <c r="BE105" s="252">
        <f t="shared" si="34"/>
        <v>0</v>
      </c>
      <c r="BF105" s="2589"/>
      <c r="BG105" s="1247"/>
      <c r="BH105" s="1247"/>
      <c r="BI105" s="1247"/>
      <c r="BJ105" s="1247"/>
      <c r="BK105" s="1247"/>
      <c r="BL105" s="1247"/>
    </row>
    <row r="106" spans="2:64" ht="15.75" customHeight="1">
      <c r="B106" s="96" t="s">
        <v>12124</v>
      </c>
      <c r="C106" s="97" t="s">
        <v>137</v>
      </c>
      <c r="D106" s="97">
        <v>3</v>
      </c>
      <c r="E106" s="1510"/>
      <c r="F106" s="1510"/>
      <c r="G106" s="1510"/>
      <c r="H106" s="1510"/>
      <c r="I106" s="1510"/>
      <c r="J106" s="1510"/>
      <c r="K106" s="2043"/>
      <c r="L106" s="1977"/>
      <c r="M106" s="2045"/>
      <c r="N106" s="1510"/>
      <c r="O106" s="1510"/>
      <c r="P106" s="1510"/>
      <c r="Q106" s="1510"/>
      <c r="R106" s="1510"/>
      <c r="S106" s="2043"/>
      <c r="T106" s="1974"/>
      <c r="U106" s="1976" t="s">
        <v>12094</v>
      </c>
      <c r="V106" s="1510"/>
      <c r="W106" s="1510"/>
      <c r="X106" s="1510"/>
      <c r="Y106" s="2198"/>
      <c r="Z106" s="2329"/>
      <c r="AA106" s="2329"/>
      <c r="AB106" s="2329"/>
      <c r="AC106" s="2329"/>
      <c r="AD106" s="2330"/>
      <c r="AE106" s="88"/>
      <c r="AF106" s="98" t="s">
        <v>12125</v>
      </c>
      <c r="AG106" s="2560"/>
      <c r="AH106" s="2589"/>
      <c r="AI106" s="1121"/>
      <c r="AJ106" s="2589"/>
      <c r="AK106" s="252">
        <f t="shared" si="35"/>
        <v>0</v>
      </c>
      <c r="AL106" s="252">
        <f t="shared" si="18"/>
        <v>0</v>
      </c>
      <c r="AM106" s="252">
        <f t="shared" si="19"/>
        <v>0</v>
      </c>
      <c r="AN106" s="252">
        <f t="shared" si="20"/>
        <v>0</v>
      </c>
      <c r="AO106" s="252">
        <f t="shared" si="21"/>
        <v>0</v>
      </c>
      <c r="AP106" s="252">
        <f t="shared" si="22"/>
        <v>0</v>
      </c>
      <c r="AQ106" s="252">
        <f t="shared" si="23"/>
        <v>0</v>
      </c>
      <c r="AR106" s="2560"/>
      <c r="AS106" s="252">
        <f t="shared" si="24"/>
        <v>0</v>
      </c>
      <c r="AT106" s="252">
        <f t="shared" si="25"/>
        <v>0</v>
      </c>
      <c r="AU106" s="252">
        <f t="shared" si="26"/>
        <v>0</v>
      </c>
      <c r="AV106" s="252">
        <f t="shared" si="27"/>
        <v>0</v>
      </c>
      <c r="AW106" s="252">
        <f t="shared" si="28"/>
        <v>0</v>
      </c>
      <c r="AX106" s="252">
        <f t="shared" si="29"/>
        <v>0</v>
      </c>
      <c r="AY106" s="252">
        <f t="shared" si="30"/>
        <v>0</v>
      </c>
      <c r="AZ106" s="2560"/>
      <c r="BA106" s="2560"/>
      <c r="BB106" s="252">
        <f t="shared" si="31"/>
        <v>0</v>
      </c>
      <c r="BC106" s="252">
        <f t="shared" si="32"/>
        <v>0</v>
      </c>
      <c r="BD106" s="252">
        <f t="shared" si="33"/>
        <v>0</v>
      </c>
      <c r="BE106" s="252">
        <f t="shared" si="34"/>
        <v>0</v>
      </c>
      <c r="BF106" s="2589"/>
      <c r="BG106" s="1247"/>
      <c r="BH106" s="1247"/>
      <c r="BI106" s="1247"/>
      <c r="BJ106" s="1247"/>
      <c r="BK106" s="1247"/>
      <c r="BL106" s="1247"/>
    </row>
    <row r="107" spans="2:64" ht="15.75" customHeight="1">
      <c r="B107" s="96" t="s">
        <v>12126</v>
      </c>
      <c r="C107" s="97" t="s">
        <v>137</v>
      </c>
      <c r="D107" s="97">
        <v>3</v>
      </c>
      <c r="E107" s="1510"/>
      <c r="F107" s="1510"/>
      <c r="G107" s="1510"/>
      <c r="H107" s="1510"/>
      <c r="I107" s="1510"/>
      <c r="J107" s="1510"/>
      <c r="K107" s="2043"/>
      <c r="L107" s="1977"/>
      <c r="M107" s="2045"/>
      <c r="N107" s="1510"/>
      <c r="O107" s="1510"/>
      <c r="P107" s="1510"/>
      <c r="Q107" s="1510"/>
      <c r="R107" s="1510"/>
      <c r="S107" s="2043"/>
      <c r="T107" s="1974"/>
      <c r="U107" s="1976" t="s">
        <v>12094</v>
      </c>
      <c r="V107" s="1510"/>
      <c r="W107" s="1510"/>
      <c r="X107" s="1510"/>
      <c r="Y107" s="2198"/>
      <c r="Z107" s="2329"/>
      <c r="AA107" s="2329"/>
      <c r="AB107" s="2329"/>
      <c r="AC107" s="2329"/>
      <c r="AD107" s="2330"/>
      <c r="AE107" s="88"/>
      <c r="AF107" s="98" t="s">
        <v>12127</v>
      </c>
      <c r="AG107" s="2560"/>
      <c r="AH107" s="2589"/>
      <c r="AI107" s="1121"/>
      <c r="AJ107" s="2589"/>
      <c r="AK107" s="252">
        <f t="shared" si="35"/>
        <v>0</v>
      </c>
      <c r="AL107" s="252">
        <f t="shared" si="18"/>
        <v>0</v>
      </c>
      <c r="AM107" s="252">
        <f t="shared" si="19"/>
        <v>0</v>
      </c>
      <c r="AN107" s="252">
        <f t="shared" si="20"/>
        <v>0</v>
      </c>
      <c r="AO107" s="252">
        <f t="shared" si="21"/>
        <v>0</v>
      </c>
      <c r="AP107" s="252">
        <f t="shared" si="22"/>
        <v>0</v>
      </c>
      <c r="AQ107" s="252">
        <f t="shared" si="23"/>
        <v>0</v>
      </c>
      <c r="AR107" s="2560"/>
      <c r="AS107" s="252">
        <f t="shared" si="24"/>
        <v>0</v>
      </c>
      <c r="AT107" s="252">
        <f t="shared" si="25"/>
        <v>0</v>
      </c>
      <c r="AU107" s="252">
        <f t="shared" si="26"/>
        <v>0</v>
      </c>
      <c r="AV107" s="252">
        <f t="shared" si="27"/>
        <v>0</v>
      </c>
      <c r="AW107" s="252">
        <f t="shared" si="28"/>
        <v>0</v>
      </c>
      <c r="AX107" s="252">
        <f t="shared" si="29"/>
        <v>0</v>
      </c>
      <c r="AY107" s="252">
        <f t="shared" si="30"/>
        <v>0</v>
      </c>
      <c r="AZ107" s="2560"/>
      <c r="BA107" s="2560"/>
      <c r="BB107" s="252">
        <f t="shared" si="31"/>
        <v>0</v>
      </c>
      <c r="BC107" s="252">
        <f t="shared" si="32"/>
        <v>0</v>
      </c>
      <c r="BD107" s="252">
        <f t="shared" si="33"/>
        <v>0</v>
      </c>
      <c r="BE107" s="252">
        <f t="shared" si="34"/>
        <v>0</v>
      </c>
      <c r="BF107" s="2589"/>
      <c r="BG107" s="1247"/>
      <c r="BH107" s="1247"/>
      <c r="BI107" s="1247"/>
      <c r="BJ107" s="1247"/>
      <c r="BK107" s="1247"/>
      <c r="BL107" s="1247"/>
    </row>
    <row r="108" spans="2:64" ht="15.75" customHeight="1">
      <c r="B108" s="96" t="s">
        <v>12128</v>
      </c>
      <c r="C108" s="97" t="s">
        <v>137</v>
      </c>
      <c r="D108" s="97">
        <v>3</v>
      </c>
      <c r="E108" s="1510"/>
      <c r="F108" s="1510"/>
      <c r="G108" s="1510"/>
      <c r="H108" s="1510"/>
      <c r="I108" s="1510"/>
      <c r="J108" s="1510"/>
      <c r="K108" s="2043"/>
      <c r="L108" s="1977"/>
      <c r="M108" s="2045"/>
      <c r="N108" s="1510"/>
      <c r="O108" s="1510"/>
      <c r="P108" s="1510"/>
      <c r="Q108" s="1510"/>
      <c r="R108" s="1510"/>
      <c r="S108" s="2043"/>
      <c r="T108" s="1974"/>
      <c r="U108" s="1976" t="s">
        <v>12094</v>
      </c>
      <c r="V108" s="1510"/>
      <c r="W108" s="1510"/>
      <c r="X108" s="1510"/>
      <c r="Y108" s="2198"/>
      <c r="Z108" s="2329"/>
      <c r="AA108" s="2329"/>
      <c r="AB108" s="2329"/>
      <c r="AC108" s="2329"/>
      <c r="AD108" s="2330"/>
      <c r="AE108" s="88"/>
      <c r="AF108" s="98" t="s">
        <v>12129</v>
      </c>
      <c r="AG108" s="2560"/>
      <c r="AH108" s="2589"/>
      <c r="AI108" s="1121"/>
      <c r="AJ108" s="2589"/>
      <c r="AK108" s="252">
        <f t="shared" si="35"/>
        <v>0</v>
      </c>
      <c r="AL108" s="252">
        <f t="shared" si="18"/>
        <v>0</v>
      </c>
      <c r="AM108" s="252">
        <f t="shared" si="19"/>
        <v>0</v>
      </c>
      <c r="AN108" s="252">
        <f t="shared" si="20"/>
        <v>0</v>
      </c>
      <c r="AO108" s="252">
        <f t="shared" si="21"/>
        <v>0</v>
      </c>
      <c r="AP108" s="252">
        <f t="shared" si="22"/>
        <v>0</v>
      </c>
      <c r="AQ108" s="252">
        <f t="shared" si="23"/>
        <v>0</v>
      </c>
      <c r="AR108" s="2560"/>
      <c r="AS108" s="252">
        <f t="shared" si="24"/>
        <v>0</v>
      </c>
      <c r="AT108" s="252">
        <f t="shared" si="25"/>
        <v>0</v>
      </c>
      <c r="AU108" s="252">
        <f t="shared" si="26"/>
        <v>0</v>
      </c>
      <c r="AV108" s="252">
        <f t="shared" si="27"/>
        <v>0</v>
      </c>
      <c r="AW108" s="252">
        <f t="shared" si="28"/>
        <v>0</v>
      </c>
      <c r="AX108" s="252">
        <f t="shared" si="29"/>
        <v>0</v>
      </c>
      <c r="AY108" s="252">
        <f t="shared" si="30"/>
        <v>0</v>
      </c>
      <c r="AZ108" s="2560"/>
      <c r="BA108" s="2560"/>
      <c r="BB108" s="252">
        <f t="shared" si="31"/>
        <v>0</v>
      </c>
      <c r="BC108" s="252">
        <f t="shared" si="32"/>
        <v>0</v>
      </c>
      <c r="BD108" s="252">
        <f t="shared" si="33"/>
        <v>0</v>
      </c>
      <c r="BE108" s="252">
        <f t="shared" si="34"/>
        <v>0</v>
      </c>
      <c r="BF108" s="2589"/>
      <c r="BG108" s="1247"/>
      <c r="BH108" s="1247"/>
      <c r="BI108" s="1247"/>
      <c r="BJ108" s="1247"/>
      <c r="BK108" s="1247"/>
      <c r="BL108" s="1247"/>
    </row>
    <row r="109" spans="2:64" ht="15.75" customHeight="1">
      <c r="B109" s="96" t="s">
        <v>12130</v>
      </c>
      <c r="C109" s="97" t="s">
        <v>137</v>
      </c>
      <c r="D109" s="97">
        <v>3</v>
      </c>
      <c r="E109" s="1510"/>
      <c r="F109" s="1510"/>
      <c r="G109" s="1510"/>
      <c r="H109" s="1510"/>
      <c r="I109" s="1510"/>
      <c r="J109" s="1510"/>
      <c r="K109" s="2043"/>
      <c r="L109" s="1977"/>
      <c r="M109" s="2045"/>
      <c r="N109" s="1510"/>
      <c r="O109" s="1510"/>
      <c r="P109" s="1510"/>
      <c r="Q109" s="1510"/>
      <c r="R109" s="1510"/>
      <c r="S109" s="2043"/>
      <c r="T109" s="1974"/>
      <c r="U109" s="1976" t="s">
        <v>12094</v>
      </c>
      <c r="V109" s="1510"/>
      <c r="W109" s="1510"/>
      <c r="X109" s="1510"/>
      <c r="Y109" s="2198"/>
      <c r="Z109" s="2329"/>
      <c r="AA109" s="2329"/>
      <c r="AB109" s="2329"/>
      <c r="AC109" s="2329"/>
      <c r="AD109" s="2330"/>
      <c r="AE109" s="88"/>
      <c r="AF109" s="98" t="s">
        <v>12131</v>
      </c>
      <c r="AG109" s="2560"/>
      <c r="AH109" s="2589"/>
      <c r="AI109" s="1121"/>
      <c r="AJ109" s="2589"/>
      <c r="AK109" s="252">
        <f t="shared" si="35"/>
        <v>0</v>
      </c>
      <c r="AL109" s="252">
        <f t="shared" si="18"/>
        <v>0</v>
      </c>
      <c r="AM109" s="252">
        <f t="shared" si="19"/>
        <v>0</v>
      </c>
      <c r="AN109" s="252">
        <f t="shared" si="20"/>
        <v>0</v>
      </c>
      <c r="AO109" s="252">
        <f t="shared" si="21"/>
        <v>0</v>
      </c>
      <c r="AP109" s="252">
        <f t="shared" si="22"/>
        <v>0</v>
      </c>
      <c r="AQ109" s="252">
        <f t="shared" si="23"/>
        <v>0</v>
      </c>
      <c r="AR109" s="2560"/>
      <c r="AS109" s="252">
        <f t="shared" si="24"/>
        <v>0</v>
      </c>
      <c r="AT109" s="252">
        <f t="shared" si="25"/>
        <v>0</v>
      </c>
      <c r="AU109" s="252">
        <f t="shared" si="26"/>
        <v>0</v>
      </c>
      <c r="AV109" s="252">
        <f t="shared" si="27"/>
        <v>0</v>
      </c>
      <c r="AW109" s="252">
        <f t="shared" si="28"/>
        <v>0</v>
      </c>
      <c r="AX109" s="252">
        <f t="shared" si="29"/>
        <v>0</v>
      </c>
      <c r="AY109" s="252">
        <f t="shared" si="30"/>
        <v>0</v>
      </c>
      <c r="AZ109" s="2560"/>
      <c r="BA109" s="2560"/>
      <c r="BB109" s="252">
        <f t="shared" si="31"/>
        <v>0</v>
      </c>
      <c r="BC109" s="252">
        <f t="shared" si="32"/>
        <v>0</v>
      </c>
      <c r="BD109" s="252">
        <f t="shared" si="33"/>
        <v>0</v>
      </c>
      <c r="BE109" s="252">
        <f t="shared" si="34"/>
        <v>0</v>
      </c>
      <c r="BF109" s="2589"/>
      <c r="BG109" s="1247"/>
      <c r="BH109" s="1247"/>
      <c r="BI109" s="1247"/>
      <c r="BJ109" s="1247"/>
      <c r="BK109" s="1247"/>
      <c r="BL109" s="1247"/>
    </row>
    <row r="110" spans="2:64" ht="15.75" customHeight="1">
      <c r="B110" s="96" t="s">
        <v>12132</v>
      </c>
      <c r="C110" s="97" t="s">
        <v>137</v>
      </c>
      <c r="D110" s="97">
        <v>3</v>
      </c>
      <c r="E110" s="1510"/>
      <c r="F110" s="1510"/>
      <c r="G110" s="1510"/>
      <c r="H110" s="1510"/>
      <c r="I110" s="1510"/>
      <c r="J110" s="1510"/>
      <c r="K110" s="2043"/>
      <c r="L110" s="1977"/>
      <c r="M110" s="2045"/>
      <c r="N110" s="1510"/>
      <c r="O110" s="1510"/>
      <c r="P110" s="1510"/>
      <c r="Q110" s="1510"/>
      <c r="R110" s="1510"/>
      <c r="S110" s="2043"/>
      <c r="T110" s="1974"/>
      <c r="U110" s="1976" t="s">
        <v>12094</v>
      </c>
      <c r="V110" s="1510"/>
      <c r="W110" s="1510"/>
      <c r="X110" s="1510"/>
      <c r="Y110" s="2198"/>
      <c r="Z110" s="2329"/>
      <c r="AA110" s="2329"/>
      <c r="AB110" s="2329"/>
      <c r="AC110" s="2329"/>
      <c r="AD110" s="2330"/>
      <c r="AE110" s="88"/>
      <c r="AF110" s="98" t="s">
        <v>12133</v>
      </c>
      <c r="AG110" s="2560"/>
      <c r="AH110" s="2589"/>
      <c r="AI110" s="1121"/>
      <c r="AJ110" s="2589"/>
      <c r="AK110" s="252">
        <f t="shared" si="35"/>
        <v>0</v>
      </c>
      <c r="AL110" s="252">
        <f t="shared" si="18"/>
        <v>0</v>
      </c>
      <c r="AM110" s="252">
        <f t="shared" si="19"/>
        <v>0</v>
      </c>
      <c r="AN110" s="252">
        <f t="shared" si="20"/>
        <v>0</v>
      </c>
      <c r="AO110" s="252">
        <f t="shared" si="21"/>
        <v>0</v>
      </c>
      <c r="AP110" s="252">
        <f t="shared" si="22"/>
        <v>0</v>
      </c>
      <c r="AQ110" s="252">
        <f t="shared" si="23"/>
        <v>0</v>
      </c>
      <c r="AR110" s="2560"/>
      <c r="AS110" s="252">
        <f t="shared" si="24"/>
        <v>0</v>
      </c>
      <c r="AT110" s="252">
        <f t="shared" si="25"/>
        <v>0</v>
      </c>
      <c r="AU110" s="252">
        <f t="shared" si="26"/>
        <v>0</v>
      </c>
      <c r="AV110" s="252">
        <f t="shared" si="27"/>
        <v>0</v>
      </c>
      <c r="AW110" s="252">
        <f t="shared" si="28"/>
        <v>0</v>
      </c>
      <c r="AX110" s="252">
        <f t="shared" si="29"/>
        <v>0</v>
      </c>
      <c r="AY110" s="252">
        <f t="shared" si="30"/>
        <v>0</v>
      </c>
      <c r="AZ110" s="2560"/>
      <c r="BA110" s="2560"/>
      <c r="BB110" s="252">
        <f t="shared" si="31"/>
        <v>0</v>
      </c>
      <c r="BC110" s="252">
        <f t="shared" si="32"/>
        <v>0</v>
      </c>
      <c r="BD110" s="252">
        <f t="shared" si="33"/>
        <v>0</v>
      </c>
      <c r="BE110" s="252">
        <f t="shared" si="34"/>
        <v>0</v>
      </c>
      <c r="BF110" s="2589"/>
      <c r="BG110" s="1247"/>
      <c r="BH110" s="1247"/>
      <c r="BI110" s="1247"/>
      <c r="BJ110" s="1247"/>
      <c r="BK110" s="1247"/>
      <c r="BL110" s="1247"/>
    </row>
    <row r="111" spans="2:64" ht="15.75" customHeight="1">
      <c r="B111" s="96" t="s">
        <v>12134</v>
      </c>
      <c r="C111" s="97" t="s">
        <v>137</v>
      </c>
      <c r="D111" s="97">
        <v>3</v>
      </c>
      <c r="E111" s="1510"/>
      <c r="F111" s="1510"/>
      <c r="G111" s="1510"/>
      <c r="H111" s="1510"/>
      <c r="I111" s="1510"/>
      <c r="J111" s="1510"/>
      <c r="K111" s="2043"/>
      <c r="L111" s="1977"/>
      <c r="M111" s="2045"/>
      <c r="N111" s="1510"/>
      <c r="O111" s="1510"/>
      <c r="P111" s="1510"/>
      <c r="Q111" s="1510"/>
      <c r="R111" s="1510"/>
      <c r="S111" s="2043"/>
      <c r="T111" s="1974"/>
      <c r="U111" s="1976" t="s">
        <v>12094</v>
      </c>
      <c r="V111" s="1510"/>
      <c r="W111" s="1510"/>
      <c r="X111" s="1510"/>
      <c r="Y111" s="2198"/>
      <c r="Z111" s="2329"/>
      <c r="AA111" s="2329"/>
      <c r="AB111" s="2329"/>
      <c r="AC111" s="2329"/>
      <c r="AD111" s="2330"/>
      <c r="AE111" s="88"/>
      <c r="AF111" s="98" t="s">
        <v>12135</v>
      </c>
      <c r="AG111" s="2560"/>
      <c r="AH111" s="2589"/>
      <c r="AI111" s="1121"/>
      <c r="AJ111" s="2589"/>
      <c r="AK111" s="252">
        <f t="shared" si="35"/>
        <v>0</v>
      </c>
      <c r="AL111" s="252">
        <f t="shared" si="18"/>
        <v>0</v>
      </c>
      <c r="AM111" s="252">
        <f t="shared" si="19"/>
        <v>0</v>
      </c>
      <c r="AN111" s="252">
        <f t="shared" si="20"/>
        <v>0</v>
      </c>
      <c r="AO111" s="252">
        <f t="shared" si="21"/>
        <v>0</v>
      </c>
      <c r="AP111" s="252">
        <f t="shared" si="22"/>
        <v>0</v>
      </c>
      <c r="AQ111" s="252">
        <f t="shared" si="23"/>
        <v>0</v>
      </c>
      <c r="AR111" s="2560"/>
      <c r="AS111" s="252">
        <f t="shared" si="24"/>
        <v>0</v>
      </c>
      <c r="AT111" s="252">
        <f t="shared" si="25"/>
        <v>0</v>
      </c>
      <c r="AU111" s="252">
        <f t="shared" si="26"/>
        <v>0</v>
      </c>
      <c r="AV111" s="252">
        <f t="shared" si="27"/>
        <v>0</v>
      </c>
      <c r="AW111" s="252">
        <f t="shared" si="28"/>
        <v>0</v>
      </c>
      <c r="AX111" s="252">
        <f t="shared" si="29"/>
        <v>0</v>
      </c>
      <c r="AY111" s="252">
        <f t="shared" si="30"/>
        <v>0</v>
      </c>
      <c r="AZ111" s="2560"/>
      <c r="BA111" s="2560"/>
      <c r="BB111" s="252">
        <f t="shared" si="31"/>
        <v>0</v>
      </c>
      <c r="BC111" s="252">
        <f t="shared" si="32"/>
        <v>0</v>
      </c>
      <c r="BD111" s="252">
        <f t="shared" si="33"/>
        <v>0</v>
      </c>
      <c r="BE111" s="252">
        <f t="shared" si="34"/>
        <v>0</v>
      </c>
      <c r="BF111" s="2589"/>
      <c r="BG111" s="1247"/>
      <c r="BH111" s="1247"/>
      <c r="BI111" s="1247"/>
      <c r="BJ111" s="1247"/>
      <c r="BK111" s="1247"/>
      <c r="BL111" s="1247"/>
    </row>
    <row r="112" spans="2:64" ht="15.75" customHeight="1">
      <c r="B112" s="96" t="s">
        <v>12136</v>
      </c>
      <c r="C112" s="97" t="s">
        <v>137</v>
      </c>
      <c r="D112" s="97">
        <v>3</v>
      </c>
      <c r="E112" s="1510"/>
      <c r="F112" s="1510"/>
      <c r="G112" s="1510"/>
      <c r="H112" s="1510"/>
      <c r="I112" s="1510"/>
      <c r="J112" s="1510"/>
      <c r="K112" s="2043"/>
      <c r="L112" s="1977"/>
      <c r="M112" s="2045"/>
      <c r="N112" s="1510"/>
      <c r="O112" s="1510"/>
      <c r="P112" s="1510"/>
      <c r="Q112" s="1510"/>
      <c r="R112" s="1510"/>
      <c r="S112" s="2043"/>
      <c r="T112" s="1974"/>
      <c r="U112" s="1976" t="s">
        <v>12094</v>
      </c>
      <c r="V112" s="1510"/>
      <c r="W112" s="1510"/>
      <c r="X112" s="1510"/>
      <c r="Y112" s="2198"/>
      <c r="Z112" s="2329"/>
      <c r="AA112" s="2329"/>
      <c r="AB112" s="2329"/>
      <c r="AC112" s="2329"/>
      <c r="AD112" s="2330"/>
      <c r="AE112" s="88"/>
      <c r="AF112" s="98" t="s">
        <v>12137</v>
      </c>
      <c r="AG112" s="2560"/>
      <c r="AH112" s="2589"/>
      <c r="AI112" s="1121"/>
      <c r="AJ112" s="2589"/>
      <c r="AK112" s="252">
        <f t="shared" si="35"/>
        <v>0</v>
      </c>
      <c r="AL112" s="252">
        <f t="shared" si="18"/>
        <v>0</v>
      </c>
      <c r="AM112" s="252">
        <f t="shared" si="19"/>
        <v>0</v>
      </c>
      <c r="AN112" s="252">
        <f t="shared" si="20"/>
        <v>0</v>
      </c>
      <c r="AO112" s="252">
        <f t="shared" si="21"/>
        <v>0</v>
      </c>
      <c r="AP112" s="252">
        <f t="shared" si="22"/>
        <v>0</v>
      </c>
      <c r="AQ112" s="252">
        <f t="shared" si="23"/>
        <v>0</v>
      </c>
      <c r="AR112" s="2560"/>
      <c r="AS112" s="252">
        <f t="shared" si="24"/>
        <v>0</v>
      </c>
      <c r="AT112" s="252">
        <f t="shared" si="25"/>
        <v>0</v>
      </c>
      <c r="AU112" s="252">
        <f t="shared" si="26"/>
        <v>0</v>
      </c>
      <c r="AV112" s="252">
        <f t="shared" si="27"/>
        <v>0</v>
      </c>
      <c r="AW112" s="252">
        <f t="shared" si="28"/>
        <v>0</v>
      </c>
      <c r="AX112" s="252">
        <f t="shared" si="29"/>
        <v>0</v>
      </c>
      <c r="AY112" s="252">
        <f t="shared" si="30"/>
        <v>0</v>
      </c>
      <c r="AZ112" s="2560"/>
      <c r="BA112" s="2560"/>
      <c r="BB112" s="252">
        <f t="shared" si="31"/>
        <v>0</v>
      </c>
      <c r="BC112" s="252">
        <f t="shared" si="32"/>
        <v>0</v>
      </c>
      <c r="BD112" s="252">
        <f t="shared" si="33"/>
        <v>0</v>
      </c>
      <c r="BE112" s="252">
        <f t="shared" si="34"/>
        <v>0</v>
      </c>
      <c r="BF112" s="2589"/>
      <c r="BG112" s="1247"/>
      <c r="BH112" s="1247"/>
      <c r="BI112" s="1247"/>
      <c r="BJ112" s="1247"/>
      <c r="BK112" s="1247"/>
      <c r="BL112" s="1247"/>
    </row>
    <row r="113" spans="2:64" ht="15.75" customHeight="1">
      <c r="B113" s="96" t="s">
        <v>12138</v>
      </c>
      <c r="C113" s="97" t="s">
        <v>137</v>
      </c>
      <c r="D113" s="97">
        <v>3</v>
      </c>
      <c r="E113" s="1510"/>
      <c r="F113" s="1510"/>
      <c r="G113" s="1510"/>
      <c r="H113" s="1510"/>
      <c r="I113" s="1510"/>
      <c r="J113" s="1510"/>
      <c r="K113" s="2043"/>
      <c r="L113" s="1977"/>
      <c r="M113" s="2045"/>
      <c r="N113" s="1510"/>
      <c r="O113" s="1510"/>
      <c r="P113" s="1510"/>
      <c r="Q113" s="1510"/>
      <c r="R113" s="1510"/>
      <c r="S113" s="2043"/>
      <c r="T113" s="1974"/>
      <c r="U113" s="1976" t="s">
        <v>12094</v>
      </c>
      <c r="V113" s="1510"/>
      <c r="W113" s="1510"/>
      <c r="X113" s="1510"/>
      <c r="Y113" s="2198"/>
      <c r="Z113" s="2329"/>
      <c r="AA113" s="2329"/>
      <c r="AB113" s="2329"/>
      <c r="AC113" s="2329"/>
      <c r="AD113" s="2330"/>
      <c r="AE113" s="88"/>
      <c r="AF113" s="98" t="s">
        <v>12139</v>
      </c>
      <c r="AG113" s="2560"/>
      <c r="AH113" s="2589"/>
      <c r="AI113" s="1121"/>
      <c r="AJ113" s="2589"/>
      <c r="AK113" s="252">
        <f t="shared" si="35"/>
        <v>0</v>
      </c>
      <c r="AL113" s="252">
        <f t="shared" si="18"/>
        <v>0</v>
      </c>
      <c r="AM113" s="252">
        <f t="shared" si="19"/>
        <v>0</v>
      </c>
      <c r="AN113" s="252">
        <f t="shared" si="20"/>
        <v>0</v>
      </c>
      <c r="AO113" s="252">
        <f t="shared" si="21"/>
        <v>0</v>
      </c>
      <c r="AP113" s="252">
        <f t="shared" si="22"/>
        <v>0</v>
      </c>
      <c r="AQ113" s="252">
        <f t="shared" si="23"/>
        <v>0</v>
      </c>
      <c r="AR113" s="2560"/>
      <c r="AS113" s="252">
        <f t="shared" si="24"/>
        <v>0</v>
      </c>
      <c r="AT113" s="252">
        <f t="shared" si="25"/>
        <v>0</v>
      </c>
      <c r="AU113" s="252">
        <f t="shared" si="26"/>
        <v>0</v>
      </c>
      <c r="AV113" s="252">
        <f t="shared" si="27"/>
        <v>0</v>
      </c>
      <c r="AW113" s="252">
        <f t="shared" si="28"/>
        <v>0</v>
      </c>
      <c r="AX113" s="252">
        <f t="shared" si="29"/>
        <v>0</v>
      </c>
      <c r="AY113" s="252">
        <f t="shared" si="30"/>
        <v>0</v>
      </c>
      <c r="AZ113" s="2560"/>
      <c r="BA113" s="2560"/>
      <c r="BB113" s="252">
        <f t="shared" si="31"/>
        <v>0</v>
      </c>
      <c r="BC113" s="252">
        <f t="shared" si="32"/>
        <v>0</v>
      </c>
      <c r="BD113" s="252">
        <f t="shared" si="33"/>
        <v>0</v>
      </c>
      <c r="BE113" s="252">
        <f t="shared" si="34"/>
        <v>0</v>
      </c>
      <c r="BF113" s="2589"/>
      <c r="BG113" s="1247"/>
      <c r="BH113" s="1247"/>
      <c r="BI113" s="1247"/>
      <c r="BJ113" s="1247"/>
      <c r="BK113" s="1247"/>
      <c r="BL113" s="1247"/>
    </row>
    <row r="114" spans="2:64" ht="15.75" customHeight="1">
      <c r="B114" s="96" t="s">
        <v>12140</v>
      </c>
      <c r="C114" s="97" t="s">
        <v>137</v>
      </c>
      <c r="D114" s="97">
        <v>3</v>
      </c>
      <c r="E114" s="1510"/>
      <c r="F114" s="1510"/>
      <c r="G114" s="1510"/>
      <c r="H114" s="1510"/>
      <c r="I114" s="1510"/>
      <c r="J114" s="1510"/>
      <c r="K114" s="2043"/>
      <c r="L114" s="1977"/>
      <c r="M114" s="2045"/>
      <c r="N114" s="1510"/>
      <c r="O114" s="1510"/>
      <c r="P114" s="1510"/>
      <c r="Q114" s="1510"/>
      <c r="R114" s="1510"/>
      <c r="S114" s="2043"/>
      <c r="T114" s="1974"/>
      <c r="U114" s="1976" t="s">
        <v>12094</v>
      </c>
      <c r="V114" s="1510"/>
      <c r="W114" s="1510"/>
      <c r="X114" s="1510"/>
      <c r="Y114" s="2198"/>
      <c r="Z114" s="2329"/>
      <c r="AA114" s="2329"/>
      <c r="AB114" s="2329"/>
      <c r="AC114" s="2329"/>
      <c r="AD114" s="2330"/>
      <c r="AE114" s="88"/>
      <c r="AF114" s="98" t="s">
        <v>12141</v>
      </c>
      <c r="AG114" s="2560"/>
      <c r="AH114" s="2589"/>
      <c r="AI114" s="1121"/>
      <c r="AJ114" s="2589"/>
      <c r="AK114" s="252">
        <f t="shared" si="35"/>
        <v>0</v>
      </c>
      <c r="AL114" s="252">
        <f t="shared" si="18"/>
        <v>0</v>
      </c>
      <c r="AM114" s="252">
        <f t="shared" si="19"/>
        <v>0</v>
      </c>
      <c r="AN114" s="252">
        <f t="shared" si="20"/>
        <v>0</v>
      </c>
      <c r="AO114" s="252">
        <f t="shared" si="21"/>
        <v>0</v>
      </c>
      <c r="AP114" s="252">
        <f t="shared" si="22"/>
        <v>0</v>
      </c>
      <c r="AQ114" s="252">
        <f t="shared" si="23"/>
        <v>0</v>
      </c>
      <c r="AR114" s="2560"/>
      <c r="AS114" s="252">
        <f t="shared" si="24"/>
        <v>0</v>
      </c>
      <c r="AT114" s="252">
        <f t="shared" si="25"/>
        <v>0</v>
      </c>
      <c r="AU114" s="252">
        <f t="shared" si="26"/>
        <v>0</v>
      </c>
      <c r="AV114" s="252">
        <f t="shared" si="27"/>
        <v>0</v>
      </c>
      <c r="AW114" s="252">
        <f t="shared" si="28"/>
        <v>0</v>
      </c>
      <c r="AX114" s="252">
        <f t="shared" si="29"/>
        <v>0</v>
      </c>
      <c r="AY114" s="252">
        <f t="shared" si="30"/>
        <v>0</v>
      </c>
      <c r="AZ114" s="2560"/>
      <c r="BA114" s="2560"/>
      <c r="BB114" s="252">
        <f t="shared" si="31"/>
        <v>0</v>
      </c>
      <c r="BC114" s="252">
        <f t="shared" si="32"/>
        <v>0</v>
      </c>
      <c r="BD114" s="252">
        <f t="shared" si="33"/>
        <v>0</v>
      </c>
      <c r="BE114" s="252">
        <f t="shared" si="34"/>
        <v>0</v>
      </c>
      <c r="BF114" s="2589"/>
      <c r="BG114" s="1247"/>
      <c r="BH114" s="1247"/>
      <c r="BI114" s="1247"/>
      <c r="BJ114" s="1247"/>
      <c r="BK114" s="1247"/>
      <c r="BL114" s="1247"/>
    </row>
    <row r="115" spans="2:64" ht="15.75" customHeight="1">
      <c r="B115" s="96" t="s">
        <v>12142</v>
      </c>
      <c r="C115" s="97" t="s">
        <v>137</v>
      </c>
      <c r="D115" s="97">
        <v>3</v>
      </c>
      <c r="E115" s="1510"/>
      <c r="F115" s="1510"/>
      <c r="G115" s="1510"/>
      <c r="H115" s="1510"/>
      <c r="I115" s="1510"/>
      <c r="J115" s="1510"/>
      <c r="K115" s="2043"/>
      <c r="L115" s="1977"/>
      <c r="M115" s="2045"/>
      <c r="N115" s="1510"/>
      <c r="O115" s="1510"/>
      <c r="P115" s="1510"/>
      <c r="Q115" s="1510"/>
      <c r="R115" s="1510"/>
      <c r="S115" s="2043"/>
      <c r="T115" s="1974"/>
      <c r="U115" s="1976" t="s">
        <v>12094</v>
      </c>
      <c r="V115" s="1510"/>
      <c r="W115" s="1510"/>
      <c r="X115" s="1510"/>
      <c r="Y115" s="2198"/>
      <c r="Z115" s="2329"/>
      <c r="AA115" s="2329"/>
      <c r="AB115" s="2329"/>
      <c r="AC115" s="2329"/>
      <c r="AD115" s="2330"/>
      <c r="AE115" s="88"/>
      <c r="AF115" s="98" t="s">
        <v>12143</v>
      </c>
      <c r="AG115" s="2560"/>
      <c r="AH115" s="2589"/>
      <c r="AI115" s="1121"/>
      <c r="AJ115" s="2589"/>
      <c r="AK115" s="252">
        <f t="shared" si="35"/>
        <v>0</v>
      </c>
      <c r="AL115" s="252">
        <f t="shared" si="18"/>
        <v>0</v>
      </c>
      <c r="AM115" s="252">
        <f t="shared" si="19"/>
        <v>0</v>
      </c>
      <c r="AN115" s="252">
        <f t="shared" si="20"/>
        <v>0</v>
      </c>
      <c r="AO115" s="252">
        <f t="shared" si="21"/>
        <v>0</v>
      </c>
      <c r="AP115" s="252">
        <f t="shared" si="22"/>
        <v>0</v>
      </c>
      <c r="AQ115" s="252">
        <f t="shared" si="23"/>
        <v>0</v>
      </c>
      <c r="AR115" s="2560"/>
      <c r="AS115" s="252">
        <f t="shared" si="24"/>
        <v>0</v>
      </c>
      <c r="AT115" s="252">
        <f t="shared" si="25"/>
        <v>0</v>
      </c>
      <c r="AU115" s="252">
        <f t="shared" si="26"/>
        <v>0</v>
      </c>
      <c r="AV115" s="252">
        <f t="shared" si="27"/>
        <v>0</v>
      </c>
      <c r="AW115" s="252">
        <f t="shared" si="28"/>
        <v>0</v>
      </c>
      <c r="AX115" s="252">
        <f t="shared" si="29"/>
        <v>0</v>
      </c>
      <c r="AY115" s="252">
        <f t="shared" si="30"/>
        <v>0</v>
      </c>
      <c r="AZ115" s="2560"/>
      <c r="BA115" s="2560"/>
      <c r="BB115" s="252">
        <f t="shared" si="31"/>
        <v>0</v>
      </c>
      <c r="BC115" s="252">
        <f t="shared" si="32"/>
        <v>0</v>
      </c>
      <c r="BD115" s="252">
        <f t="shared" si="33"/>
        <v>0</v>
      </c>
      <c r="BE115" s="252">
        <f t="shared" si="34"/>
        <v>0</v>
      </c>
      <c r="BF115" s="2589"/>
      <c r="BG115" s="1247"/>
      <c r="BH115" s="1247"/>
      <c r="BI115" s="1247"/>
      <c r="BJ115" s="1247"/>
      <c r="BK115" s="1247"/>
      <c r="BL115" s="1247"/>
    </row>
    <row r="116" spans="2:64" ht="15.75" customHeight="1">
      <c r="B116" s="96" t="s">
        <v>12144</v>
      </c>
      <c r="C116" s="97" t="s">
        <v>137</v>
      </c>
      <c r="D116" s="97">
        <v>3</v>
      </c>
      <c r="E116" s="1510"/>
      <c r="F116" s="1510"/>
      <c r="G116" s="1510"/>
      <c r="H116" s="1510"/>
      <c r="I116" s="1510"/>
      <c r="J116" s="1510"/>
      <c r="K116" s="2043"/>
      <c r="L116" s="1977"/>
      <c r="M116" s="2045"/>
      <c r="N116" s="1510"/>
      <c r="O116" s="1510"/>
      <c r="P116" s="1510"/>
      <c r="Q116" s="1510"/>
      <c r="R116" s="1510"/>
      <c r="S116" s="2043"/>
      <c r="T116" s="1974"/>
      <c r="U116" s="1976" t="s">
        <v>12094</v>
      </c>
      <c r="V116" s="1510"/>
      <c r="W116" s="1510"/>
      <c r="X116" s="1510"/>
      <c r="Y116" s="2198"/>
      <c r="Z116" s="2329"/>
      <c r="AA116" s="2329"/>
      <c r="AB116" s="2329"/>
      <c r="AC116" s="2329"/>
      <c r="AD116" s="2330"/>
      <c r="AE116" s="88"/>
      <c r="AF116" s="98" t="s">
        <v>12145</v>
      </c>
      <c r="AG116" s="2560"/>
      <c r="AH116" s="2589"/>
      <c r="AI116" s="1121"/>
      <c r="AJ116" s="2589"/>
      <c r="AK116" s="252">
        <f t="shared" si="35"/>
        <v>0</v>
      </c>
      <c r="AL116" s="252">
        <f t="shared" si="18"/>
        <v>0</v>
      </c>
      <c r="AM116" s="252">
        <f t="shared" si="19"/>
        <v>0</v>
      </c>
      <c r="AN116" s="252">
        <f t="shared" si="20"/>
        <v>0</v>
      </c>
      <c r="AO116" s="252">
        <f t="shared" si="21"/>
        <v>0</v>
      </c>
      <c r="AP116" s="252">
        <f t="shared" si="22"/>
        <v>0</v>
      </c>
      <c r="AQ116" s="252">
        <f t="shared" si="23"/>
        <v>0</v>
      </c>
      <c r="AR116" s="2560"/>
      <c r="AS116" s="252">
        <f t="shared" si="24"/>
        <v>0</v>
      </c>
      <c r="AT116" s="252">
        <f t="shared" si="25"/>
        <v>0</v>
      </c>
      <c r="AU116" s="252">
        <f t="shared" si="26"/>
        <v>0</v>
      </c>
      <c r="AV116" s="252">
        <f t="shared" si="27"/>
        <v>0</v>
      </c>
      <c r="AW116" s="252">
        <f t="shared" si="28"/>
        <v>0</v>
      </c>
      <c r="AX116" s="252">
        <f t="shared" si="29"/>
        <v>0</v>
      </c>
      <c r="AY116" s="252">
        <f t="shared" si="30"/>
        <v>0</v>
      </c>
      <c r="AZ116" s="2560"/>
      <c r="BA116" s="2560"/>
      <c r="BB116" s="252">
        <f t="shared" si="31"/>
        <v>0</v>
      </c>
      <c r="BC116" s="252">
        <f t="shared" si="32"/>
        <v>0</v>
      </c>
      <c r="BD116" s="252">
        <f t="shared" si="33"/>
        <v>0</v>
      </c>
      <c r="BE116" s="252">
        <f t="shared" si="34"/>
        <v>0</v>
      </c>
      <c r="BF116" s="2589"/>
      <c r="BG116" s="1247"/>
      <c r="BH116" s="1247"/>
      <c r="BI116" s="1247"/>
      <c r="BJ116" s="1247"/>
      <c r="BK116" s="1247"/>
      <c r="BL116" s="1247"/>
    </row>
    <row r="117" spans="2:64" ht="15.75" customHeight="1">
      <c r="B117" s="96" t="s">
        <v>12146</v>
      </c>
      <c r="C117" s="97" t="s">
        <v>137</v>
      </c>
      <c r="D117" s="97">
        <v>3</v>
      </c>
      <c r="E117" s="1510"/>
      <c r="F117" s="1510"/>
      <c r="G117" s="1510"/>
      <c r="H117" s="1510"/>
      <c r="I117" s="1510"/>
      <c r="J117" s="1510"/>
      <c r="K117" s="2043"/>
      <c r="L117" s="1977"/>
      <c r="M117" s="2045"/>
      <c r="N117" s="1510"/>
      <c r="O117" s="1510"/>
      <c r="P117" s="1510"/>
      <c r="Q117" s="1510"/>
      <c r="R117" s="1510"/>
      <c r="S117" s="2043"/>
      <c r="T117" s="1974"/>
      <c r="U117" s="1976" t="s">
        <v>12094</v>
      </c>
      <c r="V117" s="1510"/>
      <c r="W117" s="1510"/>
      <c r="X117" s="1510"/>
      <c r="Y117" s="2198"/>
      <c r="Z117" s="2329"/>
      <c r="AA117" s="2329"/>
      <c r="AB117" s="2329"/>
      <c r="AC117" s="2329"/>
      <c r="AD117" s="2330"/>
      <c r="AE117" s="88"/>
      <c r="AF117" s="98" t="s">
        <v>12147</v>
      </c>
      <c r="AG117" s="2560"/>
      <c r="AH117" s="2589"/>
      <c r="AI117" s="1121"/>
      <c r="AJ117" s="2589"/>
      <c r="AK117" s="252">
        <f t="shared" si="35"/>
        <v>0</v>
      </c>
      <c r="AL117" s="252">
        <f t="shared" si="18"/>
        <v>0</v>
      </c>
      <c r="AM117" s="252">
        <f t="shared" si="19"/>
        <v>0</v>
      </c>
      <c r="AN117" s="252">
        <f t="shared" si="20"/>
        <v>0</v>
      </c>
      <c r="AO117" s="252">
        <f t="shared" si="21"/>
        <v>0</v>
      </c>
      <c r="AP117" s="252">
        <f t="shared" si="22"/>
        <v>0</v>
      </c>
      <c r="AQ117" s="252">
        <f t="shared" si="23"/>
        <v>0</v>
      </c>
      <c r="AR117" s="2560"/>
      <c r="AS117" s="252">
        <f t="shared" si="24"/>
        <v>0</v>
      </c>
      <c r="AT117" s="252">
        <f t="shared" si="25"/>
        <v>0</v>
      </c>
      <c r="AU117" s="252">
        <f t="shared" si="26"/>
        <v>0</v>
      </c>
      <c r="AV117" s="252">
        <f t="shared" si="27"/>
        <v>0</v>
      </c>
      <c r="AW117" s="252">
        <f t="shared" si="28"/>
        <v>0</v>
      </c>
      <c r="AX117" s="252">
        <f t="shared" si="29"/>
        <v>0</v>
      </c>
      <c r="AY117" s="252">
        <f t="shared" si="30"/>
        <v>0</v>
      </c>
      <c r="AZ117" s="2560"/>
      <c r="BA117" s="2560"/>
      <c r="BB117" s="252">
        <f t="shared" si="31"/>
        <v>0</v>
      </c>
      <c r="BC117" s="252">
        <f t="shared" si="32"/>
        <v>0</v>
      </c>
      <c r="BD117" s="252">
        <f t="shared" si="33"/>
        <v>0</v>
      </c>
      <c r="BE117" s="252">
        <f t="shared" si="34"/>
        <v>0</v>
      </c>
      <c r="BF117" s="2589"/>
      <c r="BG117" s="1247"/>
      <c r="BH117" s="1247"/>
      <c r="BI117" s="1247"/>
      <c r="BJ117" s="1247"/>
      <c r="BK117" s="1247"/>
      <c r="BL117" s="1247"/>
    </row>
    <row r="118" spans="2:64" ht="15.75" customHeight="1">
      <c r="B118" s="96" t="s">
        <v>12148</v>
      </c>
      <c r="C118" s="97" t="s">
        <v>137</v>
      </c>
      <c r="D118" s="97">
        <v>3</v>
      </c>
      <c r="E118" s="1510"/>
      <c r="F118" s="1510"/>
      <c r="G118" s="1510"/>
      <c r="H118" s="1510"/>
      <c r="I118" s="1510"/>
      <c r="J118" s="1510"/>
      <c r="K118" s="2043"/>
      <c r="L118" s="1977"/>
      <c r="M118" s="2045"/>
      <c r="N118" s="1510"/>
      <c r="O118" s="1510"/>
      <c r="P118" s="1510"/>
      <c r="Q118" s="1510"/>
      <c r="R118" s="1510"/>
      <c r="S118" s="2043"/>
      <c r="T118" s="1974"/>
      <c r="U118" s="1976" t="s">
        <v>12094</v>
      </c>
      <c r="V118" s="1510"/>
      <c r="W118" s="1510"/>
      <c r="X118" s="1510"/>
      <c r="Y118" s="2198"/>
      <c r="Z118" s="2329"/>
      <c r="AA118" s="2329"/>
      <c r="AB118" s="2329"/>
      <c r="AC118" s="2329"/>
      <c r="AD118" s="2330"/>
      <c r="AE118" s="88"/>
      <c r="AF118" s="98" t="s">
        <v>12149</v>
      </c>
      <c r="AG118" s="2560"/>
      <c r="AH118" s="2589"/>
      <c r="AI118" s="1121"/>
      <c r="AJ118" s="2589"/>
      <c r="AK118" s="252">
        <f t="shared" si="35"/>
        <v>0</v>
      </c>
      <c r="AL118" s="252">
        <f t="shared" si="18"/>
        <v>0</v>
      </c>
      <c r="AM118" s="252">
        <f t="shared" si="19"/>
        <v>0</v>
      </c>
      <c r="AN118" s="252">
        <f t="shared" si="20"/>
        <v>0</v>
      </c>
      <c r="AO118" s="252">
        <f t="shared" si="21"/>
        <v>0</v>
      </c>
      <c r="AP118" s="252">
        <f t="shared" si="22"/>
        <v>0</v>
      </c>
      <c r="AQ118" s="252">
        <f t="shared" si="23"/>
        <v>0</v>
      </c>
      <c r="AR118" s="2560"/>
      <c r="AS118" s="252">
        <f t="shared" si="24"/>
        <v>0</v>
      </c>
      <c r="AT118" s="252">
        <f t="shared" si="25"/>
        <v>0</v>
      </c>
      <c r="AU118" s="252">
        <f t="shared" si="26"/>
        <v>0</v>
      </c>
      <c r="AV118" s="252">
        <f t="shared" si="27"/>
        <v>0</v>
      </c>
      <c r="AW118" s="252">
        <f t="shared" si="28"/>
        <v>0</v>
      </c>
      <c r="AX118" s="252">
        <f t="shared" si="29"/>
        <v>0</v>
      </c>
      <c r="AY118" s="252">
        <f t="shared" si="30"/>
        <v>0</v>
      </c>
      <c r="AZ118" s="2560"/>
      <c r="BA118" s="2560"/>
      <c r="BB118" s="252">
        <f t="shared" si="31"/>
        <v>0</v>
      </c>
      <c r="BC118" s="252">
        <f t="shared" si="32"/>
        <v>0</v>
      </c>
      <c r="BD118" s="252">
        <f t="shared" si="33"/>
        <v>0</v>
      </c>
      <c r="BE118" s="252">
        <f t="shared" si="34"/>
        <v>0</v>
      </c>
      <c r="BF118" s="2589"/>
      <c r="BG118" s="1247"/>
      <c r="BH118" s="1247"/>
      <c r="BI118" s="1247"/>
      <c r="BJ118" s="1247"/>
      <c r="BK118" s="1247"/>
      <c r="BL118" s="1247"/>
    </row>
    <row r="119" spans="2:64" ht="15.75" customHeight="1">
      <c r="B119" s="96" t="s">
        <v>12150</v>
      </c>
      <c r="C119" s="97" t="s">
        <v>137</v>
      </c>
      <c r="D119" s="97">
        <v>3</v>
      </c>
      <c r="E119" s="1510"/>
      <c r="F119" s="1510"/>
      <c r="G119" s="1510"/>
      <c r="H119" s="1510"/>
      <c r="I119" s="1510"/>
      <c r="J119" s="1510"/>
      <c r="K119" s="2043"/>
      <c r="L119" s="1977"/>
      <c r="M119" s="2045"/>
      <c r="N119" s="1510"/>
      <c r="O119" s="1510"/>
      <c r="P119" s="1510"/>
      <c r="Q119" s="1510"/>
      <c r="R119" s="1510"/>
      <c r="S119" s="2043"/>
      <c r="T119" s="1974"/>
      <c r="U119" s="1976" t="s">
        <v>12094</v>
      </c>
      <c r="V119" s="1510"/>
      <c r="W119" s="1510"/>
      <c r="X119" s="1510"/>
      <c r="Y119" s="2198"/>
      <c r="Z119" s="2329"/>
      <c r="AA119" s="2329"/>
      <c r="AB119" s="2329"/>
      <c r="AC119" s="2329"/>
      <c r="AD119" s="2330"/>
      <c r="AE119" s="88"/>
      <c r="AF119" s="98" t="s">
        <v>12151</v>
      </c>
      <c r="AG119" s="2560"/>
      <c r="AH119" s="2589"/>
      <c r="AI119" s="1121"/>
      <c r="AJ119" s="2589"/>
      <c r="AK119" s="252">
        <f t="shared" si="35"/>
        <v>0</v>
      </c>
      <c r="AL119" s="252">
        <f t="shared" si="18"/>
        <v>0</v>
      </c>
      <c r="AM119" s="252">
        <f t="shared" si="19"/>
        <v>0</v>
      </c>
      <c r="AN119" s="252">
        <f t="shared" si="20"/>
        <v>0</v>
      </c>
      <c r="AO119" s="252">
        <f t="shared" si="21"/>
        <v>0</v>
      </c>
      <c r="AP119" s="252">
        <f t="shared" si="22"/>
        <v>0</v>
      </c>
      <c r="AQ119" s="252">
        <f t="shared" si="23"/>
        <v>0</v>
      </c>
      <c r="AR119" s="2560"/>
      <c r="AS119" s="252">
        <f t="shared" si="24"/>
        <v>0</v>
      </c>
      <c r="AT119" s="252">
        <f t="shared" si="25"/>
        <v>0</v>
      </c>
      <c r="AU119" s="252">
        <f t="shared" si="26"/>
        <v>0</v>
      </c>
      <c r="AV119" s="252">
        <f t="shared" si="27"/>
        <v>0</v>
      </c>
      <c r="AW119" s="252">
        <f t="shared" si="28"/>
        <v>0</v>
      </c>
      <c r="AX119" s="252">
        <f t="shared" si="29"/>
        <v>0</v>
      </c>
      <c r="AY119" s="252">
        <f t="shared" si="30"/>
        <v>0</v>
      </c>
      <c r="AZ119" s="2560"/>
      <c r="BA119" s="2560"/>
      <c r="BB119" s="252">
        <f t="shared" si="31"/>
        <v>0</v>
      </c>
      <c r="BC119" s="252">
        <f t="shared" si="32"/>
        <v>0</v>
      </c>
      <c r="BD119" s="252">
        <f t="shared" si="33"/>
        <v>0</v>
      </c>
      <c r="BE119" s="252">
        <f t="shared" si="34"/>
        <v>0</v>
      </c>
      <c r="BF119" s="2589"/>
      <c r="BG119" s="1247"/>
      <c r="BH119" s="1247"/>
      <c r="BI119" s="1247"/>
      <c r="BJ119" s="1247"/>
      <c r="BK119" s="1247"/>
      <c r="BL119" s="1247"/>
    </row>
    <row r="120" spans="2:64" ht="15.75" customHeight="1">
      <c r="B120" s="96" t="s">
        <v>12152</v>
      </c>
      <c r="C120" s="97" t="s">
        <v>137</v>
      </c>
      <c r="D120" s="97">
        <v>3</v>
      </c>
      <c r="E120" s="1510"/>
      <c r="F120" s="1510"/>
      <c r="G120" s="1510"/>
      <c r="H120" s="1510"/>
      <c r="I120" s="1510"/>
      <c r="J120" s="1510"/>
      <c r="K120" s="2043"/>
      <c r="L120" s="1977"/>
      <c r="M120" s="2045"/>
      <c r="N120" s="1510"/>
      <c r="O120" s="1510"/>
      <c r="P120" s="1510"/>
      <c r="Q120" s="1510"/>
      <c r="R120" s="1510"/>
      <c r="S120" s="2043"/>
      <c r="T120" s="1974"/>
      <c r="U120" s="1976" t="s">
        <v>12094</v>
      </c>
      <c r="V120" s="1510"/>
      <c r="W120" s="1510"/>
      <c r="X120" s="1510"/>
      <c r="Y120" s="2198"/>
      <c r="Z120" s="2329"/>
      <c r="AA120" s="2329"/>
      <c r="AB120" s="2329"/>
      <c r="AC120" s="2329"/>
      <c r="AD120" s="2330"/>
      <c r="AE120" s="88"/>
      <c r="AF120" s="98" t="s">
        <v>12153</v>
      </c>
      <c r="AG120" s="2560"/>
      <c r="AH120" s="2589"/>
      <c r="AI120" s="1121"/>
      <c r="AJ120" s="2589"/>
      <c r="AK120" s="252">
        <f t="shared" si="35"/>
        <v>0</v>
      </c>
      <c r="AL120" s="252">
        <f t="shared" si="18"/>
        <v>0</v>
      </c>
      <c r="AM120" s="252">
        <f t="shared" si="19"/>
        <v>0</v>
      </c>
      <c r="AN120" s="252">
        <f t="shared" si="20"/>
        <v>0</v>
      </c>
      <c r="AO120" s="252">
        <f t="shared" si="21"/>
        <v>0</v>
      </c>
      <c r="AP120" s="252">
        <f t="shared" si="22"/>
        <v>0</v>
      </c>
      <c r="AQ120" s="252">
        <f t="shared" si="23"/>
        <v>0</v>
      </c>
      <c r="AR120" s="2560"/>
      <c r="AS120" s="252">
        <f t="shared" si="24"/>
        <v>0</v>
      </c>
      <c r="AT120" s="252">
        <f t="shared" si="25"/>
        <v>0</v>
      </c>
      <c r="AU120" s="252">
        <f t="shared" si="26"/>
        <v>0</v>
      </c>
      <c r="AV120" s="252">
        <f t="shared" si="27"/>
        <v>0</v>
      </c>
      <c r="AW120" s="252">
        <f t="shared" si="28"/>
        <v>0</v>
      </c>
      <c r="AX120" s="252">
        <f t="shared" si="29"/>
        <v>0</v>
      </c>
      <c r="AY120" s="252">
        <f t="shared" si="30"/>
        <v>0</v>
      </c>
      <c r="AZ120" s="2560"/>
      <c r="BA120" s="2560"/>
      <c r="BB120" s="252">
        <f t="shared" si="31"/>
        <v>0</v>
      </c>
      <c r="BC120" s="252">
        <f t="shared" si="32"/>
        <v>0</v>
      </c>
      <c r="BD120" s="252">
        <f t="shared" si="33"/>
        <v>0</v>
      </c>
      <c r="BE120" s="252">
        <f t="shared" si="34"/>
        <v>0</v>
      </c>
      <c r="BF120" s="2589"/>
      <c r="BG120" s="1247"/>
      <c r="BH120" s="1247"/>
      <c r="BI120" s="1247"/>
      <c r="BJ120" s="1247"/>
      <c r="BK120" s="1247"/>
      <c r="BL120" s="1247"/>
    </row>
    <row r="121" spans="2:64" ht="15.75" customHeight="1">
      <c r="B121" s="96" t="s">
        <v>12154</v>
      </c>
      <c r="C121" s="97" t="s">
        <v>137</v>
      </c>
      <c r="D121" s="97">
        <v>3</v>
      </c>
      <c r="E121" s="1510"/>
      <c r="F121" s="1510"/>
      <c r="G121" s="1510"/>
      <c r="H121" s="1510"/>
      <c r="I121" s="1510"/>
      <c r="J121" s="1510"/>
      <c r="K121" s="2043"/>
      <c r="L121" s="1977"/>
      <c r="M121" s="2045"/>
      <c r="N121" s="1510"/>
      <c r="O121" s="1510"/>
      <c r="P121" s="1510"/>
      <c r="Q121" s="1510"/>
      <c r="R121" s="1510"/>
      <c r="S121" s="2043"/>
      <c r="T121" s="1974"/>
      <c r="U121" s="1976" t="s">
        <v>12094</v>
      </c>
      <c r="V121" s="1510"/>
      <c r="W121" s="1510"/>
      <c r="X121" s="1510"/>
      <c r="Y121" s="2198"/>
      <c r="Z121" s="2329"/>
      <c r="AA121" s="2329"/>
      <c r="AB121" s="2329"/>
      <c r="AC121" s="2329"/>
      <c r="AD121" s="2330"/>
      <c r="AE121" s="88"/>
      <c r="AF121" s="98" t="s">
        <v>12155</v>
      </c>
      <c r="AG121" s="2560"/>
      <c r="AH121" s="2589"/>
      <c r="AI121" s="1121"/>
      <c r="AJ121" s="2589"/>
      <c r="AK121" s="252">
        <f t="shared" si="35"/>
        <v>0</v>
      </c>
      <c r="AL121" s="252">
        <f t="shared" si="18"/>
        <v>0</v>
      </c>
      <c r="AM121" s="252">
        <f t="shared" si="19"/>
        <v>0</v>
      </c>
      <c r="AN121" s="252">
        <f t="shared" si="20"/>
        <v>0</v>
      </c>
      <c r="AO121" s="252">
        <f t="shared" si="21"/>
        <v>0</v>
      </c>
      <c r="AP121" s="252">
        <f t="shared" si="22"/>
        <v>0</v>
      </c>
      <c r="AQ121" s="252">
        <f t="shared" si="23"/>
        <v>0</v>
      </c>
      <c r="AR121" s="2560"/>
      <c r="AS121" s="252">
        <f t="shared" si="24"/>
        <v>0</v>
      </c>
      <c r="AT121" s="252">
        <f t="shared" si="25"/>
        <v>0</v>
      </c>
      <c r="AU121" s="252">
        <f t="shared" si="26"/>
        <v>0</v>
      </c>
      <c r="AV121" s="252">
        <f t="shared" si="27"/>
        <v>0</v>
      </c>
      <c r="AW121" s="252">
        <f t="shared" si="28"/>
        <v>0</v>
      </c>
      <c r="AX121" s="252">
        <f t="shared" si="29"/>
        <v>0</v>
      </c>
      <c r="AY121" s="252">
        <f t="shared" si="30"/>
        <v>0</v>
      </c>
      <c r="AZ121" s="2560"/>
      <c r="BA121" s="2560"/>
      <c r="BB121" s="252">
        <f t="shared" si="31"/>
        <v>0</v>
      </c>
      <c r="BC121" s="252">
        <f t="shared" si="32"/>
        <v>0</v>
      </c>
      <c r="BD121" s="252">
        <f t="shared" si="33"/>
        <v>0</v>
      </c>
      <c r="BE121" s="252">
        <f t="shared" si="34"/>
        <v>0</v>
      </c>
      <c r="BF121" s="2589"/>
      <c r="BG121" s="1247"/>
      <c r="BH121" s="1247"/>
      <c r="BI121" s="1247"/>
      <c r="BJ121" s="1247"/>
      <c r="BK121" s="1247"/>
      <c r="BL121" s="1247"/>
    </row>
    <row r="122" spans="2:64" ht="15.75" customHeight="1">
      <c r="B122" s="96" t="s">
        <v>12156</v>
      </c>
      <c r="C122" s="97" t="s">
        <v>137</v>
      </c>
      <c r="D122" s="97">
        <v>3</v>
      </c>
      <c r="E122" s="1510"/>
      <c r="F122" s="1510"/>
      <c r="G122" s="1510"/>
      <c r="H122" s="1510"/>
      <c r="I122" s="1510"/>
      <c r="J122" s="1510"/>
      <c r="K122" s="2043"/>
      <c r="L122" s="1977"/>
      <c r="M122" s="2045"/>
      <c r="N122" s="1510"/>
      <c r="O122" s="1510"/>
      <c r="P122" s="1510"/>
      <c r="Q122" s="1510"/>
      <c r="R122" s="1510"/>
      <c r="S122" s="2043"/>
      <c r="T122" s="1974"/>
      <c r="U122" s="1976" t="s">
        <v>12094</v>
      </c>
      <c r="V122" s="1510"/>
      <c r="W122" s="1510"/>
      <c r="X122" s="1510"/>
      <c r="Y122" s="2198"/>
      <c r="Z122" s="2329"/>
      <c r="AA122" s="2329"/>
      <c r="AB122" s="2329"/>
      <c r="AC122" s="2329"/>
      <c r="AD122" s="2330"/>
      <c r="AE122" s="88"/>
      <c r="AF122" s="98" t="s">
        <v>12157</v>
      </c>
      <c r="AG122" s="2560"/>
      <c r="AH122" s="2589"/>
      <c r="AI122" s="1121"/>
      <c r="AJ122" s="2589"/>
      <c r="AK122" s="252">
        <f t="shared" si="35"/>
        <v>0</v>
      </c>
      <c r="AL122" s="252">
        <f t="shared" si="18"/>
        <v>0</v>
      </c>
      <c r="AM122" s="252">
        <f t="shared" si="19"/>
        <v>0</v>
      </c>
      <c r="AN122" s="252">
        <f t="shared" si="20"/>
        <v>0</v>
      </c>
      <c r="AO122" s="252">
        <f t="shared" si="21"/>
        <v>0</v>
      </c>
      <c r="AP122" s="252">
        <f t="shared" si="22"/>
        <v>0</v>
      </c>
      <c r="AQ122" s="252">
        <f t="shared" si="23"/>
        <v>0</v>
      </c>
      <c r="AR122" s="2560"/>
      <c r="AS122" s="252">
        <f t="shared" si="24"/>
        <v>0</v>
      </c>
      <c r="AT122" s="252">
        <f t="shared" si="25"/>
        <v>0</v>
      </c>
      <c r="AU122" s="252">
        <f t="shared" si="26"/>
        <v>0</v>
      </c>
      <c r="AV122" s="252">
        <f t="shared" si="27"/>
        <v>0</v>
      </c>
      <c r="AW122" s="252">
        <f t="shared" si="28"/>
        <v>0</v>
      </c>
      <c r="AX122" s="252">
        <f t="shared" si="29"/>
        <v>0</v>
      </c>
      <c r="AY122" s="252">
        <f t="shared" si="30"/>
        <v>0</v>
      </c>
      <c r="AZ122" s="2560"/>
      <c r="BA122" s="2560"/>
      <c r="BB122" s="252">
        <f t="shared" si="31"/>
        <v>0</v>
      </c>
      <c r="BC122" s="252">
        <f t="shared" si="32"/>
        <v>0</v>
      </c>
      <c r="BD122" s="252">
        <f t="shared" si="33"/>
        <v>0</v>
      </c>
      <c r="BE122" s="252">
        <f t="shared" si="34"/>
        <v>0</v>
      </c>
      <c r="BF122" s="2589"/>
      <c r="BG122" s="1247"/>
      <c r="BH122" s="1247"/>
      <c r="BI122" s="1247"/>
      <c r="BJ122" s="1247"/>
      <c r="BK122" s="1247"/>
      <c r="BL122" s="1247"/>
    </row>
    <row r="123" spans="2:64" ht="15.75" customHeight="1">
      <c r="B123" s="96" t="s">
        <v>12158</v>
      </c>
      <c r="C123" s="97" t="s">
        <v>137</v>
      </c>
      <c r="D123" s="97">
        <v>3</v>
      </c>
      <c r="E123" s="1510"/>
      <c r="F123" s="1510"/>
      <c r="G123" s="1510"/>
      <c r="H123" s="1510"/>
      <c r="I123" s="1510"/>
      <c r="J123" s="1510"/>
      <c r="K123" s="2043"/>
      <c r="L123" s="1977"/>
      <c r="M123" s="2045"/>
      <c r="N123" s="1510"/>
      <c r="O123" s="1510"/>
      <c r="P123" s="1510"/>
      <c r="Q123" s="1510"/>
      <c r="R123" s="1510"/>
      <c r="S123" s="2043"/>
      <c r="T123" s="1974"/>
      <c r="U123" s="1976" t="s">
        <v>12094</v>
      </c>
      <c r="V123" s="1510"/>
      <c r="W123" s="1510"/>
      <c r="X123" s="1510"/>
      <c r="Y123" s="2198"/>
      <c r="Z123" s="2329"/>
      <c r="AA123" s="2329"/>
      <c r="AB123" s="2329"/>
      <c r="AC123" s="2329"/>
      <c r="AD123" s="2330"/>
      <c r="AE123" s="88"/>
      <c r="AF123" s="98" t="s">
        <v>12159</v>
      </c>
      <c r="AG123" s="2560"/>
      <c r="AH123" s="2589"/>
      <c r="AI123" s="1121"/>
      <c r="AJ123" s="2589"/>
      <c r="AK123" s="252">
        <f t="shared" si="35"/>
        <v>0</v>
      </c>
      <c r="AL123" s="252">
        <f t="shared" si="18"/>
        <v>0</v>
      </c>
      <c r="AM123" s="252">
        <f t="shared" si="19"/>
        <v>0</v>
      </c>
      <c r="AN123" s="252">
        <f t="shared" si="20"/>
        <v>0</v>
      </c>
      <c r="AO123" s="252">
        <f t="shared" si="21"/>
        <v>0</v>
      </c>
      <c r="AP123" s="252">
        <f t="shared" si="22"/>
        <v>0</v>
      </c>
      <c r="AQ123" s="252">
        <f t="shared" si="23"/>
        <v>0</v>
      </c>
      <c r="AR123" s="2560"/>
      <c r="AS123" s="252">
        <f t="shared" si="24"/>
        <v>0</v>
      </c>
      <c r="AT123" s="252">
        <f t="shared" si="25"/>
        <v>0</v>
      </c>
      <c r="AU123" s="252">
        <f t="shared" si="26"/>
        <v>0</v>
      </c>
      <c r="AV123" s="252">
        <f t="shared" si="27"/>
        <v>0</v>
      </c>
      <c r="AW123" s="252">
        <f t="shared" si="28"/>
        <v>0</v>
      </c>
      <c r="AX123" s="252">
        <f t="shared" si="29"/>
        <v>0</v>
      </c>
      <c r="AY123" s="252">
        <f t="shared" si="30"/>
        <v>0</v>
      </c>
      <c r="AZ123" s="2560"/>
      <c r="BA123" s="2560"/>
      <c r="BB123" s="252">
        <f t="shared" si="31"/>
        <v>0</v>
      </c>
      <c r="BC123" s="252">
        <f t="shared" si="32"/>
        <v>0</v>
      </c>
      <c r="BD123" s="252">
        <f t="shared" si="33"/>
        <v>0</v>
      </c>
      <c r="BE123" s="252">
        <f t="shared" si="34"/>
        <v>0</v>
      </c>
      <c r="BF123" s="2589"/>
      <c r="BG123" s="1247"/>
      <c r="BH123" s="1247"/>
      <c r="BI123" s="1247"/>
      <c r="BJ123" s="1247"/>
      <c r="BK123" s="1247"/>
      <c r="BL123" s="1247"/>
    </row>
    <row r="124" spans="2:64" ht="15.75" customHeight="1">
      <c r="B124" s="96" t="s">
        <v>12160</v>
      </c>
      <c r="C124" s="97" t="s">
        <v>137</v>
      </c>
      <c r="D124" s="97">
        <v>3</v>
      </c>
      <c r="E124" s="1510"/>
      <c r="F124" s="1510"/>
      <c r="G124" s="1510"/>
      <c r="H124" s="1510"/>
      <c r="I124" s="1510"/>
      <c r="J124" s="1510"/>
      <c r="K124" s="2043"/>
      <c r="L124" s="1977"/>
      <c r="M124" s="2045"/>
      <c r="N124" s="1510"/>
      <c r="O124" s="1510"/>
      <c r="P124" s="1510"/>
      <c r="Q124" s="1510"/>
      <c r="R124" s="1510"/>
      <c r="S124" s="2043"/>
      <c r="T124" s="1974"/>
      <c r="U124" s="1976" t="s">
        <v>12094</v>
      </c>
      <c r="V124" s="1510"/>
      <c r="W124" s="1510"/>
      <c r="X124" s="1510"/>
      <c r="Y124" s="2198"/>
      <c r="Z124" s="2329"/>
      <c r="AA124" s="2329"/>
      <c r="AB124" s="2329"/>
      <c r="AC124" s="2329"/>
      <c r="AD124" s="2330"/>
      <c r="AE124" s="88"/>
      <c r="AF124" s="98" t="s">
        <v>12161</v>
      </c>
      <c r="AG124" s="2560"/>
      <c r="AH124" s="2589"/>
      <c r="AI124" s="1121"/>
      <c r="AJ124" s="2589"/>
      <c r="AK124" s="252">
        <f t="shared" si="35"/>
        <v>0</v>
      </c>
      <c r="AL124" s="252">
        <f t="shared" si="18"/>
        <v>0</v>
      </c>
      <c r="AM124" s="252">
        <f t="shared" si="19"/>
        <v>0</v>
      </c>
      <c r="AN124" s="252">
        <f t="shared" si="20"/>
        <v>0</v>
      </c>
      <c r="AO124" s="252">
        <f t="shared" si="21"/>
        <v>0</v>
      </c>
      <c r="AP124" s="252">
        <f t="shared" si="22"/>
        <v>0</v>
      </c>
      <c r="AQ124" s="252">
        <f t="shared" si="23"/>
        <v>0</v>
      </c>
      <c r="AR124" s="2560"/>
      <c r="AS124" s="252">
        <f t="shared" si="24"/>
        <v>0</v>
      </c>
      <c r="AT124" s="252">
        <f t="shared" si="25"/>
        <v>0</v>
      </c>
      <c r="AU124" s="252">
        <f t="shared" si="26"/>
        <v>0</v>
      </c>
      <c r="AV124" s="252">
        <f t="shared" si="27"/>
        <v>0</v>
      </c>
      <c r="AW124" s="252">
        <f t="shared" si="28"/>
        <v>0</v>
      </c>
      <c r="AX124" s="252">
        <f t="shared" si="29"/>
        <v>0</v>
      </c>
      <c r="AY124" s="252">
        <f t="shared" si="30"/>
        <v>0</v>
      </c>
      <c r="AZ124" s="2560"/>
      <c r="BA124" s="2560"/>
      <c r="BB124" s="252">
        <f t="shared" si="31"/>
        <v>0</v>
      </c>
      <c r="BC124" s="252">
        <f t="shared" si="32"/>
        <v>0</v>
      </c>
      <c r="BD124" s="252">
        <f t="shared" si="33"/>
        <v>0</v>
      </c>
      <c r="BE124" s="252">
        <f t="shared" si="34"/>
        <v>0</v>
      </c>
      <c r="BF124" s="2589"/>
      <c r="BG124" s="1247"/>
      <c r="BH124" s="1247"/>
      <c r="BI124" s="1247"/>
      <c r="BJ124" s="1247"/>
      <c r="BK124" s="1247"/>
      <c r="BL124" s="1247"/>
    </row>
    <row r="125" spans="2:64" ht="15.75" customHeight="1">
      <c r="B125" s="96" t="s">
        <v>12162</v>
      </c>
      <c r="C125" s="97" t="s">
        <v>137</v>
      </c>
      <c r="D125" s="97">
        <v>3</v>
      </c>
      <c r="E125" s="1510"/>
      <c r="F125" s="1510"/>
      <c r="G125" s="1510"/>
      <c r="H125" s="1510"/>
      <c r="I125" s="1510"/>
      <c r="J125" s="1510"/>
      <c r="K125" s="2043"/>
      <c r="L125" s="1977"/>
      <c r="M125" s="2045"/>
      <c r="N125" s="1510"/>
      <c r="O125" s="1510"/>
      <c r="P125" s="1510"/>
      <c r="Q125" s="1510"/>
      <c r="R125" s="1510"/>
      <c r="S125" s="2043"/>
      <c r="T125" s="1974"/>
      <c r="U125" s="1976" t="s">
        <v>12094</v>
      </c>
      <c r="V125" s="1510"/>
      <c r="W125" s="1510"/>
      <c r="X125" s="1510"/>
      <c r="Y125" s="2198"/>
      <c r="Z125" s="2329"/>
      <c r="AA125" s="2329"/>
      <c r="AB125" s="2329"/>
      <c r="AC125" s="2329"/>
      <c r="AD125" s="2330"/>
      <c r="AE125" s="88"/>
      <c r="AF125" s="98" t="s">
        <v>12163</v>
      </c>
      <c r="AG125" s="2560"/>
      <c r="AH125" s="2589"/>
      <c r="AI125" s="1121"/>
      <c r="AJ125" s="2589"/>
      <c r="AK125" s="252">
        <f t="shared" si="35"/>
        <v>0</v>
      </c>
      <c r="AL125" s="252">
        <f t="shared" si="18"/>
        <v>0</v>
      </c>
      <c r="AM125" s="252">
        <f t="shared" si="19"/>
        <v>0</v>
      </c>
      <c r="AN125" s="252">
        <f t="shared" si="20"/>
        <v>0</v>
      </c>
      <c r="AO125" s="252">
        <f t="shared" si="21"/>
        <v>0</v>
      </c>
      <c r="AP125" s="252">
        <f t="shared" si="22"/>
        <v>0</v>
      </c>
      <c r="AQ125" s="252">
        <f t="shared" si="23"/>
        <v>0</v>
      </c>
      <c r="AR125" s="2560"/>
      <c r="AS125" s="252">
        <f t="shared" si="24"/>
        <v>0</v>
      </c>
      <c r="AT125" s="252">
        <f t="shared" si="25"/>
        <v>0</v>
      </c>
      <c r="AU125" s="252">
        <f t="shared" si="26"/>
        <v>0</v>
      </c>
      <c r="AV125" s="252">
        <f t="shared" si="27"/>
        <v>0</v>
      </c>
      <c r="AW125" s="252">
        <f t="shared" si="28"/>
        <v>0</v>
      </c>
      <c r="AX125" s="252">
        <f t="shared" si="29"/>
        <v>0</v>
      </c>
      <c r="AY125" s="252">
        <f t="shared" si="30"/>
        <v>0</v>
      </c>
      <c r="AZ125" s="2560"/>
      <c r="BA125" s="2560"/>
      <c r="BB125" s="252">
        <f t="shared" si="31"/>
        <v>0</v>
      </c>
      <c r="BC125" s="252">
        <f t="shared" si="32"/>
        <v>0</v>
      </c>
      <c r="BD125" s="252">
        <f t="shared" si="33"/>
        <v>0</v>
      </c>
      <c r="BE125" s="252">
        <f t="shared" si="34"/>
        <v>0</v>
      </c>
      <c r="BF125" s="2589"/>
      <c r="BG125" s="1247"/>
      <c r="BH125" s="1247"/>
      <c r="BI125" s="1247"/>
      <c r="BJ125" s="1247"/>
      <c r="BK125" s="1247"/>
      <c r="BL125" s="1247"/>
    </row>
    <row r="126" spans="2:64" ht="15.75" customHeight="1">
      <c r="B126" s="96" t="s">
        <v>12164</v>
      </c>
      <c r="C126" s="97" t="s">
        <v>137</v>
      </c>
      <c r="D126" s="97">
        <v>3</v>
      </c>
      <c r="E126" s="1510"/>
      <c r="F126" s="1510"/>
      <c r="G126" s="1510"/>
      <c r="H126" s="1510"/>
      <c r="I126" s="1510"/>
      <c r="J126" s="1510"/>
      <c r="K126" s="2043"/>
      <c r="L126" s="1977"/>
      <c r="M126" s="2045"/>
      <c r="N126" s="1510"/>
      <c r="O126" s="1510"/>
      <c r="P126" s="1510"/>
      <c r="Q126" s="1510"/>
      <c r="R126" s="1510"/>
      <c r="S126" s="2043"/>
      <c r="T126" s="1974"/>
      <c r="U126" s="1976" t="s">
        <v>12094</v>
      </c>
      <c r="V126" s="1510"/>
      <c r="W126" s="1510"/>
      <c r="X126" s="1510"/>
      <c r="Y126" s="2198"/>
      <c r="Z126" s="2329"/>
      <c r="AA126" s="2329"/>
      <c r="AB126" s="2329"/>
      <c r="AC126" s="2329"/>
      <c r="AD126" s="2330"/>
      <c r="AE126" s="88"/>
      <c r="AF126" s="98" t="s">
        <v>12165</v>
      </c>
      <c r="AG126" s="2560"/>
      <c r="AH126" s="2589"/>
      <c r="AI126" s="1121"/>
      <c r="AJ126" s="2589"/>
      <c r="AK126" s="252">
        <f t="shared" si="35"/>
        <v>0</v>
      </c>
      <c r="AL126" s="252">
        <f t="shared" si="18"/>
        <v>0</v>
      </c>
      <c r="AM126" s="252">
        <f t="shared" si="19"/>
        <v>0</v>
      </c>
      <c r="AN126" s="252">
        <f t="shared" si="20"/>
        <v>0</v>
      </c>
      <c r="AO126" s="252">
        <f t="shared" si="21"/>
        <v>0</v>
      </c>
      <c r="AP126" s="252">
        <f t="shared" si="22"/>
        <v>0</v>
      </c>
      <c r="AQ126" s="252">
        <f t="shared" si="23"/>
        <v>0</v>
      </c>
      <c r="AR126" s="2560"/>
      <c r="AS126" s="252">
        <f t="shared" si="24"/>
        <v>0</v>
      </c>
      <c r="AT126" s="252">
        <f t="shared" si="25"/>
        <v>0</v>
      </c>
      <c r="AU126" s="252">
        <f t="shared" si="26"/>
        <v>0</v>
      </c>
      <c r="AV126" s="252">
        <f t="shared" si="27"/>
        <v>0</v>
      </c>
      <c r="AW126" s="252">
        <f t="shared" si="28"/>
        <v>0</v>
      </c>
      <c r="AX126" s="252">
        <f t="shared" si="29"/>
        <v>0</v>
      </c>
      <c r="AY126" s="252">
        <f t="shared" si="30"/>
        <v>0</v>
      </c>
      <c r="AZ126" s="2560"/>
      <c r="BA126" s="2560"/>
      <c r="BB126" s="252">
        <f t="shared" si="31"/>
        <v>0</v>
      </c>
      <c r="BC126" s="252">
        <f t="shared" si="32"/>
        <v>0</v>
      </c>
      <c r="BD126" s="252">
        <f t="shared" si="33"/>
        <v>0</v>
      </c>
      <c r="BE126" s="252">
        <f t="shared" si="34"/>
        <v>0</v>
      </c>
      <c r="BF126" s="2589"/>
      <c r="BG126" s="1247"/>
      <c r="BH126" s="1247"/>
      <c r="BI126" s="1247"/>
      <c r="BJ126" s="1247"/>
      <c r="BK126" s="1247"/>
      <c r="BL126" s="1247"/>
    </row>
    <row r="127" spans="2:64" ht="15.75" customHeight="1">
      <c r="B127" s="96" t="s">
        <v>12166</v>
      </c>
      <c r="C127" s="97" t="s">
        <v>137</v>
      </c>
      <c r="D127" s="97">
        <v>3</v>
      </c>
      <c r="E127" s="1510"/>
      <c r="F127" s="1510"/>
      <c r="G127" s="1510"/>
      <c r="H127" s="1510"/>
      <c r="I127" s="1510"/>
      <c r="J127" s="1510"/>
      <c r="K127" s="2043"/>
      <c r="L127" s="1977"/>
      <c r="M127" s="2045"/>
      <c r="N127" s="1510"/>
      <c r="O127" s="1510"/>
      <c r="P127" s="1510"/>
      <c r="Q127" s="1510"/>
      <c r="R127" s="1510"/>
      <c r="S127" s="2043"/>
      <c r="T127" s="1974"/>
      <c r="U127" s="1976" t="s">
        <v>12094</v>
      </c>
      <c r="V127" s="1510"/>
      <c r="W127" s="1510"/>
      <c r="X127" s="1510"/>
      <c r="Y127" s="2198"/>
      <c r="Z127" s="2329"/>
      <c r="AA127" s="2329"/>
      <c r="AB127" s="2329"/>
      <c r="AC127" s="2329"/>
      <c r="AD127" s="2330"/>
      <c r="AE127" s="88"/>
      <c r="AF127" s="98" t="s">
        <v>12167</v>
      </c>
      <c r="AG127" s="2560"/>
      <c r="AH127" s="2589"/>
      <c r="AI127" s="1121"/>
      <c r="AJ127" s="2589"/>
      <c r="AK127" s="252">
        <f t="shared" si="35"/>
        <v>0</v>
      </c>
      <c r="AL127" s="252">
        <f t="shared" si="18"/>
        <v>0</v>
      </c>
      <c r="AM127" s="252">
        <f t="shared" si="19"/>
        <v>0</v>
      </c>
      <c r="AN127" s="252">
        <f t="shared" si="20"/>
        <v>0</v>
      </c>
      <c r="AO127" s="252">
        <f t="shared" si="21"/>
        <v>0</v>
      </c>
      <c r="AP127" s="252">
        <f t="shared" si="22"/>
        <v>0</v>
      </c>
      <c r="AQ127" s="252">
        <f t="shared" si="23"/>
        <v>0</v>
      </c>
      <c r="AR127" s="2560"/>
      <c r="AS127" s="252">
        <f t="shared" si="24"/>
        <v>0</v>
      </c>
      <c r="AT127" s="252">
        <f t="shared" si="25"/>
        <v>0</v>
      </c>
      <c r="AU127" s="252">
        <f t="shared" si="26"/>
        <v>0</v>
      </c>
      <c r="AV127" s="252">
        <f t="shared" si="27"/>
        <v>0</v>
      </c>
      <c r="AW127" s="252">
        <f t="shared" si="28"/>
        <v>0</v>
      </c>
      <c r="AX127" s="252">
        <f t="shared" si="29"/>
        <v>0</v>
      </c>
      <c r="AY127" s="252">
        <f t="shared" si="30"/>
        <v>0</v>
      </c>
      <c r="AZ127" s="2560"/>
      <c r="BA127" s="2560"/>
      <c r="BB127" s="252">
        <f t="shared" si="31"/>
        <v>0</v>
      </c>
      <c r="BC127" s="252">
        <f t="shared" si="32"/>
        <v>0</v>
      </c>
      <c r="BD127" s="252">
        <f t="shared" si="33"/>
        <v>0</v>
      </c>
      <c r="BE127" s="252">
        <f t="shared" si="34"/>
        <v>0</v>
      </c>
      <c r="BF127" s="2589"/>
      <c r="BG127" s="1247"/>
      <c r="BH127" s="1247"/>
      <c r="BI127" s="1247"/>
      <c r="BJ127" s="1247"/>
      <c r="BK127" s="1247"/>
      <c r="BL127" s="1247"/>
    </row>
    <row r="128" spans="2:64" ht="15.75" customHeight="1">
      <c r="B128" s="96" t="s">
        <v>12168</v>
      </c>
      <c r="C128" s="97" t="s">
        <v>137</v>
      </c>
      <c r="D128" s="97">
        <v>3</v>
      </c>
      <c r="E128" s="1510"/>
      <c r="F128" s="1510"/>
      <c r="G128" s="1510"/>
      <c r="H128" s="1510"/>
      <c r="I128" s="1510"/>
      <c r="J128" s="1510"/>
      <c r="K128" s="2043"/>
      <c r="L128" s="1977"/>
      <c r="M128" s="2045"/>
      <c r="N128" s="1510"/>
      <c r="O128" s="1510"/>
      <c r="P128" s="1510"/>
      <c r="Q128" s="1510"/>
      <c r="R128" s="1510"/>
      <c r="S128" s="2043"/>
      <c r="T128" s="1974"/>
      <c r="U128" s="1976" t="s">
        <v>12094</v>
      </c>
      <c r="V128" s="1510"/>
      <c r="W128" s="1510"/>
      <c r="X128" s="1510"/>
      <c r="Y128" s="2198"/>
      <c r="Z128" s="2329"/>
      <c r="AA128" s="2329"/>
      <c r="AB128" s="2329"/>
      <c r="AC128" s="2329"/>
      <c r="AD128" s="2330"/>
      <c r="AE128" s="88"/>
      <c r="AF128" s="98" t="s">
        <v>12169</v>
      </c>
      <c r="AG128" s="2560"/>
      <c r="AH128" s="2589"/>
      <c r="AI128" s="1121"/>
      <c r="AJ128" s="2589"/>
      <c r="AK128" s="252">
        <f t="shared" si="35"/>
        <v>0</v>
      </c>
      <c r="AL128" s="252">
        <f t="shared" si="18"/>
        <v>0</v>
      </c>
      <c r="AM128" s="252">
        <f t="shared" si="19"/>
        <v>0</v>
      </c>
      <c r="AN128" s="252">
        <f t="shared" si="20"/>
        <v>0</v>
      </c>
      <c r="AO128" s="252">
        <f t="shared" si="21"/>
        <v>0</v>
      </c>
      <c r="AP128" s="252">
        <f t="shared" si="22"/>
        <v>0</v>
      </c>
      <c r="AQ128" s="252">
        <f t="shared" si="23"/>
        <v>0</v>
      </c>
      <c r="AR128" s="2560"/>
      <c r="AS128" s="252">
        <f t="shared" si="24"/>
        <v>0</v>
      </c>
      <c r="AT128" s="252">
        <f t="shared" si="25"/>
        <v>0</v>
      </c>
      <c r="AU128" s="252">
        <f t="shared" si="26"/>
        <v>0</v>
      </c>
      <c r="AV128" s="252">
        <f t="shared" si="27"/>
        <v>0</v>
      </c>
      <c r="AW128" s="252">
        <f t="shared" si="28"/>
        <v>0</v>
      </c>
      <c r="AX128" s="252">
        <f t="shared" si="29"/>
        <v>0</v>
      </c>
      <c r="AY128" s="252">
        <f t="shared" si="30"/>
        <v>0</v>
      </c>
      <c r="AZ128" s="2560"/>
      <c r="BA128" s="2560"/>
      <c r="BB128" s="252">
        <f t="shared" si="31"/>
        <v>0</v>
      </c>
      <c r="BC128" s="252">
        <f t="shared" si="32"/>
        <v>0</v>
      </c>
      <c r="BD128" s="252">
        <f t="shared" si="33"/>
        <v>0</v>
      </c>
      <c r="BE128" s="252">
        <f t="shared" si="34"/>
        <v>0</v>
      </c>
      <c r="BF128" s="2589"/>
      <c r="BG128" s="1247"/>
      <c r="BH128" s="1247"/>
      <c r="BI128" s="1247"/>
      <c r="BJ128" s="1247"/>
      <c r="BK128" s="1247"/>
      <c r="BL128" s="1247"/>
    </row>
    <row r="129" spans="2:64" ht="15.75" customHeight="1">
      <c r="B129" s="96" t="s">
        <v>12170</v>
      </c>
      <c r="C129" s="97" t="s">
        <v>137</v>
      </c>
      <c r="D129" s="97">
        <v>3</v>
      </c>
      <c r="E129" s="1510"/>
      <c r="F129" s="1510"/>
      <c r="G129" s="1510"/>
      <c r="H129" s="1510"/>
      <c r="I129" s="1510"/>
      <c r="J129" s="1510"/>
      <c r="K129" s="2043"/>
      <c r="L129" s="1977"/>
      <c r="M129" s="2045"/>
      <c r="N129" s="1510"/>
      <c r="O129" s="1510"/>
      <c r="P129" s="1510"/>
      <c r="Q129" s="1510"/>
      <c r="R129" s="1510"/>
      <c r="S129" s="2043"/>
      <c r="T129" s="1974"/>
      <c r="U129" s="1976" t="s">
        <v>12094</v>
      </c>
      <c r="V129" s="1510"/>
      <c r="W129" s="1510"/>
      <c r="X129" s="1510"/>
      <c r="Y129" s="2198"/>
      <c r="Z129" s="2329"/>
      <c r="AA129" s="2329"/>
      <c r="AB129" s="2329"/>
      <c r="AC129" s="2329"/>
      <c r="AD129" s="2330"/>
      <c r="AE129" s="88"/>
      <c r="AF129" s="98" t="s">
        <v>12171</v>
      </c>
      <c r="AG129" s="2560"/>
      <c r="AH129" s="2589"/>
      <c r="AI129" s="1121"/>
      <c r="AJ129" s="2589"/>
      <c r="AK129" s="252">
        <f t="shared" si="35"/>
        <v>0</v>
      </c>
      <c r="AL129" s="252">
        <f t="shared" si="18"/>
        <v>0</v>
      </c>
      <c r="AM129" s="252">
        <f t="shared" si="19"/>
        <v>0</v>
      </c>
      <c r="AN129" s="252">
        <f t="shared" si="20"/>
        <v>0</v>
      </c>
      <c r="AO129" s="252">
        <f t="shared" si="21"/>
        <v>0</v>
      </c>
      <c r="AP129" s="252">
        <f t="shared" si="22"/>
        <v>0</v>
      </c>
      <c r="AQ129" s="252">
        <f t="shared" si="23"/>
        <v>0</v>
      </c>
      <c r="AR129" s="2560"/>
      <c r="AS129" s="252">
        <f t="shared" si="24"/>
        <v>0</v>
      </c>
      <c r="AT129" s="252">
        <f t="shared" si="25"/>
        <v>0</v>
      </c>
      <c r="AU129" s="252">
        <f t="shared" si="26"/>
        <v>0</v>
      </c>
      <c r="AV129" s="252">
        <f t="shared" si="27"/>
        <v>0</v>
      </c>
      <c r="AW129" s="252">
        <f t="shared" si="28"/>
        <v>0</v>
      </c>
      <c r="AX129" s="252">
        <f t="shared" si="29"/>
        <v>0</v>
      </c>
      <c r="AY129" s="252">
        <f t="shared" si="30"/>
        <v>0</v>
      </c>
      <c r="AZ129" s="2560"/>
      <c r="BA129" s="2560"/>
      <c r="BB129" s="252">
        <f t="shared" si="31"/>
        <v>0</v>
      </c>
      <c r="BC129" s="252">
        <f t="shared" si="32"/>
        <v>0</v>
      </c>
      <c r="BD129" s="252">
        <f t="shared" si="33"/>
        <v>0</v>
      </c>
      <c r="BE129" s="252">
        <f t="shared" si="34"/>
        <v>0</v>
      </c>
      <c r="BF129" s="2589"/>
      <c r="BG129" s="1247"/>
      <c r="BH129" s="1247"/>
      <c r="BI129" s="1247"/>
      <c r="BJ129" s="1247"/>
      <c r="BK129" s="1247"/>
      <c r="BL129" s="1247"/>
    </row>
    <row r="130" spans="2:64" ht="15.75" customHeight="1">
      <c r="B130" s="96" t="s">
        <v>12172</v>
      </c>
      <c r="C130" s="97" t="s">
        <v>137</v>
      </c>
      <c r="D130" s="97">
        <v>3</v>
      </c>
      <c r="E130" s="1510"/>
      <c r="F130" s="1510"/>
      <c r="G130" s="1510"/>
      <c r="H130" s="1510"/>
      <c r="I130" s="1510"/>
      <c r="J130" s="1510"/>
      <c r="K130" s="2043"/>
      <c r="L130" s="1977"/>
      <c r="M130" s="2045"/>
      <c r="N130" s="1510"/>
      <c r="O130" s="1510"/>
      <c r="P130" s="1510"/>
      <c r="Q130" s="1510"/>
      <c r="R130" s="1510"/>
      <c r="S130" s="2043"/>
      <c r="T130" s="1974"/>
      <c r="U130" s="1976" t="s">
        <v>12094</v>
      </c>
      <c r="V130" s="1510"/>
      <c r="W130" s="1510"/>
      <c r="X130" s="1510"/>
      <c r="Y130" s="2198"/>
      <c r="Z130" s="2329"/>
      <c r="AA130" s="2329"/>
      <c r="AB130" s="2329"/>
      <c r="AC130" s="2329"/>
      <c r="AD130" s="2330"/>
      <c r="AE130" s="88"/>
      <c r="AF130" s="98" t="s">
        <v>12173</v>
      </c>
      <c r="AG130" s="2560"/>
      <c r="AH130" s="2589"/>
      <c r="AI130" s="1121"/>
      <c r="AJ130" s="2589"/>
      <c r="AK130" s="252">
        <f t="shared" si="35"/>
        <v>0</v>
      </c>
      <c r="AL130" s="252">
        <f t="shared" si="18"/>
        <v>0</v>
      </c>
      <c r="AM130" s="252">
        <f t="shared" si="19"/>
        <v>0</v>
      </c>
      <c r="AN130" s="252">
        <f t="shared" si="20"/>
        <v>0</v>
      </c>
      <c r="AO130" s="252">
        <f t="shared" si="21"/>
        <v>0</v>
      </c>
      <c r="AP130" s="252">
        <f t="shared" si="22"/>
        <v>0</v>
      </c>
      <c r="AQ130" s="252">
        <f t="shared" si="23"/>
        <v>0</v>
      </c>
      <c r="AR130" s="2560"/>
      <c r="AS130" s="252">
        <f t="shared" si="24"/>
        <v>0</v>
      </c>
      <c r="AT130" s="252">
        <f t="shared" si="25"/>
        <v>0</v>
      </c>
      <c r="AU130" s="252">
        <f t="shared" si="26"/>
        <v>0</v>
      </c>
      <c r="AV130" s="252">
        <f t="shared" si="27"/>
        <v>0</v>
      </c>
      <c r="AW130" s="252">
        <f t="shared" si="28"/>
        <v>0</v>
      </c>
      <c r="AX130" s="252">
        <f t="shared" si="29"/>
        <v>0</v>
      </c>
      <c r="AY130" s="252">
        <f t="shared" si="30"/>
        <v>0</v>
      </c>
      <c r="AZ130" s="2560"/>
      <c r="BA130" s="2560"/>
      <c r="BB130" s="252">
        <f t="shared" si="31"/>
        <v>0</v>
      </c>
      <c r="BC130" s="252">
        <f t="shared" si="32"/>
        <v>0</v>
      </c>
      <c r="BD130" s="252">
        <f t="shared" si="33"/>
        <v>0</v>
      </c>
      <c r="BE130" s="252">
        <f t="shared" si="34"/>
        <v>0</v>
      </c>
      <c r="BF130" s="2589"/>
      <c r="BG130" s="1247"/>
      <c r="BH130" s="1247"/>
      <c r="BI130" s="1247"/>
      <c r="BJ130" s="1247"/>
      <c r="BK130" s="1247"/>
      <c r="BL130" s="1247"/>
    </row>
    <row r="131" spans="2:64" ht="15.75" customHeight="1">
      <c r="B131" s="96" t="s">
        <v>12174</v>
      </c>
      <c r="C131" s="97" t="s">
        <v>137</v>
      </c>
      <c r="D131" s="97">
        <v>3</v>
      </c>
      <c r="E131" s="1510"/>
      <c r="F131" s="1510"/>
      <c r="G131" s="1510"/>
      <c r="H131" s="1510"/>
      <c r="I131" s="1510"/>
      <c r="J131" s="1510"/>
      <c r="K131" s="2043"/>
      <c r="L131" s="1977"/>
      <c r="M131" s="2045"/>
      <c r="N131" s="1510"/>
      <c r="O131" s="1510"/>
      <c r="P131" s="1510"/>
      <c r="Q131" s="1510"/>
      <c r="R131" s="1510"/>
      <c r="S131" s="2043"/>
      <c r="T131" s="1974"/>
      <c r="U131" s="1976" t="s">
        <v>12094</v>
      </c>
      <c r="V131" s="1510"/>
      <c r="W131" s="1510"/>
      <c r="X131" s="1510"/>
      <c r="Y131" s="2198"/>
      <c r="Z131" s="2329"/>
      <c r="AA131" s="2329"/>
      <c r="AB131" s="2329"/>
      <c r="AC131" s="2329"/>
      <c r="AD131" s="2330"/>
      <c r="AE131" s="88"/>
      <c r="AF131" s="98" t="s">
        <v>12175</v>
      </c>
      <c r="AG131" s="2560"/>
      <c r="AH131" s="2589"/>
      <c r="AI131" s="1121"/>
      <c r="AJ131" s="2589"/>
      <c r="AK131" s="252">
        <f t="shared" si="35"/>
        <v>0</v>
      </c>
      <c r="AL131" s="252">
        <f t="shared" si="18"/>
        <v>0</v>
      </c>
      <c r="AM131" s="252">
        <f t="shared" si="19"/>
        <v>0</v>
      </c>
      <c r="AN131" s="252">
        <f t="shared" si="20"/>
        <v>0</v>
      </c>
      <c r="AO131" s="252">
        <f t="shared" si="21"/>
        <v>0</v>
      </c>
      <c r="AP131" s="252">
        <f t="shared" si="22"/>
        <v>0</v>
      </c>
      <c r="AQ131" s="252">
        <f t="shared" si="23"/>
        <v>0</v>
      </c>
      <c r="AR131" s="2560"/>
      <c r="AS131" s="252">
        <f t="shared" si="24"/>
        <v>0</v>
      </c>
      <c r="AT131" s="252">
        <f t="shared" si="25"/>
        <v>0</v>
      </c>
      <c r="AU131" s="252">
        <f t="shared" si="26"/>
        <v>0</v>
      </c>
      <c r="AV131" s="252">
        <f t="shared" si="27"/>
        <v>0</v>
      </c>
      <c r="AW131" s="252">
        <f t="shared" si="28"/>
        <v>0</v>
      </c>
      <c r="AX131" s="252">
        <f t="shared" si="29"/>
        <v>0</v>
      </c>
      <c r="AY131" s="252">
        <f t="shared" si="30"/>
        <v>0</v>
      </c>
      <c r="AZ131" s="2560"/>
      <c r="BA131" s="2560"/>
      <c r="BB131" s="252">
        <f t="shared" si="31"/>
        <v>0</v>
      </c>
      <c r="BC131" s="252">
        <f t="shared" si="32"/>
        <v>0</v>
      </c>
      <c r="BD131" s="252">
        <f t="shared" si="33"/>
        <v>0</v>
      </c>
      <c r="BE131" s="252">
        <f t="shared" si="34"/>
        <v>0</v>
      </c>
      <c r="BF131" s="2589"/>
      <c r="BG131" s="1247"/>
      <c r="BH131" s="1247"/>
      <c r="BI131" s="1247"/>
      <c r="BJ131" s="1247"/>
      <c r="BK131" s="1247"/>
      <c r="BL131" s="1247"/>
    </row>
    <row r="132" spans="2:64" ht="15.75" customHeight="1">
      <c r="B132" s="96" t="s">
        <v>12176</v>
      </c>
      <c r="C132" s="97" t="s">
        <v>137</v>
      </c>
      <c r="D132" s="97">
        <v>3</v>
      </c>
      <c r="E132" s="1510"/>
      <c r="F132" s="1510"/>
      <c r="G132" s="1510"/>
      <c r="H132" s="1510"/>
      <c r="I132" s="1510"/>
      <c r="J132" s="1510"/>
      <c r="K132" s="2043"/>
      <c r="L132" s="1977"/>
      <c r="M132" s="2045"/>
      <c r="N132" s="1510"/>
      <c r="O132" s="1510"/>
      <c r="P132" s="1510"/>
      <c r="Q132" s="1510"/>
      <c r="R132" s="1510"/>
      <c r="S132" s="2043"/>
      <c r="T132" s="1974"/>
      <c r="U132" s="1976" t="s">
        <v>12094</v>
      </c>
      <c r="V132" s="1510"/>
      <c r="W132" s="1510"/>
      <c r="X132" s="1510"/>
      <c r="Y132" s="2198"/>
      <c r="Z132" s="2329"/>
      <c r="AA132" s="2329"/>
      <c r="AB132" s="2329"/>
      <c r="AC132" s="2329"/>
      <c r="AD132" s="2330"/>
      <c r="AE132" s="88"/>
      <c r="AF132" s="98" t="s">
        <v>12177</v>
      </c>
      <c r="AG132" s="2560"/>
      <c r="AH132" s="2589"/>
      <c r="AI132" s="1121"/>
      <c r="AJ132" s="2589"/>
      <c r="AK132" s="252">
        <f t="shared" si="35"/>
        <v>0</v>
      </c>
      <c r="AL132" s="252">
        <f t="shared" si="18"/>
        <v>0</v>
      </c>
      <c r="AM132" s="252">
        <f t="shared" si="19"/>
        <v>0</v>
      </c>
      <c r="AN132" s="252">
        <f t="shared" si="20"/>
        <v>0</v>
      </c>
      <c r="AO132" s="252">
        <f t="shared" si="21"/>
        <v>0</v>
      </c>
      <c r="AP132" s="252">
        <f t="shared" si="22"/>
        <v>0</v>
      </c>
      <c r="AQ132" s="252">
        <f t="shared" si="23"/>
        <v>0</v>
      </c>
      <c r="AR132" s="2560"/>
      <c r="AS132" s="252">
        <f t="shared" si="24"/>
        <v>0</v>
      </c>
      <c r="AT132" s="252">
        <f t="shared" si="25"/>
        <v>0</v>
      </c>
      <c r="AU132" s="252">
        <f t="shared" si="26"/>
        <v>0</v>
      </c>
      <c r="AV132" s="252">
        <f t="shared" si="27"/>
        <v>0</v>
      </c>
      <c r="AW132" s="252">
        <f t="shared" si="28"/>
        <v>0</v>
      </c>
      <c r="AX132" s="252">
        <f t="shared" si="29"/>
        <v>0</v>
      </c>
      <c r="AY132" s="252">
        <f t="shared" si="30"/>
        <v>0</v>
      </c>
      <c r="AZ132" s="2560"/>
      <c r="BA132" s="2560"/>
      <c r="BB132" s="252">
        <f t="shared" si="31"/>
        <v>0</v>
      </c>
      <c r="BC132" s="252">
        <f t="shared" si="32"/>
        <v>0</v>
      </c>
      <c r="BD132" s="252">
        <f t="shared" si="33"/>
        <v>0</v>
      </c>
      <c r="BE132" s="252">
        <f t="shared" si="34"/>
        <v>0</v>
      </c>
      <c r="BF132" s="2589"/>
      <c r="BG132" s="1247"/>
      <c r="BH132" s="1247"/>
      <c r="BI132" s="1247"/>
      <c r="BJ132" s="1247"/>
      <c r="BK132" s="1247"/>
      <c r="BL132" s="1247"/>
    </row>
    <row r="133" spans="2:64" ht="15.75" customHeight="1">
      <c r="B133" s="96" t="s">
        <v>12178</v>
      </c>
      <c r="C133" s="97" t="s">
        <v>137</v>
      </c>
      <c r="D133" s="97">
        <v>3</v>
      </c>
      <c r="E133" s="1510"/>
      <c r="F133" s="1510"/>
      <c r="G133" s="1510"/>
      <c r="H133" s="1510"/>
      <c r="I133" s="1510"/>
      <c r="J133" s="1510"/>
      <c r="K133" s="2043"/>
      <c r="L133" s="1977"/>
      <c r="M133" s="2045"/>
      <c r="N133" s="1510"/>
      <c r="O133" s="1510"/>
      <c r="P133" s="1510"/>
      <c r="Q133" s="1510"/>
      <c r="R133" s="1510"/>
      <c r="S133" s="2043"/>
      <c r="T133" s="1974"/>
      <c r="U133" s="1976" t="s">
        <v>12094</v>
      </c>
      <c r="V133" s="1510"/>
      <c r="W133" s="1510"/>
      <c r="X133" s="1510"/>
      <c r="Y133" s="2198"/>
      <c r="Z133" s="2329"/>
      <c r="AA133" s="2329"/>
      <c r="AB133" s="2329"/>
      <c r="AC133" s="2329"/>
      <c r="AD133" s="2330"/>
      <c r="AE133" s="88"/>
      <c r="AF133" s="98" t="s">
        <v>12179</v>
      </c>
      <c r="AG133" s="2560"/>
      <c r="AH133" s="2589"/>
      <c r="AI133" s="1121"/>
      <c r="AJ133" s="2589"/>
      <c r="AK133" s="252">
        <f t="shared" si="35"/>
        <v>0</v>
      </c>
      <c r="AL133" s="252">
        <f t="shared" si="18"/>
        <v>0</v>
      </c>
      <c r="AM133" s="252">
        <f t="shared" si="19"/>
        <v>0</v>
      </c>
      <c r="AN133" s="252">
        <f t="shared" si="20"/>
        <v>0</v>
      </c>
      <c r="AO133" s="252">
        <f t="shared" si="21"/>
        <v>0</v>
      </c>
      <c r="AP133" s="252">
        <f t="shared" si="22"/>
        <v>0</v>
      </c>
      <c r="AQ133" s="252">
        <f t="shared" si="23"/>
        <v>0</v>
      </c>
      <c r="AR133" s="2560"/>
      <c r="AS133" s="252">
        <f t="shared" si="24"/>
        <v>0</v>
      </c>
      <c r="AT133" s="252">
        <f t="shared" si="25"/>
        <v>0</v>
      </c>
      <c r="AU133" s="252">
        <f t="shared" si="26"/>
        <v>0</v>
      </c>
      <c r="AV133" s="252">
        <f t="shared" si="27"/>
        <v>0</v>
      </c>
      <c r="AW133" s="252">
        <f t="shared" si="28"/>
        <v>0</v>
      </c>
      <c r="AX133" s="252">
        <f t="shared" si="29"/>
        <v>0</v>
      </c>
      <c r="AY133" s="252">
        <f t="shared" si="30"/>
        <v>0</v>
      </c>
      <c r="AZ133" s="2560"/>
      <c r="BA133" s="2560"/>
      <c r="BB133" s="252">
        <f t="shared" si="31"/>
        <v>0</v>
      </c>
      <c r="BC133" s="252">
        <f t="shared" si="32"/>
        <v>0</v>
      </c>
      <c r="BD133" s="252">
        <f t="shared" si="33"/>
        <v>0</v>
      </c>
      <c r="BE133" s="252">
        <f t="shared" si="34"/>
        <v>0</v>
      </c>
      <c r="BF133" s="2589"/>
      <c r="BG133" s="1247"/>
      <c r="BH133" s="1247"/>
      <c r="BI133" s="1247"/>
      <c r="BJ133" s="1247"/>
      <c r="BK133" s="1247"/>
      <c r="BL133" s="1247"/>
    </row>
    <row r="134" spans="2:64" ht="15.75" customHeight="1">
      <c r="B134" s="96" t="s">
        <v>12180</v>
      </c>
      <c r="C134" s="97" t="s">
        <v>137</v>
      </c>
      <c r="D134" s="97">
        <v>3</v>
      </c>
      <c r="E134" s="1510"/>
      <c r="F134" s="1510"/>
      <c r="G134" s="1510"/>
      <c r="H134" s="1510"/>
      <c r="I134" s="1510"/>
      <c r="J134" s="1510"/>
      <c r="K134" s="2043"/>
      <c r="L134" s="1977"/>
      <c r="M134" s="2045"/>
      <c r="N134" s="1510"/>
      <c r="O134" s="1510"/>
      <c r="P134" s="1510"/>
      <c r="Q134" s="1510"/>
      <c r="R134" s="1510"/>
      <c r="S134" s="2043"/>
      <c r="T134" s="1974"/>
      <c r="U134" s="1976" t="s">
        <v>12094</v>
      </c>
      <c r="V134" s="1510"/>
      <c r="W134" s="1510"/>
      <c r="X134" s="1510"/>
      <c r="Y134" s="2198"/>
      <c r="Z134" s="2329"/>
      <c r="AA134" s="2329"/>
      <c r="AB134" s="2329"/>
      <c r="AC134" s="2329"/>
      <c r="AD134" s="2330"/>
      <c r="AE134" s="88"/>
      <c r="AF134" s="98" t="s">
        <v>12181</v>
      </c>
      <c r="AG134" s="2560"/>
      <c r="AH134" s="2589"/>
      <c r="AI134" s="1121"/>
      <c r="AJ134" s="2589"/>
      <c r="AK134" s="252">
        <f t="shared" si="35"/>
        <v>0</v>
      </c>
      <c r="AL134" s="252">
        <f t="shared" si="18"/>
        <v>0</v>
      </c>
      <c r="AM134" s="252">
        <f t="shared" si="19"/>
        <v>0</v>
      </c>
      <c r="AN134" s="252">
        <f t="shared" si="20"/>
        <v>0</v>
      </c>
      <c r="AO134" s="252">
        <f t="shared" si="21"/>
        <v>0</v>
      </c>
      <c r="AP134" s="252">
        <f t="shared" si="22"/>
        <v>0</v>
      </c>
      <c r="AQ134" s="252">
        <f t="shared" si="23"/>
        <v>0</v>
      </c>
      <c r="AR134" s="2560"/>
      <c r="AS134" s="252">
        <f t="shared" si="24"/>
        <v>0</v>
      </c>
      <c r="AT134" s="252">
        <f t="shared" si="25"/>
        <v>0</v>
      </c>
      <c r="AU134" s="252">
        <f t="shared" si="26"/>
        <v>0</v>
      </c>
      <c r="AV134" s="252">
        <f t="shared" si="27"/>
        <v>0</v>
      </c>
      <c r="AW134" s="252">
        <f t="shared" si="28"/>
        <v>0</v>
      </c>
      <c r="AX134" s="252">
        <f t="shared" si="29"/>
        <v>0</v>
      </c>
      <c r="AY134" s="252">
        <f t="shared" si="30"/>
        <v>0</v>
      </c>
      <c r="AZ134" s="2560"/>
      <c r="BA134" s="2560"/>
      <c r="BB134" s="252">
        <f t="shared" si="31"/>
        <v>0</v>
      </c>
      <c r="BC134" s="252">
        <f t="shared" si="32"/>
        <v>0</v>
      </c>
      <c r="BD134" s="252">
        <f t="shared" si="33"/>
        <v>0</v>
      </c>
      <c r="BE134" s="252">
        <f t="shared" si="34"/>
        <v>0</v>
      </c>
      <c r="BF134" s="2589"/>
      <c r="BG134" s="1247"/>
      <c r="BH134" s="1247"/>
      <c r="BI134" s="1247"/>
      <c r="BJ134" s="1247"/>
      <c r="BK134" s="1247"/>
      <c r="BL134" s="1247"/>
    </row>
    <row r="135" spans="2:64" ht="15.75" customHeight="1">
      <c r="B135" s="96" t="s">
        <v>12182</v>
      </c>
      <c r="C135" s="97" t="s">
        <v>137</v>
      </c>
      <c r="D135" s="97">
        <v>3</v>
      </c>
      <c r="E135" s="1510"/>
      <c r="F135" s="1510"/>
      <c r="G135" s="1510"/>
      <c r="H135" s="1510"/>
      <c r="I135" s="1510"/>
      <c r="J135" s="1510"/>
      <c r="K135" s="2043"/>
      <c r="L135" s="1977"/>
      <c r="M135" s="2045"/>
      <c r="N135" s="1510"/>
      <c r="O135" s="1510"/>
      <c r="P135" s="1510"/>
      <c r="Q135" s="1510"/>
      <c r="R135" s="1510"/>
      <c r="S135" s="2043"/>
      <c r="T135" s="1974"/>
      <c r="U135" s="1976" t="s">
        <v>12094</v>
      </c>
      <c r="V135" s="1510"/>
      <c r="W135" s="1510"/>
      <c r="X135" s="1510"/>
      <c r="Y135" s="2198"/>
      <c r="Z135" s="2329"/>
      <c r="AA135" s="2329"/>
      <c r="AB135" s="2329"/>
      <c r="AC135" s="2329"/>
      <c r="AD135" s="2330"/>
      <c r="AE135" s="88"/>
      <c r="AF135" s="98" t="s">
        <v>12183</v>
      </c>
      <c r="AG135" s="2560"/>
      <c r="AH135" s="2589"/>
      <c r="AI135" s="1121"/>
      <c r="AJ135" s="2589"/>
      <c r="AK135" s="252">
        <f t="shared" si="35"/>
        <v>0</v>
      </c>
      <c r="AL135" s="252">
        <f t="shared" si="18"/>
        <v>0</v>
      </c>
      <c r="AM135" s="252">
        <f t="shared" si="19"/>
        <v>0</v>
      </c>
      <c r="AN135" s="252">
        <f t="shared" si="20"/>
        <v>0</v>
      </c>
      <c r="AO135" s="252">
        <f t="shared" si="21"/>
        <v>0</v>
      </c>
      <c r="AP135" s="252">
        <f t="shared" si="22"/>
        <v>0</v>
      </c>
      <c r="AQ135" s="252">
        <f t="shared" si="23"/>
        <v>0</v>
      </c>
      <c r="AR135" s="2560"/>
      <c r="AS135" s="252">
        <f t="shared" si="24"/>
        <v>0</v>
      </c>
      <c r="AT135" s="252">
        <f t="shared" si="25"/>
        <v>0</v>
      </c>
      <c r="AU135" s="252">
        <f t="shared" si="26"/>
        <v>0</v>
      </c>
      <c r="AV135" s="252">
        <f t="shared" si="27"/>
        <v>0</v>
      </c>
      <c r="AW135" s="252">
        <f t="shared" si="28"/>
        <v>0</v>
      </c>
      <c r="AX135" s="252">
        <f t="shared" si="29"/>
        <v>0</v>
      </c>
      <c r="AY135" s="252">
        <f t="shared" si="30"/>
        <v>0</v>
      </c>
      <c r="AZ135" s="2560"/>
      <c r="BA135" s="2560"/>
      <c r="BB135" s="252">
        <f t="shared" si="31"/>
        <v>0</v>
      </c>
      <c r="BC135" s="252">
        <f t="shared" si="32"/>
        <v>0</v>
      </c>
      <c r="BD135" s="252">
        <f t="shared" si="33"/>
        <v>0</v>
      </c>
      <c r="BE135" s="252">
        <f t="shared" si="34"/>
        <v>0</v>
      </c>
      <c r="BF135" s="2589"/>
      <c r="BG135" s="1247"/>
      <c r="BH135" s="1247"/>
      <c r="BI135" s="1247"/>
      <c r="BJ135" s="1247"/>
      <c r="BK135" s="1247"/>
      <c r="BL135" s="1247"/>
    </row>
    <row r="136" spans="2:64" ht="15.75" customHeight="1">
      <c r="B136" s="96" t="s">
        <v>12184</v>
      </c>
      <c r="C136" s="97" t="s">
        <v>137</v>
      </c>
      <c r="D136" s="97">
        <v>3</v>
      </c>
      <c r="E136" s="1510"/>
      <c r="F136" s="1510"/>
      <c r="G136" s="1510"/>
      <c r="H136" s="1510"/>
      <c r="I136" s="1510"/>
      <c r="J136" s="1510"/>
      <c r="K136" s="2043"/>
      <c r="L136" s="1977"/>
      <c r="M136" s="2045"/>
      <c r="N136" s="1510"/>
      <c r="O136" s="1510"/>
      <c r="P136" s="1510"/>
      <c r="Q136" s="1510"/>
      <c r="R136" s="1510"/>
      <c r="S136" s="2043"/>
      <c r="T136" s="1974"/>
      <c r="U136" s="1976" t="s">
        <v>12094</v>
      </c>
      <c r="V136" s="1510"/>
      <c r="W136" s="1510"/>
      <c r="X136" s="1510"/>
      <c r="Y136" s="2198"/>
      <c r="Z136" s="2329"/>
      <c r="AA136" s="2329"/>
      <c r="AB136" s="2329"/>
      <c r="AC136" s="2329"/>
      <c r="AD136" s="2330"/>
      <c r="AE136" s="88"/>
      <c r="AF136" s="98" t="s">
        <v>12185</v>
      </c>
      <c r="AG136" s="2560"/>
      <c r="AH136" s="2589"/>
      <c r="AI136" s="1121"/>
      <c r="AJ136" s="2589"/>
      <c r="AK136" s="252">
        <f t="shared" si="35"/>
        <v>0</v>
      </c>
      <c r="AL136" s="252">
        <f t="shared" si="18"/>
        <v>0</v>
      </c>
      <c r="AM136" s="252">
        <f t="shared" si="19"/>
        <v>0</v>
      </c>
      <c r="AN136" s="252">
        <f t="shared" si="20"/>
        <v>0</v>
      </c>
      <c r="AO136" s="252">
        <f t="shared" si="21"/>
        <v>0</v>
      </c>
      <c r="AP136" s="252">
        <f t="shared" si="22"/>
        <v>0</v>
      </c>
      <c r="AQ136" s="252">
        <f t="shared" si="23"/>
        <v>0</v>
      </c>
      <c r="AR136" s="2560"/>
      <c r="AS136" s="252">
        <f t="shared" si="24"/>
        <v>0</v>
      </c>
      <c r="AT136" s="252">
        <f t="shared" si="25"/>
        <v>0</v>
      </c>
      <c r="AU136" s="252">
        <f t="shared" si="26"/>
        <v>0</v>
      </c>
      <c r="AV136" s="252">
        <f t="shared" si="27"/>
        <v>0</v>
      </c>
      <c r="AW136" s="252">
        <f t="shared" si="28"/>
        <v>0</v>
      </c>
      <c r="AX136" s="252">
        <f t="shared" si="29"/>
        <v>0</v>
      </c>
      <c r="AY136" s="252">
        <f t="shared" si="30"/>
        <v>0</v>
      </c>
      <c r="AZ136" s="2560"/>
      <c r="BA136" s="2560"/>
      <c r="BB136" s="252">
        <f t="shared" si="31"/>
        <v>0</v>
      </c>
      <c r="BC136" s="252">
        <f t="shared" si="32"/>
        <v>0</v>
      </c>
      <c r="BD136" s="252">
        <f t="shared" si="33"/>
        <v>0</v>
      </c>
      <c r="BE136" s="252">
        <f t="shared" si="34"/>
        <v>0</v>
      </c>
      <c r="BF136" s="2589"/>
      <c r="BG136" s="1247"/>
      <c r="BH136" s="1247"/>
      <c r="BI136" s="1247"/>
      <c r="BJ136" s="1247"/>
      <c r="BK136" s="1247"/>
      <c r="BL136" s="1247"/>
    </row>
    <row r="137" spans="2:64" ht="15.75" customHeight="1">
      <c r="B137" s="96" t="s">
        <v>12186</v>
      </c>
      <c r="C137" s="97" t="s">
        <v>137</v>
      </c>
      <c r="D137" s="97">
        <v>3</v>
      </c>
      <c r="E137" s="1510"/>
      <c r="F137" s="1510"/>
      <c r="G137" s="1510"/>
      <c r="H137" s="1510"/>
      <c r="I137" s="1510"/>
      <c r="J137" s="1510"/>
      <c r="K137" s="2043"/>
      <c r="L137" s="1977"/>
      <c r="M137" s="2045"/>
      <c r="N137" s="1510"/>
      <c r="O137" s="1510"/>
      <c r="P137" s="1510"/>
      <c r="Q137" s="1510"/>
      <c r="R137" s="1510"/>
      <c r="S137" s="2043"/>
      <c r="T137" s="1974"/>
      <c r="U137" s="1976" t="s">
        <v>12094</v>
      </c>
      <c r="V137" s="1510"/>
      <c r="W137" s="1510"/>
      <c r="X137" s="1510"/>
      <c r="Y137" s="2198"/>
      <c r="Z137" s="2329"/>
      <c r="AA137" s="2329"/>
      <c r="AB137" s="2329"/>
      <c r="AC137" s="2329"/>
      <c r="AD137" s="2330"/>
      <c r="AE137" s="88"/>
      <c r="AF137" s="98" t="s">
        <v>12187</v>
      </c>
      <c r="AG137" s="2560"/>
      <c r="AH137" s="2589"/>
      <c r="AI137" s="1121"/>
      <c r="AJ137" s="2589"/>
      <c r="AK137" s="252">
        <f t="shared" si="35"/>
        <v>0</v>
      </c>
      <c r="AL137" s="252">
        <f t="shared" ref="AL137:AL200" si="36" xml:space="preserve"> IF(SUM($E137:$K137,$M137:$S137,$V137:$AD137)&gt;0,IF( ISNUMBER(F137 ), 0, 1 ),0)</f>
        <v>0</v>
      </c>
      <c r="AM137" s="252">
        <f t="shared" ref="AM137:AM200" si="37" xml:space="preserve"> IF(SUM($E137:$K137,$M137:$S137,$V137:$AD137)&gt;0,IF( ISNUMBER(G137 ), 0, 1 ),0)</f>
        <v>0</v>
      </c>
      <c r="AN137" s="252">
        <f t="shared" ref="AN137:AN200" si="38" xml:space="preserve"> IF(SUM($E137:$K137,$M137:$S137,$V137:$AD137)&gt;0,IF( ISNUMBER(H137 ), 0, 1 ),0)</f>
        <v>0</v>
      </c>
      <c r="AO137" s="252">
        <f t="shared" ref="AO137:AO200" si="39" xml:space="preserve"> IF(SUM($E137:$K137,$M137:$S137,$V137:$AD137)&gt;0,IF( ISNUMBER(I137 ), 0, 1 ),0)</f>
        <v>0</v>
      </c>
      <c r="AP137" s="252">
        <f t="shared" ref="AP137:AP200" si="40" xml:space="preserve"> IF(SUM($E137:$K137,$M137:$S137,$V137:$AD137)&gt;0,IF( ISNUMBER(J137 ), 0, 1 ),0)</f>
        <v>0</v>
      </c>
      <c r="AQ137" s="252">
        <f t="shared" ref="AQ137:AQ200" si="41" xml:space="preserve"> IF(SUM($E137:$K137,$M137:$S137,$V137:$AD137)&gt;0,IF( ISNUMBER(K137 ), 0, 1 ),0)</f>
        <v>0</v>
      </c>
      <c r="AR137" s="2560"/>
      <c r="AS137" s="252">
        <f t="shared" ref="AS137:AS200" si="42" xml:space="preserve"> IF(SUM($E137:$K137,$M137:$S137,$V137:$AD137)&gt;0,IF( ISNUMBER(M137 ), 0, 1 ),0)</f>
        <v>0</v>
      </c>
      <c r="AT137" s="252">
        <f t="shared" ref="AT137:AT200" si="43" xml:space="preserve"> IF(SUM($E137:$K137,$M137:$S137,$V137:$AD137)&gt;0,IF( ISNUMBER(N137 ), 0, 1 ),0)</f>
        <v>0</v>
      </c>
      <c r="AU137" s="252">
        <f t="shared" ref="AU137:AU200" si="44" xml:space="preserve"> IF(SUM($E137:$K137,$M137:$S137,$V137:$AD137)&gt;0,IF( ISNUMBER(O137 ), 0, 1 ),0)</f>
        <v>0</v>
      </c>
      <c r="AV137" s="252">
        <f t="shared" ref="AV137:AV200" si="45" xml:space="preserve"> IF(SUM($E137:$K137,$M137:$S137,$V137:$AD137)&gt;0,IF( ISNUMBER(P137 ), 0, 1 ),0)</f>
        <v>0</v>
      </c>
      <c r="AW137" s="252">
        <f t="shared" ref="AW137:AW200" si="46" xml:space="preserve"> IF(SUM($E137:$K137,$M137:$S137,$V137:$AD137)&gt;0,IF( ISNUMBER(Q137 ), 0, 1 ),0)</f>
        <v>0</v>
      </c>
      <c r="AX137" s="252">
        <f t="shared" ref="AX137:AX200" si="47" xml:space="preserve"> IF(SUM($E137:$K137,$M137:$S137,$V137:$AD137)&gt;0,IF( ISNUMBER(R137 ), 0, 1 ),0)</f>
        <v>0</v>
      </c>
      <c r="AY137" s="252">
        <f t="shared" ref="AY137:AY200" si="48" xml:space="preserve"> IF(SUM($E137:$K137,$M137:$S137,$V137:$AD137)&gt;0,IF( ISNUMBER(S137 ), 0, 1 ),0)</f>
        <v>0</v>
      </c>
      <c r="AZ137" s="2560"/>
      <c r="BA137" s="2560"/>
      <c r="BB137" s="252">
        <f t="shared" ref="BB137:BB200" si="49" xml:space="preserve"> IF(SUM($E137:$K137,$M137:$S137,$V137:$AD137)&gt;0,IF( ISNUMBER(V137 ), 0, 1 ),0)</f>
        <v>0</v>
      </c>
      <c r="BC137" s="252">
        <f t="shared" ref="BC137:BC200" si="50" xml:space="preserve"> IF(SUM($E137:$K137,$M137:$S137,$V137:$AD137)&gt;0,IF( ISNUMBER(W137 ), 0, 1 ),0)</f>
        <v>0</v>
      </c>
      <c r="BD137" s="252">
        <f t="shared" ref="BD137:BD200" si="51" xml:space="preserve"> IF(SUM($E137:$K137,$M137:$S137,$V137:$AD137)&gt;0,IF( ISNUMBER(X137 ), 0, 1 ),0)</f>
        <v>0</v>
      </c>
      <c r="BE137" s="252">
        <f t="shared" ref="BE137:BE200" si="52" xml:space="preserve"> IF(SUM($E137:$K137,$M137:$S137,$V137:$AD137)&gt;0,IF( ISNUMBER(AD137 ), 0, 1 ),0)</f>
        <v>0</v>
      </c>
      <c r="BF137" s="2589"/>
      <c r="BG137" s="1247"/>
      <c r="BH137" s="1247"/>
      <c r="BI137" s="1247"/>
      <c r="BJ137" s="1247"/>
      <c r="BK137" s="1247"/>
      <c r="BL137" s="1247"/>
    </row>
    <row r="138" spans="2:64" ht="15.75" customHeight="1">
      <c r="B138" s="96" t="s">
        <v>12188</v>
      </c>
      <c r="C138" s="97" t="s">
        <v>137</v>
      </c>
      <c r="D138" s="97">
        <v>3</v>
      </c>
      <c r="E138" s="1510"/>
      <c r="F138" s="1510"/>
      <c r="G138" s="1510"/>
      <c r="H138" s="1510"/>
      <c r="I138" s="1510"/>
      <c r="J138" s="1510"/>
      <c r="K138" s="2043"/>
      <c r="L138" s="1977"/>
      <c r="M138" s="2045"/>
      <c r="N138" s="1510"/>
      <c r="O138" s="1510"/>
      <c r="P138" s="1510"/>
      <c r="Q138" s="1510"/>
      <c r="R138" s="1510"/>
      <c r="S138" s="2043"/>
      <c r="T138" s="1974"/>
      <c r="U138" s="1976" t="s">
        <v>12094</v>
      </c>
      <c r="V138" s="1510"/>
      <c r="W138" s="1510"/>
      <c r="X138" s="1510"/>
      <c r="Y138" s="2198"/>
      <c r="Z138" s="2329"/>
      <c r="AA138" s="2329"/>
      <c r="AB138" s="2329"/>
      <c r="AC138" s="2329"/>
      <c r="AD138" s="2330"/>
      <c r="AE138" s="88"/>
      <c r="AF138" s="98" t="s">
        <v>12189</v>
      </c>
      <c r="AG138" s="2560"/>
      <c r="AH138" s="2589"/>
      <c r="AI138" s="1121"/>
      <c r="AJ138" s="2589"/>
      <c r="AK138" s="252">
        <f t="shared" ref="AK138:AK201" si="53" xml:space="preserve"> IF(SUM($E138:$K138,$M138:$S138,$V138:$AD138)&gt;0,IF( ISNUMBER(E138 ), 0, 1 ),0)</f>
        <v>0</v>
      </c>
      <c r="AL138" s="252">
        <f t="shared" si="36"/>
        <v>0</v>
      </c>
      <c r="AM138" s="252">
        <f t="shared" si="37"/>
        <v>0</v>
      </c>
      <c r="AN138" s="252">
        <f t="shared" si="38"/>
        <v>0</v>
      </c>
      <c r="AO138" s="252">
        <f t="shared" si="39"/>
        <v>0</v>
      </c>
      <c r="AP138" s="252">
        <f t="shared" si="40"/>
        <v>0</v>
      </c>
      <c r="AQ138" s="252">
        <f t="shared" si="41"/>
        <v>0</v>
      </c>
      <c r="AR138" s="2560"/>
      <c r="AS138" s="252">
        <f t="shared" si="42"/>
        <v>0</v>
      </c>
      <c r="AT138" s="252">
        <f t="shared" si="43"/>
        <v>0</v>
      </c>
      <c r="AU138" s="252">
        <f t="shared" si="44"/>
        <v>0</v>
      </c>
      <c r="AV138" s="252">
        <f t="shared" si="45"/>
        <v>0</v>
      </c>
      <c r="AW138" s="252">
        <f t="shared" si="46"/>
        <v>0</v>
      </c>
      <c r="AX138" s="252">
        <f t="shared" si="47"/>
        <v>0</v>
      </c>
      <c r="AY138" s="252">
        <f t="shared" si="48"/>
        <v>0</v>
      </c>
      <c r="AZ138" s="2560"/>
      <c r="BA138" s="2560"/>
      <c r="BB138" s="252">
        <f t="shared" si="49"/>
        <v>0</v>
      </c>
      <c r="BC138" s="252">
        <f t="shared" si="50"/>
        <v>0</v>
      </c>
      <c r="BD138" s="252">
        <f t="shared" si="51"/>
        <v>0</v>
      </c>
      <c r="BE138" s="252">
        <f t="shared" si="52"/>
        <v>0</v>
      </c>
      <c r="BF138" s="2589"/>
      <c r="BG138" s="1247"/>
      <c r="BH138" s="1247"/>
      <c r="BI138" s="1247"/>
      <c r="BJ138" s="1247"/>
      <c r="BK138" s="1247"/>
      <c r="BL138" s="1247"/>
    </row>
    <row r="139" spans="2:64" ht="15.75" customHeight="1">
      <c r="B139" s="96" t="s">
        <v>12190</v>
      </c>
      <c r="C139" s="97" t="s">
        <v>137</v>
      </c>
      <c r="D139" s="97">
        <v>3</v>
      </c>
      <c r="E139" s="1510"/>
      <c r="F139" s="1510"/>
      <c r="G139" s="1510"/>
      <c r="H139" s="1510"/>
      <c r="I139" s="1510"/>
      <c r="J139" s="1510"/>
      <c r="K139" s="2043"/>
      <c r="L139" s="1977"/>
      <c r="M139" s="2045"/>
      <c r="N139" s="1510"/>
      <c r="O139" s="1510"/>
      <c r="P139" s="1510"/>
      <c r="Q139" s="1510"/>
      <c r="R139" s="1510"/>
      <c r="S139" s="2043"/>
      <c r="T139" s="1974"/>
      <c r="U139" s="1976" t="s">
        <v>12094</v>
      </c>
      <c r="V139" s="1510"/>
      <c r="W139" s="1510"/>
      <c r="X139" s="1510"/>
      <c r="Y139" s="2198"/>
      <c r="Z139" s="2329"/>
      <c r="AA139" s="2329"/>
      <c r="AB139" s="2329"/>
      <c r="AC139" s="2329"/>
      <c r="AD139" s="2330"/>
      <c r="AE139" s="88"/>
      <c r="AF139" s="98" t="s">
        <v>12191</v>
      </c>
      <c r="AG139" s="2560"/>
      <c r="AH139" s="2589"/>
      <c r="AI139" s="1121"/>
      <c r="AJ139" s="2589"/>
      <c r="AK139" s="252">
        <f t="shared" si="53"/>
        <v>0</v>
      </c>
      <c r="AL139" s="252">
        <f t="shared" si="36"/>
        <v>0</v>
      </c>
      <c r="AM139" s="252">
        <f t="shared" si="37"/>
        <v>0</v>
      </c>
      <c r="AN139" s="252">
        <f t="shared" si="38"/>
        <v>0</v>
      </c>
      <c r="AO139" s="252">
        <f t="shared" si="39"/>
        <v>0</v>
      </c>
      <c r="AP139" s="252">
        <f t="shared" si="40"/>
        <v>0</v>
      </c>
      <c r="AQ139" s="252">
        <f t="shared" si="41"/>
        <v>0</v>
      </c>
      <c r="AR139" s="2560"/>
      <c r="AS139" s="252">
        <f t="shared" si="42"/>
        <v>0</v>
      </c>
      <c r="AT139" s="252">
        <f t="shared" si="43"/>
        <v>0</v>
      </c>
      <c r="AU139" s="252">
        <f t="shared" si="44"/>
        <v>0</v>
      </c>
      <c r="AV139" s="252">
        <f t="shared" si="45"/>
        <v>0</v>
      </c>
      <c r="AW139" s="252">
        <f t="shared" si="46"/>
        <v>0</v>
      </c>
      <c r="AX139" s="252">
        <f t="shared" si="47"/>
        <v>0</v>
      </c>
      <c r="AY139" s="252">
        <f t="shared" si="48"/>
        <v>0</v>
      </c>
      <c r="AZ139" s="2560"/>
      <c r="BA139" s="2560"/>
      <c r="BB139" s="252">
        <f t="shared" si="49"/>
        <v>0</v>
      </c>
      <c r="BC139" s="252">
        <f t="shared" si="50"/>
        <v>0</v>
      </c>
      <c r="BD139" s="252">
        <f t="shared" si="51"/>
        <v>0</v>
      </c>
      <c r="BE139" s="252">
        <f t="shared" si="52"/>
        <v>0</v>
      </c>
      <c r="BF139" s="2589"/>
      <c r="BG139" s="1247"/>
      <c r="BH139" s="1247"/>
      <c r="BI139" s="1247"/>
      <c r="BJ139" s="1247"/>
      <c r="BK139" s="1247"/>
      <c r="BL139" s="1247"/>
    </row>
    <row r="140" spans="2:64" ht="15.75" customHeight="1">
      <c r="B140" s="96" t="s">
        <v>12192</v>
      </c>
      <c r="C140" s="97" t="s">
        <v>137</v>
      </c>
      <c r="D140" s="97">
        <v>3</v>
      </c>
      <c r="E140" s="1510"/>
      <c r="F140" s="1510"/>
      <c r="G140" s="1510"/>
      <c r="H140" s="1510"/>
      <c r="I140" s="1510"/>
      <c r="J140" s="1510"/>
      <c r="K140" s="2043"/>
      <c r="L140" s="1977"/>
      <c r="M140" s="2045"/>
      <c r="N140" s="1510"/>
      <c r="O140" s="1510"/>
      <c r="P140" s="1510"/>
      <c r="Q140" s="1510"/>
      <c r="R140" s="1510"/>
      <c r="S140" s="2043"/>
      <c r="T140" s="1974"/>
      <c r="U140" s="1976" t="s">
        <v>12094</v>
      </c>
      <c r="V140" s="1510"/>
      <c r="W140" s="1510"/>
      <c r="X140" s="1510"/>
      <c r="Y140" s="2198"/>
      <c r="Z140" s="2329"/>
      <c r="AA140" s="2329"/>
      <c r="AB140" s="2329"/>
      <c r="AC140" s="2329"/>
      <c r="AD140" s="2330"/>
      <c r="AE140" s="88"/>
      <c r="AF140" s="98" t="s">
        <v>12193</v>
      </c>
      <c r="AG140" s="2560"/>
      <c r="AH140" s="2589"/>
      <c r="AI140" s="1121"/>
      <c r="AJ140" s="2589"/>
      <c r="AK140" s="252">
        <f t="shared" si="53"/>
        <v>0</v>
      </c>
      <c r="AL140" s="252">
        <f t="shared" si="36"/>
        <v>0</v>
      </c>
      <c r="AM140" s="252">
        <f t="shared" si="37"/>
        <v>0</v>
      </c>
      <c r="AN140" s="252">
        <f t="shared" si="38"/>
        <v>0</v>
      </c>
      <c r="AO140" s="252">
        <f t="shared" si="39"/>
        <v>0</v>
      </c>
      <c r="AP140" s="252">
        <f t="shared" si="40"/>
        <v>0</v>
      </c>
      <c r="AQ140" s="252">
        <f t="shared" si="41"/>
        <v>0</v>
      </c>
      <c r="AR140" s="2560"/>
      <c r="AS140" s="252">
        <f t="shared" si="42"/>
        <v>0</v>
      </c>
      <c r="AT140" s="252">
        <f t="shared" si="43"/>
        <v>0</v>
      </c>
      <c r="AU140" s="252">
        <f t="shared" si="44"/>
        <v>0</v>
      </c>
      <c r="AV140" s="252">
        <f t="shared" si="45"/>
        <v>0</v>
      </c>
      <c r="AW140" s="252">
        <f t="shared" si="46"/>
        <v>0</v>
      </c>
      <c r="AX140" s="252">
        <f t="shared" si="47"/>
        <v>0</v>
      </c>
      <c r="AY140" s="252">
        <f t="shared" si="48"/>
        <v>0</v>
      </c>
      <c r="AZ140" s="2560"/>
      <c r="BA140" s="2560"/>
      <c r="BB140" s="252">
        <f t="shared" si="49"/>
        <v>0</v>
      </c>
      <c r="BC140" s="252">
        <f t="shared" si="50"/>
        <v>0</v>
      </c>
      <c r="BD140" s="252">
        <f t="shared" si="51"/>
        <v>0</v>
      </c>
      <c r="BE140" s="252">
        <f t="shared" si="52"/>
        <v>0</v>
      </c>
      <c r="BF140" s="2589"/>
      <c r="BG140" s="1247"/>
      <c r="BH140" s="1247"/>
      <c r="BI140" s="1247"/>
      <c r="BJ140" s="1247"/>
      <c r="BK140" s="1247"/>
      <c r="BL140" s="1247"/>
    </row>
    <row r="141" spans="2:64" ht="15.75" customHeight="1">
      <c r="B141" s="96" t="s">
        <v>12194</v>
      </c>
      <c r="C141" s="97" t="s">
        <v>137</v>
      </c>
      <c r="D141" s="97">
        <v>3</v>
      </c>
      <c r="E141" s="1510"/>
      <c r="F141" s="1510"/>
      <c r="G141" s="1510"/>
      <c r="H141" s="1510"/>
      <c r="I141" s="1510"/>
      <c r="J141" s="1510"/>
      <c r="K141" s="2043"/>
      <c r="L141" s="1977"/>
      <c r="M141" s="2045"/>
      <c r="N141" s="1510"/>
      <c r="O141" s="1510"/>
      <c r="P141" s="1510"/>
      <c r="Q141" s="1510"/>
      <c r="R141" s="1510"/>
      <c r="S141" s="2043"/>
      <c r="T141" s="1974"/>
      <c r="U141" s="1976" t="s">
        <v>12094</v>
      </c>
      <c r="V141" s="1510"/>
      <c r="W141" s="1510"/>
      <c r="X141" s="1510"/>
      <c r="Y141" s="2198"/>
      <c r="Z141" s="2329"/>
      <c r="AA141" s="2329"/>
      <c r="AB141" s="2329"/>
      <c r="AC141" s="2329"/>
      <c r="AD141" s="2330"/>
      <c r="AE141" s="88"/>
      <c r="AF141" s="98" t="s">
        <v>12195</v>
      </c>
      <c r="AG141" s="2560"/>
      <c r="AH141" s="2589"/>
      <c r="AI141" s="1121"/>
      <c r="AJ141" s="2589"/>
      <c r="AK141" s="252">
        <f t="shared" si="53"/>
        <v>0</v>
      </c>
      <c r="AL141" s="252">
        <f t="shared" si="36"/>
        <v>0</v>
      </c>
      <c r="AM141" s="252">
        <f t="shared" si="37"/>
        <v>0</v>
      </c>
      <c r="AN141" s="252">
        <f t="shared" si="38"/>
        <v>0</v>
      </c>
      <c r="AO141" s="252">
        <f t="shared" si="39"/>
        <v>0</v>
      </c>
      <c r="AP141" s="252">
        <f t="shared" si="40"/>
        <v>0</v>
      </c>
      <c r="AQ141" s="252">
        <f t="shared" si="41"/>
        <v>0</v>
      </c>
      <c r="AR141" s="2560"/>
      <c r="AS141" s="252">
        <f t="shared" si="42"/>
        <v>0</v>
      </c>
      <c r="AT141" s="252">
        <f t="shared" si="43"/>
        <v>0</v>
      </c>
      <c r="AU141" s="252">
        <f t="shared" si="44"/>
        <v>0</v>
      </c>
      <c r="AV141" s="252">
        <f t="shared" si="45"/>
        <v>0</v>
      </c>
      <c r="AW141" s="252">
        <f t="shared" si="46"/>
        <v>0</v>
      </c>
      <c r="AX141" s="252">
        <f t="shared" si="47"/>
        <v>0</v>
      </c>
      <c r="AY141" s="252">
        <f t="shared" si="48"/>
        <v>0</v>
      </c>
      <c r="AZ141" s="2560"/>
      <c r="BA141" s="2560"/>
      <c r="BB141" s="252">
        <f t="shared" si="49"/>
        <v>0</v>
      </c>
      <c r="BC141" s="252">
        <f t="shared" si="50"/>
        <v>0</v>
      </c>
      <c r="BD141" s="252">
        <f t="shared" si="51"/>
        <v>0</v>
      </c>
      <c r="BE141" s="252">
        <f t="shared" si="52"/>
        <v>0</v>
      </c>
      <c r="BF141" s="2589"/>
      <c r="BG141" s="1247"/>
      <c r="BH141" s="1247"/>
      <c r="BI141" s="1247"/>
      <c r="BJ141" s="1247"/>
      <c r="BK141" s="1247"/>
      <c r="BL141" s="1247"/>
    </row>
    <row r="142" spans="2:64" ht="15.75" customHeight="1">
      <c r="B142" s="96" t="s">
        <v>12196</v>
      </c>
      <c r="C142" s="97" t="s">
        <v>137</v>
      </c>
      <c r="D142" s="97">
        <v>3</v>
      </c>
      <c r="E142" s="1510"/>
      <c r="F142" s="1510"/>
      <c r="G142" s="1510"/>
      <c r="H142" s="1510"/>
      <c r="I142" s="1510"/>
      <c r="J142" s="1510"/>
      <c r="K142" s="2043"/>
      <c r="L142" s="1977"/>
      <c r="M142" s="2045"/>
      <c r="N142" s="1510"/>
      <c r="O142" s="1510"/>
      <c r="P142" s="1510"/>
      <c r="Q142" s="1510"/>
      <c r="R142" s="1510"/>
      <c r="S142" s="2043"/>
      <c r="T142" s="1974"/>
      <c r="U142" s="1976" t="s">
        <v>12094</v>
      </c>
      <c r="V142" s="1510"/>
      <c r="W142" s="1510"/>
      <c r="X142" s="1510"/>
      <c r="Y142" s="2198"/>
      <c r="Z142" s="2329"/>
      <c r="AA142" s="2329"/>
      <c r="AB142" s="2329"/>
      <c r="AC142" s="2329"/>
      <c r="AD142" s="2330"/>
      <c r="AE142" s="88"/>
      <c r="AF142" s="98" t="s">
        <v>12197</v>
      </c>
      <c r="AG142" s="2560"/>
      <c r="AH142" s="2589"/>
      <c r="AI142" s="1121"/>
      <c r="AJ142" s="2589"/>
      <c r="AK142" s="252">
        <f t="shared" si="53"/>
        <v>0</v>
      </c>
      <c r="AL142" s="252">
        <f t="shared" si="36"/>
        <v>0</v>
      </c>
      <c r="AM142" s="252">
        <f t="shared" si="37"/>
        <v>0</v>
      </c>
      <c r="AN142" s="252">
        <f t="shared" si="38"/>
        <v>0</v>
      </c>
      <c r="AO142" s="252">
        <f t="shared" si="39"/>
        <v>0</v>
      </c>
      <c r="AP142" s="252">
        <f t="shared" si="40"/>
        <v>0</v>
      </c>
      <c r="AQ142" s="252">
        <f t="shared" si="41"/>
        <v>0</v>
      </c>
      <c r="AR142" s="2560"/>
      <c r="AS142" s="252">
        <f t="shared" si="42"/>
        <v>0</v>
      </c>
      <c r="AT142" s="252">
        <f t="shared" si="43"/>
        <v>0</v>
      </c>
      <c r="AU142" s="252">
        <f t="shared" si="44"/>
        <v>0</v>
      </c>
      <c r="AV142" s="252">
        <f t="shared" si="45"/>
        <v>0</v>
      </c>
      <c r="AW142" s="252">
        <f t="shared" si="46"/>
        <v>0</v>
      </c>
      <c r="AX142" s="252">
        <f t="shared" si="47"/>
        <v>0</v>
      </c>
      <c r="AY142" s="252">
        <f t="shared" si="48"/>
        <v>0</v>
      </c>
      <c r="AZ142" s="2560"/>
      <c r="BA142" s="2560"/>
      <c r="BB142" s="252">
        <f t="shared" si="49"/>
        <v>0</v>
      </c>
      <c r="BC142" s="252">
        <f t="shared" si="50"/>
        <v>0</v>
      </c>
      <c r="BD142" s="252">
        <f t="shared" si="51"/>
        <v>0</v>
      </c>
      <c r="BE142" s="252">
        <f t="shared" si="52"/>
        <v>0</v>
      </c>
      <c r="BF142" s="2589"/>
      <c r="BG142" s="1247"/>
      <c r="BH142" s="1247"/>
      <c r="BI142" s="1247"/>
      <c r="BJ142" s="1247"/>
      <c r="BK142" s="1247"/>
      <c r="BL142" s="1247"/>
    </row>
    <row r="143" spans="2:64" ht="15.75" customHeight="1">
      <c r="B143" s="96" t="s">
        <v>12198</v>
      </c>
      <c r="C143" s="97" t="s">
        <v>137</v>
      </c>
      <c r="D143" s="97">
        <v>3</v>
      </c>
      <c r="E143" s="1510"/>
      <c r="F143" s="1510"/>
      <c r="G143" s="1510"/>
      <c r="H143" s="1510"/>
      <c r="I143" s="1510"/>
      <c r="J143" s="1510"/>
      <c r="K143" s="2043"/>
      <c r="L143" s="1977"/>
      <c r="M143" s="2045"/>
      <c r="N143" s="1510"/>
      <c r="O143" s="1510"/>
      <c r="P143" s="1510"/>
      <c r="Q143" s="1510"/>
      <c r="R143" s="1510"/>
      <c r="S143" s="2043"/>
      <c r="T143" s="1974"/>
      <c r="U143" s="1976" t="s">
        <v>12094</v>
      </c>
      <c r="V143" s="1510"/>
      <c r="W143" s="1510"/>
      <c r="X143" s="1510"/>
      <c r="Y143" s="2198"/>
      <c r="Z143" s="2329"/>
      <c r="AA143" s="2329"/>
      <c r="AB143" s="2329"/>
      <c r="AC143" s="2329"/>
      <c r="AD143" s="2330"/>
      <c r="AE143" s="88"/>
      <c r="AF143" s="98" t="s">
        <v>12199</v>
      </c>
      <c r="AG143" s="2560"/>
      <c r="AH143" s="2589"/>
      <c r="AI143" s="1121"/>
      <c r="AJ143" s="2589"/>
      <c r="AK143" s="252">
        <f t="shared" si="53"/>
        <v>0</v>
      </c>
      <c r="AL143" s="252">
        <f t="shared" si="36"/>
        <v>0</v>
      </c>
      <c r="AM143" s="252">
        <f t="shared" si="37"/>
        <v>0</v>
      </c>
      <c r="AN143" s="252">
        <f t="shared" si="38"/>
        <v>0</v>
      </c>
      <c r="AO143" s="252">
        <f t="shared" si="39"/>
        <v>0</v>
      </c>
      <c r="AP143" s="252">
        <f t="shared" si="40"/>
        <v>0</v>
      </c>
      <c r="AQ143" s="252">
        <f t="shared" si="41"/>
        <v>0</v>
      </c>
      <c r="AR143" s="2560"/>
      <c r="AS143" s="252">
        <f t="shared" si="42"/>
        <v>0</v>
      </c>
      <c r="AT143" s="252">
        <f t="shared" si="43"/>
        <v>0</v>
      </c>
      <c r="AU143" s="252">
        <f t="shared" si="44"/>
        <v>0</v>
      </c>
      <c r="AV143" s="252">
        <f t="shared" si="45"/>
        <v>0</v>
      </c>
      <c r="AW143" s="252">
        <f t="shared" si="46"/>
        <v>0</v>
      </c>
      <c r="AX143" s="252">
        <f t="shared" si="47"/>
        <v>0</v>
      </c>
      <c r="AY143" s="252">
        <f t="shared" si="48"/>
        <v>0</v>
      </c>
      <c r="AZ143" s="2560"/>
      <c r="BA143" s="2560"/>
      <c r="BB143" s="252">
        <f t="shared" si="49"/>
        <v>0</v>
      </c>
      <c r="BC143" s="252">
        <f t="shared" si="50"/>
        <v>0</v>
      </c>
      <c r="BD143" s="252">
        <f t="shared" si="51"/>
        <v>0</v>
      </c>
      <c r="BE143" s="252">
        <f t="shared" si="52"/>
        <v>0</v>
      </c>
      <c r="BF143" s="2589"/>
      <c r="BG143" s="1247"/>
      <c r="BH143" s="1247"/>
      <c r="BI143" s="1247"/>
      <c r="BJ143" s="1247"/>
      <c r="BK143" s="1247"/>
      <c r="BL143" s="1247"/>
    </row>
    <row r="144" spans="2:64" ht="15.75" customHeight="1">
      <c r="B144" s="96" t="s">
        <v>12200</v>
      </c>
      <c r="C144" s="97" t="s">
        <v>137</v>
      </c>
      <c r="D144" s="97">
        <v>3</v>
      </c>
      <c r="E144" s="1510"/>
      <c r="F144" s="1510"/>
      <c r="G144" s="1510"/>
      <c r="H144" s="1510"/>
      <c r="I144" s="1510"/>
      <c r="J144" s="1510"/>
      <c r="K144" s="2043"/>
      <c r="L144" s="1977"/>
      <c r="M144" s="2045"/>
      <c r="N144" s="1510"/>
      <c r="O144" s="1510"/>
      <c r="P144" s="1510"/>
      <c r="Q144" s="1510"/>
      <c r="R144" s="1510"/>
      <c r="S144" s="2043"/>
      <c r="T144" s="1974"/>
      <c r="U144" s="1976" t="s">
        <v>12094</v>
      </c>
      <c r="V144" s="1510"/>
      <c r="W144" s="1510"/>
      <c r="X144" s="1510"/>
      <c r="Y144" s="2198"/>
      <c r="Z144" s="2329"/>
      <c r="AA144" s="2329"/>
      <c r="AB144" s="2329"/>
      <c r="AC144" s="2329"/>
      <c r="AD144" s="2330"/>
      <c r="AE144" s="88"/>
      <c r="AF144" s="98" t="s">
        <v>12201</v>
      </c>
      <c r="AG144" s="2560"/>
      <c r="AH144" s="2589"/>
      <c r="AI144" s="1121"/>
      <c r="AJ144" s="2589"/>
      <c r="AK144" s="252">
        <f t="shared" si="53"/>
        <v>0</v>
      </c>
      <c r="AL144" s="252">
        <f t="shared" si="36"/>
        <v>0</v>
      </c>
      <c r="AM144" s="252">
        <f t="shared" si="37"/>
        <v>0</v>
      </c>
      <c r="AN144" s="252">
        <f t="shared" si="38"/>
        <v>0</v>
      </c>
      <c r="AO144" s="252">
        <f t="shared" si="39"/>
        <v>0</v>
      </c>
      <c r="AP144" s="252">
        <f t="shared" si="40"/>
        <v>0</v>
      </c>
      <c r="AQ144" s="252">
        <f t="shared" si="41"/>
        <v>0</v>
      </c>
      <c r="AR144" s="2560"/>
      <c r="AS144" s="252">
        <f t="shared" si="42"/>
        <v>0</v>
      </c>
      <c r="AT144" s="252">
        <f t="shared" si="43"/>
        <v>0</v>
      </c>
      <c r="AU144" s="252">
        <f t="shared" si="44"/>
        <v>0</v>
      </c>
      <c r="AV144" s="252">
        <f t="shared" si="45"/>
        <v>0</v>
      </c>
      <c r="AW144" s="252">
        <f t="shared" si="46"/>
        <v>0</v>
      </c>
      <c r="AX144" s="252">
        <f t="shared" si="47"/>
        <v>0</v>
      </c>
      <c r="AY144" s="252">
        <f t="shared" si="48"/>
        <v>0</v>
      </c>
      <c r="AZ144" s="2560"/>
      <c r="BA144" s="2560"/>
      <c r="BB144" s="252">
        <f t="shared" si="49"/>
        <v>0</v>
      </c>
      <c r="BC144" s="252">
        <f t="shared" si="50"/>
        <v>0</v>
      </c>
      <c r="BD144" s="252">
        <f t="shared" si="51"/>
        <v>0</v>
      </c>
      <c r="BE144" s="252">
        <f t="shared" si="52"/>
        <v>0</v>
      </c>
      <c r="BF144" s="2589"/>
      <c r="BG144" s="1247"/>
      <c r="BH144" s="1247"/>
      <c r="BI144" s="1247"/>
      <c r="BJ144" s="1247"/>
      <c r="BK144" s="1247"/>
      <c r="BL144" s="1247"/>
    </row>
    <row r="145" spans="2:64" ht="15.75" customHeight="1">
      <c r="B145" s="96" t="s">
        <v>12202</v>
      </c>
      <c r="C145" s="97" t="s">
        <v>137</v>
      </c>
      <c r="D145" s="97">
        <v>3</v>
      </c>
      <c r="E145" s="1510"/>
      <c r="F145" s="1510"/>
      <c r="G145" s="1510"/>
      <c r="H145" s="1510"/>
      <c r="I145" s="1510"/>
      <c r="J145" s="1510"/>
      <c r="K145" s="2043"/>
      <c r="L145" s="1977"/>
      <c r="M145" s="2045"/>
      <c r="N145" s="1510"/>
      <c r="O145" s="1510"/>
      <c r="P145" s="1510"/>
      <c r="Q145" s="1510"/>
      <c r="R145" s="1510"/>
      <c r="S145" s="2043"/>
      <c r="T145" s="1974"/>
      <c r="U145" s="1976" t="s">
        <v>12094</v>
      </c>
      <c r="V145" s="1510"/>
      <c r="W145" s="1510"/>
      <c r="X145" s="1510"/>
      <c r="Y145" s="2198"/>
      <c r="Z145" s="2329"/>
      <c r="AA145" s="2329"/>
      <c r="AB145" s="2329"/>
      <c r="AC145" s="2329"/>
      <c r="AD145" s="2330"/>
      <c r="AE145" s="88"/>
      <c r="AF145" s="98" t="s">
        <v>12203</v>
      </c>
      <c r="AG145" s="2560"/>
      <c r="AH145" s="2589"/>
      <c r="AI145" s="1121"/>
      <c r="AJ145" s="2589"/>
      <c r="AK145" s="252">
        <f t="shared" si="53"/>
        <v>0</v>
      </c>
      <c r="AL145" s="252">
        <f t="shared" si="36"/>
        <v>0</v>
      </c>
      <c r="AM145" s="252">
        <f t="shared" si="37"/>
        <v>0</v>
      </c>
      <c r="AN145" s="252">
        <f t="shared" si="38"/>
        <v>0</v>
      </c>
      <c r="AO145" s="252">
        <f t="shared" si="39"/>
        <v>0</v>
      </c>
      <c r="AP145" s="252">
        <f t="shared" si="40"/>
        <v>0</v>
      </c>
      <c r="AQ145" s="252">
        <f t="shared" si="41"/>
        <v>0</v>
      </c>
      <c r="AR145" s="2560"/>
      <c r="AS145" s="252">
        <f t="shared" si="42"/>
        <v>0</v>
      </c>
      <c r="AT145" s="252">
        <f t="shared" si="43"/>
        <v>0</v>
      </c>
      <c r="AU145" s="252">
        <f t="shared" si="44"/>
        <v>0</v>
      </c>
      <c r="AV145" s="252">
        <f t="shared" si="45"/>
        <v>0</v>
      </c>
      <c r="AW145" s="252">
        <f t="shared" si="46"/>
        <v>0</v>
      </c>
      <c r="AX145" s="252">
        <f t="shared" si="47"/>
        <v>0</v>
      </c>
      <c r="AY145" s="252">
        <f t="shared" si="48"/>
        <v>0</v>
      </c>
      <c r="AZ145" s="2560"/>
      <c r="BA145" s="2560"/>
      <c r="BB145" s="252">
        <f t="shared" si="49"/>
        <v>0</v>
      </c>
      <c r="BC145" s="252">
        <f t="shared" si="50"/>
        <v>0</v>
      </c>
      <c r="BD145" s="252">
        <f t="shared" si="51"/>
        <v>0</v>
      </c>
      <c r="BE145" s="252">
        <f t="shared" si="52"/>
        <v>0</v>
      </c>
      <c r="BF145" s="2589"/>
      <c r="BG145" s="1247"/>
      <c r="BH145" s="1247"/>
      <c r="BI145" s="1247"/>
      <c r="BJ145" s="1247"/>
      <c r="BK145" s="1247"/>
      <c r="BL145" s="1247"/>
    </row>
    <row r="146" spans="2:64" ht="15.75" customHeight="1">
      <c r="B146" s="96" t="s">
        <v>12204</v>
      </c>
      <c r="C146" s="97" t="s">
        <v>137</v>
      </c>
      <c r="D146" s="97">
        <v>3</v>
      </c>
      <c r="E146" s="1510"/>
      <c r="F146" s="1510"/>
      <c r="G146" s="1510"/>
      <c r="H146" s="1510"/>
      <c r="I146" s="1510"/>
      <c r="J146" s="1510"/>
      <c r="K146" s="2043"/>
      <c r="L146" s="1977"/>
      <c r="M146" s="2045"/>
      <c r="N146" s="1510"/>
      <c r="O146" s="1510"/>
      <c r="P146" s="1510"/>
      <c r="Q146" s="1510"/>
      <c r="R146" s="1510"/>
      <c r="S146" s="2043"/>
      <c r="T146" s="1974"/>
      <c r="U146" s="1976" t="s">
        <v>12094</v>
      </c>
      <c r="V146" s="1510"/>
      <c r="W146" s="1510"/>
      <c r="X146" s="1510"/>
      <c r="Y146" s="2198"/>
      <c r="Z146" s="2329"/>
      <c r="AA146" s="2329"/>
      <c r="AB146" s="2329"/>
      <c r="AC146" s="2329"/>
      <c r="AD146" s="2330"/>
      <c r="AE146" s="88"/>
      <c r="AF146" s="98" t="s">
        <v>12205</v>
      </c>
      <c r="AG146" s="2560"/>
      <c r="AH146" s="2589"/>
      <c r="AI146" s="1121"/>
      <c r="AJ146" s="2589"/>
      <c r="AK146" s="252">
        <f t="shared" si="53"/>
        <v>0</v>
      </c>
      <c r="AL146" s="252">
        <f t="shared" si="36"/>
        <v>0</v>
      </c>
      <c r="AM146" s="252">
        <f t="shared" si="37"/>
        <v>0</v>
      </c>
      <c r="AN146" s="252">
        <f t="shared" si="38"/>
        <v>0</v>
      </c>
      <c r="AO146" s="252">
        <f t="shared" si="39"/>
        <v>0</v>
      </c>
      <c r="AP146" s="252">
        <f t="shared" si="40"/>
        <v>0</v>
      </c>
      <c r="AQ146" s="252">
        <f t="shared" si="41"/>
        <v>0</v>
      </c>
      <c r="AR146" s="2560"/>
      <c r="AS146" s="252">
        <f t="shared" si="42"/>
        <v>0</v>
      </c>
      <c r="AT146" s="252">
        <f t="shared" si="43"/>
        <v>0</v>
      </c>
      <c r="AU146" s="252">
        <f t="shared" si="44"/>
        <v>0</v>
      </c>
      <c r="AV146" s="252">
        <f t="shared" si="45"/>
        <v>0</v>
      </c>
      <c r="AW146" s="252">
        <f t="shared" si="46"/>
        <v>0</v>
      </c>
      <c r="AX146" s="252">
        <f t="shared" si="47"/>
        <v>0</v>
      </c>
      <c r="AY146" s="252">
        <f t="shared" si="48"/>
        <v>0</v>
      </c>
      <c r="AZ146" s="2560"/>
      <c r="BA146" s="2560"/>
      <c r="BB146" s="252">
        <f t="shared" si="49"/>
        <v>0</v>
      </c>
      <c r="BC146" s="252">
        <f t="shared" si="50"/>
        <v>0</v>
      </c>
      <c r="BD146" s="252">
        <f t="shared" si="51"/>
        <v>0</v>
      </c>
      <c r="BE146" s="252">
        <f t="shared" si="52"/>
        <v>0</v>
      </c>
      <c r="BF146" s="2589"/>
      <c r="BG146" s="1247"/>
      <c r="BH146" s="1247"/>
      <c r="BI146" s="1247"/>
      <c r="BJ146" s="1247"/>
      <c r="BK146" s="1247"/>
      <c r="BL146" s="1247"/>
    </row>
    <row r="147" spans="2:64" ht="15.75" customHeight="1">
      <c r="B147" s="96" t="s">
        <v>12206</v>
      </c>
      <c r="C147" s="97" t="s">
        <v>137</v>
      </c>
      <c r="D147" s="97">
        <v>3</v>
      </c>
      <c r="E147" s="1510"/>
      <c r="F147" s="1510"/>
      <c r="G147" s="1510"/>
      <c r="H147" s="1510"/>
      <c r="I147" s="1510"/>
      <c r="J147" s="1510"/>
      <c r="K147" s="2043"/>
      <c r="L147" s="1977"/>
      <c r="M147" s="2045"/>
      <c r="N147" s="1510"/>
      <c r="O147" s="1510"/>
      <c r="P147" s="1510"/>
      <c r="Q147" s="1510"/>
      <c r="R147" s="1510"/>
      <c r="S147" s="2043"/>
      <c r="T147" s="1974"/>
      <c r="U147" s="1976" t="s">
        <v>12094</v>
      </c>
      <c r="V147" s="1510"/>
      <c r="W147" s="1510"/>
      <c r="X147" s="1510"/>
      <c r="Y147" s="2198"/>
      <c r="Z147" s="2329"/>
      <c r="AA147" s="2329"/>
      <c r="AB147" s="2329"/>
      <c r="AC147" s="2329"/>
      <c r="AD147" s="2330"/>
      <c r="AE147" s="88"/>
      <c r="AF147" s="98" t="s">
        <v>12207</v>
      </c>
      <c r="AG147" s="2560"/>
      <c r="AH147" s="2589"/>
      <c r="AI147" s="1121"/>
      <c r="AJ147" s="2589"/>
      <c r="AK147" s="252">
        <f t="shared" si="53"/>
        <v>0</v>
      </c>
      <c r="AL147" s="252">
        <f t="shared" si="36"/>
        <v>0</v>
      </c>
      <c r="AM147" s="252">
        <f t="shared" si="37"/>
        <v>0</v>
      </c>
      <c r="AN147" s="252">
        <f t="shared" si="38"/>
        <v>0</v>
      </c>
      <c r="AO147" s="252">
        <f t="shared" si="39"/>
        <v>0</v>
      </c>
      <c r="AP147" s="252">
        <f t="shared" si="40"/>
        <v>0</v>
      </c>
      <c r="AQ147" s="252">
        <f t="shared" si="41"/>
        <v>0</v>
      </c>
      <c r="AR147" s="2560"/>
      <c r="AS147" s="252">
        <f t="shared" si="42"/>
        <v>0</v>
      </c>
      <c r="AT147" s="252">
        <f t="shared" si="43"/>
        <v>0</v>
      </c>
      <c r="AU147" s="252">
        <f t="shared" si="44"/>
        <v>0</v>
      </c>
      <c r="AV147" s="252">
        <f t="shared" si="45"/>
        <v>0</v>
      </c>
      <c r="AW147" s="252">
        <f t="shared" si="46"/>
        <v>0</v>
      </c>
      <c r="AX147" s="252">
        <f t="shared" si="47"/>
        <v>0</v>
      </c>
      <c r="AY147" s="252">
        <f t="shared" si="48"/>
        <v>0</v>
      </c>
      <c r="AZ147" s="2560"/>
      <c r="BA147" s="2560"/>
      <c r="BB147" s="252">
        <f t="shared" si="49"/>
        <v>0</v>
      </c>
      <c r="BC147" s="252">
        <f t="shared" si="50"/>
        <v>0</v>
      </c>
      <c r="BD147" s="252">
        <f t="shared" si="51"/>
        <v>0</v>
      </c>
      <c r="BE147" s="252">
        <f t="shared" si="52"/>
        <v>0</v>
      </c>
      <c r="BF147" s="2589"/>
      <c r="BG147" s="1247"/>
      <c r="BH147" s="1247"/>
      <c r="BI147" s="1247"/>
      <c r="BJ147" s="1247"/>
      <c r="BK147" s="1247"/>
      <c r="BL147" s="1247"/>
    </row>
    <row r="148" spans="2:64" ht="15.75" customHeight="1">
      <c r="B148" s="96" t="s">
        <v>12208</v>
      </c>
      <c r="C148" s="97" t="s">
        <v>137</v>
      </c>
      <c r="D148" s="97">
        <v>3</v>
      </c>
      <c r="E148" s="1510"/>
      <c r="F148" s="1510"/>
      <c r="G148" s="1510"/>
      <c r="H148" s="1510"/>
      <c r="I148" s="1510"/>
      <c r="J148" s="1510"/>
      <c r="K148" s="2043"/>
      <c r="L148" s="1977"/>
      <c r="M148" s="2045"/>
      <c r="N148" s="1510"/>
      <c r="O148" s="1510"/>
      <c r="P148" s="1510"/>
      <c r="Q148" s="1510"/>
      <c r="R148" s="1510"/>
      <c r="S148" s="2043"/>
      <c r="T148" s="1974"/>
      <c r="U148" s="1976" t="s">
        <v>12094</v>
      </c>
      <c r="V148" s="1510"/>
      <c r="W148" s="1510"/>
      <c r="X148" s="1510"/>
      <c r="Y148" s="2198"/>
      <c r="Z148" s="2329"/>
      <c r="AA148" s="2329"/>
      <c r="AB148" s="2329"/>
      <c r="AC148" s="2329"/>
      <c r="AD148" s="2330"/>
      <c r="AE148" s="88"/>
      <c r="AF148" s="98" t="s">
        <v>12209</v>
      </c>
      <c r="AG148" s="2560"/>
      <c r="AH148" s="2589"/>
      <c r="AI148" s="1121"/>
      <c r="AJ148" s="2589"/>
      <c r="AK148" s="252">
        <f t="shared" si="53"/>
        <v>0</v>
      </c>
      <c r="AL148" s="252">
        <f t="shared" si="36"/>
        <v>0</v>
      </c>
      <c r="AM148" s="252">
        <f t="shared" si="37"/>
        <v>0</v>
      </c>
      <c r="AN148" s="252">
        <f t="shared" si="38"/>
        <v>0</v>
      </c>
      <c r="AO148" s="252">
        <f t="shared" si="39"/>
        <v>0</v>
      </c>
      <c r="AP148" s="252">
        <f t="shared" si="40"/>
        <v>0</v>
      </c>
      <c r="AQ148" s="252">
        <f t="shared" si="41"/>
        <v>0</v>
      </c>
      <c r="AR148" s="2560"/>
      <c r="AS148" s="252">
        <f t="shared" si="42"/>
        <v>0</v>
      </c>
      <c r="AT148" s="252">
        <f t="shared" si="43"/>
        <v>0</v>
      </c>
      <c r="AU148" s="252">
        <f t="shared" si="44"/>
        <v>0</v>
      </c>
      <c r="AV148" s="252">
        <f t="shared" si="45"/>
        <v>0</v>
      </c>
      <c r="AW148" s="252">
        <f t="shared" si="46"/>
        <v>0</v>
      </c>
      <c r="AX148" s="252">
        <f t="shared" si="47"/>
        <v>0</v>
      </c>
      <c r="AY148" s="252">
        <f t="shared" si="48"/>
        <v>0</v>
      </c>
      <c r="AZ148" s="2560"/>
      <c r="BA148" s="2560"/>
      <c r="BB148" s="252">
        <f t="shared" si="49"/>
        <v>0</v>
      </c>
      <c r="BC148" s="252">
        <f t="shared" si="50"/>
        <v>0</v>
      </c>
      <c r="BD148" s="252">
        <f t="shared" si="51"/>
        <v>0</v>
      </c>
      <c r="BE148" s="252">
        <f t="shared" si="52"/>
        <v>0</v>
      </c>
      <c r="BF148" s="2589"/>
      <c r="BG148" s="1247"/>
      <c r="BH148" s="1247"/>
      <c r="BI148" s="1247"/>
      <c r="BJ148" s="1247"/>
      <c r="BK148" s="1247"/>
      <c r="BL148" s="1247"/>
    </row>
    <row r="149" spans="2:64" ht="15.75" customHeight="1">
      <c r="B149" s="96" t="s">
        <v>12210</v>
      </c>
      <c r="C149" s="97" t="s">
        <v>137</v>
      </c>
      <c r="D149" s="97">
        <v>3</v>
      </c>
      <c r="E149" s="1510"/>
      <c r="F149" s="1510"/>
      <c r="G149" s="1510"/>
      <c r="H149" s="1510"/>
      <c r="I149" s="1510"/>
      <c r="J149" s="1510"/>
      <c r="K149" s="2043"/>
      <c r="L149" s="1977"/>
      <c r="M149" s="2045"/>
      <c r="N149" s="1510"/>
      <c r="O149" s="1510"/>
      <c r="P149" s="1510"/>
      <c r="Q149" s="1510"/>
      <c r="R149" s="1510"/>
      <c r="S149" s="2043"/>
      <c r="T149" s="1974"/>
      <c r="U149" s="1976" t="s">
        <v>12094</v>
      </c>
      <c r="V149" s="1510"/>
      <c r="W149" s="1510"/>
      <c r="X149" s="1510"/>
      <c r="Y149" s="2198"/>
      <c r="Z149" s="2329"/>
      <c r="AA149" s="2329"/>
      <c r="AB149" s="2329"/>
      <c r="AC149" s="2329"/>
      <c r="AD149" s="2330"/>
      <c r="AE149" s="88"/>
      <c r="AF149" s="98" t="s">
        <v>12211</v>
      </c>
      <c r="AG149" s="2560"/>
      <c r="AH149" s="2589"/>
      <c r="AI149" s="1121"/>
      <c r="AJ149" s="2589"/>
      <c r="AK149" s="252">
        <f t="shared" si="53"/>
        <v>0</v>
      </c>
      <c r="AL149" s="252">
        <f t="shared" si="36"/>
        <v>0</v>
      </c>
      <c r="AM149" s="252">
        <f t="shared" si="37"/>
        <v>0</v>
      </c>
      <c r="AN149" s="252">
        <f t="shared" si="38"/>
        <v>0</v>
      </c>
      <c r="AO149" s="252">
        <f t="shared" si="39"/>
        <v>0</v>
      </c>
      <c r="AP149" s="252">
        <f t="shared" si="40"/>
        <v>0</v>
      </c>
      <c r="AQ149" s="252">
        <f t="shared" si="41"/>
        <v>0</v>
      </c>
      <c r="AR149" s="2560"/>
      <c r="AS149" s="252">
        <f t="shared" si="42"/>
        <v>0</v>
      </c>
      <c r="AT149" s="252">
        <f t="shared" si="43"/>
        <v>0</v>
      </c>
      <c r="AU149" s="252">
        <f t="shared" si="44"/>
        <v>0</v>
      </c>
      <c r="AV149" s="252">
        <f t="shared" si="45"/>
        <v>0</v>
      </c>
      <c r="AW149" s="252">
        <f t="shared" si="46"/>
        <v>0</v>
      </c>
      <c r="AX149" s="252">
        <f t="shared" si="47"/>
        <v>0</v>
      </c>
      <c r="AY149" s="252">
        <f t="shared" si="48"/>
        <v>0</v>
      </c>
      <c r="AZ149" s="2560"/>
      <c r="BA149" s="2560"/>
      <c r="BB149" s="252">
        <f t="shared" si="49"/>
        <v>0</v>
      </c>
      <c r="BC149" s="252">
        <f t="shared" si="50"/>
        <v>0</v>
      </c>
      <c r="BD149" s="252">
        <f t="shared" si="51"/>
        <v>0</v>
      </c>
      <c r="BE149" s="252">
        <f t="shared" si="52"/>
        <v>0</v>
      </c>
      <c r="BF149" s="2589"/>
      <c r="BG149" s="1247"/>
      <c r="BH149" s="1247"/>
      <c r="BI149" s="1247"/>
      <c r="BJ149" s="1247"/>
      <c r="BK149" s="1247"/>
      <c r="BL149" s="1247"/>
    </row>
    <row r="150" spans="2:64" ht="15.75" customHeight="1">
      <c r="B150" s="96" t="s">
        <v>12212</v>
      </c>
      <c r="C150" s="97" t="s">
        <v>137</v>
      </c>
      <c r="D150" s="97">
        <v>3</v>
      </c>
      <c r="E150" s="1510"/>
      <c r="F150" s="1510"/>
      <c r="G150" s="1510"/>
      <c r="H150" s="1510"/>
      <c r="I150" s="1510"/>
      <c r="J150" s="1510"/>
      <c r="K150" s="2043"/>
      <c r="L150" s="1977"/>
      <c r="M150" s="2045"/>
      <c r="N150" s="1510"/>
      <c r="O150" s="1510"/>
      <c r="P150" s="1510"/>
      <c r="Q150" s="1510"/>
      <c r="R150" s="1510"/>
      <c r="S150" s="2043"/>
      <c r="T150" s="1974"/>
      <c r="U150" s="1976" t="s">
        <v>12094</v>
      </c>
      <c r="V150" s="1510"/>
      <c r="W150" s="1510"/>
      <c r="X150" s="1510"/>
      <c r="Y150" s="2198"/>
      <c r="Z150" s="2329"/>
      <c r="AA150" s="2329"/>
      <c r="AB150" s="2329"/>
      <c r="AC150" s="2329"/>
      <c r="AD150" s="2330"/>
      <c r="AE150" s="88"/>
      <c r="AF150" s="98" t="s">
        <v>12213</v>
      </c>
      <c r="AG150" s="2560"/>
      <c r="AH150" s="2589"/>
      <c r="AI150" s="1121"/>
      <c r="AJ150" s="2589"/>
      <c r="AK150" s="252">
        <f t="shared" si="53"/>
        <v>0</v>
      </c>
      <c r="AL150" s="252">
        <f t="shared" si="36"/>
        <v>0</v>
      </c>
      <c r="AM150" s="252">
        <f t="shared" si="37"/>
        <v>0</v>
      </c>
      <c r="AN150" s="252">
        <f t="shared" si="38"/>
        <v>0</v>
      </c>
      <c r="AO150" s="252">
        <f t="shared" si="39"/>
        <v>0</v>
      </c>
      <c r="AP150" s="252">
        <f t="shared" si="40"/>
        <v>0</v>
      </c>
      <c r="AQ150" s="252">
        <f t="shared" si="41"/>
        <v>0</v>
      </c>
      <c r="AR150" s="2560"/>
      <c r="AS150" s="252">
        <f t="shared" si="42"/>
        <v>0</v>
      </c>
      <c r="AT150" s="252">
        <f t="shared" si="43"/>
        <v>0</v>
      </c>
      <c r="AU150" s="252">
        <f t="shared" si="44"/>
        <v>0</v>
      </c>
      <c r="AV150" s="252">
        <f t="shared" si="45"/>
        <v>0</v>
      </c>
      <c r="AW150" s="252">
        <f t="shared" si="46"/>
        <v>0</v>
      </c>
      <c r="AX150" s="252">
        <f t="shared" si="47"/>
        <v>0</v>
      </c>
      <c r="AY150" s="252">
        <f t="shared" si="48"/>
        <v>0</v>
      </c>
      <c r="AZ150" s="2560"/>
      <c r="BA150" s="2560"/>
      <c r="BB150" s="252">
        <f t="shared" si="49"/>
        <v>0</v>
      </c>
      <c r="BC150" s="252">
        <f t="shared" si="50"/>
        <v>0</v>
      </c>
      <c r="BD150" s="252">
        <f t="shared" si="51"/>
        <v>0</v>
      </c>
      <c r="BE150" s="252">
        <f t="shared" si="52"/>
        <v>0</v>
      </c>
      <c r="BF150" s="2589"/>
      <c r="BG150" s="1247"/>
      <c r="BH150" s="1247"/>
      <c r="BI150" s="1247"/>
      <c r="BJ150" s="1247"/>
      <c r="BK150" s="1247"/>
      <c r="BL150" s="1247"/>
    </row>
    <row r="151" spans="2:64" ht="15.75" customHeight="1">
      <c r="B151" s="96" t="s">
        <v>12214</v>
      </c>
      <c r="C151" s="97" t="s">
        <v>137</v>
      </c>
      <c r="D151" s="97">
        <v>3</v>
      </c>
      <c r="E151" s="1510"/>
      <c r="F151" s="1510"/>
      <c r="G151" s="1510"/>
      <c r="H151" s="1510"/>
      <c r="I151" s="1510"/>
      <c r="J151" s="1510"/>
      <c r="K151" s="2043"/>
      <c r="L151" s="1977"/>
      <c r="M151" s="2045"/>
      <c r="N151" s="1510"/>
      <c r="O151" s="1510"/>
      <c r="P151" s="1510"/>
      <c r="Q151" s="1510"/>
      <c r="R151" s="1510"/>
      <c r="S151" s="2043"/>
      <c r="T151" s="1974"/>
      <c r="U151" s="1976" t="s">
        <v>12094</v>
      </c>
      <c r="V151" s="1510"/>
      <c r="W151" s="1510"/>
      <c r="X151" s="1510"/>
      <c r="Y151" s="2198"/>
      <c r="Z151" s="2329"/>
      <c r="AA151" s="2329"/>
      <c r="AB151" s="2329"/>
      <c r="AC151" s="2329"/>
      <c r="AD151" s="2330"/>
      <c r="AE151" s="88"/>
      <c r="AF151" s="98" t="s">
        <v>12215</v>
      </c>
      <c r="AG151" s="2560"/>
      <c r="AH151" s="2589"/>
      <c r="AI151" s="1121"/>
      <c r="AJ151" s="2589"/>
      <c r="AK151" s="252">
        <f t="shared" si="53"/>
        <v>0</v>
      </c>
      <c r="AL151" s="252">
        <f t="shared" si="36"/>
        <v>0</v>
      </c>
      <c r="AM151" s="252">
        <f t="shared" si="37"/>
        <v>0</v>
      </c>
      <c r="AN151" s="252">
        <f t="shared" si="38"/>
        <v>0</v>
      </c>
      <c r="AO151" s="252">
        <f t="shared" si="39"/>
        <v>0</v>
      </c>
      <c r="AP151" s="252">
        <f t="shared" si="40"/>
        <v>0</v>
      </c>
      <c r="AQ151" s="252">
        <f t="shared" si="41"/>
        <v>0</v>
      </c>
      <c r="AR151" s="2560"/>
      <c r="AS151" s="252">
        <f t="shared" si="42"/>
        <v>0</v>
      </c>
      <c r="AT151" s="252">
        <f t="shared" si="43"/>
        <v>0</v>
      </c>
      <c r="AU151" s="252">
        <f t="shared" si="44"/>
        <v>0</v>
      </c>
      <c r="AV151" s="252">
        <f t="shared" si="45"/>
        <v>0</v>
      </c>
      <c r="AW151" s="252">
        <f t="shared" si="46"/>
        <v>0</v>
      </c>
      <c r="AX151" s="252">
        <f t="shared" si="47"/>
        <v>0</v>
      </c>
      <c r="AY151" s="252">
        <f t="shared" si="48"/>
        <v>0</v>
      </c>
      <c r="AZ151" s="2560"/>
      <c r="BA151" s="2560"/>
      <c r="BB151" s="252">
        <f t="shared" si="49"/>
        <v>0</v>
      </c>
      <c r="BC151" s="252">
        <f t="shared" si="50"/>
        <v>0</v>
      </c>
      <c r="BD151" s="252">
        <f t="shared" si="51"/>
        <v>0</v>
      </c>
      <c r="BE151" s="252">
        <f t="shared" si="52"/>
        <v>0</v>
      </c>
      <c r="BF151" s="2589"/>
      <c r="BG151" s="1247"/>
      <c r="BH151" s="1247"/>
      <c r="BI151" s="1247"/>
      <c r="BJ151" s="1247"/>
      <c r="BK151" s="1247"/>
      <c r="BL151" s="1247"/>
    </row>
    <row r="152" spans="2:64" ht="15.75" customHeight="1">
      <c r="B152" s="96" t="s">
        <v>12216</v>
      </c>
      <c r="C152" s="97" t="s">
        <v>137</v>
      </c>
      <c r="D152" s="97">
        <v>3</v>
      </c>
      <c r="E152" s="1510"/>
      <c r="F152" s="1510"/>
      <c r="G152" s="1510"/>
      <c r="H152" s="1510"/>
      <c r="I152" s="1510"/>
      <c r="J152" s="1510"/>
      <c r="K152" s="2043"/>
      <c r="L152" s="1977"/>
      <c r="M152" s="2045"/>
      <c r="N152" s="1510"/>
      <c r="O152" s="1510"/>
      <c r="P152" s="1510"/>
      <c r="Q152" s="1510"/>
      <c r="R152" s="1510"/>
      <c r="S152" s="2043"/>
      <c r="T152" s="1974"/>
      <c r="U152" s="1976" t="s">
        <v>12094</v>
      </c>
      <c r="V152" s="1510"/>
      <c r="W152" s="1510"/>
      <c r="X152" s="1510"/>
      <c r="Y152" s="2198"/>
      <c r="Z152" s="2329"/>
      <c r="AA152" s="2329"/>
      <c r="AB152" s="2329"/>
      <c r="AC152" s="2329"/>
      <c r="AD152" s="2330"/>
      <c r="AE152" s="88"/>
      <c r="AF152" s="98" t="s">
        <v>12217</v>
      </c>
      <c r="AG152" s="2560"/>
      <c r="AH152" s="2589"/>
      <c r="AI152" s="1121"/>
      <c r="AJ152" s="2589"/>
      <c r="AK152" s="252">
        <f t="shared" si="53"/>
        <v>0</v>
      </c>
      <c r="AL152" s="252">
        <f t="shared" si="36"/>
        <v>0</v>
      </c>
      <c r="AM152" s="252">
        <f t="shared" si="37"/>
        <v>0</v>
      </c>
      <c r="AN152" s="252">
        <f t="shared" si="38"/>
        <v>0</v>
      </c>
      <c r="AO152" s="252">
        <f t="shared" si="39"/>
        <v>0</v>
      </c>
      <c r="AP152" s="252">
        <f t="shared" si="40"/>
        <v>0</v>
      </c>
      <c r="AQ152" s="252">
        <f t="shared" si="41"/>
        <v>0</v>
      </c>
      <c r="AR152" s="2560"/>
      <c r="AS152" s="252">
        <f t="shared" si="42"/>
        <v>0</v>
      </c>
      <c r="AT152" s="252">
        <f t="shared" si="43"/>
        <v>0</v>
      </c>
      <c r="AU152" s="252">
        <f t="shared" si="44"/>
        <v>0</v>
      </c>
      <c r="AV152" s="252">
        <f t="shared" si="45"/>
        <v>0</v>
      </c>
      <c r="AW152" s="252">
        <f t="shared" si="46"/>
        <v>0</v>
      </c>
      <c r="AX152" s="252">
        <f t="shared" si="47"/>
        <v>0</v>
      </c>
      <c r="AY152" s="252">
        <f t="shared" si="48"/>
        <v>0</v>
      </c>
      <c r="AZ152" s="2560"/>
      <c r="BA152" s="2560"/>
      <c r="BB152" s="252">
        <f t="shared" si="49"/>
        <v>0</v>
      </c>
      <c r="BC152" s="252">
        <f t="shared" si="50"/>
        <v>0</v>
      </c>
      <c r="BD152" s="252">
        <f t="shared" si="51"/>
        <v>0</v>
      </c>
      <c r="BE152" s="252">
        <f t="shared" si="52"/>
        <v>0</v>
      </c>
      <c r="BF152" s="2589"/>
      <c r="BG152" s="1247"/>
      <c r="BH152" s="1247"/>
      <c r="BI152" s="1247"/>
      <c r="BJ152" s="1247"/>
      <c r="BK152" s="1247"/>
      <c r="BL152" s="1247"/>
    </row>
    <row r="153" spans="2:64" ht="15.75" customHeight="1">
      <c r="B153" s="96" t="s">
        <v>12218</v>
      </c>
      <c r="C153" s="97" t="s">
        <v>137</v>
      </c>
      <c r="D153" s="97">
        <v>3</v>
      </c>
      <c r="E153" s="1510"/>
      <c r="F153" s="1510"/>
      <c r="G153" s="1510"/>
      <c r="H153" s="1510"/>
      <c r="I153" s="1510"/>
      <c r="J153" s="1510"/>
      <c r="K153" s="2043"/>
      <c r="L153" s="1977"/>
      <c r="M153" s="2045"/>
      <c r="N153" s="1510"/>
      <c r="O153" s="1510"/>
      <c r="P153" s="1510"/>
      <c r="Q153" s="1510"/>
      <c r="R153" s="1510"/>
      <c r="S153" s="2043"/>
      <c r="T153" s="1974"/>
      <c r="U153" s="1976" t="s">
        <v>12094</v>
      </c>
      <c r="V153" s="1510"/>
      <c r="W153" s="1510"/>
      <c r="X153" s="1510"/>
      <c r="Y153" s="2198"/>
      <c r="Z153" s="2329"/>
      <c r="AA153" s="2329"/>
      <c r="AB153" s="2329"/>
      <c r="AC153" s="2329"/>
      <c r="AD153" s="2330"/>
      <c r="AE153" s="88"/>
      <c r="AF153" s="98" t="s">
        <v>12219</v>
      </c>
      <c r="AG153" s="2560"/>
      <c r="AH153" s="2589"/>
      <c r="AI153" s="1121"/>
      <c r="AJ153" s="2589"/>
      <c r="AK153" s="252">
        <f t="shared" si="53"/>
        <v>0</v>
      </c>
      <c r="AL153" s="252">
        <f t="shared" si="36"/>
        <v>0</v>
      </c>
      <c r="AM153" s="252">
        <f t="shared" si="37"/>
        <v>0</v>
      </c>
      <c r="AN153" s="252">
        <f t="shared" si="38"/>
        <v>0</v>
      </c>
      <c r="AO153" s="252">
        <f t="shared" si="39"/>
        <v>0</v>
      </c>
      <c r="AP153" s="252">
        <f t="shared" si="40"/>
        <v>0</v>
      </c>
      <c r="AQ153" s="252">
        <f t="shared" si="41"/>
        <v>0</v>
      </c>
      <c r="AR153" s="2560"/>
      <c r="AS153" s="252">
        <f t="shared" si="42"/>
        <v>0</v>
      </c>
      <c r="AT153" s="252">
        <f t="shared" si="43"/>
        <v>0</v>
      </c>
      <c r="AU153" s="252">
        <f t="shared" si="44"/>
        <v>0</v>
      </c>
      <c r="AV153" s="252">
        <f t="shared" si="45"/>
        <v>0</v>
      </c>
      <c r="AW153" s="252">
        <f t="shared" si="46"/>
        <v>0</v>
      </c>
      <c r="AX153" s="252">
        <f t="shared" si="47"/>
        <v>0</v>
      </c>
      <c r="AY153" s="252">
        <f t="shared" si="48"/>
        <v>0</v>
      </c>
      <c r="AZ153" s="2560"/>
      <c r="BA153" s="2560"/>
      <c r="BB153" s="252">
        <f t="shared" si="49"/>
        <v>0</v>
      </c>
      <c r="BC153" s="252">
        <f t="shared" si="50"/>
        <v>0</v>
      </c>
      <c r="BD153" s="252">
        <f t="shared" si="51"/>
        <v>0</v>
      </c>
      <c r="BE153" s="252">
        <f t="shared" si="52"/>
        <v>0</v>
      </c>
      <c r="BF153" s="2589"/>
      <c r="BG153" s="1247"/>
      <c r="BH153" s="1247"/>
      <c r="BI153" s="1247"/>
      <c r="BJ153" s="1247"/>
      <c r="BK153" s="1247"/>
      <c r="BL153" s="1247"/>
    </row>
    <row r="154" spans="2:64" ht="15.75" customHeight="1">
      <c r="B154" s="96" t="s">
        <v>12220</v>
      </c>
      <c r="C154" s="97" t="s">
        <v>137</v>
      </c>
      <c r="D154" s="97">
        <v>3</v>
      </c>
      <c r="E154" s="1510"/>
      <c r="F154" s="1510"/>
      <c r="G154" s="1510"/>
      <c r="H154" s="1510"/>
      <c r="I154" s="1510"/>
      <c r="J154" s="1510"/>
      <c r="K154" s="2043"/>
      <c r="L154" s="1977"/>
      <c r="M154" s="2045"/>
      <c r="N154" s="1510"/>
      <c r="O154" s="1510"/>
      <c r="P154" s="1510"/>
      <c r="Q154" s="1510"/>
      <c r="R154" s="1510"/>
      <c r="S154" s="2043"/>
      <c r="T154" s="1974"/>
      <c r="U154" s="1976" t="s">
        <v>12094</v>
      </c>
      <c r="V154" s="1510"/>
      <c r="W154" s="1510"/>
      <c r="X154" s="1510"/>
      <c r="Y154" s="2198"/>
      <c r="Z154" s="2329"/>
      <c r="AA154" s="2329"/>
      <c r="AB154" s="2329"/>
      <c r="AC154" s="2329"/>
      <c r="AD154" s="2330"/>
      <c r="AE154" s="88"/>
      <c r="AF154" s="98" t="s">
        <v>12221</v>
      </c>
      <c r="AG154" s="2560"/>
      <c r="AH154" s="2589"/>
      <c r="AI154" s="1121"/>
      <c r="AJ154" s="2589"/>
      <c r="AK154" s="252">
        <f t="shared" si="53"/>
        <v>0</v>
      </c>
      <c r="AL154" s="252">
        <f t="shared" si="36"/>
        <v>0</v>
      </c>
      <c r="AM154" s="252">
        <f t="shared" si="37"/>
        <v>0</v>
      </c>
      <c r="AN154" s="252">
        <f t="shared" si="38"/>
        <v>0</v>
      </c>
      <c r="AO154" s="252">
        <f t="shared" si="39"/>
        <v>0</v>
      </c>
      <c r="AP154" s="252">
        <f t="shared" si="40"/>
        <v>0</v>
      </c>
      <c r="AQ154" s="252">
        <f t="shared" si="41"/>
        <v>0</v>
      </c>
      <c r="AR154" s="2560"/>
      <c r="AS154" s="252">
        <f t="shared" si="42"/>
        <v>0</v>
      </c>
      <c r="AT154" s="252">
        <f t="shared" si="43"/>
        <v>0</v>
      </c>
      <c r="AU154" s="252">
        <f t="shared" si="44"/>
        <v>0</v>
      </c>
      <c r="AV154" s="252">
        <f t="shared" si="45"/>
        <v>0</v>
      </c>
      <c r="AW154" s="252">
        <f t="shared" si="46"/>
        <v>0</v>
      </c>
      <c r="AX154" s="252">
        <f t="shared" si="47"/>
        <v>0</v>
      </c>
      <c r="AY154" s="252">
        <f t="shared" si="48"/>
        <v>0</v>
      </c>
      <c r="AZ154" s="2560"/>
      <c r="BA154" s="2560"/>
      <c r="BB154" s="252">
        <f t="shared" si="49"/>
        <v>0</v>
      </c>
      <c r="BC154" s="252">
        <f t="shared" si="50"/>
        <v>0</v>
      </c>
      <c r="BD154" s="252">
        <f t="shared" si="51"/>
        <v>0</v>
      </c>
      <c r="BE154" s="252">
        <f t="shared" si="52"/>
        <v>0</v>
      </c>
      <c r="BF154" s="2589"/>
      <c r="BG154" s="1247"/>
      <c r="BH154" s="1247"/>
      <c r="BI154" s="1247"/>
      <c r="BJ154" s="1247"/>
      <c r="BK154" s="1247"/>
      <c r="BL154" s="1247"/>
    </row>
    <row r="155" spans="2:64" ht="15.75" customHeight="1">
      <c r="B155" s="96" t="s">
        <v>12222</v>
      </c>
      <c r="C155" s="97" t="s">
        <v>137</v>
      </c>
      <c r="D155" s="97">
        <v>3</v>
      </c>
      <c r="E155" s="1510"/>
      <c r="F155" s="1510"/>
      <c r="G155" s="1510"/>
      <c r="H155" s="1510"/>
      <c r="I155" s="1510"/>
      <c r="J155" s="1510"/>
      <c r="K155" s="2043"/>
      <c r="L155" s="1977"/>
      <c r="M155" s="2045"/>
      <c r="N155" s="1510"/>
      <c r="O155" s="1510"/>
      <c r="P155" s="1510"/>
      <c r="Q155" s="1510"/>
      <c r="R155" s="1510"/>
      <c r="S155" s="2043"/>
      <c r="T155" s="1974"/>
      <c r="U155" s="1976" t="s">
        <v>12094</v>
      </c>
      <c r="V155" s="1510"/>
      <c r="W155" s="1510"/>
      <c r="X155" s="1510"/>
      <c r="Y155" s="2198"/>
      <c r="Z155" s="2329"/>
      <c r="AA155" s="2329"/>
      <c r="AB155" s="2329"/>
      <c r="AC155" s="2329"/>
      <c r="AD155" s="2330"/>
      <c r="AE155" s="88"/>
      <c r="AF155" s="98" t="s">
        <v>12223</v>
      </c>
      <c r="AG155" s="2560"/>
      <c r="AH155" s="2589"/>
      <c r="AI155" s="1121"/>
      <c r="AJ155" s="2589"/>
      <c r="AK155" s="252">
        <f t="shared" si="53"/>
        <v>0</v>
      </c>
      <c r="AL155" s="252">
        <f t="shared" si="36"/>
        <v>0</v>
      </c>
      <c r="AM155" s="252">
        <f t="shared" si="37"/>
        <v>0</v>
      </c>
      <c r="AN155" s="252">
        <f t="shared" si="38"/>
        <v>0</v>
      </c>
      <c r="AO155" s="252">
        <f t="shared" si="39"/>
        <v>0</v>
      </c>
      <c r="AP155" s="252">
        <f t="shared" si="40"/>
        <v>0</v>
      </c>
      <c r="AQ155" s="252">
        <f t="shared" si="41"/>
        <v>0</v>
      </c>
      <c r="AR155" s="2560"/>
      <c r="AS155" s="252">
        <f t="shared" si="42"/>
        <v>0</v>
      </c>
      <c r="AT155" s="252">
        <f t="shared" si="43"/>
        <v>0</v>
      </c>
      <c r="AU155" s="252">
        <f t="shared" si="44"/>
        <v>0</v>
      </c>
      <c r="AV155" s="252">
        <f t="shared" si="45"/>
        <v>0</v>
      </c>
      <c r="AW155" s="252">
        <f t="shared" si="46"/>
        <v>0</v>
      </c>
      <c r="AX155" s="252">
        <f t="shared" si="47"/>
        <v>0</v>
      </c>
      <c r="AY155" s="252">
        <f t="shared" si="48"/>
        <v>0</v>
      </c>
      <c r="AZ155" s="2560"/>
      <c r="BA155" s="2560"/>
      <c r="BB155" s="252">
        <f t="shared" si="49"/>
        <v>0</v>
      </c>
      <c r="BC155" s="252">
        <f t="shared" si="50"/>
        <v>0</v>
      </c>
      <c r="BD155" s="252">
        <f t="shared" si="51"/>
        <v>0</v>
      </c>
      <c r="BE155" s="252">
        <f t="shared" si="52"/>
        <v>0</v>
      </c>
      <c r="BF155" s="2589"/>
      <c r="BG155" s="1247"/>
      <c r="BH155" s="1247"/>
      <c r="BI155" s="1247"/>
      <c r="BJ155" s="1247"/>
      <c r="BK155" s="1247"/>
      <c r="BL155" s="1247"/>
    </row>
    <row r="156" spans="2:64" ht="15.75" customHeight="1">
      <c r="B156" s="96" t="s">
        <v>12224</v>
      </c>
      <c r="C156" s="97" t="s">
        <v>137</v>
      </c>
      <c r="D156" s="97">
        <v>3</v>
      </c>
      <c r="E156" s="1510"/>
      <c r="F156" s="1510"/>
      <c r="G156" s="1510"/>
      <c r="H156" s="1510"/>
      <c r="I156" s="1510"/>
      <c r="J156" s="1510"/>
      <c r="K156" s="2043"/>
      <c r="L156" s="1977"/>
      <c r="M156" s="2045"/>
      <c r="N156" s="1510"/>
      <c r="O156" s="1510"/>
      <c r="P156" s="1510"/>
      <c r="Q156" s="1510"/>
      <c r="R156" s="1510"/>
      <c r="S156" s="2043"/>
      <c r="T156" s="1974"/>
      <c r="U156" s="1976" t="s">
        <v>12094</v>
      </c>
      <c r="V156" s="1510"/>
      <c r="W156" s="1510"/>
      <c r="X156" s="1510"/>
      <c r="Y156" s="2198"/>
      <c r="Z156" s="2329"/>
      <c r="AA156" s="2329"/>
      <c r="AB156" s="2329"/>
      <c r="AC156" s="2329"/>
      <c r="AD156" s="2330"/>
      <c r="AE156" s="88"/>
      <c r="AF156" s="98" t="s">
        <v>12225</v>
      </c>
      <c r="AG156" s="2560"/>
      <c r="AH156" s="2589"/>
      <c r="AI156" s="1121"/>
      <c r="AJ156" s="2589"/>
      <c r="AK156" s="252">
        <f t="shared" si="53"/>
        <v>0</v>
      </c>
      <c r="AL156" s="252">
        <f t="shared" si="36"/>
        <v>0</v>
      </c>
      <c r="AM156" s="252">
        <f t="shared" si="37"/>
        <v>0</v>
      </c>
      <c r="AN156" s="252">
        <f t="shared" si="38"/>
        <v>0</v>
      </c>
      <c r="AO156" s="252">
        <f t="shared" si="39"/>
        <v>0</v>
      </c>
      <c r="AP156" s="252">
        <f t="shared" si="40"/>
        <v>0</v>
      </c>
      <c r="AQ156" s="252">
        <f t="shared" si="41"/>
        <v>0</v>
      </c>
      <c r="AR156" s="2560"/>
      <c r="AS156" s="252">
        <f t="shared" si="42"/>
        <v>0</v>
      </c>
      <c r="AT156" s="252">
        <f t="shared" si="43"/>
        <v>0</v>
      </c>
      <c r="AU156" s="252">
        <f t="shared" si="44"/>
        <v>0</v>
      </c>
      <c r="AV156" s="252">
        <f t="shared" si="45"/>
        <v>0</v>
      </c>
      <c r="AW156" s="252">
        <f t="shared" si="46"/>
        <v>0</v>
      </c>
      <c r="AX156" s="252">
        <f t="shared" si="47"/>
        <v>0</v>
      </c>
      <c r="AY156" s="252">
        <f t="shared" si="48"/>
        <v>0</v>
      </c>
      <c r="AZ156" s="2560"/>
      <c r="BA156" s="2560"/>
      <c r="BB156" s="252">
        <f t="shared" si="49"/>
        <v>0</v>
      </c>
      <c r="BC156" s="252">
        <f t="shared" si="50"/>
        <v>0</v>
      </c>
      <c r="BD156" s="252">
        <f t="shared" si="51"/>
        <v>0</v>
      </c>
      <c r="BE156" s="252">
        <f t="shared" si="52"/>
        <v>0</v>
      </c>
      <c r="BF156" s="2589"/>
      <c r="BG156" s="1247"/>
      <c r="BH156" s="1247"/>
      <c r="BI156" s="1247"/>
      <c r="BJ156" s="1247"/>
      <c r="BK156" s="1247"/>
      <c r="BL156" s="1247"/>
    </row>
    <row r="157" spans="2:64" ht="15.75" customHeight="1">
      <c r="B157" s="96" t="s">
        <v>12226</v>
      </c>
      <c r="C157" s="97" t="s">
        <v>137</v>
      </c>
      <c r="D157" s="97">
        <v>3</v>
      </c>
      <c r="E157" s="1510"/>
      <c r="F157" s="1510"/>
      <c r="G157" s="1510"/>
      <c r="H157" s="1510"/>
      <c r="I157" s="1510"/>
      <c r="J157" s="1510"/>
      <c r="K157" s="2043"/>
      <c r="L157" s="1977"/>
      <c r="M157" s="2045"/>
      <c r="N157" s="1510"/>
      <c r="O157" s="1510"/>
      <c r="P157" s="1510"/>
      <c r="Q157" s="1510"/>
      <c r="R157" s="1510"/>
      <c r="S157" s="2043"/>
      <c r="T157" s="1974"/>
      <c r="U157" s="1976" t="s">
        <v>12094</v>
      </c>
      <c r="V157" s="1510"/>
      <c r="W157" s="1510"/>
      <c r="X157" s="1510"/>
      <c r="Y157" s="2198"/>
      <c r="Z157" s="2329"/>
      <c r="AA157" s="2329"/>
      <c r="AB157" s="2329"/>
      <c r="AC157" s="2329"/>
      <c r="AD157" s="2330"/>
      <c r="AE157" s="88"/>
      <c r="AF157" s="98" t="s">
        <v>12227</v>
      </c>
      <c r="AG157" s="2560"/>
      <c r="AH157" s="2589"/>
      <c r="AI157" s="1121"/>
      <c r="AJ157" s="2589"/>
      <c r="AK157" s="252">
        <f t="shared" si="53"/>
        <v>0</v>
      </c>
      <c r="AL157" s="252">
        <f t="shared" si="36"/>
        <v>0</v>
      </c>
      <c r="AM157" s="252">
        <f t="shared" si="37"/>
        <v>0</v>
      </c>
      <c r="AN157" s="252">
        <f t="shared" si="38"/>
        <v>0</v>
      </c>
      <c r="AO157" s="252">
        <f t="shared" si="39"/>
        <v>0</v>
      </c>
      <c r="AP157" s="252">
        <f t="shared" si="40"/>
        <v>0</v>
      </c>
      <c r="AQ157" s="252">
        <f t="shared" si="41"/>
        <v>0</v>
      </c>
      <c r="AR157" s="2560"/>
      <c r="AS157" s="252">
        <f t="shared" si="42"/>
        <v>0</v>
      </c>
      <c r="AT157" s="252">
        <f t="shared" si="43"/>
        <v>0</v>
      </c>
      <c r="AU157" s="252">
        <f t="shared" si="44"/>
        <v>0</v>
      </c>
      <c r="AV157" s="252">
        <f t="shared" si="45"/>
        <v>0</v>
      </c>
      <c r="AW157" s="252">
        <f t="shared" si="46"/>
        <v>0</v>
      </c>
      <c r="AX157" s="252">
        <f t="shared" si="47"/>
        <v>0</v>
      </c>
      <c r="AY157" s="252">
        <f t="shared" si="48"/>
        <v>0</v>
      </c>
      <c r="AZ157" s="2560"/>
      <c r="BA157" s="2560"/>
      <c r="BB157" s="252">
        <f t="shared" si="49"/>
        <v>0</v>
      </c>
      <c r="BC157" s="252">
        <f t="shared" si="50"/>
        <v>0</v>
      </c>
      <c r="BD157" s="252">
        <f t="shared" si="51"/>
        <v>0</v>
      </c>
      <c r="BE157" s="252">
        <f t="shared" si="52"/>
        <v>0</v>
      </c>
      <c r="BF157" s="2589"/>
      <c r="BG157" s="1247"/>
      <c r="BH157" s="1247"/>
      <c r="BI157" s="1247"/>
      <c r="BJ157" s="1247"/>
      <c r="BK157" s="1247"/>
      <c r="BL157" s="1247"/>
    </row>
    <row r="158" spans="2:64" ht="15.75" customHeight="1">
      <c r="B158" s="96" t="s">
        <v>12228</v>
      </c>
      <c r="C158" s="97" t="s">
        <v>137</v>
      </c>
      <c r="D158" s="97">
        <v>3</v>
      </c>
      <c r="E158" s="1510"/>
      <c r="F158" s="1510"/>
      <c r="G158" s="1510"/>
      <c r="H158" s="1510"/>
      <c r="I158" s="1510"/>
      <c r="J158" s="1510"/>
      <c r="K158" s="2043"/>
      <c r="L158" s="1977"/>
      <c r="M158" s="2045"/>
      <c r="N158" s="1510"/>
      <c r="O158" s="1510"/>
      <c r="P158" s="1510"/>
      <c r="Q158" s="1510"/>
      <c r="R158" s="1510"/>
      <c r="S158" s="2043"/>
      <c r="T158" s="1974"/>
      <c r="U158" s="1976" t="s">
        <v>12094</v>
      </c>
      <c r="V158" s="1510"/>
      <c r="W158" s="1510"/>
      <c r="X158" s="1510"/>
      <c r="Y158" s="2198"/>
      <c r="Z158" s="2329"/>
      <c r="AA158" s="2329"/>
      <c r="AB158" s="2329"/>
      <c r="AC158" s="2329"/>
      <c r="AD158" s="2330"/>
      <c r="AE158" s="88"/>
      <c r="AF158" s="98" t="s">
        <v>12229</v>
      </c>
      <c r="AG158" s="2560"/>
      <c r="AH158" s="2589"/>
      <c r="AI158" s="1121"/>
      <c r="AJ158" s="2589"/>
      <c r="AK158" s="252">
        <f t="shared" si="53"/>
        <v>0</v>
      </c>
      <c r="AL158" s="252">
        <f t="shared" si="36"/>
        <v>0</v>
      </c>
      <c r="AM158" s="252">
        <f t="shared" si="37"/>
        <v>0</v>
      </c>
      <c r="AN158" s="252">
        <f t="shared" si="38"/>
        <v>0</v>
      </c>
      <c r="AO158" s="252">
        <f t="shared" si="39"/>
        <v>0</v>
      </c>
      <c r="AP158" s="252">
        <f t="shared" si="40"/>
        <v>0</v>
      </c>
      <c r="AQ158" s="252">
        <f t="shared" si="41"/>
        <v>0</v>
      </c>
      <c r="AR158" s="2560"/>
      <c r="AS158" s="252">
        <f t="shared" si="42"/>
        <v>0</v>
      </c>
      <c r="AT158" s="252">
        <f t="shared" si="43"/>
        <v>0</v>
      </c>
      <c r="AU158" s="252">
        <f t="shared" si="44"/>
        <v>0</v>
      </c>
      <c r="AV158" s="252">
        <f t="shared" si="45"/>
        <v>0</v>
      </c>
      <c r="AW158" s="252">
        <f t="shared" si="46"/>
        <v>0</v>
      </c>
      <c r="AX158" s="252">
        <f t="shared" si="47"/>
        <v>0</v>
      </c>
      <c r="AY158" s="252">
        <f t="shared" si="48"/>
        <v>0</v>
      </c>
      <c r="AZ158" s="2560"/>
      <c r="BA158" s="2560"/>
      <c r="BB158" s="252">
        <f t="shared" si="49"/>
        <v>0</v>
      </c>
      <c r="BC158" s="252">
        <f t="shared" si="50"/>
        <v>0</v>
      </c>
      <c r="BD158" s="252">
        <f t="shared" si="51"/>
        <v>0</v>
      </c>
      <c r="BE158" s="252">
        <f t="shared" si="52"/>
        <v>0</v>
      </c>
      <c r="BF158" s="2589"/>
      <c r="BG158" s="1247"/>
      <c r="BH158" s="1247"/>
      <c r="BI158" s="1247"/>
      <c r="BJ158" s="1247"/>
      <c r="BK158" s="1247"/>
      <c r="BL158" s="1247"/>
    </row>
    <row r="159" spans="2:64" ht="15.75" customHeight="1">
      <c r="B159" s="96" t="s">
        <v>12230</v>
      </c>
      <c r="C159" s="97" t="s">
        <v>137</v>
      </c>
      <c r="D159" s="97">
        <v>3</v>
      </c>
      <c r="E159" s="1510"/>
      <c r="F159" s="1510"/>
      <c r="G159" s="1510"/>
      <c r="H159" s="1510"/>
      <c r="I159" s="1510"/>
      <c r="J159" s="1510"/>
      <c r="K159" s="2043"/>
      <c r="L159" s="1977"/>
      <c r="M159" s="2045"/>
      <c r="N159" s="1510"/>
      <c r="O159" s="1510"/>
      <c r="P159" s="1510"/>
      <c r="Q159" s="1510"/>
      <c r="R159" s="1510"/>
      <c r="S159" s="2043"/>
      <c r="T159" s="1974"/>
      <c r="U159" s="1976" t="s">
        <v>12094</v>
      </c>
      <c r="V159" s="1510"/>
      <c r="W159" s="1510"/>
      <c r="X159" s="1510"/>
      <c r="Y159" s="2198"/>
      <c r="Z159" s="2329"/>
      <c r="AA159" s="2329"/>
      <c r="AB159" s="2329"/>
      <c r="AC159" s="2329"/>
      <c r="AD159" s="2330"/>
      <c r="AE159" s="88"/>
      <c r="AF159" s="98" t="s">
        <v>12231</v>
      </c>
      <c r="AG159" s="2560"/>
      <c r="AH159" s="2589"/>
      <c r="AI159" s="1121"/>
      <c r="AJ159" s="2589"/>
      <c r="AK159" s="252">
        <f t="shared" si="53"/>
        <v>0</v>
      </c>
      <c r="AL159" s="252">
        <f t="shared" si="36"/>
        <v>0</v>
      </c>
      <c r="AM159" s="252">
        <f t="shared" si="37"/>
        <v>0</v>
      </c>
      <c r="AN159" s="252">
        <f t="shared" si="38"/>
        <v>0</v>
      </c>
      <c r="AO159" s="252">
        <f t="shared" si="39"/>
        <v>0</v>
      </c>
      <c r="AP159" s="252">
        <f t="shared" si="40"/>
        <v>0</v>
      </c>
      <c r="AQ159" s="252">
        <f t="shared" si="41"/>
        <v>0</v>
      </c>
      <c r="AR159" s="2560"/>
      <c r="AS159" s="252">
        <f t="shared" si="42"/>
        <v>0</v>
      </c>
      <c r="AT159" s="252">
        <f t="shared" si="43"/>
        <v>0</v>
      </c>
      <c r="AU159" s="252">
        <f t="shared" si="44"/>
        <v>0</v>
      </c>
      <c r="AV159" s="252">
        <f t="shared" si="45"/>
        <v>0</v>
      </c>
      <c r="AW159" s="252">
        <f t="shared" si="46"/>
        <v>0</v>
      </c>
      <c r="AX159" s="252">
        <f t="shared" si="47"/>
        <v>0</v>
      </c>
      <c r="AY159" s="252">
        <f t="shared" si="48"/>
        <v>0</v>
      </c>
      <c r="AZ159" s="2560"/>
      <c r="BA159" s="2560"/>
      <c r="BB159" s="252">
        <f t="shared" si="49"/>
        <v>0</v>
      </c>
      <c r="BC159" s="252">
        <f t="shared" si="50"/>
        <v>0</v>
      </c>
      <c r="BD159" s="252">
        <f t="shared" si="51"/>
        <v>0</v>
      </c>
      <c r="BE159" s="252">
        <f t="shared" si="52"/>
        <v>0</v>
      </c>
      <c r="BF159" s="2589"/>
      <c r="BG159" s="1247"/>
      <c r="BH159" s="1247"/>
      <c r="BI159" s="1247"/>
      <c r="BJ159" s="1247"/>
      <c r="BK159" s="1247"/>
      <c r="BL159" s="1247"/>
    </row>
    <row r="160" spans="2:64" ht="15.75" customHeight="1">
      <c r="B160" s="96" t="s">
        <v>12232</v>
      </c>
      <c r="C160" s="97" t="s">
        <v>137</v>
      </c>
      <c r="D160" s="97">
        <v>3</v>
      </c>
      <c r="E160" s="1510"/>
      <c r="F160" s="1510"/>
      <c r="G160" s="1510"/>
      <c r="H160" s="1510"/>
      <c r="I160" s="1510"/>
      <c r="J160" s="1510"/>
      <c r="K160" s="2043"/>
      <c r="L160" s="1977"/>
      <c r="M160" s="2045"/>
      <c r="N160" s="1510"/>
      <c r="O160" s="1510"/>
      <c r="P160" s="1510"/>
      <c r="Q160" s="1510"/>
      <c r="R160" s="1510"/>
      <c r="S160" s="2043"/>
      <c r="T160" s="1974"/>
      <c r="U160" s="1976" t="s">
        <v>12094</v>
      </c>
      <c r="V160" s="1510"/>
      <c r="W160" s="1510"/>
      <c r="X160" s="1510"/>
      <c r="Y160" s="2198"/>
      <c r="Z160" s="2329"/>
      <c r="AA160" s="2329"/>
      <c r="AB160" s="2329"/>
      <c r="AC160" s="2329"/>
      <c r="AD160" s="2330"/>
      <c r="AE160" s="88"/>
      <c r="AF160" s="98" t="s">
        <v>12233</v>
      </c>
      <c r="AG160" s="2560"/>
      <c r="AH160" s="2589"/>
      <c r="AI160" s="1121"/>
      <c r="AJ160" s="2589"/>
      <c r="AK160" s="252">
        <f t="shared" si="53"/>
        <v>0</v>
      </c>
      <c r="AL160" s="252">
        <f t="shared" si="36"/>
        <v>0</v>
      </c>
      <c r="AM160" s="252">
        <f t="shared" si="37"/>
        <v>0</v>
      </c>
      <c r="AN160" s="252">
        <f t="shared" si="38"/>
        <v>0</v>
      </c>
      <c r="AO160" s="252">
        <f t="shared" si="39"/>
        <v>0</v>
      </c>
      <c r="AP160" s="252">
        <f t="shared" si="40"/>
        <v>0</v>
      </c>
      <c r="AQ160" s="252">
        <f t="shared" si="41"/>
        <v>0</v>
      </c>
      <c r="AR160" s="2560"/>
      <c r="AS160" s="252">
        <f t="shared" si="42"/>
        <v>0</v>
      </c>
      <c r="AT160" s="252">
        <f t="shared" si="43"/>
        <v>0</v>
      </c>
      <c r="AU160" s="252">
        <f t="shared" si="44"/>
        <v>0</v>
      </c>
      <c r="AV160" s="252">
        <f t="shared" si="45"/>
        <v>0</v>
      </c>
      <c r="AW160" s="252">
        <f t="shared" si="46"/>
        <v>0</v>
      </c>
      <c r="AX160" s="252">
        <f t="shared" si="47"/>
        <v>0</v>
      </c>
      <c r="AY160" s="252">
        <f t="shared" si="48"/>
        <v>0</v>
      </c>
      <c r="AZ160" s="2560"/>
      <c r="BA160" s="2560"/>
      <c r="BB160" s="252">
        <f t="shared" si="49"/>
        <v>0</v>
      </c>
      <c r="BC160" s="252">
        <f t="shared" si="50"/>
        <v>0</v>
      </c>
      <c r="BD160" s="252">
        <f t="shared" si="51"/>
        <v>0</v>
      </c>
      <c r="BE160" s="252">
        <f t="shared" si="52"/>
        <v>0</v>
      </c>
      <c r="BF160" s="2589"/>
      <c r="BG160" s="1247"/>
      <c r="BH160" s="1247"/>
      <c r="BI160" s="1247"/>
      <c r="BJ160" s="1247"/>
      <c r="BK160" s="1247"/>
      <c r="BL160" s="1247"/>
    </row>
    <row r="161" spans="2:64" ht="15.75" customHeight="1">
      <c r="B161" s="96" t="s">
        <v>12234</v>
      </c>
      <c r="C161" s="97" t="s">
        <v>137</v>
      </c>
      <c r="D161" s="97">
        <v>3</v>
      </c>
      <c r="E161" s="1510"/>
      <c r="F161" s="1510"/>
      <c r="G161" s="1510"/>
      <c r="H161" s="1510"/>
      <c r="I161" s="1510"/>
      <c r="J161" s="1510"/>
      <c r="K161" s="2043"/>
      <c r="L161" s="1977"/>
      <c r="M161" s="2045"/>
      <c r="N161" s="1510"/>
      <c r="O161" s="1510"/>
      <c r="P161" s="1510"/>
      <c r="Q161" s="1510"/>
      <c r="R161" s="1510"/>
      <c r="S161" s="2043"/>
      <c r="T161" s="1974"/>
      <c r="U161" s="1976" t="s">
        <v>12094</v>
      </c>
      <c r="V161" s="1510"/>
      <c r="W161" s="1510"/>
      <c r="X161" s="1510"/>
      <c r="Y161" s="2198"/>
      <c r="Z161" s="2329"/>
      <c r="AA161" s="2329"/>
      <c r="AB161" s="2329"/>
      <c r="AC161" s="2329"/>
      <c r="AD161" s="2330"/>
      <c r="AE161" s="88"/>
      <c r="AF161" s="98" t="s">
        <v>12235</v>
      </c>
      <c r="AG161" s="2560"/>
      <c r="AH161" s="2589"/>
      <c r="AI161" s="1121"/>
      <c r="AJ161" s="2589"/>
      <c r="AK161" s="252">
        <f t="shared" si="53"/>
        <v>0</v>
      </c>
      <c r="AL161" s="252">
        <f t="shared" si="36"/>
        <v>0</v>
      </c>
      <c r="AM161" s="252">
        <f t="shared" si="37"/>
        <v>0</v>
      </c>
      <c r="AN161" s="252">
        <f t="shared" si="38"/>
        <v>0</v>
      </c>
      <c r="AO161" s="252">
        <f t="shared" si="39"/>
        <v>0</v>
      </c>
      <c r="AP161" s="252">
        <f t="shared" si="40"/>
        <v>0</v>
      </c>
      <c r="AQ161" s="252">
        <f t="shared" si="41"/>
        <v>0</v>
      </c>
      <c r="AR161" s="2560"/>
      <c r="AS161" s="252">
        <f t="shared" si="42"/>
        <v>0</v>
      </c>
      <c r="AT161" s="252">
        <f t="shared" si="43"/>
        <v>0</v>
      </c>
      <c r="AU161" s="252">
        <f t="shared" si="44"/>
        <v>0</v>
      </c>
      <c r="AV161" s="252">
        <f t="shared" si="45"/>
        <v>0</v>
      </c>
      <c r="AW161" s="252">
        <f t="shared" si="46"/>
        <v>0</v>
      </c>
      <c r="AX161" s="252">
        <f t="shared" si="47"/>
        <v>0</v>
      </c>
      <c r="AY161" s="252">
        <f t="shared" si="48"/>
        <v>0</v>
      </c>
      <c r="AZ161" s="2560"/>
      <c r="BA161" s="2560"/>
      <c r="BB161" s="252">
        <f t="shared" si="49"/>
        <v>0</v>
      </c>
      <c r="BC161" s="252">
        <f t="shared" si="50"/>
        <v>0</v>
      </c>
      <c r="BD161" s="252">
        <f t="shared" si="51"/>
        <v>0</v>
      </c>
      <c r="BE161" s="252">
        <f t="shared" si="52"/>
        <v>0</v>
      </c>
      <c r="BF161" s="2589"/>
      <c r="BG161" s="1247"/>
      <c r="BH161" s="1247"/>
      <c r="BI161" s="1247"/>
      <c r="BJ161" s="1247"/>
      <c r="BK161" s="1247"/>
      <c r="BL161" s="1247"/>
    </row>
    <row r="162" spans="2:64" ht="15.75" customHeight="1">
      <c r="B162" s="96" t="s">
        <v>12236</v>
      </c>
      <c r="C162" s="97" t="s">
        <v>137</v>
      </c>
      <c r="D162" s="97">
        <v>3</v>
      </c>
      <c r="E162" s="1510"/>
      <c r="F162" s="1510"/>
      <c r="G162" s="1510"/>
      <c r="H162" s="1510"/>
      <c r="I162" s="1510"/>
      <c r="J162" s="1510"/>
      <c r="K162" s="2043"/>
      <c r="L162" s="1977"/>
      <c r="M162" s="2045"/>
      <c r="N162" s="1510"/>
      <c r="O162" s="1510"/>
      <c r="P162" s="1510"/>
      <c r="Q162" s="1510"/>
      <c r="R162" s="1510"/>
      <c r="S162" s="2043"/>
      <c r="T162" s="1974"/>
      <c r="U162" s="1976" t="s">
        <v>12094</v>
      </c>
      <c r="V162" s="1510"/>
      <c r="W162" s="1510"/>
      <c r="X162" s="1510"/>
      <c r="Y162" s="2198"/>
      <c r="Z162" s="2329"/>
      <c r="AA162" s="2329"/>
      <c r="AB162" s="2329"/>
      <c r="AC162" s="2329"/>
      <c r="AD162" s="2330"/>
      <c r="AE162" s="88"/>
      <c r="AF162" s="98" t="s">
        <v>12237</v>
      </c>
      <c r="AG162" s="2560"/>
      <c r="AH162" s="2589"/>
      <c r="AI162" s="1121"/>
      <c r="AJ162" s="2589"/>
      <c r="AK162" s="252">
        <f t="shared" si="53"/>
        <v>0</v>
      </c>
      <c r="AL162" s="252">
        <f t="shared" si="36"/>
        <v>0</v>
      </c>
      <c r="AM162" s="252">
        <f t="shared" si="37"/>
        <v>0</v>
      </c>
      <c r="AN162" s="252">
        <f t="shared" si="38"/>
        <v>0</v>
      </c>
      <c r="AO162" s="252">
        <f t="shared" si="39"/>
        <v>0</v>
      </c>
      <c r="AP162" s="252">
        <f t="shared" si="40"/>
        <v>0</v>
      </c>
      <c r="AQ162" s="252">
        <f t="shared" si="41"/>
        <v>0</v>
      </c>
      <c r="AR162" s="2560"/>
      <c r="AS162" s="252">
        <f t="shared" si="42"/>
        <v>0</v>
      </c>
      <c r="AT162" s="252">
        <f t="shared" si="43"/>
        <v>0</v>
      </c>
      <c r="AU162" s="252">
        <f t="shared" si="44"/>
        <v>0</v>
      </c>
      <c r="AV162" s="252">
        <f t="shared" si="45"/>
        <v>0</v>
      </c>
      <c r="AW162" s="252">
        <f t="shared" si="46"/>
        <v>0</v>
      </c>
      <c r="AX162" s="252">
        <f t="shared" si="47"/>
        <v>0</v>
      </c>
      <c r="AY162" s="252">
        <f t="shared" si="48"/>
        <v>0</v>
      </c>
      <c r="AZ162" s="2560"/>
      <c r="BA162" s="2560"/>
      <c r="BB162" s="252">
        <f t="shared" si="49"/>
        <v>0</v>
      </c>
      <c r="BC162" s="252">
        <f t="shared" si="50"/>
        <v>0</v>
      </c>
      <c r="BD162" s="252">
        <f t="shared" si="51"/>
        <v>0</v>
      </c>
      <c r="BE162" s="252">
        <f t="shared" si="52"/>
        <v>0</v>
      </c>
      <c r="BF162" s="2589"/>
      <c r="BG162" s="1247"/>
      <c r="BH162" s="1247"/>
      <c r="BI162" s="1247"/>
      <c r="BJ162" s="1247"/>
      <c r="BK162" s="1247"/>
      <c r="BL162" s="1247"/>
    </row>
    <row r="163" spans="2:64" ht="15.75" customHeight="1">
      <c r="B163" s="96" t="s">
        <v>12238</v>
      </c>
      <c r="C163" s="97" t="s">
        <v>137</v>
      </c>
      <c r="D163" s="97">
        <v>3</v>
      </c>
      <c r="E163" s="1510"/>
      <c r="F163" s="1510"/>
      <c r="G163" s="1510"/>
      <c r="H163" s="1510"/>
      <c r="I163" s="1510"/>
      <c r="J163" s="1510"/>
      <c r="K163" s="2043"/>
      <c r="L163" s="1977"/>
      <c r="M163" s="2045"/>
      <c r="N163" s="1510"/>
      <c r="O163" s="1510"/>
      <c r="P163" s="1510"/>
      <c r="Q163" s="1510"/>
      <c r="R163" s="1510"/>
      <c r="S163" s="2043"/>
      <c r="T163" s="1974"/>
      <c r="U163" s="1976" t="s">
        <v>12094</v>
      </c>
      <c r="V163" s="1510"/>
      <c r="W163" s="1510"/>
      <c r="X163" s="1510"/>
      <c r="Y163" s="2198"/>
      <c r="Z163" s="2329"/>
      <c r="AA163" s="2329"/>
      <c r="AB163" s="2329"/>
      <c r="AC163" s="2329"/>
      <c r="AD163" s="2330"/>
      <c r="AE163" s="88"/>
      <c r="AF163" s="98" t="s">
        <v>12239</v>
      </c>
      <c r="AG163" s="2560"/>
      <c r="AH163" s="2589"/>
      <c r="AI163" s="1121"/>
      <c r="AJ163" s="2589"/>
      <c r="AK163" s="252">
        <f t="shared" si="53"/>
        <v>0</v>
      </c>
      <c r="AL163" s="252">
        <f t="shared" si="36"/>
        <v>0</v>
      </c>
      <c r="AM163" s="252">
        <f t="shared" si="37"/>
        <v>0</v>
      </c>
      <c r="AN163" s="252">
        <f t="shared" si="38"/>
        <v>0</v>
      </c>
      <c r="AO163" s="252">
        <f t="shared" si="39"/>
        <v>0</v>
      </c>
      <c r="AP163" s="252">
        <f t="shared" si="40"/>
        <v>0</v>
      </c>
      <c r="AQ163" s="252">
        <f t="shared" si="41"/>
        <v>0</v>
      </c>
      <c r="AR163" s="2560"/>
      <c r="AS163" s="252">
        <f t="shared" si="42"/>
        <v>0</v>
      </c>
      <c r="AT163" s="252">
        <f t="shared" si="43"/>
        <v>0</v>
      </c>
      <c r="AU163" s="252">
        <f t="shared" si="44"/>
        <v>0</v>
      </c>
      <c r="AV163" s="252">
        <f t="shared" si="45"/>
        <v>0</v>
      </c>
      <c r="AW163" s="252">
        <f t="shared" si="46"/>
        <v>0</v>
      </c>
      <c r="AX163" s="252">
        <f t="shared" si="47"/>
        <v>0</v>
      </c>
      <c r="AY163" s="252">
        <f t="shared" si="48"/>
        <v>0</v>
      </c>
      <c r="AZ163" s="2560"/>
      <c r="BA163" s="2560"/>
      <c r="BB163" s="252">
        <f t="shared" si="49"/>
        <v>0</v>
      </c>
      <c r="BC163" s="252">
        <f t="shared" si="50"/>
        <v>0</v>
      </c>
      <c r="BD163" s="252">
        <f t="shared" si="51"/>
        <v>0</v>
      </c>
      <c r="BE163" s="252">
        <f t="shared" si="52"/>
        <v>0</v>
      </c>
      <c r="BF163" s="2589"/>
      <c r="BG163" s="1247"/>
      <c r="BH163" s="1247"/>
      <c r="BI163" s="1247"/>
      <c r="BJ163" s="1247"/>
      <c r="BK163" s="1247"/>
      <c r="BL163" s="1247"/>
    </row>
    <row r="164" spans="2:64" ht="15.75" customHeight="1">
      <c r="B164" s="96" t="s">
        <v>12240</v>
      </c>
      <c r="C164" s="97" t="s">
        <v>137</v>
      </c>
      <c r="D164" s="97">
        <v>3</v>
      </c>
      <c r="E164" s="1510"/>
      <c r="F164" s="1510"/>
      <c r="G164" s="1510"/>
      <c r="H164" s="1510"/>
      <c r="I164" s="1510"/>
      <c r="J164" s="1510"/>
      <c r="K164" s="2043"/>
      <c r="L164" s="1977"/>
      <c r="M164" s="2045"/>
      <c r="N164" s="1510"/>
      <c r="O164" s="1510"/>
      <c r="P164" s="1510"/>
      <c r="Q164" s="1510"/>
      <c r="R164" s="1510"/>
      <c r="S164" s="2043"/>
      <c r="T164" s="1974"/>
      <c r="U164" s="1976" t="s">
        <v>12094</v>
      </c>
      <c r="V164" s="1510"/>
      <c r="W164" s="1510"/>
      <c r="X164" s="1510"/>
      <c r="Y164" s="2198"/>
      <c r="Z164" s="2329"/>
      <c r="AA164" s="2329"/>
      <c r="AB164" s="2329"/>
      <c r="AC164" s="2329"/>
      <c r="AD164" s="2330"/>
      <c r="AE164" s="88"/>
      <c r="AF164" s="98" t="s">
        <v>12241</v>
      </c>
      <c r="AG164" s="2560"/>
      <c r="AH164" s="2589"/>
      <c r="AI164" s="1121"/>
      <c r="AJ164" s="2589"/>
      <c r="AK164" s="252">
        <f t="shared" si="53"/>
        <v>0</v>
      </c>
      <c r="AL164" s="252">
        <f t="shared" si="36"/>
        <v>0</v>
      </c>
      <c r="AM164" s="252">
        <f t="shared" si="37"/>
        <v>0</v>
      </c>
      <c r="AN164" s="252">
        <f t="shared" si="38"/>
        <v>0</v>
      </c>
      <c r="AO164" s="252">
        <f t="shared" si="39"/>
        <v>0</v>
      </c>
      <c r="AP164" s="252">
        <f t="shared" si="40"/>
        <v>0</v>
      </c>
      <c r="AQ164" s="252">
        <f t="shared" si="41"/>
        <v>0</v>
      </c>
      <c r="AR164" s="2560"/>
      <c r="AS164" s="252">
        <f t="shared" si="42"/>
        <v>0</v>
      </c>
      <c r="AT164" s="252">
        <f t="shared" si="43"/>
        <v>0</v>
      </c>
      <c r="AU164" s="252">
        <f t="shared" si="44"/>
        <v>0</v>
      </c>
      <c r="AV164" s="252">
        <f t="shared" si="45"/>
        <v>0</v>
      </c>
      <c r="AW164" s="252">
        <f t="shared" si="46"/>
        <v>0</v>
      </c>
      <c r="AX164" s="252">
        <f t="shared" si="47"/>
        <v>0</v>
      </c>
      <c r="AY164" s="252">
        <f t="shared" si="48"/>
        <v>0</v>
      </c>
      <c r="AZ164" s="2560"/>
      <c r="BA164" s="2560"/>
      <c r="BB164" s="252">
        <f t="shared" si="49"/>
        <v>0</v>
      </c>
      <c r="BC164" s="252">
        <f t="shared" si="50"/>
        <v>0</v>
      </c>
      <c r="BD164" s="252">
        <f t="shared" si="51"/>
        <v>0</v>
      </c>
      <c r="BE164" s="252">
        <f t="shared" si="52"/>
        <v>0</v>
      </c>
      <c r="BF164" s="2589"/>
      <c r="BG164" s="1247"/>
      <c r="BH164" s="1247"/>
      <c r="BI164" s="1247"/>
      <c r="BJ164" s="1247"/>
      <c r="BK164" s="1247"/>
      <c r="BL164" s="1247"/>
    </row>
    <row r="165" spans="2:64" ht="15.75" customHeight="1">
      <c r="B165" s="96" t="s">
        <v>12242</v>
      </c>
      <c r="C165" s="97" t="s">
        <v>137</v>
      </c>
      <c r="D165" s="97">
        <v>3</v>
      </c>
      <c r="E165" s="1510"/>
      <c r="F165" s="1510"/>
      <c r="G165" s="1510"/>
      <c r="H165" s="1510"/>
      <c r="I165" s="1510"/>
      <c r="J165" s="1510"/>
      <c r="K165" s="2043"/>
      <c r="L165" s="1977"/>
      <c r="M165" s="2045"/>
      <c r="N165" s="1510"/>
      <c r="O165" s="1510"/>
      <c r="P165" s="1510"/>
      <c r="Q165" s="1510"/>
      <c r="R165" s="1510"/>
      <c r="S165" s="2043"/>
      <c r="T165" s="1974"/>
      <c r="U165" s="1976" t="s">
        <v>12094</v>
      </c>
      <c r="V165" s="1510"/>
      <c r="W165" s="1510"/>
      <c r="X165" s="1510"/>
      <c r="Y165" s="2198"/>
      <c r="Z165" s="2329"/>
      <c r="AA165" s="2329"/>
      <c r="AB165" s="2329"/>
      <c r="AC165" s="2329"/>
      <c r="AD165" s="2330"/>
      <c r="AE165" s="88"/>
      <c r="AF165" s="98" t="s">
        <v>12243</v>
      </c>
      <c r="AG165" s="2560"/>
      <c r="AH165" s="2589"/>
      <c r="AI165" s="1121"/>
      <c r="AJ165" s="2589"/>
      <c r="AK165" s="252">
        <f t="shared" si="53"/>
        <v>0</v>
      </c>
      <c r="AL165" s="252">
        <f t="shared" si="36"/>
        <v>0</v>
      </c>
      <c r="AM165" s="252">
        <f t="shared" si="37"/>
        <v>0</v>
      </c>
      <c r="AN165" s="252">
        <f t="shared" si="38"/>
        <v>0</v>
      </c>
      <c r="AO165" s="252">
        <f t="shared" si="39"/>
        <v>0</v>
      </c>
      <c r="AP165" s="252">
        <f t="shared" si="40"/>
        <v>0</v>
      </c>
      <c r="AQ165" s="252">
        <f t="shared" si="41"/>
        <v>0</v>
      </c>
      <c r="AR165" s="2560"/>
      <c r="AS165" s="252">
        <f t="shared" si="42"/>
        <v>0</v>
      </c>
      <c r="AT165" s="252">
        <f t="shared" si="43"/>
        <v>0</v>
      </c>
      <c r="AU165" s="252">
        <f t="shared" si="44"/>
        <v>0</v>
      </c>
      <c r="AV165" s="252">
        <f t="shared" si="45"/>
        <v>0</v>
      </c>
      <c r="AW165" s="252">
        <f t="shared" si="46"/>
        <v>0</v>
      </c>
      <c r="AX165" s="252">
        <f t="shared" si="47"/>
        <v>0</v>
      </c>
      <c r="AY165" s="252">
        <f t="shared" si="48"/>
        <v>0</v>
      </c>
      <c r="AZ165" s="2560"/>
      <c r="BA165" s="2560"/>
      <c r="BB165" s="252">
        <f t="shared" si="49"/>
        <v>0</v>
      </c>
      <c r="BC165" s="252">
        <f t="shared" si="50"/>
        <v>0</v>
      </c>
      <c r="BD165" s="252">
        <f t="shared" si="51"/>
        <v>0</v>
      </c>
      <c r="BE165" s="252">
        <f t="shared" si="52"/>
        <v>0</v>
      </c>
      <c r="BF165" s="2589"/>
      <c r="BG165" s="1247"/>
      <c r="BH165" s="1247"/>
      <c r="BI165" s="1247"/>
      <c r="BJ165" s="1247"/>
      <c r="BK165" s="1247"/>
      <c r="BL165" s="1247"/>
    </row>
    <row r="166" spans="2:64" ht="15.75" customHeight="1">
      <c r="B166" s="96" t="s">
        <v>12244</v>
      </c>
      <c r="C166" s="97" t="s">
        <v>137</v>
      </c>
      <c r="D166" s="97">
        <v>3</v>
      </c>
      <c r="E166" s="1510"/>
      <c r="F166" s="1510"/>
      <c r="G166" s="1510"/>
      <c r="H166" s="1510"/>
      <c r="I166" s="1510"/>
      <c r="J166" s="1510"/>
      <c r="K166" s="2043"/>
      <c r="L166" s="1977"/>
      <c r="M166" s="2045"/>
      <c r="N166" s="1510"/>
      <c r="O166" s="1510"/>
      <c r="P166" s="1510"/>
      <c r="Q166" s="1510"/>
      <c r="R166" s="1510"/>
      <c r="S166" s="2043"/>
      <c r="T166" s="1974"/>
      <c r="U166" s="1976" t="s">
        <v>12094</v>
      </c>
      <c r="V166" s="1510"/>
      <c r="W166" s="1510"/>
      <c r="X166" s="1510"/>
      <c r="Y166" s="2198"/>
      <c r="Z166" s="2329"/>
      <c r="AA166" s="2329"/>
      <c r="AB166" s="2329"/>
      <c r="AC166" s="2329"/>
      <c r="AD166" s="2330"/>
      <c r="AE166" s="88"/>
      <c r="AF166" s="98" t="s">
        <v>12245</v>
      </c>
      <c r="AG166" s="2560"/>
      <c r="AH166" s="2589"/>
      <c r="AI166" s="1121"/>
      <c r="AJ166" s="2589"/>
      <c r="AK166" s="252">
        <f t="shared" si="53"/>
        <v>0</v>
      </c>
      <c r="AL166" s="252">
        <f t="shared" si="36"/>
        <v>0</v>
      </c>
      <c r="AM166" s="252">
        <f t="shared" si="37"/>
        <v>0</v>
      </c>
      <c r="AN166" s="252">
        <f t="shared" si="38"/>
        <v>0</v>
      </c>
      <c r="AO166" s="252">
        <f t="shared" si="39"/>
        <v>0</v>
      </c>
      <c r="AP166" s="252">
        <f t="shared" si="40"/>
        <v>0</v>
      </c>
      <c r="AQ166" s="252">
        <f t="shared" si="41"/>
        <v>0</v>
      </c>
      <c r="AR166" s="2560"/>
      <c r="AS166" s="252">
        <f t="shared" si="42"/>
        <v>0</v>
      </c>
      <c r="AT166" s="252">
        <f t="shared" si="43"/>
        <v>0</v>
      </c>
      <c r="AU166" s="252">
        <f t="shared" si="44"/>
        <v>0</v>
      </c>
      <c r="AV166" s="252">
        <f t="shared" si="45"/>
        <v>0</v>
      </c>
      <c r="AW166" s="252">
        <f t="shared" si="46"/>
        <v>0</v>
      </c>
      <c r="AX166" s="252">
        <f t="shared" si="47"/>
        <v>0</v>
      </c>
      <c r="AY166" s="252">
        <f t="shared" si="48"/>
        <v>0</v>
      </c>
      <c r="AZ166" s="2560"/>
      <c r="BA166" s="2560"/>
      <c r="BB166" s="252">
        <f t="shared" si="49"/>
        <v>0</v>
      </c>
      <c r="BC166" s="252">
        <f t="shared" si="50"/>
        <v>0</v>
      </c>
      <c r="BD166" s="252">
        <f t="shared" si="51"/>
        <v>0</v>
      </c>
      <c r="BE166" s="252">
        <f t="shared" si="52"/>
        <v>0</v>
      </c>
      <c r="BF166" s="2589"/>
      <c r="BG166" s="1247"/>
      <c r="BH166" s="1247"/>
      <c r="BI166" s="1247"/>
      <c r="BJ166" s="1247"/>
      <c r="BK166" s="1247"/>
      <c r="BL166" s="1247"/>
    </row>
    <row r="167" spans="2:64" ht="15.75" customHeight="1">
      <c r="B167" s="96" t="s">
        <v>12246</v>
      </c>
      <c r="C167" s="97" t="s">
        <v>137</v>
      </c>
      <c r="D167" s="97">
        <v>3</v>
      </c>
      <c r="E167" s="1510"/>
      <c r="F167" s="1510"/>
      <c r="G167" s="1510"/>
      <c r="H167" s="1510"/>
      <c r="I167" s="1510"/>
      <c r="J167" s="1510"/>
      <c r="K167" s="2043"/>
      <c r="L167" s="1977"/>
      <c r="M167" s="2045"/>
      <c r="N167" s="1510"/>
      <c r="O167" s="1510"/>
      <c r="P167" s="1510"/>
      <c r="Q167" s="1510"/>
      <c r="R167" s="1510"/>
      <c r="S167" s="2043"/>
      <c r="T167" s="1974"/>
      <c r="U167" s="1976" t="s">
        <v>12094</v>
      </c>
      <c r="V167" s="1510"/>
      <c r="W167" s="1510"/>
      <c r="X167" s="1510"/>
      <c r="Y167" s="2198"/>
      <c r="Z167" s="2329"/>
      <c r="AA167" s="2329"/>
      <c r="AB167" s="2329"/>
      <c r="AC167" s="2329"/>
      <c r="AD167" s="2330"/>
      <c r="AE167" s="88"/>
      <c r="AF167" s="98" t="s">
        <v>12247</v>
      </c>
      <c r="AG167" s="2560"/>
      <c r="AH167" s="2589"/>
      <c r="AI167" s="1121"/>
      <c r="AJ167" s="2589"/>
      <c r="AK167" s="252">
        <f t="shared" si="53"/>
        <v>0</v>
      </c>
      <c r="AL167" s="252">
        <f t="shared" si="36"/>
        <v>0</v>
      </c>
      <c r="AM167" s="252">
        <f t="shared" si="37"/>
        <v>0</v>
      </c>
      <c r="AN167" s="252">
        <f t="shared" si="38"/>
        <v>0</v>
      </c>
      <c r="AO167" s="252">
        <f t="shared" si="39"/>
        <v>0</v>
      </c>
      <c r="AP167" s="252">
        <f t="shared" si="40"/>
        <v>0</v>
      </c>
      <c r="AQ167" s="252">
        <f t="shared" si="41"/>
        <v>0</v>
      </c>
      <c r="AR167" s="2560"/>
      <c r="AS167" s="252">
        <f t="shared" si="42"/>
        <v>0</v>
      </c>
      <c r="AT167" s="252">
        <f t="shared" si="43"/>
        <v>0</v>
      </c>
      <c r="AU167" s="252">
        <f t="shared" si="44"/>
        <v>0</v>
      </c>
      <c r="AV167" s="252">
        <f t="shared" si="45"/>
        <v>0</v>
      </c>
      <c r="AW167" s="252">
        <f t="shared" si="46"/>
        <v>0</v>
      </c>
      <c r="AX167" s="252">
        <f t="shared" si="47"/>
        <v>0</v>
      </c>
      <c r="AY167" s="252">
        <f t="shared" si="48"/>
        <v>0</v>
      </c>
      <c r="AZ167" s="2560"/>
      <c r="BA167" s="2560"/>
      <c r="BB167" s="252">
        <f t="shared" si="49"/>
        <v>0</v>
      </c>
      <c r="BC167" s="252">
        <f t="shared" si="50"/>
        <v>0</v>
      </c>
      <c r="BD167" s="252">
        <f t="shared" si="51"/>
        <v>0</v>
      </c>
      <c r="BE167" s="252">
        <f t="shared" si="52"/>
        <v>0</v>
      </c>
      <c r="BF167" s="2589"/>
      <c r="BG167" s="1247"/>
      <c r="BH167" s="1247"/>
      <c r="BI167" s="1247"/>
      <c r="BJ167" s="1247"/>
      <c r="BK167" s="1247"/>
      <c r="BL167" s="1247"/>
    </row>
    <row r="168" spans="2:64" ht="15.75" customHeight="1">
      <c r="B168" s="96" t="s">
        <v>12248</v>
      </c>
      <c r="C168" s="97" t="s">
        <v>137</v>
      </c>
      <c r="D168" s="97">
        <v>3</v>
      </c>
      <c r="E168" s="1510"/>
      <c r="F168" s="1510"/>
      <c r="G168" s="1510"/>
      <c r="H168" s="1510"/>
      <c r="I168" s="1510"/>
      <c r="J168" s="1510"/>
      <c r="K168" s="2043"/>
      <c r="L168" s="1977"/>
      <c r="M168" s="2045"/>
      <c r="N168" s="1510"/>
      <c r="O168" s="1510"/>
      <c r="P168" s="1510"/>
      <c r="Q168" s="1510"/>
      <c r="R168" s="1510"/>
      <c r="S168" s="2043"/>
      <c r="T168" s="1974"/>
      <c r="U168" s="1976" t="s">
        <v>12094</v>
      </c>
      <c r="V168" s="1510"/>
      <c r="W168" s="1510"/>
      <c r="X168" s="1510"/>
      <c r="Y168" s="2198"/>
      <c r="Z168" s="2329"/>
      <c r="AA168" s="2329"/>
      <c r="AB168" s="2329"/>
      <c r="AC168" s="2329"/>
      <c r="AD168" s="2330"/>
      <c r="AE168" s="88"/>
      <c r="AF168" s="98" t="s">
        <v>12249</v>
      </c>
      <c r="AG168" s="2560"/>
      <c r="AH168" s="2589"/>
      <c r="AI168" s="1121"/>
      <c r="AJ168" s="2589"/>
      <c r="AK168" s="252">
        <f t="shared" si="53"/>
        <v>0</v>
      </c>
      <c r="AL168" s="252">
        <f t="shared" si="36"/>
        <v>0</v>
      </c>
      <c r="AM168" s="252">
        <f t="shared" si="37"/>
        <v>0</v>
      </c>
      <c r="AN168" s="252">
        <f t="shared" si="38"/>
        <v>0</v>
      </c>
      <c r="AO168" s="252">
        <f t="shared" si="39"/>
        <v>0</v>
      </c>
      <c r="AP168" s="252">
        <f t="shared" si="40"/>
        <v>0</v>
      </c>
      <c r="AQ168" s="252">
        <f t="shared" si="41"/>
        <v>0</v>
      </c>
      <c r="AR168" s="2560"/>
      <c r="AS168" s="252">
        <f t="shared" si="42"/>
        <v>0</v>
      </c>
      <c r="AT168" s="252">
        <f t="shared" si="43"/>
        <v>0</v>
      </c>
      <c r="AU168" s="252">
        <f t="shared" si="44"/>
        <v>0</v>
      </c>
      <c r="AV168" s="252">
        <f t="shared" si="45"/>
        <v>0</v>
      </c>
      <c r="AW168" s="252">
        <f t="shared" si="46"/>
        <v>0</v>
      </c>
      <c r="AX168" s="252">
        <f t="shared" si="47"/>
        <v>0</v>
      </c>
      <c r="AY168" s="252">
        <f t="shared" si="48"/>
        <v>0</v>
      </c>
      <c r="AZ168" s="2560"/>
      <c r="BA168" s="2560"/>
      <c r="BB168" s="252">
        <f t="shared" si="49"/>
        <v>0</v>
      </c>
      <c r="BC168" s="252">
        <f t="shared" si="50"/>
        <v>0</v>
      </c>
      <c r="BD168" s="252">
        <f t="shared" si="51"/>
        <v>0</v>
      </c>
      <c r="BE168" s="252">
        <f t="shared" si="52"/>
        <v>0</v>
      </c>
      <c r="BF168" s="2589"/>
      <c r="BG168" s="1247"/>
      <c r="BH168" s="1247"/>
      <c r="BI168" s="1247"/>
      <c r="BJ168" s="1247"/>
      <c r="BK168" s="1247"/>
      <c r="BL168" s="1247"/>
    </row>
    <row r="169" spans="2:64" ht="15.75" customHeight="1">
      <c r="B169" s="96" t="s">
        <v>12250</v>
      </c>
      <c r="C169" s="97" t="s">
        <v>137</v>
      </c>
      <c r="D169" s="97">
        <v>3</v>
      </c>
      <c r="E169" s="1510"/>
      <c r="F169" s="1510"/>
      <c r="G169" s="1510"/>
      <c r="H169" s="1510"/>
      <c r="I169" s="1510"/>
      <c r="J169" s="1510"/>
      <c r="K169" s="2043"/>
      <c r="L169" s="1977"/>
      <c r="M169" s="2045"/>
      <c r="N169" s="1510"/>
      <c r="O169" s="1510"/>
      <c r="P169" s="1510"/>
      <c r="Q169" s="1510"/>
      <c r="R169" s="1510"/>
      <c r="S169" s="2043"/>
      <c r="T169" s="1974"/>
      <c r="U169" s="1976" t="s">
        <v>12094</v>
      </c>
      <c r="V169" s="1510"/>
      <c r="W169" s="1510"/>
      <c r="X169" s="1510"/>
      <c r="Y169" s="2198"/>
      <c r="Z169" s="2329"/>
      <c r="AA169" s="2329"/>
      <c r="AB169" s="2329"/>
      <c r="AC169" s="2329"/>
      <c r="AD169" s="2330"/>
      <c r="AE169" s="88"/>
      <c r="AF169" s="98" t="s">
        <v>12251</v>
      </c>
      <c r="AG169" s="2560"/>
      <c r="AH169" s="2589"/>
      <c r="AI169" s="1121"/>
      <c r="AJ169" s="2589"/>
      <c r="AK169" s="252">
        <f t="shared" si="53"/>
        <v>0</v>
      </c>
      <c r="AL169" s="252">
        <f t="shared" si="36"/>
        <v>0</v>
      </c>
      <c r="AM169" s="252">
        <f t="shared" si="37"/>
        <v>0</v>
      </c>
      <c r="AN169" s="252">
        <f t="shared" si="38"/>
        <v>0</v>
      </c>
      <c r="AO169" s="252">
        <f t="shared" si="39"/>
        <v>0</v>
      </c>
      <c r="AP169" s="252">
        <f t="shared" si="40"/>
        <v>0</v>
      </c>
      <c r="AQ169" s="252">
        <f t="shared" si="41"/>
        <v>0</v>
      </c>
      <c r="AR169" s="2560"/>
      <c r="AS169" s="252">
        <f t="shared" si="42"/>
        <v>0</v>
      </c>
      <c r="AT169" s="252">
        <f t="shared" si="43"/>
        <v>0</v>
      </c>
      <c r="AU169" s="252">
        <f t="shared" si="44"/>
        <v>0</v>
      </c>
      <c r="AV169" s="252">
        <f t="shared" si="45"/>
        <v>0</v>
      </c>
      <c r="AW169" s="252">
        <f t="shared" si="46"/>
        <v>0</v>
      </c>
      <c r="AX169" s="252">
        <f t="shared" si="47"/>
        <v>0</v>
      </c>
      <c r="AY169" s="252">
        <f t="shared" si="48"/>
        <v>0</v>
      </c>
      <c r="AZ169" s="2560"/>
      <c r="BA169" s="2560"/>
      <c r="BB169" s="252">
        <f t="shared" si="49"/>
        <v>0</v>
      </c>
      <c r="BC169" s="252">
        <f t="shared" si="50"/>
        <v>0</v>
      </c>
      <c r="BD169" s="252">
        <f t="shared" si="51"/>
        <v>0</v>
      </c>
      <c r="BE169" s="252">
        <f t="shared" si="52"/>
        <v>0</v>
      </c>
      <c r="BF169" s="2589"/>
      <c r="BG169" s="1247"/>
      <c r="BH169" s="1247"/>
      <c r="BI169" s="1247"/>
      <c r="BJ169" s="1247"/>
      <c r="BK169" s="1247"/>
      <c r="BL169" s="1247"/>
    </row>
    <row r="170" spans="2:64" ht="15.75" customHeight="1">
      <c r="B170" s="96" t="s">
        <v>12252</v>
      </c>
      <c r="C170" s="97" t="s">
        <v>137</v>
      </c>
      <c r="D170" s="97">
        <v>3</v>
      </c>
      <c r="E170" s="1510"/>
      <c r="F170" s="1510"/>
      <c r="G170" s="1510"/>
      <c r="H170" s="1510"/>
      <c r="I170" s="1510"/>
      <c r="J170" s="1510"/>
      <c r="K170" s="2043"/>
      <c r="L170" s="1977"/>
      <c r="M170" s="2045"/>
      <c r="N170" s="1510"/>
      <c r="O170" s="1510"/>
      <c r="P170" s="1510"/>
      <c r="Q170" s="1510"/>
      <c r="R170" s="1510"/>
      <c r="S170" s="2043"/>
      <c r="T170" s="1974"/>
      <c r="U170" s="1976" t="s">
        <v>12094</v>
      </c>
      <c r="V170" s="1510"/>
      <c r="W170" s="1510"/>
      <c r="X170" s="1510"/>
      <c r="Y170" s="2198"/>
      <c r="Z170" s="2329"/>
      <c r="AA170" s="2329"/>
      <c r="AB170" s="2329"/>
      <c r="AC170" s="2329"/>
      <c r="AD170" s="2330"/>
      <c r="AE170" s="88"/>
      <c r="AF170" s="98" t="s">
        <v>12253</v>
      </c>
      <c r="AG170" s="2560"/>
      <c r="AH170" s="2589"/>
      <c r="AI170" s="1121"/>
      <c r="AJ170" s="2589"/>
      <c r="AK170" s="252">
        <f t="shared" si="53"/>
        <v>0</v>
      </c>
      <c r="AL170" s="252">
        <f t="shared" si="36"/>
        <v>0</v>
      </c>
      <c r="AM170" s="252">
        <f t="shared" si="37"/>
        <v>0</v>
      </c>
      <c r="AN170" s="252">
        <f t="shared" si="38"/>
        <v>0</v>
      </c>
      <c r="AO170" s="252">
        <f t="shared" si="39"/>
        <v>0</v>
      </c>
      <c r="AP170" s="252">
        <f t="shared" si="40"/>
        <v>0</v>
      </c>
      <c r="AQ170" s="252">
        <f t="shared" si="41"/>
        <v>0</v>
      </c>
      <c r="AR170" s="2560"/>
      <c r="AS170" s="252">
        <f t="shared" si="42"/>
        <v>0</v>
      </c>
      <c r="AT170" s="252">
        <f t="shared" si="43"/>
        <v>0</v>
      </c>
      <c r="AU170" s="252">
        <f t="shared" si="44"/>
        <v>0</v>
      </c>
      <c r="AV170" s="252">
        <f t="shared" si="45"/>
        <v>0</v>
      </c>
      <c r="AW170" s="252">
        <f t="shared" si="46"/>
        <v>0</v>
      </c>
      <c r="AX170" s="252">
        <f t="shared" si="47"/>
        <v>0</v>
      </c>
      <c r="AY170" s="252">
        <f t="shared" si="48"/>
        <v>0</v>
      </c>
      <c r="AZ170" s="2560"/>
      <c r="BA170" s="2560"/>
      <c r="BB170" s="252">
        <f t="shared" si="49"/>
        <v>0</v>
      </c>
      <c r="BC170" s="252">
        <f t="shared" si="50"/>
        <v>0</v>
      </c>
      <c r="BD170" s="252">
        <f t="shared" si="51"/>
        <v>0</v>
      </c>
      <c r="BE170" s="252">
        <f t="shared" si="52"/>
        <v>0</v>
      </c>
      <c r="BF170" s="2589"/>
      <c r="BG170" s="1247"/>
      <c r="BH170" s="1247"/>
      <c r="BI170" s="1247"/>
      <c r="BJ170" s="1247"/>
      <c r="BK170" s="1247"/>
      <c r="BL170" s="1247"/>
    </row>
    <row r="171" spans="2:64" ht="15.75" customHeight="1">
      <c r="B171" s="96" t="s">
        <v>12254</v>
      </c>
      <c r="C171" s="97" t="s">
        <v>137</v>
      </c>
      <c r="D171" s="97">
        <v>3</v>
      </c>
      <c r="E171" s="1510"/>
      <c r="F171" s="1510"/>
      <c r="G171" s="1510"/>
      <c r="H171" s="1510"/>
      <c r="I171" s="1510"/>
      <c r="J171" s="1510"/>
      <c r="K171" s="2043"/>
      <c r="L171" s="1977"/>
      <c r="M171" s="2045"/>
      <c r="N171" s="1510"/>
      <c r="O171" s="1510"/>
      <c r="P171" s="1510"/>
      <c r="Q171" s="1510"/>
      <c r="R171" s="1510"/>
      <c r="S171" s="2043"/>
      <c r="T171" s="1974"/>
      <c r="U171" s="1976" t="s">
        <v>12094</v>
      </c>
      <c r="V171" s="1510"/>
      <c r="W171" s="1510"/>
      <c r="X171" s="1510"/>
      <c r="Y171" s="2198"/>
      <c r="Z171" s="2329"/>
      <c r="AA171" s="2329"/>
      <c r="AB171" s="2329"/>
      <c r="AC171" s="2329"/>
      <c r="AD171" s="2330"/>
      <c r="AE171" s="88"/>
      <c r="AF171" s="98" t="s">
        <v>12255</v>
      </c>
      <c r="AG171" s="2560"/>
      <c r="AH171" s="2589"/>
      <c r="AI171" s="1121"/>
      <c r="AJ171" s="2589"/>
      <c r="AK171" s="252">
        <f t="shared" si="53"/>
        <v>0</v>
      </c>
      <c r="AL171" s="252">
        <f t="shared" si="36"/>
        <v>0</v>
      </c>
      <c r="AM171" s="252">
        <f t="shared" si="37"/>
        <v>0</v>
      </c>
      <c r="AN171" s="252">
        <f t="shared" si="38"/>
        <v>0</v>
      </c>
      <c r="AO171" s="252">
        <f t="shared" si="39"/>
        <v>0</v>
      </c>
      <c r="AP171" s="252">
        <f t="shared" si="40"/>
        <v>0</v>
      </c>
      <c r="AQ171" s="252">
        <f t="shared" si="41"/>
        <v>0</v>
      </c>
      <c r="AR171" s="2560"/>
      <c r="AS171" s="252">
        <f t="shared" si="42"/>
        <v>0</v>
      </c>
      <c r="AT171" s="252">
        <f t="shared" si="43"/>
        <v>0</v>
      </c>
      <c r="AU171" s="252">
        <f t="shared" si="44"/>
        <v>0</v>
      </c>
      <c r="AV171" s="252">
        <f t="shared" si="45"/>
        <v>0</v>
      </c>
      <c r="AW171" s="252">
        <f t="shared" si="46"/>
        <v>0</v>
      </c>
      <c r="AX171" s="252">
        <f t="shared" si="47"/>
        <v>0</v>
      </c>
      <c r="AY171" s="252">
        <f t="shared" si="48"/>
        <v>0</v>
      </c>
      <c r="AZ171" s="2560"/>
      <c r="BA171" s="2560"/>
      <c r="BB171" s="252">
        <f t="shared" si="49"/>
        <v>0</v>
      </c>
      <c r="BC171" s="252">
        <f t="shared" si="50"/>
        <v>0</v>
      </c>
      <c r="BD171" s="252">
        <f t="shared" si="51"/>
        <v>0</v>
      </c>
      <c r="BE171" s="252">
        <f t="shared" si="52"/>
        <v>0</v>
      </c>
      <c r="BF171" s="2589"/>
      <c r="BG171" s="1247"/>
      <c r="BH171" s="1247"/>
      <c r="BI171" s="1247"/>
      <c r="BJ171" s="1247"/>
      <c r="BK171" s="1247"/>
      <c r="BL171" s="1247"/>
    </row>
    <row r="172" spans="2:64" ht="15.75" customHeight="1">
      <c r="B172" s="96" t="s">
        <v>12256</v>
      </c>
      <c r="C172" s="97" t="s">
        <v>137</v>
      </c>
      <c r="D172" s="97">
        <v>3</v>
      </c>
      <c r="E172" s="1510"/>
      <c r="F172" s="1510"/>
      <c r="G172" s="1510"/>
      <c r="H172" s="1510"/>
      <c r="I172" s="1510"/>
      <c r="J172" s="1510"/>
      <c r="K172" s="2043"/>
      <c r="L172" s="1977"/>
      <c r="M172" s="2045"/>
      <c r="N172" s="1510"/>
      <c r="O172" s="1510"/>
      <c r="P172" s="1510"/>
      <c r="Q172" s="1510"/>
      <c r="R172" s="1510"/>
      <c r="S172" s="2043"/>
      <c r="T172" s="1974"/>
      <c r="U172" s="1976" t="s">
        <v>12094</v>
      </c>
      <c r="V172" s="1510"/>
      <c r="W172" s="1510"/>
      <c r="X172" s="1510"/>
      <c r="Y172" s="2198"/>
      <c r="Z172" s="2329"/>
      <c r="AA172" s="2329"/>
      <c r="AB172" s="2329"/>
      <c r="AC172" s="2329"/>
      <c r="AD172" s="2330"/>
      <c r="AE172" s="88"/>
      <c r="AF172" s="98" t="s">
        <v>12257</v>
      </c>
      <c r="AG172" s="2560"/>
      <c r="AH172" s="2589"/>
      <c r="AI172" s="1121"/>
      <c r="AJ172" s="2589"/>
      <c r="AK172" s="252">
        <f t="shared" si="53"/>
        <v>0</v>
      </c>
      <c r="AL172" s="252">
        <f t="shared" si="36"/>
        <v>0</v>
      </c>
      <c r="AM172" s="252">
        <f t="shared" si="37"/>
        <v>0</v>
      </c>
      <c r="AN172" s="252">
        <f t="shared" si="38"/>
        <v>0</v>
      </c>
      <c r="AO172" s="252">
        <f t="shared" si="39"/>
        <v>0</v>
      </c>
      <c r="AP172" s="252">
        <f t="shared" si="40"/>
        <v>0</v>
      </c>
      <c r="AQ172" s="252">
        <f t="shared" si="41"/>
        <v>0</v>
      </c>
      <c r="AR172" s="2560"/>
      <c r="AS172" s="252">
        <f t="shared" si="42"/>
        <v>0</v>
      </c>
      <c r="AT172" s="252">
        <f t="shared" si="43"/>
        <v>0</v>
      </c>
      <c r="AU172" s="252">
        <f t="shared" si="44"/>
        <v>0</v>
      </c>
      <c r="AV172" s="252">
        <f t="shared" si="45"/>
        <v>0</v>
      </c>
      <c r="AW172" s="252">
        <f t="shared" si="46"/>
        <v>0</v>
      </c>
      <c r="AX172" s="252">
        <f t="shared" si="47"/>
        <v>0</v>
      </c>
      <c r="AY172" s="252">
        <f t="shared" si="48"/>
        <v>0</v>
      </c>
      <c r="AZ172" s="2560"/>
      <c r="BA172" s="2560"/>
      <c r="BB172" s="252">
        <f t="shared" si="49"/>
        <v>0</v>
      </c>
      <c r="BC172" s="252">
        <f t="shared" si="50"/>
        <v>0</v>
      </c>
      <c r="BD172" s="252">
        <f t="shared" si="51"/>
        <v>0</v>
      </c>
      <c r="BE172" s="252">
        <f t="shared" si="52"/>
        <v>0</v>
      </c>
      <c r="BF172" s="2589"/>
      <c r="BG172" s="1247"/>
      <c r="BH172" s="1247"/>
      <c r="BI172" s="1247"/>
      <c r="BJ172" s="1247"/>
      <c r="BK172" s="1247"/>
      <c r="BL172" s="1247"/>
    </row>
    <row r="173" spans="2:64" ht="15.75" customHeight="1">
      <c r="B173" s="96" t="s">
        <v>12258</v>
      </c>
      <c r="C173" s="97" t="s">
        <v>137</v>
      </c>
      <c r="D173" s="97">
        <v>3</v>
      </c>
      <c r="E173" s="1510"/>
      <c r="F173" s="1510"/>
      <c r="G173" s="1510"/>
      <c r="H173" s="1510"/>
      <c r="I173" s="1510"/>
      <c r="J173" s="1510"/>
      <c r="K173" s="2043"/>
      <c r="L173" s="1977"/>
      <c r="M173" s="2045"/>
      <c r="N173" s="1510"/>
      <c r="O173" s="1510"/>
      <c r="P173" s="1510"/>
      <c r="Q173" s="1510"/>
      <c r="R173" s="1510"/>
      <c r="S173" s="2043"/>
      <c r="T173" s="1974"/>
      <c r="U173" s="1976" t="s">
        <v>12094</v>
      </c>
      <c r="V173" s="1510"/>
      <c r="W173" s="1510"/>
      <c r="X173" s="1510"/>
      <c r="Y173" s="2198"/>
      <c r="Z173" s="2329"/>
      <c r="AA173" s="2329"/>
      <c r="AB173" s="2329"/>
      <c r="AC173" s="2329"/>
      <c r="AD173" s="2330"/>
      <c r="AE173" s="88"/>
      <c r="AF173" s="98" t="s">
        <v>12259</v>
      </c>
      <c r="AG173" s="2560"/>
      <c r="AH173" s="2589"/>
      <c r="AI173" s="1121"/>
      <c r="AJ173" s="2589"/>
      <c r="AK173" s="252">
        <f t="shared" si="53"/>
        <v>0</v>
      </c>
      <c r="AL173" s="252">
        <f t="shared" si="36"/>
        <v>0</v>
      </c>
      <c r="AM173" s="252">
        <f t="shared" si="37"/>
        <v>0</v>
      </c>
      <c r="AN173" s="252">
        <f t="shared" si="38"/>
        <v>0</v>
      </c>
      <c r="AO173" s="252">
        <f t="shared" si="39"/>
        <v>0</v>
      </c>
      <c r="AP173" s="252">
        <f t="shared" si="40"/>
        <v>0</v>
      </c>
      <c r="AQ173" s="252">
        <f t="shared" si="41"/>
        <v>0</v>
      </c>
      <c r="AR173" s="2560"/>
      <c r="AS173" s="252">
        <f t="shared" si="42"/>
        <v>0</v>
      </c>
      <c r="AT173" s="252">
        <f t="shared" si="43"/>
        <v>0</v>
      </c>
      <c r="AU173" s="252">
        <f t="shared" si="44"/>
        <v>0</v>
      </c>
      <c r="AV173" s="252">
        <f t="shared" si="45"/>
        <v>0</v>
      </c>
      <c r="AW173" s="252">
        <f t="shared" si="46"/>
        <v>0</v>
      </c>
      <c r="AX173" s="252">
        <f t="shared" si="47"/>
        <v>0</v>
      </c>
      <c r="AY173" s="252">
        <f t="shared" si="48"/>
        <v>0</v>
      </c>
      <c r="AZ173" s="2560"/>
      <c r="BA173" s="2560"/>
      <c r="BB173" s="252">
        <f t="shared" si="49"/>
        <v>0</v>
      </c>
      <c r="BC173" s="252">
        <f t="shared" si="50"/>
        <v>0</v>
      </c>
      <c r="BD173" s="252">
        <f t="shared" si="51"/>
        <v>0</v>
      </c>
      <c r="BE173" s="252">
        <f t="shared" si="52"/>
        <v>0</v>
      </c>
      <c r="BF173" s="2589"/>
      <c r="BG173" s="1247"/>
      <c r="BH173" s="1247"/>
      <c r="BI173" s="1247"/>
      <c r="BJ173" s="1247"/>
      <c r="BK173" s="1247"/>
      <c r="BL173" s="1247"/>
    </row>
    <row r="174" spans="2:64" ht="15.75" customHeight="1">
      <c r="B174" s="96" t="s">
        <v>12260</v>
      </c>
      <c r="C174" s="97" t="s">
        <v>137</v>
      </c>
      <c r="D174" s="97">
        <v>3</v>
      </c>
      <c r="E174" s="1510"/>
      <c r="F174" s="1510"/>
      <c r="G174" s="1510"/>
      <c r="H174" s="1510"/>
      <c r="I174" s="1510"/>
      <c r="J174" s="1510"/>
      <c r="K174" s="2043"/>
      <c r="L174" s="1977"/>
      <c r="M174" s="2045"/>
      <c r="N174" s="1510"/>
      <c r="O174" s="1510"/>
      <c r="P174" s="1510"/>
      <c r="Q174" s="1510"/>
      <c r="R174" s="1510"/>
      <c r="S174" s="2043"/>
      <c r="T174" s="1974"/>
      <c r="U174" s="1976" t="s">
        <v>12094</v>
      </c>
      <c r="V174" s="1510"/>
      <c r="W174" s="1510"/>
      <c r="X174" s="1510"/>
      <c r="Y174" s="2198"/>
      <c r="Z174" s="2329"/>
      <c r="AA174" s="2329"/>
      <c r="AB174" s="2329"/>
      <c r="AC174" s="2329"/>
      <c r="AD174" s="2330"/>
      <c r="AE174" s="88"/>
      <c r="AF174" s="98" t="s">
        <v>12261</v>
      </c>
      <c r="AG174" s="2560"/>
      <c r="AH174" s="2589"/>
      <c r="AI174" s="1121"/>
      <c r="AJ174" s="2589"/>
      <c r="AK174" s="252">
        <f t="shared" si="53"/>
        <v>0</v>
      </c>
      <c r="AL174" s="252">
        <f t="shared" si="36"/>
        <v>0</v>
      </c>
      <c r="AM174" s="252">
        <f t="shared" si="37"/>
        <v>0</v>
      </c>
      <c r="AN174" s="252">
        <f t="shared" si="38"/>
        <v>0</v>
      </c>
      <c r="AO174" s="252">
        <f t="shared" si="39"/>
        <v>0</v>
      </c>
      <c r="AP174" s="252">
        <f t="shared" si="40"/>
        <v>0</v>
      </c>
      <c r="AQ174" s="252">
        <f t="shared" si="41"/>
        <v>0</v>
      </c>
      <c r="AR174" s="2560"/>
      <c r="AS174" s="252">
        <f t="shared" si="42"/>
        <v>0</v>
      </c>
      <c r="AT174" s="252">
        <f t="shared" si="43"/>
        <v>0</v>
      </c>
      <c r="AU174" s="252">
        <f t="shared" si="44"/>
        <v>0</v>
      </c>
      <c r="AV174" s="252">
        <f t="shared" si="45"/>
        <v>0</v>
      </c>
      <c r="AW174" s="252">
        <f t="shared" si="46"/>
        <v>0</v>
      </c>
      <c r="AX174" s="252">
        <f t="shared" si="47"/>
        <v>0</v>
      </c>
      <c r="AY174" s="252">
        <f t="shared" si="48"/>
        <v>0</v>
      </c>
      <c r="AZ174" s="2560"/>
      <c r="BA174" s="2560"/>
      <c r="BB174" s="252">
        <f t="shared" si="49"/>
        <v>0</v>
      </c>
      <c r="BC174" s="252">
        <f t="shared" si="50"/>
        <v>0</v>
      </c>
      <c r="BD174" s="252">
        <f t="shared" si="51"/>
        <v>0</v>
      </c>
      <c r="BE174" s="252">
        <f t="shared" si="52"/>
        <v>0</v>
      </c>
      <c r="BF174" s="2589"/>
      <c r="BG174" s="1247"/>
      <c r="BH174" s="1247"/>
      <c r="BI174" s="1247"/>
      <c r="BJ174" s="1247"/>
      <c r="BK174" s="1247"/>
      <c r="BL174" s="1247"/>
    </row>
    <row r="175" spans="2:64" ht="15.75" customHeight="1">
      <c r="B175" s="96" t="s">
        <v>12262</v>
      </c>
      <c r="C175" s="97" t="s">
        <v>137</v>
      </c>
      <c r="D175" s="97">
        <v>3</v>
      </c>
      <c r="E175" s="1510"/>
      <c r="F175" s="1510"/>
      <c r="G175" s="1510"/>
      <c r="H175" s="1510"/>
      <c r="I175" s="1510"/>
      <c r="J175" s="1510"/>
      <c r="K175" s="2043"/>
      <c r="L175" s="1977"/>
      <c r="M175" s="2045"/>
      <c r="N175" s="1510"/>
      <c r="O175" s="1510"/>
      <c r="P175" s="1510"/>
      <c r="Q175" s="1510"/>
      <c r="R175" s="1510"/>
      <c r="S175" s="2043"/>
      <c r="T175" s="1974"/>
      <c r="U175" s="1976" t="s">
        <v>12094</v>
      </c>
      <c r="V175" s="1510"/>
      <c r="W175" s="1510"/>
      <c r="X175" s="1510"/>
      <c r="Y175" s="2198"/>
      <c r="Z175" s="2329"/>
      <c r="AA175" s="2329"/>
      <c r="AB175" s="2329"/>
      <c r="AC175" s="2329"/>
      <c r="AD175" s="2330"/>
      <c r="AE175" s="88"/>
      <c r="AF175" s="98" t="s">
        <v>12263</v>
      </c>
      <c r="AG175" s="2560"/>
      <c r="AH175" s="2589"/>
      <c r="AI175" s="1121"/>
      <c r="AJ175" s="2589"/>
      <c r="AK175" s="252">
        <f t="shared" si="53"/>
        <v>0</v>
      </c>
      <c r="AL175" s="252">
        <f t="shared" si="36"/>
        <v>0</v>
      </c>
      <c r="AM175" s="252">
        <f t="shared" si="37"/>
        <v>0</v>
      </c>
      <c r="AN175" s="252">
        <f t="shared" si="38"/>
        <v>0</v>
      </c>
      <c r="AO175" s="252">
        <f t="shared" si="39"/>
        <v>0</v>
      </c>
      <c r="AP175" s="252">
        <f t="shared" si="40"/>
        <v>0</v>
      </c>
      <c r="AQ175" s="252">
        <f t="shared" si="41"/>
        <v>0</v>
      </c>
      <c r="AR175" s="2560"/>
      <c r="AS175" s="252">
        <f t="shared" si="42"/>
        <v>0</v>
      </c>
      <c r="AT175" s="252">
        <f t="shared" si="43"/>
        <v>0</v>
      </c>
      <c r="AU175" s="252">
        <f t="shared" si="44"/>
        <v>0</v>
      </c>
      <c r="AV175" s="252">
        <f t="shared" si="45"/>
        <v>0</v>
      </c>
      <c r="AW175" s="252">
        <f t="shared" si="46"/>
        <v>0</v>
      </c>
      <c r="AX175" s="252">
        <f t="shared" si="47"/>
        <v>0</v>
      </c>
      <c r="AY175" s="252">
        <f t="shared" si="48"/>
        <v>0</v>
      </c>
      <c r="AZ175" s="2560"/>
      <c r="BA175" s="2560"/>
      <c r="BB175" s="252">
        <f t="shared" si="49"/>
        <v>0</v>
      </c>
      <c r="BC175" s="252">
        <f t="shared" si="50"/>
        <v>0</v>
      </c>
      <c r="BD175" s="252">
        <f t="shared" si="51"/>
        <v>0</v>
      </c>
      <c r="BE175" s="252">
        <f t="shared" si="52"/>
        <v>0</v>
      </c>
      <c r="BF175" s="2589"/>
      <c r="BG175" s="1247"/>
      <c r="BH175" s="1247"/>
      <c r="BI175" s="1247"/>
      <c r="BJ175" s="1247"/>
      <c r="BK175" s="1247"/>
      <c r="BL175" s="1247"/>
    </row>
    <row r="176" spans="2:64" ht="15.75" customHeight="1">
      <c r="B176" s="96" t="s">
        <v>12264</v>
      </c>
      <c r="C176" s="97" t="s">
        <v>137</v>
      </c>
      <c r="D176" s="97">
        <v>3</v>
      </c>
      <c r="E176" s="1510"/>
      <c r="F176" s="1510"/>
      <c r="G176" s="1510"/>
      <c r="H176" s="1510"/>
      <c r="I176" s="1510"/>
      <c r="J176" s="1510"/>
      <c r="K176" s="2043"/>
      <c r="L176" s="1977"/>
      <c r="M176" s="2045"/>
      <c r="N176" s="1510"/>
      <c r="O176" s="1510"/>
      <c r="P176" s="1510"/>
      <c r="Q176" s="1510"/>
      <c r="R176" s="1510"/>
      <c r="S176" s="2043"/>
      <c r="T176" s="1974"/>
      <c r="U176" s="1976" t="s">
        <v>12094</v>
      </c>
      <c r="V176" s="1510"/>
      <c r="W176" s="1510"/>
      <c r="X176" s="1510"/>
      <c r="Y176" s="2198"/>
      <c r="Z176" s="2329"/>
      <c r="AA176" s="2329"/>
      <c r="AB176" s="2329"/>
      <c r="AC176" s="2329"/>
      <c r="AD176" s="2330"/>
      <c r="AE176" s="88"/>
      <c r="AF176" s="98" t="s">
        <v>12265</v>
      </c>
      <c r="AG176" s="2560"/>
      <c r="AH176" s="2589"/>
      <c r="AI176" s="1121"/>
      <c r="AJ176" s="2589"/>
      <c r="AK176" s="252">
        <f t="shared" si="53"/>
        <v>0</v>
      </c>
      <c r="AL176" s="252">
        <f t="shared" si="36"/>
        <v>0</v>
      </c>
      <c r="AM176" s="252">
        <f t="shared" si="37"/>
        <v>0</v>
      </c>
      <c r="AN176" s="252">
        <f t="shared" si="38"/>
        <v>0</v>
      </c>
      <c r="AO176" s="252">
        <f t="shared" si="39"/>
        <v>0</v>
      </c>
      <c r="AP176" s="252">
        <f t="shared" si="40"/>
        <v>0</v>
      </c>
      <c r="AQ176" s="252">
        <f t="shared" si="41"/>
        <v>0</v>
      </c>
      <c r="AR176" s="2560"/>
      <c r="AS176" s="252">
        <f t="shared" si="42"/>
        <v>0</v>
      </c>
      <c r="AT176" s="252">
        <f t="shared" si="43"/>
        <v>0</v>
      </c>
      <c r="AU176" s="252">
        <f t="shared" si="44"/>
        <v>0</v>
      </c>
      <c r="AV176" s="252">
        <f t="shared" si="45"/>
        <v>0</v>
      </c>
      <c r="AW176" s="252">
        <f t="shared" si="46"/>
        <v>0</v>
      </c>
      <c r="AX176" s="252">
        <f t="shared" si="47"/>
        <v>0</v>
      </c>
      <c r="AY176" s="252">
        <f t="shared" si="48"/>
        <v>0</v>
      </c>
      <c r="AZ176" s="2560"/>
      <c r="BA176" s="2560"/>
      <c r="BB176" s="252">
        <f t="shared" si="49"/>
        <v>0</v>
      </c>
      <c r="BC176" s="252">
        <f t="shared" si="50"/>
        <v>0</v>
      </c>
      <c r="BD176" s="252">
        <f t="shared" si="51"/>
        <v>0</v>
      </c>
      <c r="BE176" s="252">
        <f t="shared" si="52"/>
        <v>0</v>
      </c>
      <c r="BF176" s="2589"/>
      <c r="BG176" s="1247"/>
      <c r="BH176" s="1247"/>
      <c r="BI176" s="1247"/>
      <c r="BJ176" s="1247"/>
      <c r="BK176" s="1247"/>
      <c r="BL176" s="1247"/>
    </row>
    <row r="177" spans="2:64" ht="15.75" customHeight="1">
      <c r="B177" s="96" t="s">
        <v>12266</v>
      </c>
      <c r="C177" s="97" t="s">
        <v>137</v>
      </c>
      <c r="D177" s="97">
        <v>3</v>
      </c>
      <c r="E177" s="1510"/>
      <c r="F177" s="1510"/>
      <c r="G177" s="1510"/>
      <c r="H177" s="1510"/>
      <c r="I177" s="1510"/>
      <c r="J177" s="1510"/>
      <c r="K177" s="2043"/>
      <c r="L177" s="1977"/>
      <c r="M177" s="2045"/>
      <c r="N177" s="1510"/>
      <c r="O177" s="1510"/>
      <c r="P177" s="1510"/>
      <c r="Q177" s="1510"/>
      <c r="R177" s="1510"/>
      <c r="S177" s="2043"/>
      <c r="T177" s="1974"/>
      <c r="U177" s="1976" t="s">
        <v>12094</v>
      </c>
      <c r="V177" s="1510"/>
      <c r="W177" s="1510"/>
      <c r="X177" s="1510"/>
      <c r="Y177" s="2198"/>
      <c r="Z177" s="2329"/>
      <c r="AA177" s="2329"/>
      <c r="AB177" s="2329"/>
      <c r="AC177" s="2329"/>
      <c r="AD177" s="2330"/>
      <c r="AE177" s="88"/>
      <c r="AF177" s="98" t="s">
        <v>12267</v>
      </c>
      <c r="AG177" s="2560"/>
      <c r="AH177" s="2589"/>
      <c r="AI177" s="1121"/>
      <c r="AJ177" s="2589"/>
      <c r="AK177" s="252">
        <f t="shared" si="53"/>
        <v>0</v>
      </c>
      <c r="AL177" s="252">
        <f t="shared" si="36"/>
        <v>0</v>
      </c>
      <c r="AM177" s="252">
        <f t="shared" si="37"/>
        <v>0</v>
      </c>
      <c r="AN177" s="252">
        <f t="shared" si="38"/>
        <v>0</v>
      </c>
      <c r="AO177" s="252">
        <f t="shared" si="39"/>
        <v>0</v>
      </c>
      <c r="AP177" s="252">
        <f t="shared" si="40"/>
        <v>0</v>
      </c>
      <c r="AQ177" s="252">
        <f t="shared" si="41"/>
        <v>0</v>
      </c>
      <c r="AR177" s="2560"/>
      <c r="AS177" s="252">
        <f t="shared" si="42"/>
        <v>0</v>
      </c>
      <c r="AT177" s="252">
        <f t="shared" si="43"/>
        <v>0</v>
      </c>
      <c r="AU177" s="252">
        <f t="shared" si="44"/>
        <v>0</v>
      </c>
      <c r="AV177" s="252">
        <f t="shared" si="45"/>
        <v>0</v>
      </c>
      <c r="AW177" s="252">
        <f t="shared" si="46"/>
        <v>0</v>
      </c>
      <c r="AX177" s="252">
        <f t="shared" si="47"/>
        <v>0</v>
      </c>
      <c r="AY177" s="252">
        <f t="shared" si="48"/>
        <v>0</v>
      </c>
      <c r="AZ177" s="2560"/>
      <c r="BA177" s="2560"/>
      <c r="BB177" s="252">
        <f t="shared" si="49"/>
        <v>0</v>
      </c>
      <c r="BC177" s="252">
        <f t="shared" si="50"/>
        <v>0</v>
      </c>
      <c r="BD177" s="252">
        <f t="shared" si="51"/>
        <v>0</v>
      </c>
      <c r="BE177" s="252">
        <f t="shared" si="52"/>
        <v>0</v>
      </c>
      <c r="BF177" s="2589"/>
      <c r="BG177" s="1247"/>
      <c r="BH177" s="1247"/>
      <c r="BI177" s="1247"/>
      <c r="BJ177" s="1247"/>
      <c r="BK177" s="1247"/>
      <c r="BL177" s="1247"/>
    </row>
    <row r="178" spans="2:64" ht="15.75" customHeight="1">
      <c r="B178" s="96" t="s">
        <v>12268</v>
      </c>
      <c r="C178" s="97" t="s">
        <v>137</v>
      </c>
      <c r="D178" s="97">
        <v>3</v>
      </c>
      <c r="E178" s="1510"/>
      <c r="F178" s="1510"/>
      <c r="G178" s="1510"/>
      <c r="H178" s="1510"/>
      <c r="I178" s="1510"/>
      <c r="J178" s="1510"/>
      <c r="K178" s="2043"/>
      <c r="L178" s="1977"/>
      <c r="M178" s="2045"/>
      <c r="N178" s="1510"/>
      <c r="O178" s="1510"/>
      <c r="P178" s="1510"/>
      <c r="Q178" s="1510"/>
      <c r="R178" s="1510"/>
      <c r="S178" s="2043"/>
      <c r="T178" s="1974"/>
      <c r="U178" s="1976" t="s">
        <v>12094</v>
      </c>
      <c r="V178" s="1510"/>
      <c r="W178" s="1510"/>
      <c r="X178" s="1510"/>
      <c r="Y178" s="2198"/>
      <c r="Z178" s="2329"/>
      <c r="AA178" s="2329"/>
      <c r="AB178" s="2329"/>
      <c r="AC178" s="2329"/>
      <c r="AD178" s="2330"/>
      <c r="AE178" s="88"/>
      <c r="AF178" s="98" t="s">
        <v>12269</v>
      </c>
      <c r="AG178" s="2560"/>
      <c r="AH178" s="2589"/>
      <c r="AI178" s="1121"/>
      <c r="AJ178" s="2589"/>
      <c r="AK178" s="252">
        <f t="shared" si="53"/>
        <v>0</v>
      </c>
      <c r="AL178" s="252">
        <f t="shared" si="36"/>
        <v>0</v>
      </c>
      <c r="AM178" s="252">
        <f t="shared" si="37"/>
        <v>0</v>
      </c>
      <c r="AN178" s="252">
        <f t="shared" si="38"/>
        <v>0</v>
      </c>
      <c r="AO178" s="252">
        <f t="shared" si="39"/>
        <v>0</v>
      </c>
      <c r="AP178" s="252">
        <f t="shared" si="40"/>
        <v>0</v>
      </c>
      <c r="AQ178" s="252">
        <f t="shared" si="41"/>
        <v>0</v>
      </c>
      <c r="AR178" s="2560"/>
      <c r="AS178" s="252">
        <f t="shared" si="42"/>
        <v>0</v>
      </c>
      <c r="AT178" s="252">
        <f t="shared" si="43"/>
        <v>0</v>
      </c>
      <c r="AU178" s="252">
        <f t="shared" si="44"/>
        <v>0</v>
      </c>
      <c r="AV178" s="252">
        <f t="shared" si="45"/>
        <v>0</v>
      </c>
      <c r="AW178" s="252">
        <f t="shared" si="46"/>
        <v>0</v>
      </c>
      <c r="AX178" s="252">
        <f t="shared" si="47"/>
        <v>0</v>
      </c>
      <c r="AY178" s="252">
        <f t="shared" si="48"/>
        <v>0</v>
      </c>
      <c r="AZ178" s="2560"/>
      <c r="BA178" s="2560"/>
      <c r="BB178" s="252">
        <f t="shared" si="49"/>
        <v>0</v>
      </c>
      <c r="BC178" s="252">
        <f t="shared" si="50"/>
        <v>0</v>
      </c>
      <c r="BD178" s="252">
        <f t="shared" si="51"/>
        <v>0</v>
      </c>
      <c r="BE178" s="252">
        <f t="shared" si="52"/>
        <v>0</v>
      </c>
      <c r="BF178" s="2589"/>
      <c r="BG178" s="1247"/>
      <c r="BH178" s="1247"/>
      <c r="BI178" s="1247"/>
      <c r="BJ178" s="1247"/>
      <c r="BK178" s="1247"/>
      <c r="BL178" s="1247"/>
    </row>
    <row r="179" spans="2:64" ht="15.75" customHeight="1">
      <c r="B179" s="96" t="s">
        <v>12270</v>
      </c>
      <c r="C179" s="97" t="s">
        <v>137</v>
      </c>
      <c r="D179" s="97">
        <v>3</v>
      </c>
      <c r="E179" s="1510"/>
      <c r="F179" s="1510"/>
      <c r="G179" s="1510"/>
      <c r="H179" s="1510"/>
      <c r="I179" s="1510"/>
      <c r="J179" s="1510"/>
      <c r="K179" s="2043"/>
      <c r="L179" s="1977"/>
      <c r="M179" s="2045"/>
      <c r="N179" s="1510"/>
      <c r="O179" s="1510"/>
      <c r="P179" s="1510"/>
      <c r="Q179" s="1510"/>
      <c r="R179" s="1510"/>
      <c r="S179" s="2043"/>
      <c r="T179" s="1974"/>
      <c r="U179" s="1976" t="s">
        <v>12094</v>
      </c>
      <c r="V179" s="1510"/>
      <c r="W179" s="1510"/>
      <c r="X179" s="1510"/>
      <c r="Y179" s="2198"/>
      <c r="Z179" s="2329"/>
      <c r="AA179" s="2329"/>
      <c r="AB179" s="2329"/>
      <c r="AC179" s="2329"/>
      <c r="AD179" s="2330"/>
      <c r="AE179" s="88"/>
      <c r="AF179" s="98" t="s">
        <v>12271</v>
      </c>
      <c r="AG179" s="2560"/>
      <c r="AH179" s="2589"/>
      <c r="AI179" s="1121"/>
      <c r="AJ179" s="2589"/>
      <c r="AK179" s="252">
        <f t="shared" si="53"/>
        <v>0</v>
      </c>
      <c r="AL179" s="252">
        <f t="shared" si="36"/>
        <v>0</v>
      </c>
      <c r="AM179" s="252">
        <f t="shared" si="37"/>
        <v>0</v>
      </c>
      <c r="AN179" s="252">
        <f t="shared" si="38"/>
        <v>0</v>
      </c>
      <c r="AO179" s="252">
        <f t="shared" si="39"/>
        <v>0</v>
      </c>
      <c r="AP179" s="252">
        <f t="shared" si="40"/>
        <v>0</v>
      </c>
      <c r="AQ179" s="252">
        <f t="shared" si="41"/>
        <v>0</v>
      </c>
      <c r="AR179" s="2560"/>
      <c r="AS179" s="252">
        <f t="shared" si="42"/>
        <v>0</v>
      </c>
      <c r="AT179" s="252">
        <f t="shared" si="43"/>
        <v>0</v>
      </c>
      <c r="AU179" s="252">
        <f t="shared" si="44"/>
        <v>0</v>
      </c>
      <c r="AV179" s="252">
        <f t="shared" si="45"/>
        <v>0</v>
      </c>
      <c r="AW179" s="252">
        <f t="shared" si="46"/>
        <v>0</v>
      </c>
      <c r="AX179" s="252">
        <f t="shared" si="47"/>
        <v>0</v>
      </c>
      <c r="AY179" s="252">
        <f t="shared" si="48"/>
        <v>0</v>
      </c>
      <c r="AZ179" s="2560"/>
      <c r="BA179" s="2560"/>
      <c r="BB179" s="252">
        <f t="shared" si="49"/>
        <v>0</v>
      </c>
      <c r="BC179" s="252">
        <f t="shared" si="50"/>
        <v>0</v>
      </c>
      <c r="BD179" s="252">
        <f t="shared" si="51"/>
        <v>0</v>
      </c>
      <c r="BE179" s="252">
        <f t="shared" si="52"/>
        <v>0</v>
      </c>
      <c r="BF179" s="2589"/>
      <c r="BG179" s="1247"/>
      <c r="BH179" s="1247"/>
      <c r="BI179" s="1247"/>
      <c r="BJ179" s="1247"/>
      <c r="BK179" s="1247"/>
      <c r="BL179" s="1247"/>
    </row>
    <row r="180" spans="2:64" ht="15.75" customHeight="1">
      <c r="B180" s="96" t="s">
        <v>12272</v>
      </c>
      <c r="C180" s="97" t="s">
        <v>137</v>
      </c>
      <c r="D180" s="97">
        <v>3</v>
      </c>
      <c r="E180" s="1510"/>
      <c r="F180" s="1510"/>
      <c r="G180" s="1510"/>
      <c r="H180" s="1510"/>
      <c r="I180" s="1510"/>
      <c r="J180" s="1510"/>
      <c r="K180" s="2043"/>
      <c r="L180" s="1977"/>
      <c r="M180" s="2045"/>
      <c r="N180" s="1510"/>
      <c r="O180" s="1510"/>
      <c r="P180" s="1510"/>
      <c r="Q180" s="1510"/>
      <c r="R180" s="1510"/>
      <c r="S180" s="2043"/>
      <c r="T180" s="1974"/>
      <c r="U180" s="1976" t="s">
        <v>12094</v>
      </c>
      <c r="V180" s="1510"/>
      <c r="W180" s="1510"/>
      <c r="X180" s="1510"/>
      <c r="Y180" s="2198"/>
      <c r="Z180" s="2329"/>
      <c r="AA180" s="2329"/>
      <c r="AB180" s="2329"/>
      <c r="AC180" s="2329"/>
      <c r="AD180" s="2330"/>
      <c r="AE180" s="88"/>
      <c r="AF180" s="98" t="s">
        <v>12273</v>
      </c>
      <c r="AG180" s="2560"/>
      <c r="AH180" s="2589"/>
      <c r="AI180" s="1121"/>
      <c r="AJ180" s="2589"/>
      <c r="AK180" s="252">
        <f t="shared" si="53"/>
        <v>0</v>
      </c>
      <c r="AL180" s="252">
        <f t="shared" si="36"/>
        <v>0</v>
      </c>
      <c r="AM180" s="252">
        <f t="shared" si="37"/>
        <v>0</v>
      </c>
      <c r="AN180" s="252">
        <f t="shared" si="38"/>
        <v>0</v>
      </c>
      <c r="AO180" s="252">
        <f t="shared" si="39"/>
        <v>0</v>
      </c>
      <c r="AP180" s="252">
        <f t="shared" si="40"/>
        <v>0</v>
      </c>
      <c r="AQ180" s="252">
        <f t="shared" si="41"/>
        <v>0</v>
      </c>
      <c r="AR180" s="2560"/>
      <c r="AS180" s="252">
        <f t="shared" si="42"/>
        <v>0</v>
      </c>
      <c r="AT180" s="252">
        <f t="shared" si="43"/>
        <v>0</v>
      </c>
      <c r="AU180" s="252">
        <f t="shared" si="44"/>
        <v>0</v>
      </c>
      <c r="AV180" s="252">
        <f t="shared" si="45"/>
        <v>0</v>
      </c>
      <c r="AW180" s="252">
        <f t="shared" si="46"/>
        <v>0</v>
      </c>
      <c r="AX180" s="252">
        <f t="shared" si="47"/>
        <v>0</v>
      </c>
      <c r="AY180" s="252">
        <f t="shared" si="48"/>
        <v>0</v>
      </c>
      <c r="AZ180" s="2560"/>
      <c r="BA180" s="2560"/>
      <c r="BB180" s="252">
        <f t="shared" si="49"/>
        <v>0</v>
      </c>
      <c r="BC180" s="252">
        <f t="shared" si="50"/>
        <v>0</v>
      </c>
      <c r="BD180" s="252">
        <f t="shared" si="51"/>
        <v>0</v>
      </c>
      <c r="BE180" s="252">
        <f t="shared" si="52"/>
        <v>0</v>
      </c>
      <c r="BF180" s="2589"/>
      <c r="BG180" s="1247"/>
      <c r="BH180" s="1247"/>
      <c r="BI180" s="1247"/>
      <c r="BJ180" s="1247"/>
      <c r="BK180" s="1247"/>
      <c r="BL180" s="1247"/>
    </row>
    <row r="181" spans="2:64" ht="15.75" customHeight="1">
      <c r="B181" s="96" t="s">
        <v>12274</v>
      </c>
      <c r="C181" s="97" t="s">
        <v>137</v>
      </c>
      <c r="D181" s="97">
        <v>3</v>
      </c>
      <c r="E181" s="1510"/>
      <c r="F181" s="1510"/>
      <c r="G181" s="1510"/>
      <c r="H181" s="1510"/>
      <c r="I181" s="1510"/>
      <c r="J181" s="1510"/>
      <c r="K181" s="2043"/>
      <c r="L181" s="1977"/>
      <c r="M181" s="2045"/>
      <c r="N181" s="1510"/>
      <c r="O181" s="1510"/>
      <c r="P181" s="1510"/>
      <c r="Q181" s="1510"/>
      <c r="R181" s="1510"/>
      <c r="S181" s="2043"/>
      <c r="T181" s="1974"/>
      <c r="U181" s="1976" t="s">
        <v>12094</v>
      </c>
      <c r="V181" s="1510"/>
      <c r="W181" s="1510"/>
      <c r="X181" s="1510"/>
      <c r="Y181" s="2198"/>
      <c r="Z181" s="2329"/>
      <c r="AA181" s="2329"/>
      <c r="AB181" s="2329"/>
      <c r="AC181" s="2329"/>
      <c r="AD181" s="2330"/>
      <c r="AE181" s="88"/>
      <c r="AF181" s="98" t="s">
        <v>12275</v>
      </c>
      <c r="AG181" s="2560"/>
      <c r="AH181" s="2589"/>
      <c r="AI181" s="1121"/>
      <c r="AJ181" s="2589"/>
      <c r="AK181" s="252">
        <f t="shared" si="53"/>
        <v>0</v>
      </c>
      <c r="AL181" s="252">
        <f t="shared" si="36"/>
        <v>0</v>
      </c>
      <c r="AM181" s="252">
        <f t="shared" si="37"/>
        <v>0</v>
      </c>
      <c r="AN181" s="252">
        <f t="shared" si="38"/>
        <v>0</v>
      </c>
      <c r="AO181" s="252">
        <f t="shared" si="39"/>
        <v>0</v>
      </c>
      <c r="AP181" s="252">
        <f t="shared" si="40"/>
        <v>0</v>
      </c>
      <c r="AQ181" s="252">
        <f t="shared" si="41"/>
        <v>0</v>
      </c>
      <c r="AR181" s="2560"/>
      <c r="AS181" s="252">
        <f t="shared" si="42"/>
        <v>0</v>
      </c>
      <c r="AT181" s="252">
        <f t="shared" si="43"/>
        <v>0</v>
      </c>
      <c r="AU181" s="252">
        <f t="shared" si="44"/>
        <v>0</v>
      </c>
      <c r="AV181" s="252">
        <f t="shared" si="45"/>
        <v>0</v>
      </c>
      <c r="AW181" s="252">
        <f t="shared" si="46"/>
        <v>0</v>
      </c>
      <c r="AX181" s="252">
        <f t="shared" si="47"/>
        <v>0</v>
      </c>
      <c r="AY181" s="252">
        <f t="shared" si="48"/>
        <v>0</v>
      </c>
      <c r="AZ181" s="2560"/>
      <c r="BA181" s="2560"/>
      <c r="BB181" s="252">
        <f t="shared" si="49"/>
        <v>0</v>
      </c>
      <c r="BC181" s="252">
        <f t="shared" si="50"/>
        <v>0</v>
      </c>
      <c r="BD181" s="252">
        <f t="shared" si="51"/>
        <v>0</v>
      </c>
      <c r="BE181" s="252">
        <f t="shared" si="52"/>
        <v>0</v>
      </c>
      <c r="BF181" s="2589"/>
      <c r="BG181" s="1247"/>
      <c r="BH181" s="1247"/>
      <c r="BI181" s="1247"/>
      <c r="BJ181" s="1247"/>
      <c r="BK181" s="1247"/>
      <c r="BL181" s="1247"/>
    </row>
    <row r="182" spans="2:64" ht="15.75" customHeight="1">
      <c r="B182" s="96" t="s">
        <v>12276</v>
      </c>
      <c r="C182" s="97" t="s">
        <v>137</v>
      </c>
      <c r="D182" s="97">
        <v>3</v>
      </c>
      <c r="E182" s="1510"/>
      <c r="F182" s="1510"/>
      <c r="G182" s="1510"/>
      <c r="H182" s="1510"/>
      <c r="I182" s="1510"/>
      <c r="J182" s="1510"/>
      <c r="K182" s="2043"/>
      <c r="L182" s="1977"/>
      <c r="M182" s="2045"/>
      <c r="N182" s="1510"/>
      <c r="O182" s="1510"/>
      <c r="P182" s="1510"/>
      <c r="Q182" s="1510"/>
      <c r="R182" s="1510"/>
      <c r="S182" s="2043"/>
      <c r="T182" s="1974"/>
      <c r="U182" s="1976" t="s">
        <v>12094</v>
      </c>
      <c r="V182" s="1510"/>
      <c r="W182" s="1510"/>
      <c r="X182" s="1510"/>
      <c r="Y182" s="2198"/>
      <c r="Z182" s="2329"/>
      <c r="AA182" s="2329"/>
      <c r="AB182" s="2329"/>
      <c r="AC182" s="2329"/>
      <c r="AD182" s="2330"/>
      <c r="AE182" s="88"/>
      <c r="AF182" s="98" t="s">
        <v>12277</v>
      </c>
      <c r="AG182" s="2560"/>
      <c r="AH182" s="2589"/>
      <c r="AI182" s="1121"/>
      <c r="AJ182" s="2589"/>
      <c r="AK182" s="252">
        <f t="shared" si="53"/>
        <v>0</v>
      </c>
      <c r="AL182" s="252">
        <f t="shared" si="36"/>
        <v>0</v>
      </c>
      <c r="AM182" s="252">
        <f t="shared" si="37"/>
        <v>0</v>
      </c>
      <c r="AN182" s="252">
        <f t="shared" si="38"/>
        <v>0</v>
      </c>
      <c r="AO182" s="252">
        <f t="shared" si="39"/>
        <v>0</v>
      </c>
      <c r="AP182" s="252">
        <f t="shared" si="40"/>
        <v>0</v>
      </c>
      <c r="AQ182" s="252">
        <f t="shared" si="41"/>
        <v>0</v>
      </c>
      <c r="AR182" s="2560"/>
      <c r="AS182" s="252">
        <f t="shared" si="42"/>
        <v>0</v>
      </c>
      <c r="AT182" s="252">
        <f t="shared" si="43"/>
        <v>0</v>
      </c>
      <c r="AU182" s="252">
        <f t="shared" si="44"/>
        <v>0</v>
      </c>
      <c r="AV182" s="252">
        <f t="shared" si="45"/>
        <v>0</v>
      </c>
      <c r="AW182" s="252">
        <f t="shared" si="46"/>
        <v>0</v>
      </c>
      <c r="AX182" s="252">
        <f t="shared" si="47"/>
        <v>0</v>
      </c>
      <c r="AY182" s="252">
        <f t="shared" si="48"/>
        <v>0</v>
      </c>
      <c r="AZ182" s="2560"/>
      <c r="BA182" s="2560"/>
      <c r="BB182" s="252">
        <f t="shared" si="49"/>
        <v>0</v>
      </c>
      <c r="BC182" s="252">
        <f t="shared" si="50"/>
        <v>0</v>
      </c>
      <c r="BD182" s="252">
        <f t="shared" si="51"/>
        <v>0</v>
      </c>
      <c r="BE182" s="252">
        <f t="shared" si="52"/>
        <v>0</v>
      </c>
      <c r="BF182" s="2589"/>
      <c r="BG182" s="1247"/>
      <c r="BH182" s="1247"/>
      <c r="BI182" s="1247"/>
      <c r="BJ182" s="1247"/>
      <c r="BK182" s="1247"/>
      <c r="BL182" s="1247"/>
    </row>
    <row r="183" spans="2:64" ht="15.75" customHeight="1">
      <c r="B183" s="96" t="s">
        <v>12278</v>
      </c>
      <c r="C183" s="97" t="s">
        <v>137</v>
      </c>
      <c r="D183" s="97">
        <v>3</v>
      </c>
      <c r="E183" s="1510"/>
      <c r="F183" s="1510"/>
      <c r="G183" s="1510"/>
      <c r="H183" s="1510"/>
      <c r="I183" s="1510"/>
      <c r="J183" s="1510"/>
      <c r="K183" s="2043"/>
      <c r="L183" s="1977"/>
      <c r="M183" s="2045"/>
      <c r="N183" s="1510"/>
      <c r="O183" s="1510"/>
      <c r="P183" s="1510"/>
      <c r="Q183" s="1510"/>
      <c r="R183" s="1510"/>
      <c r="S183" s="2043"/>
      <c r="T183" s="1974"/>
      <c r="U183" s="1976" t="s">
        <v>12094</v>
      </c>
      <c r="V183" s="1510"/>
      <c r="W183" s="1510"/>
      <c r="X183" s="1510"/>
      <c r="Y183" s="2198"/>
      <c r="Z183" s="2329"/>
      <c r="AA183" s="2329"/>
      <c r="AB183" s="2329"/>
      <c r="AC183" s="2329"/>
      <c r="AD183" s="2330"/>
      <c r="AE183" s="88"/>
      <c r="AF183" s="98" t="s">
        <v>12279</v>
      </c>
      <c r="AG183" s="2560"/>
      <c r="AH183" s="2589"/>
      <c r="AI183" s="1121"/>
      <c r="AJ183" s="2589"/>
      <c r="AK183" s="252">
        <f t="shared" si="53"/>
        <v>0</v>
      </c>
      <c r="AL183" s="252">
        <f t="shared" si="36"/>
        <v>0</v>
      </c>
      <c r="AM183" s="252">
        <f t="shared" si="37"/>
        <v>0</v>
      </c>
      <c r="AN183" s="252">
        <f t="shared" si="38"/>
        <v>0</v>
      </c>
      <c r="AO183" s="252">
        <f t="shared" si="39"/>
        <v>0</v>
      </c>
      <c r="AP183" s="252">
        <f t="shared" si="40"/>
        <v>0</v>
      </c>
      <c r="AQ183" s="252">
        <f t="shared" si="41"/>
        <v>0</v>
      </c>
      <c r="AR183" s="2560"/>
      <c r="AS183" s="252">
        <f t="shared" si="42"/>
        <v>0</v>
      </c>
      <c r="AT183" s="252">
        <f t="shared" si="43"/>
        <v>0</v>
      </c>
      <c r="AU183" s="252">
        <f t="shared" si="44"/>
        <v>0</v>
      </c>
      <c r="AV183" s="252">
        <f t="shared" si="45"/>
        <v>0</v>
      </c>
      <c r="AW183" s="252">
        <f t="shared" si="46"/>
        <v>0</v>
      </c>
      <c r="AX183" s="252">
        <f t="shared" si="47"/>
        <v>0</v>
      </c>
      <c r="AY183" s="252">
        <f t="shared" si="48"/>
        <v>0</v>
      </c>
      <c r="AZ183" s="2560"/>
      <c r="BA183" s="2560"/>
      <c r="BB183" s="252">
        <f t="shared" si="49"/>
        <v>0</v>
      </c>
      <c r="BC183" s="252">
        <f t="shared" si="50"/>
        <v>0</v>
      </c>
      <c r="BD183" s="252">
        <f t="shared" si="51"/>
        <v>0</v>
      </c>
      <c r="BE183" s="252">
        <f t="shared" si="52"/>
        <v>0</v>
      </c>
      <c r="BF183" s="2589"/>
      <c r="BG183" s="1247"/>
      <c r="BH183" s="1247"/>
      <c r="BI183" s="1247"/>
      <c r="BJ183" s="1247"/>
      <c r="BK183" s="1247"/>
      <c r="BL183" s="1247"/>
    </row>
    <row r="184" spans="2:64" ht="15.75" customHeight="1">
      <c r="B184" s="96" t="s">
        <v>12280</v>
      </c>
      <c r="C184" s="97" t="s">
        <v>137</v>
      </c>
      <c r="D184" s="97">
        <v>3</v>
      </c>
      <c r="E184" s="1510"/>
      <c r="F184" s="1510"/>
      <c r="G184" s="1510"/>
      <c r="H184" s="1510"/>
      <c r="I184" s="1510"/>
      <c r="J184" s="1510"/>
      <c r="K184" s="2043"/>
      <c r="L184" s="1977"/>
      <c r="M184" s="2045"/>
      <c r="N184" s="1510"/>
      <c r="O184" s="1510"/>
      <c r="P184" s="1510"/>
      <c r="Q184" s="1510"/>
      <c r="R184" s="1510"/>
      <c r="S184" s="2043"/>
      <c r="T184" s="1974"/>
      <c r="U184" s="1976" t="s">
        <v>12094</v>
      </c>
      <c r="V184" s="1510"/>
      <c r="W184" s="1510"/>
      <c r="X184" s="1510"/>
      <c r="Y184" s="2198"/>
      <c r="Z184" s="2329"/>
      <c r="AA184" s="2329"/>
      <c r="AB184" s="2329"/>
      <c r="AC184" s="2329"/>
      <c r="AD184" s="2330"/>
      <c r="AE184" s="88"/>
      <c r="AF184" s="98" t="s">
        <v>12281</v>
      </c>
      <c r="AG184" s="2560"/>
      <c r="AH184" s="2589"/>
      <c r="AI184" s="1121"/>
      <c r="AJ184" s="2589"/>
      <c r="AK184" s="252">
        <f t="shared" si="53"/>
        <v>0</v>
      </c>
      <c r="AL184" s="252">
        <f t="shared" si="36"/>
        <v>0</v>
      </c>
      <c r="AM184" s="252">
        <f t="shared" si="37"/>
        <v>0</v>
      </c>
      <c r="AN184" s="252">
        <f t="shared" si="38"/>
        <v>0</v>
      </c>
      <c r="AO184" s="252">
        <f t="shared" si="39"/>
        <v>0</v>
      </c>
      <c r="AP184" s="252">
        <f t="shared" si="40"/>
        <v>0</v>
      </c>
      <c r="AQ184" s="252">
        <f t="shared" si="41"/>
        <v>0</v>
      </c>
      <c r="AR184" s="2560"/>
      <c r="AS184" s="252">
        <f t="shared" si="42"/>
        <v>0</v>
      </c>
      <c r="AT184" s="252">
        <f t="shared" si="43"/>
        <v>0</v>
      </c>
      <c r="AU184" s="252">
        <f t="shared" si="44"/>
        <v>0</v>
      </c>
      <c r="AV184" s="252">
        <f t="shared" si="45"/>
        <v>0</v>
      </c>
      <c r="AW184" s="252">
        <f t="shared" si="46"/>
        <v>0</v>
      </c>
      <c r="AX184" s="252">
        <f t="shared" si="47"/>
        <v>0</v>
      </c>
      <c r="AY184" s="252">
        <f t="shared" si="48"/>
        <v>0</v>
      </c>
      <c r="AZ184" s="2560"/>
      <c r="BA184" s="2560"/>
      <c r="BB184" s="252">
        <f t="shared" si="49"/>
        <v>0</v>
      </c>
      <c r="BC184" s="252">
        <f t="shared" si="50"/>
        <v>0</v>
      </c>
      <c r="BD184" s="252">
        <f t="shared" si="51"/>
        <v>0</v>
      </c>
      <c r="BE184" s="252">
        <f t="shared" si="52"/>
        <v>0</v>
      </c>
      <c r="BF184" s="2589"/>
      <c r="BG184" s="1247"/>
      <c r="BH184" s="1247"/>
      <c r="BI184" s="1247"/>
      <c r="BJ184" s="1247"/>
      <c r="BK184" s="1247"/>
      <c r="BL184" s="1247"/>
    </row>
    <row r="185" spans="2:64" ht="15.75" customHeight="1">
      <c r="B185" s="96" t="s">
        <v>12282</v>
      </c>
      <c r="C185" s="97" t="s">
        <v>137</v>
      </c>
      <c r="D185" s="97">
        <v>3</v>
      </c>
      <c r="E185" s="1510"/>
      <c r="F185" s="1510"/>
      <c r="G185" s="1510"/>
      <c r="H185" s="1510"/>
      <c r="I185" s="1510"/>
      <c r="J185" s="1510"/>
      <c r="K185" s="2043"/>
      <c r="L185" s="1977"/>
      <c r="M185" s="2045"/>
      <c r="N185" s="1510"/>
      <c r="O185" s="1510"/>
      <c r="P185" s="1510"/>
      <c r="Q185" s="1510"/>
      <c r="R185" s="1510"/>
      <c r="S185" s="2043"/>
      <c r="T185" s="1974"/>
      <c r="U185" s="1976" t="s">
        <v>12094</v>
      </c>
      <c r="V185" s="1510"/>
      <c r="W185" s="1510"/>
      <c r="X185" s="1510"/>
      <c r="Y185" s="2198"/>
      <c r="Z185" s="2329"/>
      <c r="AA185" s="2329"/>
      <c r="AB185" s="2329"/>
      <c r="AC185" s="2329"/>
      <c r="AD185" s="2330"/>
      <c r="AE185" s="88"/>
      <c r="AF185" s="98" t="s">
        <v>12283</v>
      </c>
      <c r="AG185" s="2560"/>
      <c r="AH185" s="2589"/>
      <c r="AI185" s="1121"/>
      <c r="AJ185" s="2589"/>
      <c r="AK185" s="252">
        <f t="shared" si="53"/>
        <v>0</v>
      </c>
      <c r="AL185" s="252">
        <f t="shared" si="36"/>
        <v>0</v>
      </c>
      <c r="AM185" s="252">
        <f t="shared" si="37"/>
        <v>0</v>
      </c>
      <c r="AN185" s="252">
        <f t="shared" si="38"/>
        <v>0</v>
      </c>
      <c r="AO185" s="252">
        <f t="shared" si="39"/>
        <v>0</v>
      </c>
      <c r="AP185" s="252">
        <f t="shared" si="40"/>
        <v>0</v>
      </c>
      <c r="AQ185" s="252">
        <f t="shared" si="41"/>
        <v>0</v>
      </c>
      <c r="AR185" s="2560"/>
      <c r="AS185" s="252">
        <f t="shared" si="42"/>
        <v>0</v>
      </c>
      <c r="AT185" s="252">
        <f t="shared" si="43"/>
        <v>0</v>
      </c>
      <c r="AU185" s="252">
        <f t="shared" si="44"/>
        <v>0</v>
      </c>
      <c r="AV185" s="252">
        <f t="shared" si="45"/>
        <v>0</v>
      </c>
      <c r="AW185" s="252">
        <f t="shared" si="46"/>
        <v>0</v>
      </c>
      <c r="AX185" s="252">
        <f t="shared" si="47"/>
        <v>0</v>
      </c>
      <c r="AY185" s="252">
        <f t="shared" si="48"/>
        <v>0</v>
      </c>
      <c r="AZ185" s="2560"/>
      <c r="BA185" s="2560"/>
      <c r="BB185" s="252">
        <f t="shared" si="49"/>
        <v>0</v>
      </c>
      <c r="BC185" s="252">
        <f t="shared" si="50"/>
        <v>0</v>
      </c>
      <c r="BD185" s="252">
        <f t="shared" si="51"/>
        <v>0</v>
      </c>
      <c r="BE185" s="252">
        <f t="shared" si="52"/>
        <v>0</v>
      </c>
      <c r="BF185" s="2589"/>
      <c r="BG185" s="1247"/>
      <c r="BH185" s="1247"/>
      <c r="BI185" s="1247"/>
      <c r="BJ185" s="1247"/>
      <c r="BK185" s="1247"/>
      <c r="BL185" s="1247"/>
    </row>
    <row r="186" spans="2:64" ht="15.75" customHeight="1">
      <c r="B186" s="96" t="s">
        <v>12284</v>
      </c>
      <c r="C186" s="97" t="s">
        <v>137</v>
      </c>
      <c r="D186" s="97">
        <v>3</v>
      </c>
      <c r="E186" s="1510"/>
      <c r="F186" s="1510"/>
      <c r="G186" s="1510"/>
      <c r="H186" s="1510"/>
      <c r="I186" s="1510"/>
      <c r="J186" s="1510"/>
      <c r="K186" s="2043"/>
      <c r="L186" s="1977"/>
      <c r="M186" s="2045"/>
      <c r="N186" s="1510"/>
      <c r="O186" s="1510"/>
      <c r="P186" s="1510"/>
      <c r="Q186" s="1510"/>
      <c r="R186" s="1510"/>
      <c r="S186" s="2043"/>
      <c r="T186" s="1974"/>
      <c r="U186" s="1976" t="s">
        <v>12094</v>
      </c>
      <c r="V186" s="1510"/>
      <c r="W186" s="1510"/>
      <c r="X186" s="1510"/>
      <c r="Y186" s="2198"/>
      <c r="Z186" s="2329"/>
      <c r="AA186" s="2329"/>
      <c r="AB186" s="2329"/>
      <c r="AC186" s="2329"/>
      <c r="AD186" s="2330"/>
      <c r="AE186" s="88"/>
      <c r="AF186" s="98" t="s">
        <v>12285</v>
      </c>
      <c r="AG186" s="2560"/>
      <c r="AH186" s="2589"/>
      <c r="AI186" s="1121"/>
      <c r="AJ186" s="2589"/>
      <c r="AK186" s="252">
        <f t="shared" si="53"/>
        <v>0</v>
      </c>
      <c r="AL186" s="252">
        <f t="shared" si="36"/>
        <v>0</v>
      </c>
      <c r="AM186" s="252">
        <f t="shared" si="37"/>
        <v>0</v>
      </c>
      <c r="AN186" s="252">
        <f t="shared" si="38"/>
        <v>0</v>
      </c>
      <c r="AO186" s="252">
        <f t="shared" si="39"/>
        <v>0</v>
      </c>
      <c r="AP186" s="252">
        <f t="shared" si="40"/>
        <v>0</v>
      </c>
      <c r="AQ186" s="252">
        <f t="shared" si="41"/>
        <v>0</v>
      </c>
      <c r="AR186" s="2560"/>
      <c r="AS186" s="252">
        <f t="shared" si="42"/>
        <v>0</v>
      </c>
      <c r="AT186" s="252">
        <f t="shared" si="43"/>
        <v>0</v>
      </c>
      <c r="AU186" s="252">
        <f t="shared" si="44"/>
        <v>0</v>
      </c>
      <c r="AV186" s="252">
        <f t="shared" si="45"/>
        <v>0</v>
      </c>
      <c r="AW186" s="252">
        <f t="shared" si="46"/>
        <v>0</v>
      </c>
      <c r="AX186" s="252">
        <f t="shared" si="47"/>
        <v>0</v>
      </c>
      <c r="AY186" s="252">
        <f t="shared" si="48"/>
        <v>0</v>
      </c>
      <c r="AZ186" s="2560"/>
      <c r="BA186" s="2560"/>
      <c r="BB186" s="252">
        <f t="shared" si="49"/>
        <v>0</v>
      </c>
      <c r="BC186" s="252">
        <f t="shared" si="50"/>
        <v>0</v>
      </c>
      <c r="BD186" s="252">
        <f t="shared" si="51"/>
        <v>0</v>
      </c>
      <c r="BE186" s="252">
        <f t="shared" si="52"/>
        <v>0</v>
      </c>
      <c r="BF186" s="2589"/>
      <c r="BG186" s="1247"/>
      <c r="BH186" s="1247"/>
      <c r="BI186" s="1247"/>
      <c r="BJ186" s="1247"/>
      <c r="BK186" s="1247"/>
      <c r="BL186" s="1247"/>
    </row>
    <row r="187" spans="2:64" ht="15.75" customHeight="1">
      <c r="B187" s="96" t="s">
        <v>12286</v>
      </c>
      <c r="C187" s="97" t="s">
        <v>137</v>
      </c>
      <c r="D187" s="97">
        <v>3</v>
      </c>
      <c r="E187" s="1510"/>
      <c r="F187" s="1510"/>
      <c r="G187" s="1510"/>
      <c r="H187" s="1510"/>
      <c r="I187" s="1510"/>
      <c r="J187" s="1510"/>
      <c r="K187" s="2043"/>
      <c r="L187" s="1977"/>
      <c r="M187" s="2045"/>
      <c r="N187" s="1510"/>
      <c r="O187" s="1510"/>
      <c r="P187" s="1510"/>
      <c r="Q187" s="1510"/>
      <c r="R187" s="1510"/>
      <c r="S187" s="2043"/>
      <c r="T187" s="1974"/>
      <c r="U187" s="1976" t="s">
        <v>12094</v>
      </c>
      <c r="V187" s="1510"/>
      <c r="W187" s="1510"/>
      <c r="X187" s="1510"/>
      <c r="Y187" s="2198"/>
      <c r="Z187" s="2329"/>
      <c r="AA187" s="2329"/>
      <c r="AB187" s="2329"/>
      <c r="AC187" s="2329"/>
      <c r="AD187" s="2330"/>
      <c r="AE187" s="88"/>
      <c r="AF187" s="98" t="s">
        <v>12287</v>
      </c>
      <c r="AG187" s="2560"/>
      <c r="AH187" s="2589"/>
      <c r="AI187" s="1121"/>
      <c r="AJ187" s="2589"/>
      <c r="AK187" s="252">
        <f t="shared" si="53"/>
        <v>0</v>
      </c>
      <c r="AL187" s="252">
        <f t="shared" si="36"/>
        <v>0</v>
      </c>
      <c r="AM187" s="252">
        <f t="shared" si="37"/>
        <v>0</v>
      </c>
      <c r="AN187" s="252">
        <f t="shared" si="38"/>
        <v>0</v>
      </c>
      <c r="AO187" s="252">
        <f t="shared" si="39"/>
        <v>0</v>
      </c>
      <c r="AP187" s="252">
        <f t="shared" si="40"/>
        <v>0</v>
      </c>
      <c r="AQ187" s="252">
        <f t="shared" si="41"/>
        <v>0</v>
      </c>
      <c r="AR187" s="2560"/>
      <c r="AS187" s="252">
        <f t="shared" si="42"/>
        <v>0</v>
      </c>
      <c r="AT187" s="252">
        <f t="shared" si="43"/>
        <v>0</v>
      </c>
      <c r="AU187" s="252">
        <f t="shared" si="44"/>
        <v>0</v>
      </c>
      <c r="AV187" s="252">
        <f t="shared" si="45"/>
        <v>0</v>
      </c>
      <c r="AW187" s="252">
        <f t="shared" si="46"/>
        <v>0</v>
      </c>
      <c r="AX187" s="252">
        <f t="shared" si="47"/>
        <v>0</v>
      </c>
      <c r="AY187" s="252">
        <f t="shared" si="48"/>
        <v>0</v>
      </c>
      <c r="AZ187" s="2560"/>
      <c r="BA187" s="2560"/>
      <c r="BB187" s="252">
        <f t="shared" si="49"/>
        <v>0</v>
      </c>
      <c r="BC187" s="252">
        <f t="shared" si="50"/>
        <v>0</v>
      </c>
      <c r="BD187" s="252">
        <f t="shared" si="51"/>
        <v>0</v>
      </c>
      <c r="BE187" s="252">
        <f t="shared" si="52"/>
        <v>0</v>
      </c>
      <c r="BF187" s="2589"/>
      <c r="BG187" s="1247"/>
      <c r="BH187" s="1247"/>
      <c r="BI187" s="1247"/>
      <c r="BJ187" s="1247"/>
      <c r="BK187" s="1247"/>
      <c r="BL187" s="1247"/>
    </row>
    <row r="188" spans="2:64" ht="15.75" customHeight="1">
      <c r="B188" s="96" t="s">
        <v>12288</v>
      </c>
      <c r="C188" s="97" t="s">
        <v>137</v>
      </c>
      <c r="D188" s="97">
        <v>3</v>
      </c>
      <c r="E188" s="1510"/>
      <c r="F188" s="1510"/>
      <c r="G188" s="1510"/>
      <c r="H188" s="1510"/>
      <c r="I188" s="1510"/>
      <c r="J188" s="1510"/>
      <c r="K188" s="2043"/>
      <c r="L188" s="1977"/>
      <c r="M188" s="2045"/>
      <c r="N188" s="1510"/>
      <c r="O188" s="1510"/>
      <c r="P188" s="1510"/>
      <c r="Q188" s="1510"/>
      <c r="R188" s="1510"/>
      <c r="S188" s="2043"/>
      <c r="T188" s="1974"/>
      <c r="U188" s="1976" t="s">
        <v>12094</v>
      </c>
      <c r="V188" s="1510"/>
      <c r="W188" s="1510"/>
      <c r="X188" s="1510"/>
      <c r="Y188" s="2198"/>
      <c r="Z188" s="2329"/>
      <c r="AA188" s="2329"/>
      <c r="AB188" s="2329"/>
      <c r="AC188" s="2329"/>
      <c r="AD188" s="2330"/>
      <c r="AE188" s="88"/>
      <c r="AF188" s="98" t="s">
        <v>12289</v>
      </c>
      <c r="AG188" s="2560"/>
      <c r="AH188" s="2589"/>
      <c r="AI188" s="1121"/>
      <c r="AJ188" s="2589"/>
      <c r="AK188" s="252">
        <f t="shared" si="53"/>
        <v>0</v>
      </c>
      <c r="AL188" s="252">
        <f t="shared" si="36"/>
        <v>0</v>
      </c>
      <c r="AM188" s="252">
        <f t="shared" si="37"/>
        <v>0</v>
      </c>
      <c r="AN188" s="252">
        <f t="shared" si="38"/>
        <v>0</v>
      </c>
      <c r="AO188" s="252">
        <f t="shared" si="39"/>
        <v>0</v>
      </c>
      <c r="AP188" s="252">
        <f t="shared" si="40"/>
        <v>0</v>
      </c>
      <c r="AQ188" s="252">
        <f t="shared" si="41"/>
        <v>0</v>
      </c>
      <c r="AR188" s="2560"/>
      <c r="AS188" s="252">
        <f t="shared" si="42"/>
        <v>0</v>
      </c>
      <c r="AT188" s="252">
        <f t="shared" si="43"/>
        <v>0</v>
      </c>
      <c r="AU188" s="252">
        <f t="shared" si="44"/>
        <v>0</v>
      </c>
      <c r="AV188" s="252">
        <f t="shared" si="45"/>
        <v>0</v>
      </c>
      <c r="AW188" s="252">
        <f t="shared" si="46"/>
        <v>0</v>
      </c>
      <c r="AX188" s="252">
        <f t="shared" si="47"/>
        <v>0</v>
      </c>
      <c r="AY188" s="252">
        <f t="shared" si="48"/>
        <v>0</v>
      </c>
      <c r="AZ188" s="2560"/>
      <c r="BA188" s="2560"/>
      <c r="BB188" s="252">
        <f t="shared" si="49"/>
        <v>0</v>
      </c>
      <c r="BC188" s="252">
        <f t="shared" si="50"/>
        <v>0</v>
      </c>
      <c r="BD188" s="252">
        <f t="shared" si="51"/>
        <v>0</v>
      </c>
      <c r="BE188" s="252">
        <f t="shared" si="52"/>
        <v>0</v>
      </c>
      <c r="BF188" s="2589"/>
      <c r="BG188" s="1247"/>
      <c r="BH188" s="1247"/>
      <c r="BI188" s="1247"/>
      <c r="BJ188" s="1247"/>
      <c r="BK188" s="1247"/>
      <c r="BL188" s="1247"/>
    </row>
    <row r="189" spans="2:64" ht="15.75" customHeight="1">
      <c r="B189" s="96" t="s">
        <v>12290</v>
      </c>
      <c r="C189" s="97" t="s">
        <v>137</v>
      </c>
      <c r="D189" s="97">
        <v>3</v>
      </c>
      <c r="E189" s="1510"/>
      <c r="F189" s="1510"/>
      <c r="G189" s="1510"/>
      <c r="H189" s="1510"/>
      <c r="I189" s="1510"/>
      <c r="J189" s="1510"/>
      <c r="K189" s="2043"/>
      <c r="L189" s="1977"/>
      <c r="M189" s="2045"/>
      <c r="N189" s="1510"/>
      <c r="O189" s="1510"/>
      <c r="P189" s="1510"/>
      <c r="Q189" s="1510"/>
      <c r="R189" s="1510"/>
      <c r="S189" s="2043"/>
      <c r="T189" s="1974"/>
      <c r="U189" s="1976" t="s">
        <v>12094</v>
      </c>
      <c r="V189" s="1510"/>
      <c r="W189" s="1510"/>
      <c r="X189" s="1510"/>
      <c r="Y189" s="2198"/>
      <c r="Z189" s="2329"/>
      <c r="AA189" s="2329"/>
      <c r="AB189" s="2329"/>
      <c r="AC189" s="2329"/>
      <c r="AD189" s="2330"/>
      <c r="AE189" s="88"/>
      <c r="AF189" s="98" t="s">
        <v>12291</v>
      </c>
      <c r="AG189" s="2560"/>
      <c r="AH189" s="2589"/>
      <c r="AI189" s="1121"/>
      <c r="AJ189" s="2589"/>
      <c r="AK189" s="252">
        <f t="shared" si="53"/>
        <v>0</v>
      </c>
      <c r="AL189" s="252">
        <f t="shared" si="36"/>
        <v>0</v>
      </c>
      <c r="AM189" s="252">
        <f t="shared" si="37"/>
        <v>0</v>
      </c>
      <c r="AN189" s="252">
        <f t="shared" si="38"/>
        <v>0</v>
      </c>
      <c r="AO189" s="252">
        <f t="shared" si="39"/>
        <v>0</v>
      </c>
      <c r="AP189" s="252">
        <f t="shared" si="40"/>
        <v>0</v>
      </c>
      <c r="AQ189" s="252">
        <f t="shared" si="41"/>
        <v>0</v>
      </c>
      <c r="AR189" s="2560"/>
      <c r="AS189" s="252">
        <f t="shared" si="42"/>
        <v>0</v>
      </c>
      <c r="AT189" s="252">
        <f t="shared" si="43"/>
        <v>0</v>
      </c>
      <c r="AU189" s="252">
        <f t="shared" si="44"/>
        <v>0</v>
      </c>
      <c r="AV189" s="252">
        <f t="shared" si="45"/>
        <v>0</v>
      </c>
      <c r="AW189" s="252">
        <f t="shared" si="46"/>
        <v>0</v>
      </c>
      <c r="AX189" s="252">
        <f t="shared" si="47"/>
        <v>0</v>
      </c>
      <c r="AY189" s="252">
        <f t="shared" si="48"/>
        <v>0</v>
      </c>
      <c r="AZ189" s="2560"/>
      <c r="BA189" s="2560"/>
      <c r="BB189" s="252">
        <f t="shared" si="49"/>
        <v>0</v>
      </c>
      <c r="BC189" s="252">
        <f t="shared" si="50"/>
        <v>0</v>
      </c>
      <c r="BD189" s="252">
        <f t="shared" si="51"/>
        <v>0</v>
      </c>
      <c r="BE189" s="252">
        <f t="shared" si="52"/>
        <v>0</v>
      </c>
      <c r="BF189" s="2589"/>
      <c r="BG189" s="1247"/>
      <c r="BH189" s="1247"/>
      <c r="BI189" s="1247"/>
      <c r="BJ189" s="1247"/>
      <c r="BK189" s="1247"/>
      <c r="BL189" s="1247"/>
    </row>
    <row r="190" spans="2:64" ht="15.75" customHeight="1">
      <c r="B190" s="96" t="s">
        <v>12292</v>
      </c>
      <c r="C190" s="97" t="s">
        <v>137</v>
      </c>
      <c r="D190" s="97">
        <v>3</v>
      </c>
      <c r="E190" s="1510"/>
      <c r="F190" s="1510"/>
      <c r="G190" s="1510"/>
      <c r="H190" s="1510"/>
      <c r="I190" s="1510"/>
      <c r="J190" s="1510"/>
      <c r="K190" s="2043"/>
      <c r="L190" s="1977"/>
      <c r="M190" s="2045"/>
      <c r="N190" s="1510"/>
      <c r="O190" s="1510"/>
      <c r="P190" s="1510"/>
      <c r="Q190" s="1510"/>
      <c r="R190" s="1510"/>
      <c r="S190" s="2043"/>
      <c r="T190" s="1974"/>
      <c r="U190" s="1976" t="s">
        <v>12094</v>
      </c>
      <c r="V190" s="1510"/>
      <c r="W190" s="1510"/>
      <c r="X190" s="1510"/>
      <c r="Y190" s="2198"/>
      <c r="Z190" s="2329"/>
      <c r="AA190" s="2329"/>
      <c r="AB190" s="2329"/>
      <c r="AC190" s="2329"/>
      <c r="AD190" s="2330"/>
      <c r="AE190" s="88"/>
      <c r="AF190" s="98" t="s">
        <v>12293</v>
      </c>
      <c r="AG190" s="2560"/>
      <c r="AH190" s="2589"/>
      <c r="AI190" s="1121">
        <f t="shared" ref="AI190:AI201" si="54">IF( SUM( AK190:BE190 ) = 0, 0, $AK$5 )</f>
        <v>0</v>
      </c>
      <c r="AJ190" s="2589"/>
      <c r="AK190" s="252">
        <f t="shared" si="53"/>
        <v>0</v>
      </c>
      <c r="AL190" s="252">
        <f t="shared" si="36"/>
        <v>0</v>
      </c>
      <c r="AM190" s="252">
        <f t="shared" si="37"/>
        <v>0</v>
      </c>
      <c r="AN190" s="252">
        <f t="shared" si="38"/>
        <v>0</v>
      </c>
      <c r="AO190" s="252">
        <f t="shared" si="39"/>
        <v>0</v>
      </c>
      <c r="AP190" s="252">
        <f t="shared" si="40"/>
        <v>0</v>
      </c>
      <c r="AQ190" s="252">
        <f t="shared" si="41"/>
        <v>0</v>
      </c>
      <c r="AR190" s="2560"/>
      <c r="AS190" s="252">
        <f t="shared" si="42"/>
        <v>0</v>
      </c>
      <c r="AT190" s="252">
        <f t="shared" si="43"/>
        <v>0</v>
      </c>
      <c r="AU190" s="252">
        <f t="shared" si="44"/>
        <v>0</v>
      </c>
      <c r="AV190" s="252">
        <f t="shared" si="45"/>
        <v>0</v>
      </c>
      <c r="AW190" s="252">
        <f t="shared" si="46"/>
        <v>0</v>
      </c>
      <c r="AX190" s="252">
        <f t="shared" si="47"/>
        <v>0</v>
      </c>
      <c r="AY190" s="252">
        <f t="shared" si="48"/>
        <v>0</v>
      </c>
      <c r="AZ190" s="2560"/>
      <c r="BA190" s="2560"/>
      <c r="BB190" s="252">
        <f t="shared" si="49"/>
        <v>0</v>
      </c>
      <c r="BC190" s="252">
        <f t="shared" si="50"/>
        <v>0</v>
      </c>
      <c r="BD190" s="252">
        <f t="shared" si="51"/>
        <v>0</v>
      </c>
      <c r="BE190" s="252">
        <f t="shared" si="52"/>
        <v>0</v>
      </c>
      <c r="BF190" s="2589"/>
      <c r="BG190" s="1247"/>
      <c r="BH190" s="1247"/>
      <c r="BI190" s="1247"/>
      <c r="BJ190" s="1247"/>
      <c r="BK190" s="1247"/>
      <c r="BL190" s="1247"/>
    </row>
    <row r="191" spans="2:64" ht="15.75" customHeight="1">
      <c r="B191" s="96" t="s">
        <v>12294</v>
      </c>
      <c r="C191" s="97" t="s">
        <v>137</v>
      </c>
      <c r="D191" s="97">
        <v>3</v>
      </c>
      <c r="E191" s="1510"/>
      <c r="F191" s="1510"/>
      <c r="G191" s="1510"/>
      <c r="H191" s="1510"/>
      <c r="I191" s="1510"/>
      <c r="J191" s="1510"/>
      <c r="K191" s="2043"/>
      <c r="L191" s="1977"/>
      <c r="M191" s="2045"/>
      <c r="N191" s="1510"/>
      <c r="O191" s="1510"/>
      <c r="P191" s="1510"/>
      <c r="Q191" s="1510"/>
      <c r="R191" s="1510"/>
      <c r="S191" s="2043"/>
      <c r="T191" s="1974"/>
      <c r="U191" s="1976" t="s">
        <v>12094</v>
      </c>
      <c r="V191" s="1510"/>
      <c r="W191" s="1510"/>
      <c r="X191" s="1510"/>
      <c r="Y191" s="2198"/>
      <c r="Z191" s="2329"/>
      <c r="AA191" s="2329"/>
      <c r="AB191" s="2329"/>
      <c r="AC191" s="2329"/>
      <c r="AD191" s="2330"/>
      <c r="AE191" s="88"/>
      <c r="AF191" s="98" t="s">
        <v>12295</v>
      </c>
      <c r="AG191" s="2560"/>
      <c r="AH191" s="2589"/>
      <c r="AI191" s="1121">
        <f t="shared" si="54"/>
        <v>0</v>
      </c>
      <c r="AJ191" s="2589"/>
      <c r="AK191" s="252">
        <f t="shared" si="53"/>
        <v>0</v>
      </c>
      <c r="AL191" s="252">
        <f t="shared" si="36"/>
        <v>0</v>
      </c>
      <c r="AM191" s="252">
        <f t="shared" si="37"/>
        <v>0</v>
      </c>
      <c r="AN191" s="252">
        <f t="shared" si="38"/>
        <v>0</v>
      </c>
      <c r="AO191" s="252">
        <f t="shared" si="39"/>
        <v>0</v>
      </c>
      <c r="AP191" s="252">
        <f t="shared" si="40"/>
        <v>0</v>
      </c>
      <c r="AQ191" s="252">
        <f t="shared" si="41"/>
        <v>0</v>
      </c>
      <c r="AR191" s="2560"/>
      <c r="AS191" s="252">
        <f t="shared" si="42"/>
        <v>0</v>
      </c>
      <c r="AT191" s="252">
        <f t="shared" si="43"/>
        <v>0</v>
      </c>
      <c r="AU191" s="252">
        <f t="shared" si="44"/>
        <v>0</v>
      </c>
      <c r="AV191" s="252">
        <f t="shared" si="45"/>
        <v>0</v>
      </c>
      <c r="AW191" s="252">
        <f t="shared" si="46"/>
        <v>0</v>
      </c>
      <c r="AX191" s="252">
        <f t="shared" si="47"/>
        <v>0</v>
      </c>
      <c r="AY191" s="252">
        <f t="shared" si="48"/>
        <v>0</v>
      </c>
      <c r="AZ191" s="2560"/>
      <c r="BA191" s="2560"/>
      <c r="BB191" s="252">
        <f t="shared" si="49"/>
        <v>0</v>
      </c>
      <c r="BC191" s="252">
        <f t="shared" si="50"/>
        <v>0</v>
      </c>
      <c r="BD191" s="252">
        <f t="shared" si="51"/>
        <v>0</v>
      </c>
      <c r="BE191" s="252">
        <f t="shared" si="52"/>
        <v>0</v>
      </c>
      <c r="BF191" s="2589"/>
      <c r="BG191" s="1247"/>
      <c r="BH191" s="1247"/>
      <c r="BI191" s="1247"/>
      <c r="BJ191" s="1247"/>
      <c r="BK191" s="1247"/>
      <c r="BL191" s="1247"/>
    </row>
    <row r="192" spans="2:64" ht="15.75" customHeight="1">
      <c r="B192" s="96" t="s">
        <v>12296</v>
      </c>
      <c r="C192" s="97" t="s">
        <v>137</v>
      </c>
      <c r="D192" s="97">
        <v>3</v>
      </c>
      <c r="E192" s="1510"/>
      <c r="F192" s="1510"/>
      <c r="G192" s="1510"/>
      <c r="H192" s="1510"/>
      <c r="I192" s="1510"/>
      <c r="J192" s="1510"/>
      <c r="K192" s="2043"/>
      <c r="L192" s="1977"/>
      <c r="M192" s="2045"/>
      <c r="N192" s="1510"/>
      <c r="O192" s="1510"/>
      <c r="P192" s="1510"/>
      <c r="Q192" s="1510"/>
      <c r="R192" s="1510"/>
      <c r="S192" s="2043"/>
      <c r="T192" s="1974"/>
      <c r="U192" s="1976" t="s">
        <v>12094</v>
      </c>
      <c r="V192" s="1510"/>
      <c r="W192" s="1510"/>
      <c r="X192" s="1510"/>
      <c r="Y192" s="2198"/>
      <c r="Z192" s="2329"/>
      <c r="AA192" s="2329"/>
      <c r="AB192" s="2329"/>
      <c r="AC192" s="2329"/>
      <c r="AD192" s="2330"/>
      <c r="AE192" s="88"/>
      <c r="AF192" s="98" t="s">
        <v>12297</v>
      </c>
      <c r="AG192" s="2560"/>
      <c r="AH192" s="2589"/>
      <c r="AI192" s="1121">
        <f t="shared" si="54"/>
        <v>0</v>
      </c>
      <c r="AJ192" s="2589"/>
      <c r="AK192" s="252">
        <f t="shared" si="53"/>
        <v>0</v>
      </c>
      <c r="AL192" s="252">
        <f t="shared" si="36"/>
        <v>0</v>
      </c>
      <c r="AM192" s="252">
        <f t="shared" si="37"/>
        <v>0</v>
      </c>
      <c r="AN192" s="252">
        <f t="shared" si="38"/>
        <v>0</v>
      </c>
      <c r="AO192" s="252">
        <f t="shared" si="39"/>
        <v>0</v>
      </c>
      <c r="AP192" s="252">
        <f t="shared" si="40"/>
        <v>0</v>
      </c>
      <c r="AQ192" s="252">
        <f t="shared" si="41"/>
        <v>0</v>
      </c>
      <c r="AR192" s="2560"/>
      <c r="AS192" s="252">
        <f t="shared" si="42"/>
        <v>0</v>
      </c>
      <c r="AT192" s="252">
        <f t="shared" si="43"/>
        <v>0</v>
      </c>
      <c r="AU192" s="252">
        <f t="shared" si="44"/>
        <v>0</v>
      </c>
      <c r="AV192" s="252">
        <f t="shared" si="45"/>
        <v>0</v>
      </c>
      <c r="AW192" s="252">
        <f t="shared" si="46"/>
        <v>0</v>
      </c>
      <c r="AX192" s="252">
        <f t="shared" si="47"/>
        <v>0</v>
      </c>
      <c r="AY192" s="252">
        <f t="shared" si="48"/>
        <v>0</v>
      </c>
      <c r="AZ192" s="2560"/>
      <c r="BA192" s="2560"/>
      <c r="BB192" s="252">
        <f t="shared" si="49"/>
        <v>0</v>
      </c>
      <c r="BC192" s="252">
        <f t="shared" si="50"/>
        <v>0</v>
      </c>
      <c r="BD192" s="252">
        <f t="shared" si="51"/>
        <v>0</v>
      </c>
      <c r="BE192" s="252">
        <f t="shared" si="52"/>
        <v>0</v>
      </c>
      <c r="BF192" s="2589"/>
      <c r="BG192" s="1247"/>
      <c r="BH192" s="1247"/>
      <c r="BI192" s="1247"/>
      <c r="BJ192" s="1247"/>
      <c r="BK192" s="1247"/>
      <c r="BL192" s="1247"/>
    </row>
    <row r="193" spans="2:64" ht="15.75" customHeight="1">
      <c r="B193" s="96" t="s">
        <v>12298</v>
      </c>
      <c r="C193" s="97" t="s">
        <v>137</v>
      </c>
      <c r="D193" s="97">
        <v>3</v>
      </c>
      <c r="E193" s="1510"/>
      <c r="F193" s="1510"/>
      <c r="G193" s="1510"/>
      <c r="H193" s="1510"/>
      <c r="I193" s="1510"/>
      <c r="J193" s="1510"/>
      <c r="K193" s="2043"/>
      <c r="L193" s="1977"/>
      <c r="M193" s="2045"/>
      <c r="N193" s="1510"/>
      <c r="O193" s="1510"/>
      <c r="P193" s="1510"/>
      <c r="Q193" s="1510"/>
      <c r="R193" s="1510"/>
      <c r="S193" s="2043"/>
      <c r="T193" s="1974"/>
      <c r="U193" s="1976" t="s">
        <v>12094</v>
      </c>
      <c r="V193" s="1510"/>
      <c r="W193" s="1510"/>
      <c r="X193" s="1510"/>
      <c r="Y193" s="2198"/>
      <c r="Z193" s="2329"/>
      <c r="AA193" s="2329"/>
      <c r="AB193" s="2329"/>
      <c r="AC193" s="2329"/>
      <c r="AD193" s="2330"/>
      <c r="AE193" s="88"/>
      <c r="AF193" s="98" t="s">
        <v>12299</v>
      </c>
      <c r="AG193" s="2560"/>
      <c r="AH193" s="2589"/>
      <c r="AI193" s="1121">
        <f t="shared" si="54"/>
        <v>0</v>
      </c>
      <c r="AJ193" s="2589"/>
      <c r="AK193" s="252">
        <f t="shared" si="53"/>
        <v>0</v>
      </c>
      <c r="AL193" s="252">
        <f t="shared" si="36"/>
        <v>0</v>
      </c>
      <c r="AM193" s="252">
        <f t="shared" si="37"/>
        <v>0</v>
      </c>
      <c r="AN193" s="252">
        <f t="shared" si="38"/>
        <v>0</v>
      </c>
      <c r="AO193" s="252">
        <f t="shared" si="39"/>
        <v>0</v>
      </c>
      <c r="AP193" s="252">
        <f t="shared" si="40"/>
        <v>0</v>
      </c>
      <c r="AQ193" s="252">
        <f t="shared" si="41"/>
        <v>0</v>
      </c>
      <c r="AR193" s="2560"/>
      <c r="AS193" s="252">
        <f t="shared" si="42"/>
        <v>0</v>
      </c>
      <c r="AT193" s="252">
        <f t="shared" si="43"/>
        <v>0</v>
      </c>
      <c r="AU193" s="252">
        <f t="shared" si="44"/>
        <v>0</v>
      </c>
      <c r="AV193" s="252">
        <f t="shared" si="45"/>
        <v>0</v>
      </c>
      <c r="AW193" s="252">
        <f t="shared" si="46"/>
        <v>0</v>
      </c>
      <c r="AX193" s="252">
        <f t="shared" si="47"/>
        <v>0</v>
      </c>
      <c r="AY193" s="252">
        <f t="shared" si="48"/>
        <v>0</v>
      </c>
      <c r="AZ193" s="2560"/>
      <c r="BA193" s="2560"/>
      <c r="BB193" s="252">
        <f t="shared" si="49"/>
        <v>0</v>
      </c>
      <c r="BC193" s="252">
        <f t="shared" si="50"/>
        <v>0</v>
      </c>
      <c r="BD193" s="252">
        <f t="shared" si="51"/>
        <v>0</v>
      </c>
      <c r="BE193" s="252">
        <f t="shared" si="52"/>
        <v>0</v>
      </c>
      <c r="BF193" s="2589"/>
      <c r="BG193" s="1247"/>
      <c r="BH193" s="1247"/>
      <c r="BI193" s="1247"/>
      <c r="BJ193" s="1247"/>
      <c r="BK193" s="1247"/>
      <c r="BL193" s="1247"/>
    </row>
    <row r="194" spans="2:64" ht="15.75" customHeight="1">
      <c r="B194" s="96" t="s">
        <v>12300</v>
      </c>
      <c r="C194" s="97" t="s">
        <v>137</v>
      </c>
      <c r="D194" s="97">
        <v>3</v>
      </c>
      <c r="E194" s="1510"/>
      <c r="F194" s="1510"/>
      <c r="G194" s="1510"/>
      <c r="H194" s="1510"/>
      <c r="I194" s="1510"/>
      <c r="J194" s="1510"/>
      <c r="K194" s="2043"/>
      <c r="L194" s="1977"/>
      <c r="M194" s="2045"/>
      <c r="N194" s="1510"/>
      <c r="O194" s="1510"/>
      <c r="P194" s="1510"/>
      <c r="Q194" s="1510"/>
      <c r="R194" s="1510"/>
      <c r="S194" s="2043"/>
      <c r="T194" s="1974"/>
      <c r="U194" s="1976" t="s">
        <v>12094</v>
      </c>
      <c r="V194" s="1510"/>
      <c r="W194" s="1510"/>
      <c r="X194" s="1510"/>
      <c r="Y194" s="2198"/>
      <c r="Z194" s="2329"/>
      <c r="AA194" s="2329"/>
      <c r="AB194" s="2329"/>
      <c r="AC194" s="2329"/>
      <c r="AD194" s="2330"/>
      <c r="AE194" s="88"/>
      <c r="AF194" s="98" t="s">
        <v>12301</v>
      </c>
      <c r="AG194" s="2560"/>
      <c r="AH194" s="2589"/>
      <c r="AI194" s="1121">
        <f t="shared" si="54"/>
        <v>0</v>
      </c>
      <c r="AJ194" s="2589"/>
      <c r="AK194" s="252">
        <f t="shared" si="53"/>
        <v>0</v>
      </c>
      <c r="AL194" s="252">
        <f t="shared" si="36"/>
        <v>0</v>
      </c>
      <c r="AM194" s="252">
        <f t="shared" si="37"/>
        <v>0</v>
      </c>
      <c r="AN194" s="252">
        <f t="shared" si="38"/>
        <v>0</v>
      </c>
      <c r="AO194" s="252">
        <f t="shared" si="39"/>
        <v>0</v>
      </c>
      <c r="AP194" s="252">
        <f t="shared" si="40"/>
        <v>0</v>
      </c>
      <c r="AQ194" s="252">
        <f t="shared" si="41"/>
        <v>0</v>
      </c>
      <c r="AR194" s="2560"/>
      <c r="AS194" s="252">
        <f t="shared" si="42"/>
        <v>0</v>
      </c>
      <c r="AT194" s="252">
        <f t="shared" si="43"/>
        <v>0</v>
      </c>
      <c r="AU194" s="252">
        <f t="shared" si="44"/>
        <v>0</v>
      </c>
      <c r="AV194" s="252">
        <f t="shared" si="45"/>
        <v>0</v>
      </c>
      <c r="AW194" s="252">
        <f t="shared" si="46"/>
        <v>0</v>
      </c>
      <c r="AX194" s="252">
        <f t="shared" si="47"/>
        <v>0</v>
      </c>
      <c r="AY194" s="252">
        <f t="shared" si="48"/>
        <v>0</v>
      </c>
      <c r="AZ194" s="2560"/>
      <c r="BA194" s="2560"/>
      <c r="BB194" s="252">
        <f t="shared" si="49"/>
        <v>0</v>
      </c>
      <c r="BC194" s="252">
        <f t="shared" si="50"/>
        <v>0</v>
      </c>
      <c r="BD194" s="252">
        <f t="shared" si="51"/>
        <v>0</v>
      </c>
      <c r="BE194" s="252">
        <f t="shared" si="52"/>
        <v>0</v>
      </c>
      <c r="BF194" s="2589"/>
      <c r="BG194" s="1247"/>
      <c r="BH194" s="1247"/>
      <c r="BI194" s="1247"/>
      <c r="BJ194" s="1247"/>
      <c r="BK194" s="1247"/>
      <c r="BL194" s="1247"/>
    </row>
    <row r="195" spans="2:64" ht="15.75" customHeight="1">
      <c r="B195" s="96" t="s">
        <v>12302</v>
      </c>
      <c r="C195" s="97" t="s">
        <v>137</v>
      </c>
      <c r="D195" s="97">
        <v>3</v>
      </c>
      <c r="E195" s="1510"/>
      <c r="F195" s="1510"/>
      <c r="G195" s="1510"/>
      <c r="H195" s="1510"/>
      <c r="I195" s="1510"/>
      <c r="J195" s="1510"/>
      <c r="K195" s="2043"/>
      <c r="L195" s="1977"/>
      <c r="M195" s="2045"/>
      <c r="N195" s="1510"/>
      <c r="O195" s="1510"/>
      <c r="P195" s="1510"/>
      <c r="Q195" s="1510"/>
      <c r="R195" s="1510"/>
      <c r="S195" s="2043"/>
      <c r="T195" s="1974"/>
      <c r="U195" s="1976" t="s">
        <v>12094</v>
      </c>
      <c r="V195" s="1510"/>
      <c r="W195" s="1510"/>
      <c r="X195" s="1510"/>
      <c r="Y195" s="2198"/>
      <c r="Z195" s="2329"/>
      <c r="AA195" s="2329"/>
      <c r="AB195" s="2329"/>
      <c r="AC195" s="2329"/>
      <c r="AD195" s="2330"/>
      <c r="AE195" s="88"/>
      <c r="AF195" s="98" t="s">
        <v>12303</v>
      </c>
      <c r="AG195" s="2560"/>
      <c r="AH195" s="2589"/>
      <c r="AI195" s="1121">
        <f t="shared" si="54"/>
        <v>0</v>
      </c>
      <c r="AJ195" s="2589"/>
      <c r="AK195" s="252">
        <f t="shared" si="53"/>
        <v>0</v>
      </c>
      <c r="AL195" s="252">
        <f t="shared" si="36"/>
        <v>0</v>
      </c>
      <c r="AM195" s="252">
        <f t="shared" si="37"/>
        <v>0</v>
      </c>
      <c r="AN195" s="252">
        <f t="shared" si="38"/>
        <v>0</v>
      </c>
      <c r="AO195" s="252">
        <f t="shared" si="39"/>
        <v>0</v>
      </c>
      <c r="AP195" s="252">
        <f t="shared" si="40"/>
        <v>0</v>
      </c>
      <c r="AQ195" s="252">
        <f t="shared" si="41"/>
        <v>0</v>
      </c>
      <c r="AR195" s="2560"/>
      <c r="AS195" s="252">
        <f t="shared" si="42"/>
        <v>0</v>
      </c>
      <c r="AT195" s="252">
        <f t="shared" si="43"/>
        <v>0</v>
      </c>
      <c r="AU195" s="252">
        <f t="shared" si="44"/>
        <v>0</v>
      </c>
      <c r="AV195" s="252">
        <f t="shared" si="45"/>
        <v>0</v>
      </c>
      <c r="AW195" s="252">
        <f t="shared" si="46"/>
        <v>0</v>
      </c>
      <c r="AX195" s="252">
        <f t="shared" si="47"/>
        <v>0</v>
      </c>
      <c r="AY195" s="252">
        <f t="shared" si="48"/>
        <v>0</v>
      </c>
      <c r="AZ195" s="2560"/>
      <c r="BA195" s="2560"/>
      <c r="BB195" s="252">
        <f t="shared" si="49"/>
        <v>0</v>
      </c>
      <c r="BC195" s="252">
        <f t="shared" si="50"/>
        <v>0</v>
      </c>
      <c r="BD195" s="252">
        <f t="shared" si="51"/>
        <v>0</v>
      </c>
      <c r="BE195" s="252">
        <f t="shared" si="52"/>
        <v>0</v>
      </c>
      <c r="BF195" s="2589"/>
      <c r="BG195" s="1247"/>
      <c r="BH195" s="1247"/>
      <c r="BI195" s="1247"/>
      <c r="BJ195" s="1247"/>
      <c r="BK195" s="1247"/>
      <c r="BL195" s="1247"/>
    </row>
    <row r="196" spans="2:64" ht="15.75" customHeight="1">
      <c r="B196" s="96" t="s">
        <v>12304</v>
      </c>
      <c r="C196" s="97" t="s">
        <v>137</v>
      </c>
      <c r="D196" s="97">
        <v>3</v>
      </c>
      <c r="E196" s="1510"/>
      <c r="F196" s="1510"/>
      <c r="G196" s="1510"/>
      <c r="H196" s="1510"/>
      <c r="I196" s="1510"/>
      <c r="J196" s="1510"/>
      <c r="K196" s="2043"/>
      <c r="L196" s="1977"/>
      <c r="M196" s="2045"/>
      <c r="N196" s="1510"/>
      <c r="O196" s="1510"/>
      <c r="P196" s="1510"/>
      <c r="Q196" s="1510"/>
      <c r="R196" s="1510"/>
      <c r="S196" s="2043"/>
      <c r="T196" s="1974"/>
      <c r="U196" s="1976" t="s">
        <v>12094</v>
      </c>
      <c r="V196" s="1510"/>
      <c r="W196" s="1510"/>
      <c r="X196" s="1510"/>
      <c r="Y196" s="2198"/>
      <c r="Z196" s="2329"/>
      <c r="AA196" s="2329"/>
      <c r="AB196" s="2329"/>
      <c r="AC196" s="2329"/>
      <c r="AD196" s="2330"/>
      <c r="AE196" s="88"/>
      <c r="AF196" s="98" t="s">
        <v>12305</v>
      </c>
      <c r="AG196" s="2560"/>
      <c r="AH196" s="2589"/>
      <c r="AI196" s="1121">
        <f t="shared" si="54"/>
        <v>0</v>
      </c>
      <c r="AJ196" s="2589"/>
      <c r="AK196" s="252">
        <f t="shared" si="53"/>
        <v>0</v>
      </c>
      <c r="AL196" s="252">
        <f t="shared" si="36"/>
        <v>0</v>
      </c>
      <c r="AM196" s="252">
        <f t="shared" si="37"/>
        <v>0</v>
      </c>
      <c r="AN196" s="252">
        <f t="shared" si="38"/>
        <v>0</v>
      </c>
      <c r="AO196" s="252">
        <f t="shared" si="39"/>
        <v>0</v>
      </c>
      <c r="AP196" s="252">
        <f t="shared" si="40"/>
        <v>0</v>
      </c>
      <c r="AQ196" s="252">
        <f t="shared" si="41"/>
        <v>0</v>
      </c>
      <c r="AR196" s="2560"/>
      <c r="AS196" s="252">
        <f t="shared" si="42"/>
        <v>0</v>
      </c>
      <c r="AT196" s="252">
        <f t="shared" si="43"/>
        <v>0</v>
      </c>
      <c r="AU196" s="252">
        <f t="shared" si="44"/>
        <v>0</v>
      </c>
      <c r="AV196" s="252">
        <f t="shared" si="45"/>
        <v>0</v>
      </c>
      <c r="AW196" s="252">
        <f t="shared" si="46"/>
        <v>0</v>
      </c>
      <c r="AX196" s="252">
        <f t="shared" si="47"/>
        <v>0</v>
      </c>
      <c r="AY196" s="252">
        <f t="shared" si="48"/>
        <v>0</v>
      </c>
      <c r="AZ196" s="2560"/>
      <c r="BA196" s="2560"/>
      <c r="BB196" s="252">
        <f t="shared" si="49"/>
        <v>0</v>
      </c>
      <c r="BC196" s="252">
        <f t="shared" si="50"/>
        <v>0</v>
      </c>
      <c r="BD196" s="252">
        <f t="shared" si="51"/>
        <v>0</v>
      </c>
      <c r="BE196" s="252">
        <f t="shared" si="52"/>
        <v>0</v>
      </c>
      <c r="BF196" s="2589"/>
      <c r="BG196" s="1247"/>
      <c r="BH196" s="1247"/>
      <c r="BI196" s="1247"/>
      <c r="BJ196" s="1247"/>
      <c r="BK196" s="1247"/>
      <c r="BL196" s="1247"/>
    </row>
    <row r="197" spans="2:64" ht="15.75" customHeight="1">
      <c r="B197" s="96" t="s">
        <v>12306</v>
      </c>
      <c r="C197" s="97" t="s">
        <v>137</v>
      </c>
      <c r="D197" s="97">
        <v>3</v>
      </c>
      <c r="E197" s="1510"/>
      <c r="F197" s="1510"/>
      <c r="G197" s="1510"/>
      <c r="H197" s="1510"/>
      <c r="I197" s="1510"/>
      <c r="J197" s="1510"/>
      <c r="K197" s="2043"/>
      <c r="L197" s="1977"/>
      <c r="M197" s="2045"/>
      <c r="N197" s="1510"/>
      <c r="O197" s="1510"/>
      <c r="P197" s="1510"/>
      <c r="Q197" s="1510"/>
      <c r="R197" s="1510"/>
      <c r="S197" s="2043"/>
      <c r="T197" s="1974"/>
      <c r="U197" s="1976" t="s">
        <v>12094</v>
      </c>
      <c r="V197" s="1510"/>
      <c r="W197" s="1510"/>
      <c r="X197" s="1510"/>
      <c r="Y197" s="2198"/>
      <c r="Z197" s="2329"/>
      <c r="AA197" s="2329"/>
      <c r="AB197" s="2329"/>
      <c r="AC197" s="2329"/>
      <c r="AD197" s="2330"/>
      <c r="AE197" s="88"/>
      <c r="AF197" s="98" t="s">
        <v>12307</v>
      </c>
      <c r="AG197" s="2560"/>
      <c r="AH197" s="2589"/>
      <c r="AI197" s="1121">
        <f t="shared" si="54"/>
        <v>0</v>
      </c>
      <c r="AJ197" s="2589"/>
      <c r="AK197" s="252">
        <f t="shared" si="53"/>
        <v>0</v>
      </c>
      <c r="AL197" s="252">
        <f t="shared" si="36"/>
        <v>0</v>
      </c>
      <c r="AM197" s="252">
        <f t="shared" si="37"/>
        <v>0</v>
      </c>
      <c r="AN197" s="252">
        <f t="shared" si="38"/>
        <v>0</v>
      </c>
      <c r="AO197" s="252">
        <f t="shared" si="39"/>
        <v>0</v>
      </c>
      <c r="AP197" s="252">
        <f t="shared" si="40"/>
        <v>0</v>
      </c>
      <c r="AQ197" s="252">
        <f t="shared" si="41"/>
        <v>0</v>
      </c>
      <c r="AR197" s="2560"/>
      <c r="AS197" s="252">
        <f t="shared" si="42"/>
        <v>0</v>
      </c>
      <c r="AT197" s="252">
        <f t="shared" si="43"/>
        <v>0</v>
      </c>
      <c r="AU197" s="252">
        <f t="shared" si="44"/>
        <v>0</v>
      </c>
      <c r="AV197" s="252">
        <f t="shared" si="45"/>
        <v>0</v>
      </c>
      <c r="AW197" s="252">
        <f t="shared" si="46"/>
        <v>0</v>
      </c>
      <c r="AX197" s="252">
        <f t="shared" si="47"/>
        <v>0</v>
      </c>
      <c r="AY197" s="252">
        <f t="shared" si="48"/>
        <v>0</v>
      </c>
      <c r="AZ197" s="2560"/>
      <c r="BA197" s="2560"/>
      <c r="BB197" s="252">
        <f t="shared" si="49"/>
        <v>0</v>
      </c>
      <c r="BC197" s="252">
        <f t="shared" si="50"/>
        <v>0</v>
      </c>
      <c r="BD197" s="252">
        <f t="shared" si="51"/>
        <v>0</v>
      </c>
      <c r="BE197" s="252">
        <f t="shared" si="52"/>
        <v>0</v>
      </c>
      <c r="BF197" s="2589"/>
      <c r="BG197" s="1247"/>
      <c r="BH197" s="1247"/>
      <c r="BI197" s="1247"/>
      <c r="BJ197" s="1247"/>
      <c r="BK197" s="1247"/>
      <c r="BL197" s="1247"/>
    </row>
    <row r="198" spans="2:64" ht="15.75" customHeight="1">
      <c r="B198" s="96" t="s">
        <v>12308</v>
      </c>
      <c r="C198" s="97" t="s">
        <v>137</v>
      </c>
      <c r="D198" s="97">
        <v>3</v>
      </c>
      <c r="E198" s="1510"/>
      <c r="F198" s="1510"/>
      <c r="G198" s="1510"/>
      <c r="H198" s="1510"/>
      <c r="I198" s="1510"/>
      <c r="J198" s="1510"/>
      <c r="K198" s="2043"/>
      <c r="L198" s="1977"/>
      <c r="M198" s="2045"/>
      <c r="N198" s="1510"/>
      <c r="O198" s="1510"/>
      <c r="P198" s="1510"/>
      <c r="Q198" s="1510"/>
      <c r="R198" s="1510"/>
      <c r="S198" s="2043"/>
      <c r="T198" s="1974"/>
      <c r="U198" s="1976" t="s">
        <v>12094</v>
      </c>
      <c r="V198" s="1510"/>
      <c r="W198" s="1510"/>
      <c r="X198" s="1510"/>
      <c r="Y198" s="2198"/>
      <c r="Z198" s="2329"/>
      <c r="AA198" s="2329"/>
      <c r="AB198" s="2329"/>
      <c r="AC198" s="2329"/>
      <c r="AD198" s="2330"/>
      <c r="AE198" s="88"/>
      <c r="AF198" s="98" t="s">
        <v>12309</v>
      </c>
      <c r="AG198" s="2560"/>
      <c r="AH198" s="2589"/>
      <c r="AI198" s="1121">
        <f t="shared" si="54"/>
        <v>0</v>
      </c>
      <c r="AJ198" s="2589"/>
      <c r="AK198" s="252">
        <f t="shared" si="53"/>
        <v>0</v>
      </c>
      <c r="AL198" s="252">
        <f t="shared" si="36"/>
        <v>0</v>
      </c>
      <c r="AM198" s="252">
        <f t="shared" si="37"/>
        <v>0</v>
      </c>
      <c r="AN198" s="252">
        <f t="shared" si="38"/>
        <v>0</v>
      </c>
      <c r="AO198" s="252">
        <f t="shared" si="39"/>
        <v>0</v>
      </c>
      <c r="AP198" s="252">
        <f t="shared" si="40"/>
        <v>0</v>
      </c>
      <c r="AQ198" s="252">
        <f t="shared" si="41"/>
        <v>0</v>
      </c>
      <c r="AR198" s="2560"/>
      <c r="AS198" s="252">
        <f t="shared" si="42"/>
        <v>0</v>
      </c>
      <c r="AT198" s="252">
        <f t="shared" si="43"/>
        <v>0</v>
      </c>
      <c r="AU198" s="252">
        <f t="shared" si="44"/>
        <v>0</v>
      </c>
      <c r="AV198" s="252">
        <f t="shared" si="45"/>
        <v>0</v>
      </c>
      <c r="AW198" s="252">
        <f t="shared" si="46"/>
        <v>0</v>
      </c>
      <c r="AX198" s="252">
        <f t="shared" si="47"/>
        <v>0</v>
      </c>
      <c r="AY198" s="252">
        <f t="shared" si="48"/>
        <v>0</v>
      </c>
      <c r="AZ198" s="2560"/>
      <c r="BA198" s="2560"/>
      <c r="BB198" s="252">
        <f t="shared" si="49"/>
        <v>0</v>
      </c>
      <c r="BC198" s="252">
        <f t="shared" si="50"/>
        <v>0</v>
      </c>
      <c r="BD198" s="252">
        <f t="shared" si="51"/>
        <v>0</v>
      </c>
      <c r="BE198" s="252">
        <f t="shared" si="52"/>
        <v>0</v>
      </c>
      <c r="BF198" s="2589"/>
      <c r="BG198" s="1247"/>
      <c r="BH198" s="1247"/>
      <c r="BI198" s="1247"/>
      <c r="BJ198" s="1247"/>
      <c r="BK198" s="1247"/>
      <c r="BL198" s="1247"/>
    </row>
    <row r="199" spans="2:64" ht="15.75" customHeight="1">
      <c r="B199" s="96" t="s">
        <v>12310</v>
      </c>
      <c r="C199" s="97" t="s">
        <v>137</v>
      </c>
      <c r="D199" s="97">
        <v>3</v>
      </c>
      <c r="E199" s="1510"/>
      <c r="F199" s="1510"/>
      <c r="G199" s="1510"/>
      <c r="H199" s="1510"/>
      <c r="I199" s="1510"/>
      <c r="J199" s="1510"/>
      <c r="K199" s="2043"/>
      <c r="L199" s="1977"/>
      <c r="M199" s="2045"/>
      <c r="N199" s="1510"/>
      <c r="O199" s="1510"/>
      <c r="P199" s="1510"/>
      <c r="Q199" s="1510"/>
      <c r="R199" s="1510"/>
      <c r="S199" s="2043"/>
      <c r="T199" s="1974"/>
      <c r="U199" s="1976" t="s">
        <v>12094</v>
      </c>
      <c r="V199" s="1510"/>
      <c r="W199" s="1510"/>
      <c r="X199" s="1510"/>
      <c r="Y199" s="2198"/>
      <c r="Z199" s="2329"/>
      <c r="AA199" s="2329"/>
      <c r="AB199" s="2329"/>
      <c r="AC199" s="2329"/>
      <c r="AD199" s="2330"/>
      <c r="AE199" s="88"/>
      <c r="AF199" s="98" t="s">
        <v>12311</v>
      </c>
      <c r="AG199" s="2560"/>
      <c r="AH199" s="2589"/>
      <c r="AI199" s="1121">
        <f t="shared" si="54"/>
        <v>0</v>
      </c>
      <c r="AJ199" s="2589"/>
      <c r="AK199" s="252">
        <f t="shared" si="53"/>
        <v>0</v>
      </c>
      <c r="AL199" s="252">
        <f t="shared" si="36"/>
        <v>0</v>
      </c>
      <c r="AM199" s="252">
        <f t="shared" si="37"/>
        <v>0</v>
      </c>
      <c r="AN199" s="252">
        <f t="shared" si="38"/>
        <v>0</v>
      </c>
      <c r="AO199" s="252">
        <f t="shared" si="39"/>
        <v>0</v>
      </c>
      <c r="AP199" s="252">
        <f t="shared" si="40"/>
        <v>0</v>
      </c>
      <c r="AQ199" s="252">
        <f t="shared" si="41"/>
        <v>0</v>
      </c>
      <c r="AR199" s="2560"/>
      <c r="AS199" s="252">
        <f t="shared" si="42"/>
        <v>0</v>
      </c>
      <c r="AT199" s="252">
        <f t="shared" si="43"/>
        <v>0</v>
      </c>
      <c r="AU199" s="252">
        <f t="shared" si="44"/>
        <v>0</v>
      </c>
      <c r="AV199" s="252">
        <f t="shared" si="45"/>
        <v>0</v>
      </c>
      <c r="AW199" s="252">
        <f t="shared" si="46"/>
        <v>0</v>
      </c>
      <c r="AX199" s="252">
        <f t="shared" si="47"/>
        <v>0</v>
      </c>
      <c r="AY199" s="252">
        <f t="shared" si="48"/>
        <v>0</v>
      </c>
      <c r="AZ199" s="2560"/>
      <c r="BA199" s="2560"/>
      <c r="BB199" s="252">
        <f t="shared" si="49"/>
        <v>0</v>
      </c>
      <c r="BC199" s="252">
        <f t="shared" si="50"/>
        <v>0</v>
      </c>
      <c r="BD199" s="252">
        <f t="shared" si="51"/>
        <v>0</v>
      </c>
      <c r="BE199" s="252">
        <f t="shared" si="52"/>
        <v>0</v>
      </c>
      <c r="BF199" s="2589"/>
      <c r="BG199" s="1247"/>
      <c r="BH199" s="1247"/>
      <c r="BI199" s="1247"/>
      <c r="BJ199" s="1247"/>
      <c r="BK199" s="1247"/>
      <c r="BL199" s="1247"/>
    </row>
    <row r="200" spans="2:64" ht="15.75" customHeight="1">
      <c r="B200" s="96" t="s">
        <v>12312</v>
      </c>
      <c r="C200" s="97" t="s">
        <v>137</v>
      </c>
      <c r="D200" s="97">
        <v>3</v>
      </c>
      <c r="E200" s="1510"/>
      <c r="F200" s="1510"/>
      <c r="G200" s="1510"/>
      <c r="H200" s="1510"/>
      <c r="I200" s="1510"/>
      <c r="J200" s="1510"/>
      <c r="K200" s="2043"/>
      <c r="L200" s="1977"/>
      <c r="M200" s="2045"/>
      <c r="N200" s="1510"/>
      <c r="O200" s="1510"/>
      <c r="P200" s="1510"/>
      <c r="Q200" s="1510"/>
      <c r="R200" s="1510"/>
      <c r="S200" s="2043"/>
      <c r="T200" s="1974"/>
      <c r="U200" s="1976" t="s">
        <v>12094</v>
      </c>
      <c r="V200" s="1510"/>
      <c r="W200" s="1510"/>
      <c r="X200" s="1510"/>
      <c r="Y200" s="2198"/>
      <c r="Z200" s="2329"/>
      <c r="AA200" s="2329"/>
      <c r="AB200" s="2329"/>
      <c r="AC200" s="2329"/>
      <c r="AD200" s="2330"/>
      <c r="AE200" s="88"/>
      <c r="AF200" s="98" t="s">
        <v>12313</v>
      </c>
      <c r="AG200" s="2560"/>
      <c r="AH200" s="2589"/>
      <c r="AI200" s="1121">
        <f t="shared" si="54"/>
        <v>0</v>
      </c>
      <c r="AJ200" s="2589"/>
      <c r="AK200" s="252">
        <f t="shared" si="53"/>
        <v>0</v>
      </c>
      <c r="AL200" s="252">
        <f t="shared" si="36"/>
        <v>0</v>
      </c>
      <c r="AM200" s="252">
        <f t="shared" si="37"/>
        <v>0</v>
      </c>
      <c r="AN200" s="252">
        <f t="shared" si="38"/>
        <v>0</v>
      </c>
      <c r="AO200" s="252">
        <f t="shared" si="39"/>
        <v>0</v>
      </c>
      <c r="AP200" s="252">
        <f t="shared" si="40"/>
        <v>0</v>
      </c>
      <c r="AQ200" s="252">
        <f t="shared" si="41"/>
        <v>0</v>
      </c>
      <c r="AR200" s="2560"/>
      <c r="AS200" s="252">
        <f t="shared" si="42"/>
        <v>0</v>
      </c>
      <c r="AT200" s="252">
        <f t="shared" si="43"/>
        <v>0</v>
      </c>
      <c r="AU200" s="252">
        <f t="shared" si="44"/>
        <v>0</v>
      </c>
      <c r="AV200" s="252">
        <f t="shared" si="45"/>
        <v>0</v>
      </c>
      <c r="AW200" s="252">
        <f t="shared" si="46"/>
        <v>0</v>
      </c>
      <c r="AX200" s="252">
        <f t="shared" si="47"/>
        <v>0</v>
      </c>
      <c r="AY200" s="252">
        <f t="shared" si="48"/>
        <v>0</v>
      </c>
      <c r="AZ200" s="2560"/>
      <c r="BA200" s="2560"/>
      <c r="BB200" s="252">
        <f t="shared" si="49"/>
        <v>0</v>
      </c>
      <c r="BC200" s="252">
        <f t="shared" si="50"/>
        <v>0</v>
      </c>
      <c r="BD200" s="252">
        <f t="shared" si="51"/>
        <v>0</v>
      </c>
      <c r="BE200" s="252">
        <f t="shared" si="52"/>
        <v>0</v>
      </c>
      <c r="BF200" s="2589"/>
      <c r="BG200" s="1247"/>
      <c r="BH200" s="1247"/>
      <c r="BI200" s="1247"/>
      <c r="BJ200" s="1247"/>
      <c r="BK200" s="1247"/>
      <c r="BL200" s="1247"/>
    </row>
    <row r="201" spans="2:64" ht="15.75" customHeight="1">
      <c r="B201" s="96" t="s">
        <v>12314</v>
      </c>
      <c r="C201" s="97" t="s">
        <v>137</v>
      </c>
      <c r="D201" s="97">
        <v>3</v>
      </c>
      <c r="E201" s="1510"/>
      <c r="F201" s="1510"/>
      <c r="G201" s="1510"/>
      <c r="H201" s="1510"/>
      <c r="I201" s="1510"/>
      <c r="J201" s="1510"/>
      <c r="K201" s="2043"/>
      <c r="L201" s="1977"/>
      <c r="M201" s="2045"/>
      <c r="N201" s="1510"/>
      <c r="O201" s="1510"/>
      <c r="P201" s="1510"/>
      <c r="Q201" s="1510"/>
      <c r="R201" s="1510"/>
      <c r="S201" s="2043"/>
      <c r="T201" s="1974"/>
      <c r="U201" s="1976" t="s">
        <v>12094</v>
      </c>
      <c r="V201" s="1510"/>
      <c r="W201" s="1510"/>
      <c r="X201" s="1510"/>
      <c r="Y201" s="2198"/>
      <c r="Z201" s="2329"/>
      <c r="AA201" s="2329"/>
      <c r="AB201" s="2329"/>
      <c r="AC201" s="2329"/>
      <c r="AD201" s="2330"/>
      <c r="AE201" s="88"/>
      <c r="AF201" s="98" t="s">
        <v>12315</v>
      </c>
      <c r="AG201" s="2560"/>
      <c r="AH201" s="2589"/>
      <c r="AI201" s="1121">
        <f t="shared" si="54"/>
        <v>0</v>
      </c>
      <c r="AJ201" s="2589"/>
      <c r="AK201" s="252">
        <f t="shared" si="53"/>
        <v>0</v>
      </c>
      <c r="AL201" s="252">
        <f t="shared" ref="AL201:AL208" si="55" xml:space="preserve"> IF(SUM($E201:$K201,$M201:$S201,$V201:$AD201)&gt;0,IF( ISNUMBER(F201 ), 0, 1 ),0)</f>
        <v>0</v>
      </c>
      <c r="AM201" s="252">
        <f t="shared" ref="AM201:AM208" si="56" xml:space="preserve"> IF(SUM($E201:$K201,$M201:$S201,$V201:$AD201)&gt;0,IF( ISNUMBER(G201 ), 0, 1 ),0)</f>
        <v>0</v>
      </c>
      <c r="AN201" s="252">
        <f t="shared" ref="AN201:AN208" si="57" xml:space="preserve"> IF(SUM($E201:$K201,$M201:$S201,$V201:$AD201)&gt;0,IF( ISNUMBER(H201 ), 0, 1 ),0)</f>
        <v>0</v>
      </c>
      <c r="AO201" s="252">
        <f t="shared" ref="AO201:AO208" si="58" xml:space="preserve"> IF(SUM($E201:$K201,$M201:$S201,$V201:$AD201)&gt;0,IF( ISNUMBER(I201 ), 0, 1 ),0)</f>
        <v>0</v>
      </c>
      <c r="AP201" s="252">
        <f t="shared" ref="AP201:AP208" si="59" xml:space="preserve"> IF(SUM($E201:$K201,$M201:$S201,$V201:$AD201)&gt;0,IF( ISNUMBER(J201 ), 0, 1 ),0)</f>
        <v>0</v>
      </c>
      <c r="AQ201" s="252">
        <f t="shared" ref="AQ201:AQ208" si="60" xml:space="preserve"> IF(SUM($E201:$K201,$M201:$S201,$V201:$AD201)&gt;0,IF( ISNUMBER(K201 ), 0, 1 ),0)</f>
        <v>0</v>
      </c>
      <c r="AR201" s="2560"/>
      <c r="AS201" s="252">
        <f t="shared" ref="AS201:AS208" si="61" xml:space="preserve"> IF(SUM($E201:$K201,$M201:$S201,$V201:$AD201)&gt;0,IF( ISNUMBER(M201 ), 0, 1 ),0)</f>
        <v>0</v>
      </c>
      <c r="AT201" s="252">
        <f t="shared" ref="AT201:AT208" si="62" xml:space="preserve"> IF(SUM($E201:$K201,$M201:$S201,$V201:$AD201)&gt;0,IF( ISNUMBER(N201 ), 0, 1 ),0)</f>
        <v>0</v>
      </c>
      <c r="AU201" s="252">
        <f t="shared" ref="AU201:AU208" si="63" xml:space="preserve"> IF(SUM($E201:$K201,$M201:$S201,$V201:$AD201)&gt;0,IF( ISNUMBER(O201 ), 0, 1 ),0)</f>
        <v>0</v>
      </c>
      <c r="AV201" s="252">
        <f t="shared" ref="AV201:AV208" si="64" xml:space="preserve"> IF(SUM($E201:$K201,$M201:$S201,$V201:$AD201)&gt;0,IF( ISNUMBER(P201 ), 0, 1 ),0)</f>
        <v>0</v>
      </c>
      <c r="AW201" s="252">
        <f t="shared" ref="AW201:AW208" si="65" xml:space="preserve"> IF(SUM($E201:$K201,$M201:$S201,$V201:$AD201)&gt;0,IF( ISNUMBER(Q201 ), 0, 1 ),0)</f>
        <v>0</v>
      </c>
      <c r="AX201" s="252">
        <f t="shared" ref="AX201:AX208" si="66" xml:space="preserve"> IF(SUM($E201:$K201,$M201:$S201,$V201:$AD201)&gt;0,IF( ISNUMBER(R201 ), 0, 1 ),0)</f>
        <v>0</v>
      </c>
      <c r="AY201" s="252">
        <f t="shared" ref="AY201:AY208" si="67" xml:space="preserve"> IF(SUM($E201:$K201,$M201:$S201,$V201:$AD201)&gt;0,IF( ISNUMBER(S201 ), 0, 1 ),0)</f>
        <v>0</v>
      </c>
      <c r="AZ201" s="2560"/>
      <c r="BA201" s="2560"/>
      <c r="BB201" s="252">
        <f t="shared" ref="BB201:BB208" si="68" xml:space="preserve"> IF(SUM($E201:$K201,$M201:$S201,$V201:$AD201)&gt;0,IF( ISNUMBER(V201 ), 0, 1 ),0)</f>
        <v>0</v>
      </c>
      <c r="BC201" s="252">
        <f t="shared" ref="BC201:BC208" si="69" xml:space="preserve"> IF(SUM($E201:$K201,$M201:$S201,$V201:$AD201)&gt;0,IF( ISNUMBER(W201 ), 0, 1 ),0)</f>
        <v>0</v>
      </c>
      <c r="BD201" s="252">
        <f t="shared" ref="BD201:BD208" si="70" xml:space="preserve"> IF(SUM($E201:$K201,$M201:$S201,$V201:$AD201)&gt;0,IF( ISNUMBER(X201 ), 0, 1 ),0)</f>
        <v>0</v>
      </c>
      <c r="BE201" s="252">
        <f t="shared" ref="BE201:BE208" si="71" xml:space="preserve"> IF(SUM($E201:$K201,$M201:$S201,$V201:$AD201)&gt;0,IF( ISNUMBER(AD201 ), 0, 1 ),0)</f>
        <v>0</v>
      </c>
      <c r="BF201" s="2589"/>
      <c r="BG201" s="1247"/>
      <c r="BH201" s="1247"/>
      <c r="BI201" s="1247"/>
      <c r="BJ201" s="1247"/>
      <c r="BK201" s="1247"/>
      <c r="BL201" s="1247"/>
    </row>
    <row r="202" spans="2:64" ht="15.75" customHeight="1">
      <c r="B202" s="96" t="s">
        <v>12316</v>
      </c>
      <c r="C202" s="97" t="s">
        <v>137</v>
      </c>
      <c r="D202" s="97">
        <v>3</v>
      </c>
      <c r="E202" s="1510"/>
      <c r="F202" s="1510"/>
      <c r="G202" s="1510"/>
      <c r="H202" s="1510"/>
      <c r="I202" s="1510"/>
      <c r="J202" s="1510"/>
      <c r="K202" s="2043"/>
      <c r="L202" s="1977"/>
      <c r="M202" s="2045"/>
      <c r="N202" s="1510"/>
      <c r="O202" s="1510"/>
      <c r="P202" s="1510"/>
      <c r="Q202" s="1510"/>
      <c r="R202" s="1510"/>
      <c r="S202" s="2043"/>
      <c r="T202" s="1974"/>
      <c r="U202" s="1976" t="s">
        <v>12094</v>
      </c>
      <c r="V202" s="1510"/>
      <c r="W202" s="1510"/>
      <c r="X202" s="1510"/>
      <c r="Y202" s="2198"/>
      <c r="Z202" s="2329"/>
      <c r="AA202" s="2329"/>
      <c r="AB202" s="2329"/>
      <c r="AC202" s="2329"/>
      <c r="AD202" s="2330"/>
      <c r="AE202" s="88"/>
      <c r="AF202" s="98" t="s">
        <v>12317</v>
      </c>
      <c r="AG202" s="2560"/>
      <c r="AH202" s="2589"/>
      <c r="AI202" s="1121">
        <f t="shared" ref="AI202:AI208" si="72">IF( SUM( AK202:BE202 ) = 0, 0, $AK$5 )</f>
        <v>0</v>
      </c>
      <c r="AJ202" s="2589"/>
      <c r="AK202" s="252">
        <f t="shared" ref="AK202:AK208" si="73" xml:space="preserve"> IF(SUM($E202:$K202,$M202:$S202,$V202:$AD202)&gt;0,IF( ISNUMBER(E202 ), 0, 1 ),0)</f>
        <v>0</v>
      </c>
      <c r="AL202" s="252">
        <f t="shared" si="55"/>
        <v>0</v>
      </c>
      <c r="AM202" s="252">
        <f t="shared" si="56"/>
        <v>0</v>
      </c>
      <c r="AN202" s="252">
        <f t="shared" si="57"/>
        <v>0</v>
      </c>
      <c r="AO202" s="252">
        <f t="shared" si="58"/>
        <v>0</v>
      </c>
      <c r="AP202" s="252">
        <f t="shared" si="59"/>
        <v>0</v>
      </c>
      <c r="AQ202" s="252">
        <f t="shared" si="60"/>
        <v>0</v>
      </c>
      <c r="AR202" s="2560"/>
      <c r="AS202" s="252">
        <f t="shared" si="61"/>
        <v>0</v>
      </c>
      <c r="AT202" s="252">
        <f t="shared" si="62"/>
        <v>0</v>
      </c>
      <c r="AU202" s="252">
        <f t="shared" si="63"/>
        <v>0</v>
      </c>
      <c r="AV202" s="252">
        <f t="shared" si="64"/>
        <v>0</v>
      </c>
      <c r="AW202" s="252">
        <f t="shared" si="65"/>
        <v>0</v>
      </c>
      <c r="AX202" s="252">
        <f t="shared" si="66"/>
        <v>0</v>
      </c>
      <c r="AY202" s="252">
        <f t="shared" si="67"/>
        <v>0</v>
      </c>
      <c r="AZ202" s="2560"/>
      <c r="BA202" s="2560"/>
      <c r="BB202" s="252">
        <f t="shared" si="68"/>
        <v>0</v>
      </c>
      <c r="BC202" s="252">
        <f t="shared" si="69"/>
        <v>0</v>
      </c>
      <c r="BD202" s="252">
        <f t="shared" si="70"/>
        <v>0</v>
      </c>
      <c r="BE202" s="252">
        <f t="shared" si="71"/>
        <v>0</v>
      </c>
      <c r="BF202" s="2589"/>
      <c r="BG202" s="1247"/>
      <c r="BH202" s="1247"/>
      <c r="BI202" s="1247"/>
      <c r="BJ202" s="1247"/>
      <c r="BK202" s="1247"/>
      <c r="BL202" s="1247"/>
    </row>
    <row r="203" spans="2:64" ht="15.75" customHeight="1">
      <c r="B203" s="96" t="s">
        <v>12318</v>
      </c>
      <c r="C203" s="97" t="s">
        <v>137</v>
      </c>
      <c r="D203" s="97">
        <v>3</v>
      </c>
      <c r="E203" s="1510"/>
      <c r="F203" s="1510"/>
      <c r="G203" s="1510"/>
      <c r="H203" s="1510"/>
      <c r="I203" s="1510"/>
      <c r="J203" s="1510"/>
      <c r="K203" s="2043"/>
      <c r="L203" s="1977"/>
      <c r="M203" s="2045"/>
      <c r="N203" s="1510"/>
      <c r="O203" s="1510"/>
      <c r="P203" s="1510"/>
      <c r="Q203" s="1510"/>
      <c r="R203" s="1510"/>
      <c r="S203" s="2043"/>
      <c r="T203" s="1974"/>
      <c r="U203" s="1976" t="s">
        <v>12094</v>
      </c>
      <c r="V203" s="1510"/>
      <c r="W203" s="1510"/>
      <c r="X203" s="1510"/>
      <c r="Y203" s="2198"/>
      <c r="Z203" s="2329"/>
      <c r="AA203" s="2329"/>
      <c r="AB203" s="2329"/>
      <c r="AC203" s="2329"/>
      <c r="AD203" s="2330"/>
      <c r="AE203" s="88"/>
      <c r="AF203" s="98" t="s">
        <v>12319</v>
      </c>
      <c r="AG203" s="2560"/>
      <c r="AH203" s="2589"/>
      <c r="AI203" s="1121">
        <f t="shared" si="72"/>
        <v>0</v>
      </c>
      <c r="AJ203" s="2589"/>
      <c r="AK203" s="252">
        <f t="shared" si="73"/>
        <v>0</v>
      </c>
      <c r="AL203" s="252">
        <f t="shared" si="55"/>
        <v>0</v>
      </c>
      <c r="AM203" s="252">
        <f t="shared" si="56"/>
        <v>0</v>
      </c>
      <c r="AN203" s="252">
        <f t="shared" si="57"/>
        <v>0</v>
      </c>
      <c r="AO203" s="252">
        <f t="shared" si="58"/>
        <v>0</v>
      </c>
      <c r="AP203" s="252">
        <f t="shared" si="59"/>
        <v>0</v>
      </c>
      <c r="AQ203" s="252">
        <f t="shared" si="60"/>
        <v>0</v>
      </c>
      <c r="AR203" s="2560"/>
      <c r="AS203" s="252">
        <f t="shared" si="61"/>
        <v>0</v>
      </c>
      <c r="AT203" s="252">
        <f t="shared" si="62"/>
        <v>0</v>
      </c>
      <c r="AU203" s="252">
        <f t="shared" si="63"/>
        <v>0</v>
      </c>
      <c r="AV203" s="252">
        <f t="shared" si="64"/>
        <v>0</v>
      </c>
      <c r="AW203" s="252">
        <f t="shared" si="65"/>
        <v>0</v>
      </c>
      <c r="AX203" s="252">
        <f t="shared" si="66"/>
        <v>0</v>
      </c>
      <c r="AY203" s="252">
        <f t="shared" si="67"/>
        <v>0</v>
      </c>
      <c r="AZ203" s="2560"/>
      <c r="BA203" s="2560"/>
      <c r="BB203" s="252">
        <f t="shared" si="68"/>
        <v>0</v>
      </c>
      <c r="BC203" s="252">
        <f t="shared" si="69"/>
        <v>0</v>
      </c>
      <c r="BD203" s="252">
        <f t="shared" si="70"/>
        <v>0</v>
      </c>
      <c r="BE203" s="252">
        <f t="shared" si="71"/>
        <v>0</v>
      </c>
      <c r="BF203" s="2589"/>
      <c r="BG203" s="1247"/>
      <c r="BH203" s="1247"/>
      <c r="BI203" s="1247"/>
      <c r="BJ203" s="1247"/>
      <c r="BK203" s="1247"/>
      <c r="BL203" s="1247"/>
    </row>
    <row r="204" spans="2:64" ht="15.75" customHeight="1">
      <c r="B204" s="96" t="s">
        <v>12320</v>
      </c>
      <c r="C204" s="97" t="s">
        <v>137</v>
      </c>
      <c r="D204" s="97">
        <v>3</v>
      </c>
      <c r="E204" s="1510"/>
      <c r="F204" s="1510"/>
      <c r="G204" s="1510"/>
      <c r="H204" s="1510"/>
      <c r="I204" s="1510"/>
      <c r="J204" s="1510"/>
      <c r="K204" s="2043"/>
      <c r="L204" s="1977"/>
      <c r="M204" s="2045"/>
      <c r="N204" s="1510"/>
      <c r="O204" s="1510"/>
      <c r="P204" s="1510"/>
      <c r="Q204" s="1510"/>
      <c r="R204" s="1510"/>
      <c r="S204" s="2043"/>
      <c r="T204" s="1974"/>
      <c r="U204" s="1976" t="s">
        <v>12094</v>
      </c>
      <c r="V204" s="1510"/>
      <c r="W204" s="1510"/>
      <c r="X204" s="1510"/>
      <c r="Y204" s="2198"/>
      <c r="Z204" s="2329"/>
      <c r="AA204" s="2329"/>
      <c r="AB204" s="2329"/>
      <c r="AC204" s="2329"/>
      <c r="AD204" s="2330"/>
      <c r="AE204" s="88"/>
      <c r="AF204" s="98" t="s">
        <v>12321</v>
      </c>
      <c r="AG204" s="2560"/>
      <c r="AH204" s="2589"/>
      <c r="AI204" s="1121">
        <f t="shared" si="72"/>
        <v>0</v>
      </c>
      <c r="AJ204" s="2589"/>
      <c r="AK204" s="252">
        <f t="shared" si="73"/>
        <v>0</v>
      </c>
      <c r="AL204" s="252">
        <f t="shared" si="55"/>
        <v>0</v>
      </c>
      <c r="AM204" s="252">
        <f t="shared" si="56"/>
        <v>0</v>
      </c>
      <c r="AN204" s="252">
        <f t="shared" si="57"/>
        <v>0</v>
      </c>
      <c r="AO204" s="252">
        <f t="shared" si="58"/>
        <v>0</v>
      </c>
      <c r="AP204" s="252">
        <f t="shared" si="59"/>
        <v>0</v>
      </c>
      <c r="AQ204" s="252">
        <f t="shared" si="60"/>
        <v>0</v>
      </c>
      <c r="AR204" s="2560"/>
      <c r="AS204" s="252">
        <f t="shared" si="61"/>
        <v>0</v>
      </c>
      <c r="AT204" s="252">
        <f t="shared" si="62"/>
        <v>0</v>
      </c>
      <c r="AU204" s="252">
        <f t="shared" si="63"/>
        <v>0</v>
      </c>
      <c r="AV204" s="252">
        <f t="shared" si="64"/>
        <v>0</v>
      </c>
      <c r="AW204" s="252">
        <f t="shared" si="65"/>
        <v>0</v>
      </c>
      <c r="AX204" s="252">
        <f t="shared" si="66"/>
        <v>0</v>
      </c>
      <c r="AY204" s="252">
        <f t="shared" si="67"/>
        <v>0</v>
      </c>
      <c r="AZ204" s="2560"/>
      <c r="BA204" s="2560"/>
      <c r="BB204" s="252">
        <f t="shared" si="68"/>
        <v>0</v>
      </c>
      <c r="BC204" s="252">
        <f t="shared" si="69"/>
        <v>0</v>
      </c>
      <c r="BD204" s="252">
        <f t="shared" si="70"/>
        <v>0</v>
      </c>
      <c r="BE204" s="252">
        <f t="shared" si="71"/>
        <v>0</v>
      </c>
      <c r="BF204" s="2589"/>
      <c r="BG204" s="1247"/>
      <c r="BH204" s="1247"/>
      <c r="BI204" s="1247"/>
      <c r="BJ204" s="1247"/>
      <c r="BK204" s="1247"/>
      <c r="BL204" s="1247"/>
    </row>
    <row r="205" spans="2:64" ht="15.75" customHeight="1">
      <c r="B205" s="96" t="s">
        <v>12322</v>
      </c>
      <c r="C205" s="97" t="s">
        <v>137</v>
      </c>
      <c r="D205" s="97">
        <v>3</v>
      </c>
      <c r="E205" s="1510"/>
      <c r="F205" s="1510"/>
      <c r="G205" s="1510"/>
      <c r="H205" s="1510"/>
      <c r="I205" s="1510"/>
      <c r="J205" s="1510"/>
      <c r="K205" s="2043"/>
      <c r="L205" s="1977"/>
      <c r="M205" s="2045"/>
      <c r="N205" s="1510"/>
      <c r="O205" s="1510"/>
      <c r="P205" s="1510"/>
      <c r="Q205" s="1510"/>
      <c r="R205" s="1510"/>
      <c r="S205" s="2043"/>
      <c r="T205" s="1974"/>
      <c r="U205" s="1976" t="s">
        <v>12094</v>
      </c>
      <c r="V205" s="1510"/>
      <c r="W205" s="1510"/>
      <c r="X205" s="1510"/>
      <c r="Y205" s="2198"/>
      <c r="Z205" s="2329"/>
      <c r="AA205" s="2329"/>
      <c r="AB205" s="2329"/>
      <c r="AC205" s="2329"/>
      <c r="AD205" s="2330"/>
      <c r="AE205" s="88"/>
      <c r="AF205" s="98" t="s">
        <v>12323</v>
      </c>
      <c r="AG205" s="2560"/>
      <c r="AH205" s="2589"/>
      <c r="AI205" s="1121">
        <f t="shared" si="72"/>
        <v>0</v>
      </c>
      <c r="AJ205" s="2589"/>
      <c r="AK205" s="252">
        <f t="shared" si="73"/>
        <v>0</v>
      </c>
      <c r="AL205" s="252">
        <f t="shared" si="55"/>
        <v>0</v>
      </c>
      <c r="AM205" s="252">
        <f t="shared" si="56"/>
        <v>0</v>
      </c>
      <c r="AN205" s="252">
        <f t="shared" si="57"/>
        <v>0</v>
      </c>
      <c r="AO205" s="252">
        <f t="shared" si="58"/>
        <v>0</v>
      </c>
      <c r="AP205" s="252">
        <f t="shared" si="59"/>
        <v>0</v>
      </c>
      <c r="AQ205" s="252">
        <f t="shared" si="60"/>
        <v>0</v>
      </c>
      <c r="AR205" s="2560"/>
      <c r="AS205" s="252">
        <f t="shared" si="61"/>
        <v>0</v>
      </c>
      <c r="AT205" s="252">
        <f t="shared" si="62"/>
        <v>0</v>
      </c>
      <c r="AU205" s="252">
        <f t="shared" si="63"/>
        <v>0</v>
      </c>
      <c r="AV205" s="252">
        <f t="shared" si="64"/>
        <v>0</v>
      </c>
      <c r="AW205" s="252">
        <f t="shared" si="65"/>
        <v>0</v>
      </c>
      <c r="AX205" s="252">
        <f t="shared" si="66"/>
        <v>0</v>
      </c>
      <c r="AY205" s="252">
        <f t="shared" si="67"/>
        <v>0</v>
      </c>
      <c r="AZ205" s="2560"/>
      <c r="BA205" s="2560"/>
      <c r="BB205" s="252">
        <f t="shared" si="68"/>
        <v>0</v>
      </c>
      <c r="BC205" s="252">
        <f t="shared" si="69"/>
        <v>0</v>
      </c>
      <c r="BD205" s="252">
        <f t="shared" si="70"/>
        <v>0</v>
      </c>
      <c r="BE205" s="252">
        <f t="shared" si="71"/>
        <v>0</v>
      </c>
      <c r="BF205" s="2589"/>
      <c r="BG205" s="1247"/>
      <c r="BH205" s="1247"/>
      <c r="BI205" s="1247"/>
      <c r="BJ205" s="1247"/>
      <c r="BK205" s="1247"/>
      <c r="BL205" s="1247"/>
    </row>
    <row r="206" spans="2:64" ht="15.75" customHeight="1">
      <c r="B206" s="96" t="s">
        <v>12324</v>
      </c>
      <c r="C206" s="97" t="s">
        <v>137</v>
      </c>
      <c r="D206" s="97">
        <v>3</v>
      </c>
      <c r="E206" s="1510"/>
      <c r="F206" s="1510"/>
      <c r="G206" s="1510"/>
      <c r="H206" s="1510"/>
      <c r="I206" s="1510"/>
      <c r="J206" s="1510"/>
      <c r="K206" s="2043"/>
      <c r="L206" s="1977"/>
      <c r="M206" s="2045"/>
      <c r="N206" s="1510"/>
      <c r="O206" s="1510"/>
      <c r="P206" s="1510"/>
      <c r="Q206" s="1510"/>
      <c r="R206" s="1510"/>
      <c r="S206" s="2043"/>
      <c r="T206" s="1974"/>
      <c r="U206" s="1976" t="s">
        <v>12094</v>
      </c>
      <c r="V206" s="1510"/>
      <c r="W206" s="1510"/>
      <c r="X206" s="1510"/>
      <c r="Y206" s="2198"/>
      <c r="Z206" s="2329"/>
      <c r="AA206" s="2329"/>
      <c r="AB206" s="2329"/>
      <c r="AC206" s="2329"/>
      <c r="AD206" s="2330"/>
      <c r="AE206" s="88"/>
      <c r="AF206" s="98" t="s">
        <v>12325</v>
      </c>
      <c r="AG206" s="2560"/>
      <c r="AH206" s="2589"/>
      <c r="AI206" s="1121">
        <f t="shared" si="72"/>
        <v>0</v>
      </c>
      <c r="AJ206" s="2589"/>
      <c r="AK206" s="252">
        <f t="shared" si="73"/>
        <v>0</v>
      </c>
      <c r="AL206" s="252">
        <f t="shared" si="55"/>
        <v>0</v>
      </c>
      <c r="AM206" s="252">
        <f t="shared" si="56"/>
        <v>0</v>
      </c>
      <c r="AN206" s="252">
        <f t="shared" si="57"/>
        <v>0</v>
      </c>
      <c r="AO206" s="252">
        <f t="shared" si="58"/>
        <v>0</v>
      </c>
      <c r="AP206" s="252">
        <f t="shared" si="59"/>
        <v>0</v>
      </c>
      <c r="AQ206" s="252">
        <f t="shared" si="60"/>
        <v>0</v>
      </c>
      <c r="AR206" s="2560"/>
      <c r="AS206" s="252">
        <f t="shared" si="61"/>
        <v>0</v>
      </c>
      <c r="AT206" s="252">
        <f t="shared" si="62"/>
        <v>0</v>
      </c>
      <c r="AU206" s="252">
        <f t="shared" si="63"/>
        <v>0</v>
      </c>
      <c r="AV206" s="252">
        <f t="shared" si="64"/>
        <v>0</v>
      </c>
      <c r="AW206" s="252">
        <f t="shared" si="65"/>
        <v>0</v>
      </c>
      <c r="AX206" s="252">
        <f t="shared" si="66"/>
        <v>0</v>
      </c>
      <c r="AY206" s="252">
        <f t="shared" si="67"/>
        <v>0</v>
      </c>
      <c r="AZ206" s="2560"/>
      <c r="BA206" s="2560"/>
      <c r="BB206" s="252">
        <f t="shared" si="68"/>
        <v>0</v>
      </c>
      <c r="BC206" s="252">
        <f t="shared" si="69"/>
        <v>0</v>
      </c>
      <c r="BD206" s="252">
        <f t="shared" si="70"/>
        <v>0</v>
      </c>
      <c r="BE206" s="252">
        <f t="shared" si="71"/>
        <v>0</v>
      </c>
      <c r="BF206" s="2589"/>
      <c r="BG206" s="1247"/>
      <c r="BH206" s="1247"/>
      <c r="BI206" s="1247"/>
      <c r="BJ206" s="1247"/>
      <c r="BK206" s="1247"/>
      <c r="BL206" s="1247"/>
    </row>
    <row r="207" spans="2:64" ht="15.75" customHeight="1">
      <c r="B207" s="96" t="s">
        <v>12326</v>
      </c>
      <c r="C207" s="97" t="s">
        <v>137</v>
      </c>
      <c r="D207" s="97">
        <v>3</v>
      </c>
      <c r="E207" s="1510"/>
      <c r="F207" s="1510"/>
      <c r="G207" s="1510"/>
      <c r="H207" s="1510"/>
      <c r="I207" s="1510"/>
      <c r="J207" s="1510"/>
      <c r="K207" s="2043"/>
      <c r="L207" s="1977"/>
      <c r="M207" s="2045"/>
      <c r="N207" s="1510"/>
      <c r="O207" s="1510"/>
      <c r="P207" s="1510"/>
      <c r="Q207" s="1510"/>
      <c r="R207" s="1510"/>
      <c r="S207" s="2043"/>
      <c r="T207" s="1974"/>
      <c r="U207" s="1976" t="s">
        <v>12094</v>
      </c>
      <c r="V207" s="1510"/>
      <c r="W207" s="1510"/>
      <c r="X207" s="1510"/>
      <c r="Y207" s="2198"/>
      <c r="Z207" s="2329"/>
      <c r="AA207" s="2329"/>
      <c r="AB207" s="2329"/>
      <c r="AC207" s="2329"/>
      <c r="AD207" s="2330"/>
      <c r="AE207" s="88"/>
      <c r="AF207" s="98" t="s">
        <v>12327</v>
      </c>
      <c r="AG207" s="2560"/>
      <c r="AH207" s="2589"/>
      <c r="AI207" s="1121">
        <f t="shared" si="72"/>
        <v>0</v>
      </c>
      <c r="AJ207" s="2589"/>
      <c r="AK207" s="252">
        <f t="shared" si="73"/>
        <v>0</v>
      </c>
      <c r="AL207" s="252">
        <f t="shared" si="55"/>
        <v>0</v>
      </c>
      <c r="AM207" s="252">
        <f t="shared" si="56"/>
        <v>0</v>
      </c>
      <c r="AN207" s="252">
        <f t="shared" si="57"/>
        <v>0</v>
      </c>
      <c r="AO207" s="252">
        <f t="shared" si="58"/>
        <v>0</v>
      </c>
      <c r="AP207" s="252">
        <f t="shared" si="59"/>
        <v>0</v>
      </c>
      <c r="AQ207" s="252">
        <f t="shared" si="60"/>
        <v>0</v>
      </c>
      <c r="AR207" s="2560"/>
      <c r="AS207" s="252">
        <f t="shared" si="61"/>
        <v>0</v>
      </c>
      <c r="AT207" s="252">
        <f t="shared" si="62"/>
        <v>0</v>
      </c>
      <c r="AU207" s="252">
        <f t="shared" si="63"/>
        <v>0</v>
      </c>
      <c r="AV207" s="252">
        <f t="shared" si="64"/>
        <v>0</v>
      </c>
      <c r="AW207" s="252">
        <f t="shared" si="65"/>
        <v>0</v>
      </c>
      <c r="AX207" s="252">
        <f t="shared" si="66"/>
        <v>0</v>
      </c>
      <c r="AY207" s="252">
        <f t="shared" si="67"/>
        <v>0</v>
      </c>
      <c r="AZ207" s="2560"/>
      <c r="BA207" s="2560"/>
      <c r="BB207" s="252">
        <f t="shared" si="68"/>
        <v>0</v>
      </c>
      <c r="BC207" s="252">
        <f t="shared" si="69"/>
        <v>0</v>
      </c>
      <c r="BD207" s="252">
        <f t="shared" si="70"/>
        <v>0</v>
      </c>
      <c r="BE207" s="252">
        <f t="shared" si="71"/>
        <v>0</v>
      </c>
      <c r="BF207" s="2589"/>
      <c r="BG207" s="1247"/>
      <c r="BH207" s="1247"/>
      <c r="BI207" s="1247"/>
      <c r="BJ207" s="1247"/>
      <c r="BK207" s="1247"/>
      <c r="BL207" s="1247"/>
    </row>
    <row r="208" spans="2:64" ht="15.75" customHeight="1" thickBot="1">
      <c r="B208" s="96" t="s">
        <v>12328</v>
      </c>
      <c r="C208" s="97" t="s">
        <v>137</v>
      </c>
      <c r="D208" s="97">
        <v>3</v>
      </c>
      <c r="E208" s="1510"/>
      <c r="F208" s="1510"/>
      <c r="G208" s="1510"/>
      <c r="H208" s="1510"/>
      <c r="I208" s="1510"/>
      <c r="J208" s="1510"/>
      <c r="K208" s="2043"/>
      <c r="L208" s="1977"/>
      <c r="M208" s="2045"/>
      <c r="N208" s="1510"/>
      <c r="O208" s="1510"/>
      <c r="P208" s="1510"/>
      <c r="Q208" s="1510"/>
      <c r="R208" s="1510"/>
      <c r="S208" s="2043"/>
      <c r="T208" s="1974"/>
      <c r="U208" s="1978" t="s">
        <v>12094</v>
      </c>
      <c r="V208" s="1512"/>
      <c r="W208" s="1512"/>
      <c r="X208" s="1512"/>
      <c r="Y208" s="2199"/>
      <c r="Z208" s="2331"/>
      <c r="AA208" s="2331"/>
      <c r="AB208" s="2331"/>
      <c r="AC208" s="2331"/>
      <c r="AD208" s="2332"/>
      <c r="AE208" s="88"/>
      <c r="AF208" s="98" t="s">
        <v>12329</v>
      </c>
      <c r="AG208" s="2560"/>
      <c r="AH208" s="2589"/>
      <c r="AI208" s="1121">
        <f t="shared" si="72"/>
        <v>0</v>
      </c>
      <c r="AJ208" s="2589"/>
      <c r="AK208" s="252">
        <f t="shared" si="73"/>
        <v>0</v>
      </c>
      <c r="AL208" s="252">
        <f t="shared" si="55"/>
        <v>0</v>
      </c>
      <c r="AM208" s="252">
        <f t="shared" si="56"/>
        <v>0</v>
      </c>
      <c r="AN208" s="252">
        <f t="shared" si="57"/>
        <v>0</v>
      </c>
      <c r="AO208" s="252">
        <f t="shared" si="58"/>
        <v>0</v>
      </c>
      <c r="AP208" s="252">
        <f t="shared" si="59"/>
        <v>0</v>
      </c>
      <c r="AQ208" s="252">
        <f t="shared" si="60"/>
        <v>0</v>
      </c>
      <c r="AR208" s="2560"/>
      <c r="AS208" s="252">
        <f t="shared" si="61"/>
        <v>0</v>
      </c>
      <c r="AT208" s="252">
        <f t="shared" si="62"/>
        <v>0</v>
      </c>
      <c r="AU208" s="252">
        <f t="shared" si="63"/>
        <v>0</v>
      </c>
      <c r="AV208" s="252">
        <f t="shared" si="64"/>
        <v>0</v>
      </c>
      <c r="AW208" s="252">
        <f t="shared" si="65"/>
        <v>0</v>
      </c>
      <c r="AX208" s="252">
        <f t="shared" si="66"/>
        <v>0</v>
      </c>
      <c r="AY208" s="252">
        <f t="shared" si="67"/>
        <v>0</v>
      </c>
      <c r="AZ208" s="2560"/>
      <c r="BA208" s="2560"/>
      <c r="BB208" s="252">
        <f t="shared" si="68"/>
        <v>0</v>
      </c>
      <c r="BC208" s="252">
        <f t="shared" si="69"/>
        <v>0</v>
      </c>
      <c r="BD208" s="252">
        <f t="shared" si="70"/>
        <v>0</v>
      </c>
      <c r="BE208" s="252">
        <f t="shared" si="71"/>
        <v>0</v>
      </c>
      <c r="BF208" s="2589"/>
      <c r="BG208" s="1247"/>
      <c r="BH208" s="1247"/>
      <c r="BI208" s="1247"/>
      <c r="BJ208" s="1247"/>
      <c r="BK208" s="1247"/>
      <c r="BL208" s="1247"/>
    </row>
    <row r="209" spans="2:64" ht="15.75" customHeight="1" thickTop="1" thickBot="1">
      <c r="B209" s="100" t="s">
        <v>2112</v>
      </c>
      <c r="C209" s="101" t="s">
        <v>137</v>
      </c>
      <c r="D209" s="101">
        <v>3</v>
      </c>
      <c r="E209" s="1521">
        <f>IFERROR(SUM(E9:E208),0)</f>
        <v>0.27000000000000013</v>
      </c>
      <c r="F209" s="1521">
        <f t="shared" ref="F209:K209" si="74">IFERROR(SUM(F9:F208),0)</f>
        <v>13.716000000000001</v>
      </c>
      <c r="G209" s="1521">
        <f t="shared" si="74"/>
        <v>45.735000000000014</v>
      </c>
      <c r="H209" s="1521">
        <f t="shared" si="74"/>
        <v>83.395999999999987</v>
      </c>
      <c r="I209" s="1521">
        <f t="shared" si="74"/>
        <v>202.59399999999994</v>
      </c>
      <c r="J209" s="1521">
        <f t="shared" si="74"/>
        <v>141.32699999999991</v>
      </c>
      <c r="K209" s="1513">
        <f t="shared" si="74"/>
        <v>0</v>
      </c>
      <c r="L209" s="85"/>
      <c r="M209" s="2046">
        <f t="shared" ref="M209:S209" si="75">IFERROR(SUM(M9:M208),0)</f>
        <v>0</v>
      </c>
      <c r="N209" s="1521">
        <f t="shared" si="75"/>
        <v>2.8000000000000001E-2</v>
      </c>
      <c r="O209" s="1521">
        <f t="shared" si="75"/>
        <v>0.20800000000000002</v>
      </c>
      <c r="P209" s="1521">
        <f t="shared" si="75"/>
        <v>0.35399999999999998</v>
      </c>
      <c r="Q209" s="1521">
        <f t="shared" si="75"/>
        <v>0.35399999999999998</v>
      </c>
      <c r="R209" s="1521">
        <f t="shared" si="75"/>
        <v>11.078499999999996</v>
      </c>
      <c r="S209" s="1513">
        <f t="shared" si="75"/>
        <v>21.80299999999999</v>
      </c>
      <c r="T209" s="88"/>
      <c r="U209" s="88"/>
      <c r="V209" s="88"/>
      <c r="W209" s="88"/>
      <c r="X209" s="88"/>
      <c r="Y209" s="88"/>
      <c r="Z209" s="88"/>
      <c r="AA209" s="88"/>
      <c r="AB209" s="88"/>
      <c r="AC209" s="88"/>
      <c r="AD209" s="88"/>
      <c r="AE209" s="88"/>
      <c r="AF209" s="102" t="s">
        <v>12330</v>
      </c>
      <c r="AG209" s="2560"/>
      <c r="AH209" s="2589"/>
      <c r="AI209" s="2560"/>
      <c r="AJ209" s="2589"/>
      <c r="AK209" s="2560"/>
      <c r="AL209" s="2560"/>
      <c r="AM209" s="2560"/>
      <c r="AN209" s="2560"/>
      <c r="AO209" s="2560"/>
      <c r="AP209" s="2560"/>
      <c r="AQ209" s="2560"/>
      <c r="AR209" s="2560"/>
      <c r="AS209" s="2560"/>
      <c r="AT209" s="2560"/>
      <c r="AU209" s="2560"/>
      <c r="AV209" s="2560"/>
      <c r="AW209" s="2560"/>
      <c r="AX209" s="2560"/>
      <c r="AY209" s="2560"/>
      <c r="AZ209" s="2560"/>
      <c r="BA209" s="2560"/>
      <c r="BB209" s="2560"/>
      <c r="BC209" s="2560"/>
      <c r="BD209" s="2560"/>
      <c r="BE209" s="2560"/>
      <c r="BF209" s="2589"/>
      <c r="BG209" s="1247"/>
      <c r="BH209" s="1247"/>
      <c r="BI209" s="1247"/>
      <c r="BJ209" s="1247"/>
      <c r="BK209" s="1247"/>
      <c r="BL209" s="1247"/>
    </row>
    <row r="210" spans="2:64" ht="16" thickTop="1">
      <c r="B210" s="322"/>
      <c r="C210" s="85"/>
      <c r="D210" s="85"/>
      <c r="E210" s="86"/>
      <c r="F210" s="86"/>
      <c r="G210" s="86"/>
      <c r="H210" s="86"/>
      <c r="I210" s="86"/>
      <c r="J210" s="86"/>
      <c r="K210" s="83"/>
      <c r="L210" s="86"/>
      <c r="M210" s="1245"/>
      <c r="N210" s="1245"/>
      <c r="O210" s="1245"/>
      <c r="P210" s="1245"/>
      <c r="Q210" s="1245"/>
      <c r="R210" s="1245"/>
      <c r="S210" s="1245"/>
      <c r="T210" s="2890"/>
      <c r="U210" s="2890"/>
      <c r="V210" s="1245"/>
      <c r="W210" s="1245"/>
      <c r="X210" s="1245"/>
      <c r="Y210" s="1245"/>
      <c r="Z210" s="1245"/>
      <c r="AA210" s="1245"/>
      <c r="AB210" s="1245"/>
      <c r="AC210" s="1245"/>
      <c r="AD210" s="1245"/>
      <c r="AE210" s="2890"/>
      <c r="AF210" s="2890"/>
      <c r="AG210" s="2560"/>
      <c r="AH210" s="2560"/>
      <c r="AI210" s="2560"/>
      <c r="AJ210" s="2560"/>
      <c r="AK210" s="2560"/>
      <c r="AL210" s="2560"/>
      <c r="AM210" s="2560"/>
      <c r="AN210" s="2560"/>
      <c r="AO210" s="2560"/>
      <c r="AP210" s="2560"/>
      <c r="AQ210" s="2560"/>
      <c r="AR210" s="2560"/>
      <c r="AS210" s="2560"/>
      <c r="AT210" s="2560"/>
      <c r="AU210" s="2560"/>
      <c r="AV210" s="2560"/>
      <c r="AW210" s="2560"/>
      <c r="AX210" s="2560"/>
      <c r="AY210" s="2560"/>
      <c r="AZ210" s="2560"/>
      <c r="BA210" s="2560"/>
      <c r="BB210" s="2560"/>
      <c r="BC210" s="2560"/>
      <c r="BD210" s="2560"/>
      <c r="BE210" s="2560"/>
      <c r="BF210" s="2560"/>
      <c r="BG210" s="1245"/>
      <c r="BH210" s="1245"/>
      <c r="BI210" s="1245"/>
      <c r="BJ210" s="1245"/>
      <c r="BK210" s="1245"/>
      <c r="BL210" s="1245"/>
    </row>
    <row r="211" spans="2:64" ht="15.5">
      <c r="B211" s="322"/>
      <c r="C211" s="2560"/>
      <c r="D211" s="2560"/>
      <c r="E211" s="2560"/>
      <c r="F211" s="2560"/>
      <c r="G211" s="2560"/>
      <c r="H211" s="2560"/>
      <c r="I211" s="2560"/>
      <c r="J211" s="2560"/>
      <c r="K211" s="2560"/>
      <c r="L211" s="2560"/>
      <c r="M211" s="2560"/>
      <c r="N211" s="2560"/>
      <c r="O211" s="2560"/>
      <c r="P211" s="2560"/>
      <c r="Q211" s="2560"/>
      <c r="R211" s="2560"/>
      <c r="S211" s="2560"/>
      <c r="T211" s="2560"/>
      <c r="U211" s="2560"/>
      <c r="V211" s="2560"/>
      <c r="W211" s="2560"/>
      <c r="X211" s="2560"/>
      <c r="Y211" s="2560"/>
      <c r="Z211" s="2560"/>
      <c r="AA211" s="2560"/>
      <c r="AB211" s="2560"/>
      <c r="AC211" s="2560"/>
      <c r="AD211" s="2560"/>
      <c r="AE211" s="2560"/>
      <c r="AF211" s="2560"/>
      <c r="AG211" s="2560"/>
      <c r="AH211" s="2560"/>
      <c r="AI211" s="2560"/>
      <c r="AJ211" s="2560"/>
      <c r="AK211" s="2560"/>
      <c r="AL211" s="2560"/>
      <c r="AM211" s="2560"/>
      <c r="AN211" s="2560"/>
      <c r="AO211" s="2560"/>
      <c r="AP211" s="2560"/>
      <c r="AQ211" s="2560"/>
      <c r="AR211" s="2560"/>
      <c r="AS211" s="2560"/>
      <c r="AT211" s="2560"/>
      <c r="AU211" s="2560"/>
      <c r="AV211" s="2560"/>
      <c r="AW211" s="2560"/>
      <c r="AX211" s="2560"/>
      <c r="AY211" s="2560"/>
      <c r="AZ211" s="2560"/>
      <c r="BA211" s="2560"/>
      <c r="BB211" s="2560"/>
      <c r="BC211" s="2560"/>
      <c r="BD211" s="2560"/>
      <c r="BE211" s="2560"/>
      <c r="BF211" s="2560"/>
      <c r="BG211" s="2560"/>
      <c r="BH211" s="2560"/>
      <c r="BI211" s="2560"/>
      <c r="BJ211" s="2560"/>
      <c r="BK211" s="2560"/>
      <c r="BL211" s="2560"/>
    </row>
  </sheetData>
  <sheetProtection formatColumns="0" formatRows="0"/>
  <mergeCells count="19">
    <mergeCell ref="AE1:AF1"/>
    <mergeCell ref="AE2:AF2"/>
    <mergeCell ref="B3:AD3"/>
    <mergeCell ref="AE3:AF3"/>
    <mergeCell ref="AK4:BE4"/>
    <mergeCell ref="T4:U4"/>
    <mergeCell ref="AE4:AF4"/>
    <mergeCell ref="T210:U210"/>
    <mergeCell ref="AE210:AF210"/>
    <mergeCell ref="C7:E7"/>
    <mergeCell ref="T7:U7"/>
    <mergeCell ref="AE7:AF7"/>
    <mergeCell ref="T8:U8"/>
    <mergeCell ref="AE8:AF8"/>
    <mergeCell ref="E5:K5"/>
    <mergeCell ref="M5:S5"/>
    <mergeCell ref="T5:U5"/>
    <mergeCell ref="AF5:AF6"/>
    <mergeCell ref="T6:U6"/>
  </mergeCells>
  <phoneticPr fontId="38" type="noConversion"/>
  <conditionalFormatting sqref="AI9:AI208">
    <cfRule type="cellIs" dxfId="41"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85" zoomScaleNormal="85" zoomScaleSheetLayoutView="100" workbookViewId="0">
      <selection activeCell="E14" sqref="E14:E16"/>
    </sheetView>
  </sheetViews>
  <sheetFormatPr defaultColWidth="9" defaultRowHeight="14"/>
  <cols>
    <col min="1" max="1" width="1.58203125" style="219" customWidth="1"/>
    <col min="2" max="2" width="85.58203125" style="219" bestFit="1" customWidth="1"/>
    <col min="3" max="3" width="12.08203125" style="219" bestFit="1" customWidth="1"/>
    <col min="4" max="4" width="4.58203125" style="219" bestFit="1" customWidth="1"/>
    <col min="5" max="5" width="12.5" style="219" customWidth="1"/>
    <col min="6" max="6" width="1.58203125" style="219" customWidth="1"/>
    <col min="7" max="7" width="11.58203125" style="219" customWidth="1"/>
    <col min="8" max="8" width="1.58203125" style="219" customWidth="1"/>
    <col min="9" max="9" width="29.5" style="219" customWidth="1"/>
    <col min="10" max="11" width="1.58203125" style="219" customWidth="1"/>
    <col min="12" max="12" width="25" style="219" customWidth="1"/>
    <col min="13" max="13" width="1.58203125" style="219" customWidth="1"/>
    <col min="14" max="14" width="25" style="219" hidden="1" customWidth="1"/>
    <col min="15" max="15" width="1.58203125" style="219" hidden="1" customWidth="1"/>
    <col min="16" max="16" width="1.58203125" style="219" customWidth="1"/>
    <col min="17" max="17" width="90.08203125" style="219" bestFit="1" customWidth="1"/>
    <col min="18" max="18" width="12.5" style="219" customWidth="1"/>
    <col min="19" max="19" width="1.58203125" style="219" customWidth="1"/>
    <col min="20" max="16384" width="9" style="219"/>
  </cols>
  <sheetData>
    <row r="1" spans="1:18" ht="30" customHeight="1">
      <c r="A1" s="2560"/>
      <c r="B1" s="1119" t="s">
        <v>12331</v>
      </c>
      <c r="C1" s="1119"/>
      <c r="D1" s="1119"/>
      <c r="E1" s="1119"/>
      <c r="F1" s="1242"/>
      <c r="G1" s="229"/>
      <c r="H1" s="2560"/>
      <c r="I1" s="2560"/>
      <c r="J1" s="2560"/>
      <c r="K1" s="2589"/>
      <c r="L1" s="2560"/>
      <c r="M1" s="2589"/>
      <c r="N1" s="2560"/>
      <c r="O1" s="2589"/>
      <c r="P1" s="2560"/>
      <c r="Q1" s="1119" t="s">
        <v>1887</v>
      </c>
      <c r="R1" s="1119"/>
    </row>
    <row r="2" spans="1:18" ht="30" customHeight="1">
      <c r="A2" s="2560"/>
      <c r="B2" s="1119" t="str">
        <f>SelectCompany!B4</f>
        <v>Yorkshire Water</v>
      </c>
      <c r="C2" s="491"/>
      <c r="D2" s="491"/>
      <c r="E2" s="491"/>
      <c r="F2" s="490"/>
      <c r="G2" s="229"/>
      <c r="H2" s="2560"/>
      <c r="I2" s="2560"/>
      <c r="J2" s="2560"/>
      <c r="K2" s="2589"/>
      <c r="L2" s="2560"/>
      <c r="M2" s="2589"/>
      <c r="N2" s="2560"/>
      <c r="O2" s="2589"/>
      <c r="P2" s="2560"/>
      <c r="Q2" s="1119"/>
      <c r="R2" s="491"/>
    </row>
    <row r="3" spans="1:18" ht="45.75" customHeight="1">
      <c r="A3" s="2560"/>
      <c r="B3" s="2781" t="s">
        <v>12332</v>
      </c>
      <c r="C3" s="2781"/>
      <c r="D3" s="2781"/>
      <c r="E3" s="2781"/>
      <c r="F3" s="2781"/>
      <c r="G3" s="2781"/>
      <c r="H3" s="2781"/>
      <c r="I3" s="2781"/>
      <c r="J3" s="2560"/>
      <c r="K3" s="2589"/>
      <c r="L3" s="1129" t="s">
        <v>1889</v>
      </c>
      <c r="M3" s="2589"/>
      <c r="N3" s="2560"/>
      <c r="O3" s="2589"/>
      <c r="P3" s="2560"/>
      <c r="Q3" s="2781" t="s">
        <v>12332</v>
      </c>
      <c r="R3" s="2781"/>
    </row>
    <row r="4" spans="1:18" ht="15" customHeight="1" thickBot="1">
      <c r="A4" s="2560"/>
      <c r="B4" s="594"/>
      <c r="C4" s="594"/>
      <c r="D4" s="594"/>
      <c r="E4" s="594"/>
      <c r="F4" s="724"/>
      <c r="G4" s="229"/>
      <c r="H4" s="2560"/>
      <c r="I4" s="2560"/>
      <c r="J4" s="2560"/>
      <c r="K4" s="2589"/>
      <c r="L4" s="2560"/>
      <c r="M4" s="2589"/>
      <c r="N4" s="2603" t="s">
        <v>1890</v>
      </c>
      <c r="O4" s="2589"/>
      <c r="P4" s="2560"/>
      <c r="Q4" s="594"/>
      <c r="R4" s="594"/>
    </row>
    <row r="5" spans="1:18" ht="47.5" thickTop="1" thickBot="1">
      <c r="A5" s="222"/>
      <c r="B5" s="407" t="s">
        <v>1891</v>
      </c>
      <c r="C5" s="408" t="s">
        <v>1892</v>
      </c>
      <c r="D5" s="408" t="s">
        <v>136</v>
      </c>
      <c r="E5" s="409" t="s">
        <v>2112</v>
      </c>
      <c r="F5" s="197"/>
      <c r="G5" s="411" t="s">
        <v>1896</v>
      </c>
      <c r="H5" s="222"/>
      <c r="I5" s="411" t="s">
        <v>1897</v>
      </c>
      <c r="J5" s="222"/>
      <c r="K5" s="2589"/>
      <c r="L5" s="2560"/>
      <c r="M5" s="2589"/>
      <c r="N5" s="236" t="s">
        <v>1898</v>
      </c>
      <c r="O5" s="2589"/>
      <c r="P5" s="2560"/>
      <c r="Q5" s="407" t="s">
        <v>1891</v>
      </c>
      <c r="R5" s="409" t="s">
        <v>2112</v>
      </c>
    </row>
    <row r="6" spans="1:18" ht="15.75" customHeight="1" thickTop="1" thickBot="1">
      <c r="A6" s="222"/>
      <c r="B6" s="322"/>
      <c r="C6" s="83"/>
      <c r="D6" s="83"/>
      <c r="E6" s="768"/>
      <c r="F6" s="197"/>
      <c r="G6" s="229"/>
      <c r="H6" s="222"/>
      <c r="I6" s="222"/>
      <c r="J6" s="222"/>
      <c r="K6" s="2589"/>
      <c r="L6" s="2560"/>
      <c r="M6" s="2589"/>
      <c r="N6" s="2560"/>
      <c r="O6" s="2589"/>
      <c r="P6" s="2560"/>
      <c r="Q6" s="322"/>
      <c r="R6" s="768"/>
    </row>
    <row r="7" spans="1:18" ht="16" thickTop="1">
      <c r="A7" s="222"/>
      <c r="B7" s="413" t="s">
        <v>12333</v>
      </c>
      <c r="C7" s="244" t="s">
        <v>12334</v>
      </c>
      <c r="D7" s="244">
        <v>1</v>
      </c>
      <c r="E7" s="1638">
        <v>144.5</v>
      </c>
      <c r="F7" s="106"/>
      <c r="G7" s="248" t="s">
        <v>12335</v>
      </c>
      <c r="H7" s="222"/>
      <c r="I7" s="1120"/>
      <c r="J7" s="222"/>
      <c r="K7" s="2589"/>
      <c r="L7" s="1121">
        <f>IF( SUM( N7:N7 ) = 0, 0, $N$5 )</f>
        <v>0</v>
      </c>
      <c r="M7" s="2589"/>
      <c r="N7" s="252">
        <f xml:space="preserve"> IF( ISNUMBER(E7 ), 0, 1 )</f>
        <v>0</v>
      </c>
      <c r="O7" s="2589"/>
      <c r="P7" s="2560"/>
      <c r="Q7" s="413" t="s">
        <v>12333</v>
      </c>
      <c r="R7" s="856" t="s">
        <v>12336</v>
      </c>
    </row>
    <row r="8" spans="1:18" ht="18.5">
      <c r="A8" s="222"/>
      <c r="B8" s="422" t="s">
        <v>12337</v>
      </c>
      <c r="C8" s="253" t="s">
        <v>12334</v>
      </c>
      <c r="D8" s="253">
        <v>1</v>
      </c>
      <c r="E8" s="1639">
        <v>0</v>
      </c>
      <c r="F8" s="106"/>
      <c r="G8" s="257" t="s">
        <v>12338</v>
      </c>
      <c r="H8" s="222"/>
      <c r="I8" s="1122"/>
      <c r="J8" s="222"/>
      <c r="K8" s="2589"/>
      <c r="L8" s="1121">
        <f t="shared" ref="L8" si="0">IF( SUM( N8:N8 ) = 0, 0, $N$5 )</f>
        <v>0</v>
      </c>
      <c r="M8" s="2589"/>
      <c r="N8" s="252">
        <f t="shared" ref="N8" si="1" xml:space="preserve"> IF( ISNUMBER(E8 ), 0, 1 )</f>
        <v>0</v>
      </c>
      <c r="O8" s="2589"/>
      <c r="P8" s="2560"/>
      <c r="Q8" s="422" t="s">
        <v>12337</v>
      </c>
      <c r="R8" s="860" t="s">
        <v>12339</v>
      </c>
    </row>
    <row r="9" spans="1:18" ht="15.5">
      <c r="A9" s="222"/>
      <c r="B9" s="422" t="s">
        <v>12340</v>
      </c>
      <c r="C9" s="253" t="s">
        <v>12334</v>
      </c>
      <c r="D9" s="253">
        <v>1</v>
      </c>
      <c r="E9" s="1640">
        <f>IFERROR(E7 + E8, 0)</f>
        <v>144.5</v>
      </c>
      <c r="F9" s="106"/>
      <c r="G9" s="257" t="s">
        <v>12341</v>
      </c>
      <c r="H9" s="222"/>
      <c r="I9" s="1122"/>
      <c r="J9" s="222"/>
      <c r="K9" s="2589"/>
      <c r="L9" s="2560"/>
      <c r="M9" s="2589"/>
      <c r="N9" s="2560"/>
      <c r="O9" s="2589"/>
      <c r="P9" s="2560"/>
      <c r="Q9" s="422" t="s">
        <v>12340</v>
      </c>
      <c r="R9" s="1248" t="s">
        <v>12342</v>
      </c>
    </row>
    <row r="10" spans="1:18" ht="15.75" customHeight="1" thickBot="1">
      <c r="A10" s="222"/>
      <c r="B10" s="425" t="s">
        <v>12343</v>
      </c>
      <c r="C10" s="319" t="s">
        <v>12334</v>
      </c>
      <c r="D10" s="319">
        <v>1</v>
      </c>
      <c r="E10" s="1641">
        <v>6</v>
      </c>
      <c r="F10" s="106"/>
      <c r="G10" s="320" t="s">
        <v>12344</v>
      </c>
      <c r="H10" s="222"/>
      <c r="I10" s="1126"/>
      <c r="J10" s="222"/>
      <c r="K10" s="2589"/>
      <c r="L10" s="1121">
        <f>IF( SUM( N10:N10 ) = 0, 0, $N$5 )</f>
        <v>0</v>
      </c>
      <c r="M10" s="2589"/>
      <c r="N10" s="252">
        <f xml:space="preserve"> IF( ISNUMBER(E10 ), 0, 1 )</f>
        <v>0</v>
      </c>
      <c r="O10" s="2589"/>
      <c r="P10" s="2560"/>
      <c r="Q10" s="425" t="s">
        <v>12343</v>
      </c>
      <c r="R10" s="1156" t="s">
        <v>12345</v>
      </c>
    </row>
    <row r="11" spans="1:18" ht="15.75" customHeight="1" thickTop="1" thickBot="1">
      <c r="A11" s="222"/>
      <c r="B11" s="377"/>
      <c r="C11" s="86"/>
      <c r="D11" s="86"/>
      <c r="E11" s="313"/>
      <c r="F11" s="106"/>
      <c r="G11" s="229"/>
      <c r="H11" s="222"/>
      <c r="I11" s="222"/>
      <c r="J11" s="222"/>
      <c r="K11" s="2589"/>
      <c r="L11" s="2560"/>
      <c r="M11" s="2589"/>
      <c r="N11" s="2560"/>
      <c r="O11" s="2589"/>
      <c r="P11" s="2560"/>
      <c r="Q11" s="377"/>
      <c r="R11" s="313"/>
    </row>
    <row r="12" spans="1:18" ht="15.75" customHeight="1" thickTop="1" thickBot="1">
      <c r="A12" s="222"/>
      <c r="B12" s="431" t="s">
        <v>12346</v>
      </c>
      <c r="C12" s="333" t="s">
        <v>1344</v>
      </c>
      <c r="D12" s="333">
        <v>2</v>
      </c>
      <c r="E12" s="1643">
        <v>70.75</v>
      </c>
      <c r="F12" s="106"/>
      <c r="G12" s="336" t="s">
        <v>12347</v>
      </c>
      <c r="H12" s="222"/>
      <c r="I12" s="1250"/>
      <c r="J12" s="222"/>
      <c r="K12" s="2589"/>
      <c r="L12" s="1121">
        <f>IF( SUM( N12:N12 ) = 0, 0, $N$5 )</f>
        <v>0</v>
      </c>
      <c r="M12" s="2589"/>
      <c r="N12" s="252">
        <f xml:space="preserve"> IF( ISNUMBER(E12 ), 0, 1 )</f>
        <v>0</v>
      </c>
      <c r="O12" s="2589"/>
      <c r="P12" s="2560"/>
      <c r="Q12" s="431" t="s">
        <v>12346</v>
      </c>
      <c r="R12" s="1249" t="s">
        <v>12348</v>
      </c>
    </row>
    <row r="13" spans="1:18" ht="15.75" customHeight="1" thickTop="1" thickBot="1">
      <c r="A13" s="222"/>
      <c r="B13" s="417"/>
      <c r="C13" s="313"/>
      <c r="D13" s="313"/>
      <c r="E13" s="313"/>
      <c r="F13" s="106"/>
      <c r="G13" s="229"/>
      <c r="H13" s="222"/>
      <c r="I13" s="222"/>
      <c r="J13" s="222"/>
      <c r="K13" s="2589"/>
      <c r="L13" s="2560"/>
      <c r="M13" s="2589"/>
      <c r="N13" s="2560"/>
      <c r="O13" s="2589"/>
      <c r="P13" s="2560"/>
      <c r="Q13" s="417"/>
      <c r="R13" s="313"/>
    </row>
    <row r="14" spans="1:18" ht="15.75" customHeight="1" thickTop="1">
      <c r="A14" s="222"/>
      <c r="B14" s="413" t="s">
        <v>12349</v>
      </c>
      <c r="C14" s="244" t="s">
        <v>12334</v>
      </c>
      <c r="D14" s="244">
        <v>1</v>
      </c>
      <c r="E14" s="1638">
        <v>80.099999999999994</v>
      </c>
      <c r="F14" s="106"/>
      <c r="G14" s="248" t="s">
        <v>12350</v>
      </c>
      <c r="H14" s="222"/>
      <c r="I14" s="1120"/>
      <c r="J14" s="222"/>
      <c r="K14" s="2589"/>
      <c r="L14" s="1121">
        <f>IF( SUM( N14:N14 ) = 0, 0, $N$5 )</f>
        <v>0</v>
      </c>
      <c r="M14" s="2589"/>
      <c r="N14" s="252">
        <f t="shared" ref="N14:N15" si="2" xml:space="preserve"> IF( ISNUMBER(E14 ), 0, 1 )</f>
        <v>0</v>
      </c>
      <c r="O14" s="2589"/>
      <c r="P14" s="2560"/>
      <c r="Q14" s="413" t="s">
        <v>12349</v>
      </c>
      <c r="R14" s="856" t="s">
        <v>12351</v>
      </c>
    </row>
    <row r="15" spans="1:18" ht="15.75" customHeight="1">
      <c r="A15" s="222"/>
      <c r="B15" s="422" t="s">
        <v>12352</v>
      </c>
      <c r="C15" s="253" t="s">
        <v>12334</v>
      </c>
      <c r="D15" s="253">
        <v>1</v>
      </c>
      <c r="E15" s="1639">
        <v>0</v>
      </c>
      <c r="F15" s="106"/>
      <c r="G15" s="257" t="s">
        <v>12353</v>
      </c>
      <c r="H15" s="222"/>
      <c r="I15" s="1122"/>
      <c r="J15" s="222"/>
      <c r="K15" s="2589"/>
      <c r="L15" s="1121">
        <f>IF( SUM( N15:N15 ) = 0, 0, $N$5 )</f>
        <v>0</v>
      </c>
      <c r="M15" s="2589"/>
      <c r="N15" s="252">
        <f t="shared" si="2"/>
        <v>0</v>
      </c>
      <c r="O15" s="2589"/>
      <c r="P15" s="2560"/>
      <c r="Q15" s="422" t="s">
        <v>12352</v>
      </c>
      <c r="R15" s="860" t="s">
        <v>12354</v>
      </c>
    </row>
    <row r="16" spans="1:18" ht="15.75" customHeight="1" thickBot="1">
      <c r="A16" s="222"/>
      <c r="B16" s="425" t="s">
        <v>12355</v>
      </c>
      <c r="C16" s="319" t="s">
        <v>12334</v>
      </c>
      <c r="D16" s="319">
        <v>1</v>
      </c>
      <c r="E16" s="1642">
        <f>IFERROR(E14 + E15, 0)</f>
        <v>80.099999999999994</v>
      </c>
      <c r="F16" s="106"/>
      <c r="G16" s="320" t="s">
        <v>12356</v>
      </c>
      <c r="H16" s="222"/>
      <c r="I16" s="1126"/>
      <c r="J16" s="222"/>
      <c r="K16" s="2589"/>
      <c r="L16" s="2560"/>
      <c r="M16" s="2589"/>
      <c r="N16" s="2560"/>
      <c r="O16" s="2589"/>
      <c r="P16" s="2560"/>
      <c r="Q16" s="425" t="s">
        <v>12355</v>
      </c>
      <c r="R16" s="1251" t="s">
        <v>12357</v>
      </c>
    </row>
    <row r="17" spans="1:18" ht="15.75" customHeight="1" thickTop="1" thickBot="1">
      <c r="A17" s="222"/>
      <c r="B17" s="417"/>
      <c r="C17" s="417"/>
      <c r="D17" s="417"/>
      <c r="E17" s="313"/>
      <c r="F17" s="106"/>
      <c r="G17" s="229"/>
      <c r="H17" s="222"/>
      <c r="I17" s="222"/>
      <c r="J17" s="222"/>
      <c r="K17" s="2589"/>
      <c r="L17" s="2560"/>
      <c r="M17" s="2589"/>
      <c r="N17" s="2560"/>
      <c r="O17" s="2589"/>
      <c r="P17" s="2560"/>
      <c r="Q17" s="417"/>
      <c r="R17" s="313"/>
    </row>
    <row r="18" spans="1:18" ht="15.75" customHeight="1" thickTop="1">
      <c r="A18" s="222"/>
      <c r="B18" s="413" t="s">
        <v>12358</v>
      </c>
      <c r="C18" s="244" t="s">
        <v>12359</v>
      </c>
      <c r="D18" s="244">
        <v>0</v>
      </c>
      <c r="E18" s="1616">
        <v>2</v>
      </c>
      <c r="F18" s="106"/>
      <c r="G18" s="248" t="s">
        <v>12360</v>
      </c>
      <c r="H18" s="222"/>
      <c r="I18" s="1120"/>
      <c r="J18" s="222"/>
      <c r="K18" s="2589"/>
      <c r="L18" s="1121">
        <f>IF( SUM( N18:N18 ) = 0, 0, $N$5 )</f>
        <v>0</v>
      </c>
      <c r="M18" s="2589"/>
      <c r="N18" s="252">
        <f xml:space="preserve"> IF( ISNUMBER(E18 ), 0, 1 )</f>
        <v>0</v>
      </c>
      <c r="O18" s="2589"/>
      <c r="P18" s="2560"/>
      <c r="Q18" s="413" t="s">
        <v>12358</v>
      </c>
      <c r="R18" s="856" t="s">
        <v>12361</v>
      </c>
    </row>
    <row r="19" spans="1:18" ht="15.75" customHeight="1">
      <c r="A19" s="222"/>
      <c r="B19" s="422" t="s">
        <v>12362</v>
      </c>
      <c r="C19" s="253" t="s">
        <v>12359</v>
      </c>
      <c r="D19" s="253">
        <v>0</v>
      </c>
      <c r="E19" s="1215">
        <v>911</v>
      </c>
      <c r="F19" s="106"/>
      <c r="G19" s="257" t="s">
        <v>12363</v>
      </c>
      <c r="H19" s="222"/>
      <c r="I19" s="1122"/>
      <c r="J19" s="222"/>
      <c r="K19" s="2589"/>
      <c r="L19" s="1121">
        <f>IF( SUM( N19:N19 ) = 0, 0, $N$5 )</f>
        <v>0</v>
      </c>
      <c r="M19" s="2589"/>
      <c r="N19" s="252">
        <f t="shared" ref="N19:N20" si="3" xml:space="preserve"> IF( ISNUMBER(E19 ), 0, 1 )</f>
        <v>0</v>
      </c>
      <c r="O19" s="2589"/>
      <c r="P19" s="2560"/>
      <c r="Q19" s="422" t="s">
        <v>12362</v>
      </c>
      <c r="R19" s="860" t="s">
        <v>12364</v>
      </c>
    </row>
    <row r="20" spans="1:18" ht="15.75" customHeight="1">
      <c r="A20" s="222"/>
      <c r="B20" s="422" t="s">
        <v>12365</v>
      </c>
      <c r="C20" s="253" t="s">
        <v>12359</v>
      </c>
      <c r="D20" s="253">
        <v>0</v>
      </c>
      <c r="E20" s="1215">
        <v>1173</v>
      </c>
      <c r="F20" s="106"/>
      <c r="G20" s="257" t="s">
        <v>12366</v>
      </c>
      <c r="H20" s="222"/>
      <c r="I20" s="1122"/>
      <c r="J20" s="222"/>
      <c r="K20" s="2589"/>
      <c r="L20" s="1121">
        <f>IF( SUM( N20:N20 ) = 0, 0, $N$5 )</f>
        <v>0</v>
      </c>
      <c r="M20" s="2589"/>
      <c r="N20" s="252">
        <f t="shared" si="3"/>
        <v>0</v>
      </c>
      <c r="O20" s="2589"/>
      <c r="P20" s="2560"/>
      <c r="Q20" s="422" t="s">
        <v>12365</v>
      </c>
      <c r="R20" s="860" t="s">
        <v>12367</v>
      </c>
    </row>
    <row r="21" spans="1:18" ht="15.75" customHeight="1" thickBot="1">
      <c r="A21" s="222"/>
      <c r="B21" s="425" t="s">
        <v>12368</v>
      </c>
      <c r="C21" s="319" t="s">
        <v>12359</v>
      </c>
      <c r="D21" s="319">
        <v>0</v>
      </c>
      <c r="E21" s="1635">
        <f>IFERROR(E18 + E19 + E20, 0)</f>
        <v>2086</v>
      </c>
      <c r="F21" s="106"/>
      <c r="G21" s="320" t="s">
        <v>12369</v>
      </c>
      <c r="H21" s="222"/>
      <c r="I21" s="1126"/>
      <c r="J21" s="222"/>
      <c r="K21" s="2589"/>
      <c r="L21" s="2560"/>
      <c r="M21" s="2589"/>
      <c r="N21" s="2560"/>
      <c r="O21" s="2589"/>
      <c r="P21" s="2560"/>
      <c r="Q21" s="425" t="s">
        <v>12368</v>
      </c>
      <c r="R21" s="1240" t="s">
        <v>12370</v>
      </c>
    </row>
    <row r="22" spans="1:18" ht="15.75" customHeight="1" thickTop="1" thickBot="1">
      <c r="A22" s="222"/>
      <c r="B22" s="377"/>
      <c r="C22" s="86"/>
      <c r="D22" s="86"/>
      <c r="E22" s="1609"/>
      <c r="F22" s="106"/>
      <c r="G22" s="229"/>
      <c r="H22" s="222"/>
      <c r="I22" s="222"/>
      <c r="J22" s="222"/>
      <c r="K22" s="2589"/>
      <c r="L22" s="2560"/>
      <c r="M22" s="2589"/>
      <c r="N22" s="2560"/>
      <c r="O22" s="2589"/>
      <c r="P22" s="2560"/>
      <c r="Q22" s="377"/>
      <c r="R22" s="313"/>
    </row>
    <row r="23" spans="1:18" ht="15.75" customHeight="1" thickTop="1" thickBot="1">
      <c r="A23" s="222"/>
      <c r="B23" s="431" t="s">
        <v>12371</v>
      </c>
      <c r="C23" s="333" t="s">
        <v>12372</v>
      </c>
      <c r="D23" s="333">
        <v>0</v>
      </c>
      <c r="E23" s="1252">
        <v>32447641</v>
      </c>
      <c r="F23" s="106"/>
      <c r="G23" s="336" t="s">
        <v>12373</v>
      </c>
      <c r="H23" s="222"/>
      <c r="I23" s="1250"/>
      <c r="J23" s="222"/>
      <c r="K23" s="2589"/>
      <c r="L23" s="1121">
        <f>IF( SUM( N23:N23 ) = 0, 0, $N$5 )</f>
        <v>0</v>
      </c>
      <c r="M23" s="2589"/>
      <c r="N23" s="252">
        <f xml:space="preserve"> IF( ISNUMBER(E23 ), 0, 1 )</f>
        <v>0</v>
      </c>
      <c r="O23" s="2589"/>
      <c r="P23" s="2560"/>
      <c r="Q23" s="431" t="s">
        <v>12374</v>
      </c>
      <c r="R23" s="1252" t="s">
        <v>12375</v>
      </c>
    </row>
    <row r="24" spans="1:18" ht="15.75" customHeight="1" thickTop="1" thickBot="1">
      <c r="A24" s="222"/>
      <c r="B24" s="377"/>
      <c r="C24" s="86"/>
      <c r="D24" s="86"/>
      <c r="E24" s="313"/>
      <c r="F24" s="106"/>
      <c r="G24" s="229"/>
      <c r="H24" s="222"/>
      <c r="I24" s="222"/>
      <c r="J24" s="222"/>
      <c r="K24" s="2589"/>
      <c r="L24" s="2560"/>
      <c r="M24" s="2589"/>
      <c r="N24" s="2560"/>
      <c r="O24" s="2589"/>
      <c r="P24" s="2560"/>
      <c r="Q24" s="377"/>
      <c r="R24" s="313"/>
    </row>
    <row r="25" spans="1:18" ht="15.75" customHeight="1" thickTop="1">
      <c r="A25" s="222"/>
      <c r="B25" s="413" t="s">
        <v>1849</v>
      </c>
      <c r="C25" s="244" t="s">
        <v>12359</v>
      </c>
      <c r="D25" s="244">
        <v>0</v>
      </c>
      <c r="E25" s="1616">
        <v>0</v>
      </c>
      <c r="F25" s="106"/>
      <c r="G25" s="248" t="s">
        <v>12376</v>
      </c>
      <c r="H25" s="222"/>
      <c r="I25" s="1120"/>
      <c r="J25" s="222"/>
      <c r="K25" s="2589"/>
      <c r="L25" s="1121">
        <f t="shared" ref="L25:L27" si="4">IF( SUM( N25:N25 ) = 0, 0, $N$5 )</f>
        <v>0</v>
      </c>
      <c r="M25" s="2589"/>
      <c r="N25" s="252">
        <f t="shared" ref="N25:N27" si="5" xml:space="preserve"> IF( ISNUMBER(E25 ), 0, 1 )</f>
        <v>0</v>
      </c>
      <c r="O25" s="2589"/>
      <c r="P25" s="2560"/>
      <c r="Q25" s="413" t="s">
        <v>1849</v>
      </c>
      <c r="R25" s="856" t="s">
        <v>12377</v>
      </c>
    </row>
    <row r="26" spans="1:18" ht="15.75" customHeight="1">
      <c r="A26" s="222"/>
      <c r="B26" s="422" t="s">
        <v>1850</v>
      </c>
      <c r="C26" s="253" t="s">
        <v>12359</v>
      </c>
      <c r="D26" s="253">
        <v>0</v>
      </c>
      <c r="E26" s="1215">
        <v>0</v>
      </c>
      <c r="F26" s="106"/>
      <c r="G26" s="257" t="s">
        <v>12378</v>
      </c>
      <c r="H26" s="222"/>
      <c r="I26" s="1122"/>
      <c r="J26" s="222"/>
      <c r="K26" s="2589"/>
      <c r="L26" s="1121">
        <f t="shared" si="4"/>
        <v>0</v>
      </c>
      <c r="M26" s="2589"/>
      <c r="N26" s="252">
        <f t="shared" si="5"/>
        <v>0</v>
      </c>
      <c r="O26" s="2589"/>
      <c r="P26" s="2560"/>
      <c r="Q26" s="422" t="s">
        <v>1850</v>
      </c>
      <c r="R26" s="860" t="s">
        <v>12379</v>
      </c>
    </row>
    <row r="27" spans="1:18" ht="15.75" customHeight="1">
      <c r="A27" s="222"/>
      <c r="B27" s="422" t="s">
        <v>1851</v>
      </c>
      <c r="C27" s="253" t="s">
        <v>12359</v>
      </c>
      <c r="D27" s="253">
        <v>0</v>
      </c>
      <c r="E27" s="1215">
        <v>3796</v>
      </c>
      <c r="F27" s="106"/>
      <c r="G27" s="257" t="s">
        <v>12380</v>
      </c>
      <c r="H27" s="222"/>
      <c r="I27" s="1122"/>
      <c r="J27" s="222"/>
      <c r="K27" s="2589"/>
      <c r="L27" s="1121">
        <f t="shared" si="4"/>
        <v>0</v>
      </c>
      <c r="M27" s="2589"/>
      <c r="N27" s="252">
        <f t="shared" si="5"/>
        <v>0</v>
      </c>
      <c r="O27" s="2589"/>
      <c r="P27" s="2560"/>
      <c r="Q27" s="422" t="s">
        <v>1851</v>
      </c>
      <c r="R27" s="860" t="s">
        <v>12381</v>
      </c>
    </row>
    <row r="28" spans="1:18" ht="15.75" customHeight="1" thickBot="1">
      <c r="A28" s="222"/>
      <c r="B28" s="425" t="s">
        <v>1852</v>
      </c>
      <c r="C28" s="319" t="s">
        <v>12359</v>
      </c>
      <c r="D28" s="319">
        <v>0</v>
      </c>
      <c r="E28" s="1635">
        <f>IFERROR(E25 + E26 + E27, 0)</f>
        <v>3796</v>
      </c>
      <c r="F28" s="106"/>
      <c r="G28" s="320" t="s">
        <v>12382</v>
      </c>
      <c r="H28" s="222"/>
      <c r="I28" s="1126"/>
      <c r="J28" s="222"/>
      <c r="K28" s="2589"/>
      <c r="L28" s="2560"/>
      <c r="M28" s="2589"/>
      <c r="N28" s="2560"/>
      <c r="O28" s="2589"/>
      <c r="P28" s="2560"/>
      <c r="Q28" s="425" t="s">
        <v>1852</v>
      </c>
      <c r="R28" s="1031" t="s">
        <v>12383</v>
      </c>
    </row>
    <row r="29" spans="1:18" ht="15.75" customHeight="1" thickTop="1" thickBot="1">
      <c r="A29" s="222"/>
      <c r="B29" s="377"/>
      <c r="C29" s="86"/>
      <c r="D29" s="86"/>
      <c r="E29" s="313"/>
      <c r="F29" s="106"/>
      <c r="G29" s="229"/>
      <c r="H29" s="222"/>
      <c r="I29" s="222"/>
      <c r="J29" s="222"/>
      <c r="K29" s="2589"/>
      <c r="L29" s="2560"/>
      <c r="M29" s="2589"/>
      <c r="N29" s="2560"/>
      <c r="O29" s="2589"/>
      <c r="P29" s="2560"/>
      <c r="Q29" s="377"/>
      <c r="R29" s="313"/>
    </row>
    <row r="30" spans="1:18" ht="35.9" customHeight="1" thickTop="1">
      <c r="A30" s="222"/>
      <c r="B30" s="413" t="s">
        <v>1853</v>
      </c>
      <c r="C30" s="244" t="s">
        <v>12372</v>
      </c>
      <c r="D30" s="244">
        <v>0</v>
      </c>
      <c r="E30" s="1616">
        <v>0</v>
      </c>
      <c r="F30" s="106"/>
      <c r="G30" s="248" t="s">
        <v>12384</v>
      </c>
      <c r="H30" s="222"/>
      <c r="I30" s="1120"/>
      <c r="J30" s="222"/>
      <c r="K30" s="2589"/>
      <c r="L30" s="1121">
        <f t="shared" ref="L30:L31" si="6">IF( SUM( N30:N30 ) = 0, 0, $N$5 )</f>
        <v>0</v>
      </c>
      <c r="M30" s="2589"/>
      <c r="N30" s="252">
        <f t="shared" ref="N30:N31" si="7" xml:space="preserve"> IF( ISNUMBER(E30 ), 0, 1 )</f>
        <v>0</v>
      </c>
      <c r="O30" s="2589"/>
      <c r="P30" s="2560"/>
      <c r="Q30" s="413" t="s">
        <v>1853</v>
      </c>
      <c r="R30" s="856" t="s">
        <v>12385</v>
      </c>
    </row>
    <row r="31" spans="1:18" ht="15.75" customHeight="1" thickBot="1">
      <c r="A31" s="222"/>
      <c r="B31" s="425" t="s">
        <v>12386</v>
      </c>
      <c r="C31" s="319" t="s">
        <v>1344</v>
      </c>
      <c r="D31" s="319">
        <v>2</v>
      </c>
      <c r="E31" s="1644">
        <v>4.49</v>
      </c>
      <c r="F31" s="106"/>
      <c r="G31" s="320" t="s">
        <v>12387</v>
      </c>
      <c r="H31" s="222"/>
      <c r="I31" s="1126"/>
      <c r="J31" s="222"/>
      <c r="K31" s="2589"/>
      <c r="L31" s="1121">
        <f t="shared" si="6"/>
        <v>0</v>
      </c>
      <c r="M31" s="2589"/>
      <c r="N31" s="252">
        <f t="shared" si="7"/>
        <v>0</v>
      </c>
      <c r="O31" s="2589"/>
      <c r="P31" s="2560"/>
      <c r="Q31" s="425" t="s">
        <v>12386</v>
      </c>
      <c r="R31" s="1125" t="s">
        <v>12388</v>
      </c>
    </row>
    <row r="32" spans="1:18" ht="16" thickTop="1">
      <c r="A32" s="222"/>
      <c r="B32" s="222"/>
      <c r="C32" s="222"/>
      <c r="D32" s="222"/>
      <c r="E32" s="222"/>
      <c r="F32" s="222"/>
      <c r="G32" s="222"/>
      <c r="H32" s="222"/>
      <c r="I32" s="222"/>
      <c r="J32" s="222"/>
      <c r="K32" s="2560"/>
      <c r="L32" s="2560"/>
      <c r="M32" s="2560"/>
      <c r="N32" s="2560"/>
      <c r="O32" s="2560"/>
      <c r="P32" s="2560"/>
      <c r="Q32" s="2560"/>
      <c r="R32" s="2560"/>
    </row>
    <row r="33" spans="1:10" ht="15.5">
      <c r="A33" s="222"/>
      <c r="B33" s="222"/>
      <c r="C33" s="222"/>
      <c r="D33" s="222"/>
      <c r="E33" s="222"/>
      <c r="F33" s="222"/>
      <c r="G33" s="222"/>
      <c r="H33" s="222"/>
      <c r="I33" s="222"/>
      <c r="J33" s="222"/>
    </row>
    <row r="34" spans="1:10" ht="15.5">
      <c r="A34" s="222"/>
      <c r="B34" s="222"/>
      <c r="C34" s="222"/>
      <c r="D34" s="222"/>
      <c r="E34" s="222"/>
      <c r="F34" s="222"/>
      <c r="G34" s="222"/>
      <c r="H34" s="222"/>
      <c r="I34" s="222"/>
      <c r="J34" s="222"/>
    </row>
    <row r="35" spans="1:10" ht="15.5">
      <c r="A35" s="222"/>
      <c r="B35" s="222"/>
      <c r="C35" s="222"/>
      <c r="D35" s="222"/>
      <c r="E35" s="222"/>
      <c r="F35" s="222"/>
      <c r="G35" s="222"/>
      <c r="H35" s="222"/>
      <c r="I35" s="222"/>
      <c r="J35" s="222"/>
    </row>
    <row r="36" spans="1:10" ht="15.5">
      <c r="A36" s="222"/>
      <c r="B36" s="222"/>
      <c r="C36" s="222"/>
      <c r="D36" s="222"/>
      <c r="E36" s="222"/>
      <c r="F36" s="222"/>
      <c r="G36" s="222"/>
      <c r="H36" s="222"/>
      <c r="I36" s="222"/>
      <c r="J36" s="222"/>
    </row>
    <row r="37" spans="1:10" ht="15.5">
      <c r="A37" s="222"/>
      <c r="B37" s="222"/>
      <c r="C37" s="222"/>
      <c r="D37" s="222"/>
      <c r="E37" s="222"/>
      <c r="F37" s="222"/>
      <c r="G37" s="222"/>
      <c r="H37" s="222"/>
      <c r="I37" s="222"/>
      <c r="J37" s="222"/>
    </row>
    <row r="38" spans="1:10" ht="15.5">
      <c r="A38" s="222"/>
      <c r="B38" s="222"/>
      <c r="C38" s="222"/>
      <c r="D38" s="222"/>
      <c r="E38" s="222"/>
      <c r="F38" s="222"/>
      <c r="G38" s="222"/>
      <c r="H38" s="222"/>
      <c r="I38" s="222"/>
      <c r="J38" s="222"/>
    </row>
    <row r="39" spans="1:10" ht="15.5">
      <c r="A39" s="222"/>
      <c r="B39" s="222"/>
      <c r="C39" s="222"/>
      <c r="D39" s="222"/>
      <c r="E39" s="222"/>
      <c r="F39" s="222"/>
      <c r="G39" s="222"/>
      <c r="H39" s="222"/>
      <c r="I39" s="222"/>
      <c r="J39" s="222"/>
    </row>
    <row r="40" spans="1:10" ht="15.5">
      <c r="A40" s="222"/>
      <c r="B40" s="222"/>
      <c r="C40" s="222"/>
      <c r="D40" s="222"/>
      <c r="E40" s="222"/>
      <c r="F40" s="222"/>
      <c r="G40" s="222"/>
      <c r="H40" s="222"/>
      <c r="I40" s="222"/>
      <c r="J40" s="222"/>
    </row>
  </sheetData>
  <sheetProtection formatColumns="0" formatRows="0"/>
  <mergeCells count="2">
    <mergeCell ref="B3:I3"/>
    <mergeCell ref="Q3:R3"/>
  </mergeCells>
  <conditionalFormatting sqref="L7:L8">
    <cfRule type="cellIs" dxfId="40" priority="16" operator="equal">
      <formula>0</formula>
    </cfRule>
  </conditionalFormatting>
  <conditionalFormatting sqref="L10">
    <cfRule type="cellIs" dxfId="39" priority="10" operator="equal">
      <formula>0</formula>
    </cfRule>
  </conditionalFormatting>
  <conditionalFormatting sqref="L12">
    <cfRule type="cellIs" dxfId="38" priority="9" operator="equal">
      <formula>0</formula>
    </cfRule>
  </conditionalFormatting>
  <conditionalFormatting sqref="L14:L15">
    <cfRule type="cellIs" dxfId="37" priority="7" operator="equal">
      <formula>0</formula>
    </cfRule>
  </conditionalFormatting>
  <conditionalFormatting sqref="L18:L20">
    <cfRule type="cellIs" dxfId="36" priority="4" operator="equal">
      <formula>0</formula>
    </cfRule>
  </conditionalFormatting>
  <conditionalFormatting sqref="L23">
    <cfRule type="cellIs" dxfId="35" priority="3" operator="equal">
      <formula>0</formula>
    </cfRule>
  </conditionalFormatting>
  <conditionalFormatting sqref="L25:L27">
    <cfRule type="cellIs" dxfId="34" priority="2" operator="equal">
      <formula>0</formula>
    </cfRule>
  </conditionalFormatting>
  <conditionalFormatting sqref="L30:L31">
    <cfRule type="cellIs" dxfId="33" priority="1" operator="equal">
      <formula>0</formula>
    </cfRule>
  </conditionalFormatting>
  <dataValidations count="1">
    <dataValidation type="custom" allowBlank="1" showErrorMessage="1" errorTitle="Input Error" error="Please input a numeric value." sqref="E25:E27 E23 E18:E20 E14:E15 E12 E10 E7:E8 E30:E31"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85" zoomScaleNormal="85" zoomScaleSheetLayoutView="100" workbookViewId="0">
      <selection activeCell="G12" sqref="G12"/>
    </sheetView>
  </sheetViews>
  <sheetFormatPr defaultColWidth="9" defaultRowHeight="15.5"/>
  <cols>
    <col min="1" max="1" width="1.58203125" style="220" customWidth="1"/>
    <col min="2" max="2" width="45.08203125" style="220" bestFit="1" customWidth="1"/>
    <col min="3" max="3" width="7" style="220" customWidth="1"/>
    <col min="4" max="4" width="5.5" style="220" customWidth="1"/>
    <col min="5" max="5" width="11.08203125" style="220" bestFit="1" customWidth="1"/>
    <col min="6" max="7" width="12.08203125" style="220" bestFit="1" customWidth="1"/>
    <col min="8" max="8" width="11.08203125" style="220" customWidth="1"/>
    <col min="9" max="9" width="12.08203125" style="220" bestFit="1" customWidth="1"/>
    <col min="10" max="10" width="10" style="220" bestFit="1" customWidth="1"/>
    <col min="11" max="11" width="10.58203125" style="609" customWidth="1"/>
    <col min="12" max="12" width="10.58203125" style="220" customWidth="1"/>
    <col min="13" max="13" width="12.5" style="220" customWidth="1"/>
    <col min="14" max="14" width="1.58203125" style="220" customWidth="1"/>
    <col min="15" max="15" width="12.5" style="226" customWidth="1"/>
    <col min="16" max="16" width="1.58203125" style="105" customWidth="1"/>
    <col min="17" max="17" width="27.58203125" style="105" customWidth="1"/>
    <col min="18" max="18" width="1.58203125" style="105" customWidth="1"/>
    <col min="19" max="19" width="1.58203125" style="219" customWidth="1"/>
    <col min="20" max="20" width="25.08203125" style="609" customWidth="1"/>
    <col min="21" max="21" width="1.58203125" style="219" customWidth="1"/>
    <col min="22" max="29" width="6.08203125" style="220" hidden="1" customWidth="1"/>
    <col min="30" max="30" width="1.58203125" style="219" hidden="1" customWidth="1"/>
    <col min="31" max="31" width="1.58203125" style="219" customWidth="1"/>
    <col min="32" max="32" width="52.5" style="219" bestFit="1" customWidth="1"/>
    <col min="33" max="33" width="19.5" style="219" customWidth="1"/>
    <col min="34" max="34" width="19.08203125" style="219" bestFit="1" customWidth="1"/>
    <col min="35" max="36" width="15" style="219" customWidth="1"/>
    <col min="37" max="41" width="15" style="220" customWidth="1"/>
    <col min="42" max="42" width="1.58203125" style="220" customWidth="1"/>
    <col min="43" max="16384" width="9" style="220"/>
  </cols>
  <sheetData>
    <row r="1" spans="1:41" s="351" customFormat="1" ht="30" customHeight="1">
      <c r="B1" s="1119" t="s">
        <v>12389</v>
      </c>
      <c r="C1" s="1119"/>
      <c r="D1" s="1119"/>
      <c r="E1" s="1119"/>
      <c r="F1" s="1119"/>
      <c r="G1" s="1242"/>
      <c r="H1" s="229"/>
      <c r="I1" s="1119"/>
      <c r="J1" s="1119"/>
      <c r="K1" s="1119"/>
      <c r="L1" s="1242"/>
      <c r="M1" s="229"/>
      <c r="N1" s="1119"/>
      <c r="O1" s="1119"/>
      <c r="P1" s="1127"/>
      <c r="Q1" s="1127"/>
      <c r="R1" s="1127"/>
      <c r="S1" s="2589"/>
      <c r="T1" s="1253"/>
      <c r="U1" s="2589"/>
      <c r="AC1" s="2560"/>
      <c r="AD1" s="2589"/>
      <c r="AE1" s="2606"/>
      <c r="AF1" s="1119" t="s">
        <v>1887</v>
      </c>
      <c r="AG1" s="1119"/>
      <c r="AH1" s="1119"/>
      <c r="AI1" s="1242"/>
      <c r="AJ1" s="229"/>
      <c r="AK1" s="1119"/>
      <c r="AL1" s="1119"/>
      <c r="AM1" s="1119"/>
      <c r="AN1" s="1242"/>
      <c r="AO1" s="229"/>
    </row>
    <row r="2" spans="1:41" s="351" customFormat="1" ht="30" customHeight="1">
      <c r="B2" s="1119" t="str">
        <f>SelectCompany!B4</f>
        <v>Yorkshire Water</v>
      </c>
      <c r="C2" s="491"/>
      <c r="D2" s="491"/>
      <c r="E2" s="491"/>
      <c r="F2" s="491"/>
      <c r="G2" s="490"/>
      <c r="H2" s="229"/>
      <c r="I2" s="491"/>
      <c r="J2" s="491"/>
      <c r="K2" s="491"/>
      <c r="L2" s="490"/>
      <c r="M2" s="229"/>
      <c r="N2" s="1254"/>
      <c r="O2" s="1128"/>
      <c r="P2" s="1127"/>
      <c r="Q2" s="1127"/>
      <c r="R2" s="1127"/>
      <c r="S2" s="2589"/>
      <c r="T2" s="1253"/>
      <c r="U2" s="2589"/>
      <c r="AC2" s="2560"/>
      <c r="AD2" s="2589"/>
      <c r="AE2" s="1255"/>
      <c r="AF2" s="1119"/>
      <c r="AG2" s="491"/>
      <c r="AH2" s="491"/>
      <c r="AI2" s="490"/>
      <c r="AJ2" s="229"/>
      <c r="AK2" s="491"/>
      <c r="AL2" s="491"/>
      <c r="AM2" s="491"/>
      <c r="AN2" s="490"/>
      <c r="AO2" s="229"/>
    </row>
    <row r="3" spans="1:41" ht="45" customHeight="1">
      <c r="A3" s="2562"/>
      <c r="B3" s="2781" t="s">
        <v>12390</v>
      </c>
      <c r="C3" s="2781"/>
      <c r="D3" s="2781"/>
      <c r="E3" s="2781"/>
      <c r="F3" s="2781"/>
      <c r="G3" s="2781"/>
      <c r="H3" s="2781"/>
      <c r="I3" s="2781"/>
      <c r="J3" s="2781"/>
      <c r="K3" s="2781"/>
      <c r="L3" s="2781"/>
      <c r="M3" s="2781"/>
      <c r="N3" s="2781"/>
      <c r="O3" s="2781"/>
      <c r="P3" s="2781"/>
      <c r="Q3" s="2781"/>
      <c r="R3" s="2573"/>
      <c r="S3" s="2589"/>
      <c r="T3" s="1129" t="s">
        <v>1889</v>
      </c>
      <c r="U3" s="2589"/>
      <c r="V3" s="2562"/>
      <c r="W3" s="2562"/>
      <c r="X3" s="2562"/>
      <c r="Y3" s="2562"/>
      <c r="Z3" s="2562"/>
      <c r="AA3" s="2562"/>
      <c r="AB3" s="2562"/>
      <c r="AC3" s="2560"/>
      <c r="AD3" s="2589"/>
      <c r="AE3" s="223"/>
      <c r="AF3" s="2781" t="s">
        <v>12390</v>
      </c>
      <c r="AG3" s="2781"/>
      <c r="AH3" s="2781"/>
      <c r="AI3" s="2781"/>
      <c r="AJ3" s="2781"/>
      <c r="AK3" s="2781"/>
      <c r="AL3" s="2781"/>
      <c r="AM3" s="2781"/>
      <c r="AN3" s="2781"/>
      <c r="AO3" s="2781"/>
    </row>
    <row r="4" spans="1:41" ht="15" customHeight="1" thickBot="1">
      <c r="A4" s="2562"/>
      <c r="B4" s="594"/>
      <c r="C4" s="594"/>
      <c r="D4" s="594"/>
      <c r="E4" s="594"/>
      <c r="F4" s="594"/>
      <c r="G4" s="724"/>
      <c r="H4" s="229"/>
      <c r="I4" s="594"/>
      <c r="J4" s="594"/>
      <c r="K4" s="594"/>
      <c r="L4" s="724"/>
      <c r="M4" s="229"/>
      <c r="N4" s="767"/>
      <c r="O4" s="888"/>
      <c r="P4" s="2562"/>
      <c r="Q4" s="2562"/>
      <c r="R4" s="2562"/>
      <c r="S4" s="2589"/>
      <c r="U4" s="2589"/>
      <c r="V4" s="2892" t="s">
        <v>1890</v>
      </c>
      <c r="W4" s="2892"/>
      <c r="X4" s="2892"/>
      <c r="Y4" s="2892"/>
      <c r="Z4" s="2892"/>
      <c r="AA4" s="2892"/>
      <c r="AB4" s="2892"/>
      <c r="AC4" s="2892"/>
      <c r="AD4" s="2589"/>
      <c r="AE4" s="2560"/>
      <c r="AF4" s="594"/>
      <c r="AG4" s="594"/>
      <c r="AH4" s="594"/>
      <c r="AI4" s="724"/>
      <c r="AJ4" s="229"/>
      <c r="AK4" s="594"/>
      <c r="AL4" s="594"/>
      <c r="AM4" s="594"/>
      <c r="AN4" s="724"/>
      <c r="AO4" s="229"/>
    </row>
    <row r="5" spans="1:41" ht="47.5" thickTop="1" thickBot="1">
      <c r="A5" s="197"/>
      <c r="B5" s="407" t="s">
        <v>1891</v>
      </c>
      <c r="C5" s="408" t="s">
        <v>1892</v>
      </c>
      <c r="D5" s="408" t="s">
        <v>136</v>
      </c>
      <c r="E5" s="408" t="s">
        <v>12391</v>
      </c>
      <c r="F5" s="408" t="s">
        <v>12392</v>
      </c>
      <c r="G5" s="408" t="s">
        <v>12393</v>
      </c>
      <c r="H5" s="409" t="s">
        <v>2112</v>
      </c>
      <c r="I5" s="106"/>
      <c r="J5" s="106"/>
      <c r="K5" s="106"/>
      <c r="L5" s="106"/>
      <c r="M5" s="197"/>
      <c r="N5" s="106"/>
      <c r="O5" s="411" t="s">
        <v>1896</v>
      </c>
      <c r="P5" s="197"/>
      <c r="Q5" s="411" t="s">
        <v>1897</v>
      </c>
      <c r="R5" s="197"/>
      <c r="S5" s="2589"/>
      <c r="U5" s="2589"/>
      <c r="V5" s="236" t="s">
        <v>1898</v>
      </c>
      <c r="W5" s="2562"/>
      <c r="X5" s="2562"/>
      <c r="Y5" s="2562"/>
      <c r="Z5" s="2562"/>
      <c r="AA5" s="2562"/>
      <c r="AB5" s="2562"/>
      <c r="AC5" s="2560"/>
      <c r="AD5" s="2589"/>
      <c r="AE5" s="2560"/>
      <c r="AF5" s="407" t="s">
        <v>1891</v>
      </c>
      <c r="AG5" s="408" t="s">
        <v>12391</v>
      </c>
      <c r="AH5" s="408" t="s">
        <v>12392</v>
      </c>
      <c r="AI5" s="408" t="s">
        <v>12393</v>
      </c>
      <c r="AJ5" s="409" t="s">
        <v>2112</v>
      </c>
      <c r="AK5" s="106"/>
      <c r="AL5" s="106"/>
      <c r="AM5" s="106"/>
      <c r="AN5" s="106"/>
      <c r="AO5" s="106"/>
    </row>
    <row r="6" spans="1:41" ht="15.75" customHeight="1" thickTop="1" thickBot="1">
      <c r="A6" s="197"/>
      <c r="B6" s="444"/>
      <c r="C6" s="444"/>
      <c r="D6" s="444"/>
      <c r="E6" s="444"/>
      <c r="F6" s="444"/>
      <c r="G6" s="444"/>
      <c r="H6" s="444"/>
      <c r="I6" s="106"/>
      <c r="J6" s="106"/>
      <c r="K6" s="106"/>
      <c r="L6" s="106"/>
      <c r="M6" s="197"/>
      <c r="N6" s="106"/>
      <c r="O6" s="86"/>
      <c r="P6" s="197"/>
      <c r="Q6" s="197"/>
      <c r="R6" s="197"/>
      <c r="S6" s="2589"/>
      <c r="U6" s="2589"/>
      <c r="V6" s="2562"/>
      <c r="W6" s="2562"/>
      <c r="X6" s="2562"/>
      <c r="Y6" s="2562"/>
      <c r="Z6" s="2562"/>
      <c r="AA6" s="2562"/>
      <c r="AB6" s="2562"/>
      <c r="AC6" s="2560"/>
      <c r="AD6" s="2589"/>
      <c r="AE6" s="2560"/>
      <c r="AF6" s="444"/>
      <c r="AG6" s="444"/>
      <c r="AH6" s="444"/>
      <c r="AI6" s="444"/>
      <c r="AJ6" s="444"/>
      <c r="AK6" s="106"/>
      <c r="AL6" s="106"/>
      <c r="AM6" s="106"/>
      <c r="AN6" s="106"/>
      <c r="AO6" s="106"/>
    </row>
    <row r="7" spans="1:41" ht="15.75" customHeight="1" thickTop="1" thickBot="1">
      <c r="A7" s="197"/>
      <c r="B7" s="1256" t="s">
        <v>12394</v>
      </c>
      <c r="C7" s="222"/>
      <c r="D7" s="222"/>
      <c r="E7" s="444"/>
      <c r="F7" s="444"/>
      <c r="G7" s="444"/>
      <c r="H7" s="444"/>
      <c r="I7" s="106"/>
      <c r="J7" s="106"/>
      <c r="K7" s="106"/>
      <c r="L7" s="106"/>
      <c r="M7" s="197"/>
      <c r="N7" s="106"/>
      <c r="O7" s="86"/>
      <c r="P7" s="197"/>
      <c r="Q7" s="197"/>
      <c r="R7" s="197"/>
      <c r="S7" s="2589"/>
      <c r="U7" s="2589"/>
      <c r="V7" s="2562"/>
      <c r="W7" s="2562"/>
      <c r="X7" s="2562"/>
      <c r="Y7" s="2562"/>
      <c r="Z7" s="2562"/>
      <c r="AA7" s="2562"/>
      <c r="AB7" s="2562"/>
      <c r="AC7" s="2572"/>
      <c r="AD7" s="2589"/>
      <c r="AE7" s="2560"/>
      <c r="AF7" s="1256" t="s">
        <v>12394</v>
      </c>
      <c r="AG7" s="444"/>
      <c r="AH7" s="444"/>
      <c r="AI7" s="444"/>
      <c r="AJ7" s="444"/>
      <c r="AK7" s="106"/>
      <c r="AL7" s="106"/>
      <c r="AM7" s="106"/>
      <c r="AN7" s="106"/>
      <c r="AO7" s="106"/>
    </row>
    <row r="8" spans="1:41" ht="15.75" customHeight="1" thickTop="1">
      <c r="A8" s="197"/>
      <c r="B8" s="413" t="s">
        <v>2930</v>
      </c>
      <c r="C8" s="244" t="s">
        <v>137</v>
      </c>
      <c r="D8" s="244">
        <v>3</v>
      </c>
      <c r="E8" s="598">
        <v>0</v>
      </c>
      <c r="F8" s="598">
        <v>0</v>
      </c>
      <c r="G8" s="598">
        <v>0</v>
      </c>
      <c r="H8" s="1480">
        <f>IFERROR(SUM(E8:G8), 0)</f>
        <v>0</v>
      </c>
      <c r="I8" s="86"/>
      <c r="J8" s="106"/>
      <c r="K8" s="106"/>
      <c r="L8" s="106"/>
      <c r="M8" s="197"/>
      <c r="N8" s="106"/>
      <c r="O8" s="248" t="s">
        <v>12395</v>
      </c>
      <c r="P8" s="197"/>
      <c r="Q8" s="250"/>
      <c r="R8" s="197"/>
      <c r="S8" s="2589"/>
      <c r="T8" s="1121">
        <f>IF( SUM( V8:AC8 ) = 0, 0, $V$5 )</f>
        <v>0</v>
      </c>
      <c r="U8" s="2589"/>
      <c r="V8" s="252">
        <f xml:space="preserve"> IF( ISNUMBER(E8 ), 0, 1 )</f>
        <v>0</v>
      </c>
      <c r="W8" s="252">
        <f t="shared" ref="W8:W11" si="0" xml:space="preserve"> IF( ISNUMBER(F8 ), 0, 1 )</f>
        <v>0</v>
      </c>
      <c r="X8" s="252">
        <f t="shared" ref="X8:X12" si="1" xml:space="preserve"> IF( ISNUMBER(G8 ), 0, 1 )</f>
        <v>0</v>
      </c>
      <c r="Y8" s="2562"/>
      <c r="Z8" s="2562"/>
      <c r="AA8" s="2562"/>
      <c r="AB8" s="2562"/>
      <c r="AC8" s="2562"/>
      <c r="AD8" s="2589"/>
      <c r="AE8" s="2560"/>
      <c r="AF8" s="413" t="s">
        <v>2930</v>
      </c>
      <c r="AG8" s="801" t="s">
        <v>12396</v>
      </c>
      <c r="AH8" s="801" t="s">
        <v>12397</v>
      </c>
      <c r="AI8" s="801" t="s">
        <v>12398</v>
      </c>
      <c r="AJ8" s="378" t="s">
        <v>12399</v>
      </c>
      <c r="AK8" s="86"/>
      <c r="AL8" s="106"/>
      <c r="AM8" s="106"/>
      <c r="AN8" s="106"/>
      <c r="AO8" s="106"/>
    </row>
    <row r="9" spans="1:41" ht="15.75" customHeight="1">
      <c r="A9" s="197"/>
      <c r="B9" s="422" t="s">
        <v>2938</v>
      </c>
      <c r="C9" s="253" t="s">
        <v>137</v>
      </c>
      <c r="D9" s="253">
        <v>3</v>
      </c>
      <c r="E9" s="601">
        <v>0</v>
      </c>
      <c r="F9" s="601">
        <v>0</v>
      </c>
      <c r="G9" s="601">
        <v>0</v>
      </c>
      <c r="H9" s="1482">
        <f>IFERROR(SUM(E9:G9), 0)</f>
        <v>0</v>
      </c>
      <c r="I9" s="86"/>
      <c r="J9" s="106"/>
      <c r="K9" s="106"/>
      <c r="L9" s="106"/>
      <c r="M9" s="197"/>
      <c r="N9" s="106"/>
      <c r="O9" s="257" t="s">
        <v>12400</v>
      </c>
      <c r="P9" s="197"/>
      <c r="Q9" s="258"/>
      <c r="R9" s="197"/>
      <c r="S9" s="2589"/>
      <c r="T9" s="1121">
        <f t="shared" ref="T9:T11" si="2">IF( SUM( V9:AC9 ) = 0, 0, $V$5 )</f>
        <v>0</v>
      </c>
      <c r="U9" s="2589"/>
      <c r="V9" s="252">
        <f t="shared" ref="V9:V11" si="3" xml:space="preserve"> IF( ISNUMBER(E9 ), 0, 1 )</f>
        <v>0</v>
      </c>
      <c r="W9" s="252">
        <f t="shared" si="0"/>
        <v>0</v>
      </c>
      <c r="X9" s="252">
        <f t="shared" si="1"/>
        <v>0</v>
      </c>
      <c r="Y9" s="2562"/>
      <c r="Z9" s="2562"/>
      <c r="AA9" s="2562"/>
      <c r="AB9" s="2562"/>
      <c r="AC9" s="2562"/>
      <c r="AD9" s="2589"/>
      <c r="AE9" s="2560"/>
      <c r="AF9" s="422" t="s">
        <v>2938</v>
      </c>
      <c r="AG9" s="802" t="s">
        <v>12401</v>
      </c>
      <c r="AH9" s="802" t="s">
        <v>12402</v>
      </c>
      <c r="AI9" s="802" t="s">
        <v>12403</v>
      </c>
      <c r="AJ9" s="790" t="s">
        <v>12404</v>
      </c>
      <c r="AK9" s="86"/>
      <c r="AL9" s="106"/>
      <c r="AM9" s="106"/>
      <c r="AN9" s="106"/>
      <c r="AO9" s="106"/>
    </row>
    <row r="10" spans="1:41" ht="15.75" customHeight="1">
      <c r="A10" s="197"/>
      <c r="B10" s="422" t="s">
        <v>12405</v>
      </c>
      <c r="C10" s="253" t="s">
        <v>137</v>
      </c>
      <c r="D10" s="253">
        <v>3</v>
      </c>
      <c r="E10" s="601">
        <v>0</v>
      </c>
      <c r="F10" s="601">
        <v>0</v>
      </c>
      <c r="G10" s="601">
        <v>0</v>
      </c>
      <c r="H10" s="1482">
        <f>IFERROR(SUM(E10:G10), 0)</f>
        <v>0</v>
      </c>
      <c r="I10" s="86"/>
      <c r="J10" s="106"/>
      <c r="K10" s="106"/>
      <c r="L10" s="106"/>
      <c r="M10" s="197"/>
      <c r="N10" s="106"/>
      <c r="O10" s="257" t="s">
        <v>12406</v>
      </c>
      <c r="P10" s="197"/>
      <c r="Q10" s="258"/>
      <c r="R10" s="197"/>
      <c r="S10" s="2589"/>
      <c r="T10" s="1121">
        <f t="shared" si="2"/>
        <v>0</v>
      </c>
      <c r="U10" s="2589"/>
      <c r="V10" s="252">
        <f t="shared" si="3"/>
        <v>0</v>
      </c>
      <c r="W10" s="252">
        <f t="shared" si="0"/>
        <v>0</v>
      </c>
      <c r="X10" s="252">
        <f t="shared" si="1"/>
        <v>0</v>
      </c>
      <c r="Y10" s="2562"/>
      <c r="Z10" s="2562"/>
      <c r="AA10" s="2562"/>
      <c r="AB10" s="2562"/>
      <c r="AC10" s="2562"/>
      <c r="AD10" s="2589"/>
      <c r="AE10" s="2560"/>
      <c r="AF10" s="422" t="s">
        <v>12405</v>
      </c>
      <c r="AG10" s="802" t="s">
        <v>12407</v>
      </c>
      <c r="AH10" s="802" t="s">
        <v>12408</v>
      </c>
      <c r="AI10" s="802" t="s">
        <v>12409</v>
      </c>
      <c r="AJ10" s="790" t="s">
        <v>12410</v>
      </c>
      <c r="AK10" s="86"/>
      <c r="AL10" s="106"/>
      <c r="AM10" s="106"/>
      <c r="AN10" s="106"/>
      <c r="AO10" s="106"/>
    </row>
    <row r="11" spans="1:41" ht="15.75" customHeight="1" thickBot="1">
      <c r="A11" s="197"/>
      <c r="B11" s="425" t="s">
        <v>6885</v>
      </c>
      <c r="C11" s="319" t="s">
        <v>137</v>
      </c>
      <c r="D11" s="319">
        <v>3</v>
      </c>
      <c r="E11" s="1524">
        <v>0</v>
      </c>
      <c r="F11" s="1524">
        <v>0</v>
      </c>
      <c r="G11" s="1524">
        <v>0</v>
      </c>
      <c r="H11" s="1483">
        <f t="shared" ref="H11" si="4">IFERROR(SUM(E11:G11), 0)</f>
        <v>0</v>
      </c>
      <c r="I11" s="86"/>
      <c r="J11" s="106"/>
      <c r="K11" s="106"/>
      <c r="L11" s="106"/>
      <c r="M11" s="197"/>
      <c r="N11" s="106"/>
      <c r="O11" s="320" t="s">
        <v>12411</v>
      </c>
      <c r="P11" s="197"/>
      <c r="Q11" s="269"/>
      <c r="R11" s="197"/>
      <c r="S11" s="2589"/>
      <c r="T11" s="1121">
        <f t="shared" si="2"/>
        <v>0</v>
      </c>
      <c r="U11" s="2589"/>
      <c r="V11" s="252">
        <f t="shared" si="3"/>
        <v>0</v>
      </c>
      <c r="W11" s="252">
        <f t="shared" si="0"/>
        <v>0</v>
      </c>
      <c r="X11" s="252">
        <f t="shared" si="1"/>
        <v>0</v>
      </c>
      <c r="Y11" s="2562"/>
      <c r="Z11" s="2562"/>
      <c r="AA11" s="2562"/>
      <c r="AB11" s="2562"/>
      <c r="AC11" s="2562"/>
      <c r="AD11" s="2589"/>
      <c r="AE11" s="2560"/>
      <c r="AF11" s="425" t="s">
        <v>6885</v>
      </c>
      <c r="AG11" s="937" t="s">
        <v>12412</v>
      </c>
      <c r="AH11" s="937" t="s">
        <v>12413</v>
      </c>
      <c r="AI11" s="937" t="s">
        <v>12414</v>
      </c>
      <c r="AJ11" s="379" t="s">
        <v>12415</v>
      </c>
      <c r="AK11" s="86"/>
      <c r="AL11" s="106"/>
      <c r="AM11" s="106"/>
      <c r="AN11" s="106"/>
      <c r="AO11" s="106"/>
    </row>
    <row r="12" spans="1:41" ht="15.75" customHeight="1" thickTop="1" thickBot="1">
      <c r="A12" s="197"/>
      <c r="B12" s="327"/>
      <c r="C12" s="327"/>
      <c r="D12" s="327"/>
      <c r="E12" s="1518"/>
      <c r="F12" s="1518"/>
      <c r="G12" s="1518"/>
      <c r="H12" s="1518"/>
      <c r="I12" s="86"/>
      <c r="J12" s="106"/>
      <c r="K12" s="106"/>
      <c r="L12" s="106"/>
      <c r="M12" s="197"/>
      <c r="N12" s="106"/>
      <c r="O12" s="909"/>
      <c r="P12" s="197"/>
      <c r="Q12" s="197"/>
      <c r="R12" s="197"/>
      <c r="S12" s="2589"/>
      <c r="T12" s="1121"/>
      <c r="U12" s="2589"/>
      <c r="V12" s="2562"/>
      <c r="W12" s="2562"/>
      <c r="X12" s="2562">
        <f t="shared" si="1"/>
        <v>1</v>
      </c>
      <c r="Y12" s="2562"/>
      <c r="Z12" s="2562"/>
      <c r="AA12" s="2562"/>
      <c r="AB12" s="2562"/>
      <c r="AC12" s="2562"/>
      <c r="AD12" s="2589"/>
      <c r="AE12" s="2560"/>
      <c r="AF12" s="327"/>
      <c r="AG12" s="83"/>
      <c r="AH12" s="83"/>
      <c r="AI12" s="83"/>
      <c r="AJ12" s="83"/>
      <c r="AK12" s="86"/>
      <c r="AL12" s="106"/>
      <c r="AM12" s="106"/>
      <c r="AN12" s="106"/>
      <c r="AO12" s="106"/>
    </row>
    <row r="13" spans="1:41" ht="15.75" customHeight="1" thickTop="1" thickBot="1">
      <c r="A13" s="197"/>
      <c r="B13" s="355" t="s">
        <v>2981</v>
      </c>
      <c r="C13" s="222"/>
      <c r="D13" s="222"/>
      <c r="E13" s="1515"/>
      <c r="F13" s="1515"/>
      <c r="G13" s="1515"/>
      <c r="H13" s="1515"/>
      <c r="I13" s="86"/>
      <c r="J13" s="86"/>
      <c r="K13" s="86"/>
      <c r="L13" s="86"/>
      <c r="M13" s="197"/>
      <c r="N13" s="106"/>
      <c r="O13" s="909"/>
      <c r="P13" s="197"/>
      <c r="Q13" s="197"/>
      <c r="R13" s="197"/>
      <c r="S13" s="2589"/>
      <c r="T13" s="1121"/>
      <c r="U13" s="2589"/>
      <c r="V13" s="2562"/>
      <c r="W13" s="2562"/>
      <c r="X13" s="2562"/>
      <c r="Y13" s="2562"/>
      <c r="Z13" s="2562"/>
      <c r="AA13" s="2562"/>
      <c r="AB13" s="2562"/>
      <c r="AC13" s="2562"/>
      <c r="AD13" s="2589"/>
      <c r="AE13" s="2560"/>
      <c r="AF13" s="355" t="s">
        <v>2981</v>
      </c>
      <c r="AG13" s="444"/>
      <c r="AH13" s="444"/>
      <c r="AI13" s="444"/>
      <c r="AJ13" s="444"/>
      <c r="AK13" s="86"/>
      <c r="AL13" s="86"/>
      <c r="AM13" s="86"/>
      <c r="AN13" s="86"/>
      <c r="AO13" s="86"/>
    </row>
    <row r="14" spans="1:41" ht="15.75" customHeight="1" thickTop="1">
      <c r="A14" s="197"/>
      <c r="B14" s="413" t="s">
        <v>2963</v>
      </c>
      <c r="C14" s="244" t="s">
        <v>137</v>
      </c>
      <c r="D14" s="244">
        <v>3</v>
      </c>
      <c r="E14" s="598">
        <v>0</v>
      </c>
      <c r="F14" s="598">
        <v>0</v>
      </c>
      <c r="G14" s="598">
        <v>0</v>
      </c>
      <c r="H14" s="1480">
        <f>IFERROR(SUM(E14:G14), 0)</f>
        <v>0</v>
      </c>
      <c r="I14" s="86"/>
      <c r="J14" s="86"/>
      <c r="K14" s="86"/>
      <c r="L14" s="86"/>
      <c r="M14" s="197"/>
      <c r="N14" s="106"/>
      <c r="O14" s="248" t="s">
        <v>12416</v>
      </c>
      <c r="P14" s="197"/>
      <c r="Q14" s="250"/>
      <c r="R14" s="197"/>
      <c r="S14" s="2589"/>
      <c r="T14" s="1121">
        <f t="shared" ref="T14:T16" si="5">IF( SUM( V14:AC14 ) = 0, 0, $V$5 )</f>
        <v>0</v>
      </c>
      <c r="U14" s="2589"/>
      <c r="V14" s="252">
        <f t="shared" ref="V14:V16" si="6" xml:space="preserve"> IF( ISNUMBER(E14 ), 0, 1 )</f>
        <v>0</v>
      </c>
      <c r="W14" s="252">
        <f t="shared" ref="W14:W16" si="7" xml:space="preserve"> IF( ISNUMBER(F14 ), 0, 1 )</f>
        <v>0</v>
      </c>
      <c r="X14" s="252">
        <f t="shared" ref="X14:X16" si="8" xml:space="preserve"> IF( ISNUMBER(G14 ), 0, 1 )</f>
        <v>0</v>
      </c>
      <c r="Y14" s="2562"/>
      <c r="Z14" s="2562"/>
      <c r="AA14" s="2562"/>
      <c r="AB14" s="2562"/>
      <c r="AC14" s="2562"/>
      <c r="AD14" s="2589"/>
      <c r="AE14" s="2560"/>
      <c r="AF14" s="413" t="s">
        <v>2963</v>
      </c>
      <c r="AG14" s="801" t="s">
        <v>12417</v>
      </c>
      <c r="AH14" s="801" t="s">
        <v>12418</v>
      </c>
      <c r="AI14" s="801" t="s">
        <v>12419</v>
      </c>
      <c r="AJ14" s="378" t="s">
        <v>12420</v>
      </c>
      <c r="AK14" s="86"/>
      <c r="AL14" s="86"/>
      <c r="AM14" s="86"/>
      <c r="AN14" s="86"/>
      <c r="AO14" s="86"/>
    </row>
    <row r="15" spans="1:41" ht="15.75" customHeight="1">
      <c r="A15" s="197"/>
      <c r="B15" s="422" t="s">
        <v>2971</v>
      </c>
      <c r="C15" s="253" t="s">
        <v>137</v>
      </c>
      <c r="D15" s="253">
        <v>3</v>
      </c>
      <c r="E15" s="601">
        <v>0</v>
      </c>
      <c r="F15" s="601">
        <v>0</v>
      </c>
      <c r="G15" s="601">
        <v>0</v>
      </c>
      <c r="H15" s="1482">
        <f t="shared" ref="H15:H18" si="9">IFERROR(SUM(E15:G15), 0)</f>
        <v>0</v>
      </c>
      <c r="I15" s="86"/>
      <c r="J15" s="86"/>
      <c r="K15" s="86"/>
      <c r="L15" s="86"/>
      <c r="M15" s="197"/>
      <c r="N15" s="106"/>
      <c r="O15" s="257" t="s">
        <v>12421</v>
      </c>
      <c r="P15" s="197"/>
      <c r="Q15" s="258"/>
      <c r="R15" s="197"/>
      <c r="S15" s="2589"/>
      <c r="T15" s="1121">
        <f t="shared" si="5"/>
        <v>0</v>
      </c>
      <c r="U15" s="2589"/>
      <c r="V15" s="252">
        <f t="shared" si="6"/>
        <v>0</v>
      </c>
      <c r="W15" s="252">
        <f t="shared" si="7"/>
        <v>0</v>
      </c>
      <c r="X15" s="252">
        <f t="shared" si="8"/>
        <v>0</v>
      </c>
      <c r="Y15" s="2562"/>
      <c r="Z15" s="2562"/>
      <c r="AA15" s="2562"/>
      <c r="AB15" s="2562"/>
      <c r="AC15" s="2562"/>
      <c r="AD15" s="2589"/>
      <c r="AE15" s="2560"/>
      <c r="AF15" s="422" t="s">
        <v>2971</v>
      </c>
      <c r="AG15" s="802" t="s">
        <v>12422</v>
      </c>
      <c r="AH15" s="802" t="s">
        <v>12423</v>
      </c>
      <c r="AI15" s="802" t="s">
        <v>12424</v>
      </c>
      <c r="AJ15" s="790" t="s">
        <v>12425</v>
      </c>
      <c r="AK15" s="86"/>
      <c r="AL15" s="86"/>
      <c r="AM15" s="86"/>
      <c r="AN15" s="86"/>
      <c r="AO15" s="86"/>
    </row>
    <row r="16" spans="1:41" ht="15.75" customHeight="1">
      <c r="A16" s="197"/>
      <c r="B16" s="422" t="s">
        <v>10422</v>
      </c>
      <c r="C16" s="253" t="s">
        <v>137</v>
      </c>
      <c r="D16" s="253">
        <v>3</v>
      </c>
      <c r="E16" s="601">
        <v>0</v>
      </c>
      <c r="F16" s="601">
        <v>9.6329999999999991</v>
      </c>
      <c r="G16" s="601">
        <v>0</v>
      </c>
      <c r="H16" s="1482">
        <f t="shared" si="9"/>
        <v>9.6329999999999991</v>
      </c>
      <c r="I16" s="86"/>
      <c r="J16" s="86"/>
      <c r="K16" s="86"/>
      <c r="L16" s="86"/>
      <c r="M16" s="197"/>
      <c r="N16" s="106"/>
      <c r="O16" s="257" t="s">
        <v>12426</v>
      </c>
      <c r="P16" s="197"/>
      <c r="Q16" s="258"/>
      <c r="R16" s="197"/>
      <c r="S16" s="2589"/>
      <c r="T16" s="1121">
        <f t="shared" si="5"/>
        <v>0</v>
      </c>
      <c r="U16" s="2589"/>
      <c r="V16" s="252">
        <f t="shared" si="6"/>
        <v>0</v>
      </c>
      <c r="W16" s="252">
        <f t="shared" si="7"/>
        <v>0</v>
      </c>
      <c r="X16" s="252">
        <f t="shared" si="8"/>
        <v>0</v>
      </c>
      <c r="Y16" s="2562"/>
      <c r="Z16" s="2562"/>
      <c r="AA16" s="2562"/>
      <c r="AB16" s="2562"/>
      <c r="AC16" s="2562"/>
      <c r="AD16" s="2589"/>
      <c r="AE16" s="2560"/>
      <c r="AF16" s="422" t="s">
        <v>12427</v>
      </c>
      <c r="AG16" s="802" t="s">
        <v>12428</v>
      </c>
      <c r="AH16" s="802" t="s">
        <v>12429</v>
      </c>
      <c r="AI16" s="802" t="s">
        <v>12430</v>
      </c>
      <c r="AJ16" s="790" t="s">
        <v>12431</v>
      </c>
      <c r="AK16" s="86"/>
      <c r="AL16" s="86"/>
      <c r="AM16" s="86"/>
      <c r="AN16" s="86"/>
      <c r="AO16" s="86"/>
    </row>
    <row r="17" spans="1:41" ht="15.75" customHeight="1">
      <c r="A17" s="197"/>
      <c r="B17" s="422" t="s">
        <v>12432</v>
      </c>
      <c r="C17" s="253" t="s">
        <v>137</v>
      </c>
      <c r="D17" s="253">
        <v>3</v>
      </c>
      <c r="E17" s="1481">
        <f>IFERROR(SUM(E8:E11,E14:E16), 0)</f>
        <v>0</v>
      </c>
      <c r="F17" s="1481">
        <f>IFERROR(SUM(F8:F11,F14:F16), 0)</f>
        <v>9.6329999999999991</v>
      </c>
      <c r="G17" s="1481">
        <f>IFERROR(SUM(G8:G11,G14:G16), 0)</f>
        <v>0</v>
      </c>
      <c r="H17" s="1482">
        <f t="shared" si="9"/>
        <v>9.6329999999999991</v>
      </c>
      <c r="I17" s="86"/>
      <c r="J17" s="86"/>
      <c r="K17" s="86"/>
      <c r="L17" s="86"/>
      <c r="M17" s="197"/>
      <c r="N17" s="106"/>
      <c r="O17" s="257" t="s">
        <v>12433</v>
      </c>
      <c r="P17" s="197"/>
      <c r="Q17" s="258"/>
      <c r="R17" s="197"/>
      <c r="S17" s="2589"/>
      <c r="T17" s="1121"/>
      <c r="U17" s="2589"/>
      <c r="V17" s="2562"/>
      <c r="W17" s="2562"/>
      <c r="X17" s="2562"/>
      <c r="Y17" s="2562"/>
      <c r="Z17" s="2562"/>
      <c r="AA17" s="2562"/>
      <c r="AB17" s="2562"/>
      <c r="AC17" s="2562"/>
      <c r="AD17" s="2589"/>
      <c r="AE17" s="237"/>
      <c r="AF17" s="422" t="s">
        <v>12432</v>
      </c>
      <c r="AG17" s="581" t="s">
        <v>12434</v>
      </c>
      <c r="AH17" s="581" t="s">
        <v>12435</v>
      </c>
      <c r="AI17" s="581" t="s">
        <v>12436</v>
      </c>
      <c r="AJ17" s="790" t="s">
        <v>12437</v>
      </c>
      <c r="AK17" s="86"/>
      <c r="AL17" s="86"/>
      <c r="AM17" s="86"/>
      <c r="AN17" s="86"/>
      <c r="AO17" s="86"/>
    </row>
    <row r="18" spans="1:41" s="197" customFormat="1" ht="15.75" customHeight="1">
      <c r="B18" s="422" t="s">
        <v>2988</v>
      </c>
      <c r="C18" s="253" t="s">
        <v>137</v>
      </c>
      <c r="D18" s="253">
        <v>3</v>
      </c>
      <c r="E18" s="601">
        <v>0</v>
      </c>
      <c r="F18" s="601">
        <v>0</v>
      </c>
      <c r="G18" s="601">
        <v>0</v>
      </c>
      <c r="H18" s="1482">
        <f t="shared" si="9"/>
        <v>0</v>
      </c>
      <c r="I18" s="86"/>
      <c r="J18" s="86"/>
      <c r="K18" s="86"/>
      <c r="L18" s="86"/>
      <c r="N18" s="106"/>
      <c r="O18" s="257" t="s">
        <v>12438</v>
      </c>
      <c r="P18" s="106"/>
      <c r="Q18" s="258"/>
      <c r="R18" s="106"/>
      <c r="S18" s="2589"/>
      <c r="T18" s="1121">
        <f>IF( SUM( V18:AC18 ) = 0, 0, $V$5 )</f>
        <v>0</v>
      </c>
      <c r="U18" s="2589"/>
      <c r="V18" s="252">
        <f t="shared" ref="V18" si="10" xml:space="preserve"> IF( ISNUMBER(E18 ), 0, 1 )</f>
        <v>0</v>
      </c>
      <c r="W18" s="252">
        <f t="shared" ref="W18" si="11" xml:space="preserve"> IF( ISNUMBER(F18 ), 0, 1 )</f>
        <v>0</v>
      </c>
      <c r="X18" s="252">
        <f t="shared" ref="X18" si="12" xml:space="preserve"> IF( ISNUMBER(G18 ), 0, 1 )</f>
        <v>0</v>
      </c>
      <c r="Y18" s="2562"/>
      <c r="Z18" s="2562"/>
      <c r="AA18" s="2562"/>
      <c r="AB18" s="2562"/>
      <c r="AC18" s="2562"/>
      <c r="AD18" s="2589"/>
      <c r="AE18" s="2560"/>
      <c r="AF18" s="422" t="s">
        <v>2988</v>
      </c>
      <c r="AG18" s="802" t="s">
        <v>12439</v>
      </c>
      <c r="AH18" s="802" t="s">
        <v>12440</v>
      </c>
      <c r="AI18" s="802" t="s">
        <v>12441</v>
      </c>
      <c r="AJ18" s="790" t="s">
        <v>12442</v>
      </c>
      <c r="AK18" s="86"/>
      <c r="AL18" s="86"/>
      <c r="AM18" s="86"/>
      <c r="AN18" s="86"/>
      <c r="AO18" s="86"/>
    </row>
    <row r="19" spans="1:41" s="197" customFormat="1" ht="15.75" customHeight="1" thickBot="1">
      <c r="B19" s="425" t="s">
        <v>10442</v>
      </c>
      <c r="C19" s="319" t="s">
        <v>137</v>
      </c>
      <c r="D19" s="319">
        <v>3</v>
      </c>
      <c r="E19" s="1473">
        <f>IFERROR(E17 + E18, 0)</f>
        <v>0</v>
      </c>
      <c r="F19" s="1473">
        <f>IFERROR(F17 + F18, 0)</f>
        <v>9.6329999999999991</v>
      </c>
      <c r="G19" s="1473">
        <f>IFERROR(G17 + G18, 0)</f>
        <v>0</v>
      </c>
      <c r="H19" s="1483">
        <f>IFERROR(SUM(E19:G19), 0)</f>
        <v>9.6329999999999991</v>
      </c>
      <c r="I19" s="86"/>
      <c r="J19" s="86"/>
      <c r="K19" s="86"/>
      <c r="L19" s="86"/>
      <c r="N19" s="106"/>
      <c r="O19" s="320" t="s">
        <v>12443</v>
      </c>
      <c r="P19" s="106"/>
      <c r="Q19" s="269"/>
      <c r="R19" s="106"/>
      <c r="S19" s="2589"/>
      <c r="T19" s="1121"/>
      <c r="U19" s="2589"/>
      <c r="V19" s="2562"/>
      <c r="W19" s="2562"/>
      <c r="X19" s="2562"/>
      <c r="Y19" s="2562"/>
      <c r="Z19" s="2562"/>
      <c r="AA19" s="2562"/>
      <c r="AB19" s="2562"/>
      <c r="AC19" s="2562"/>
      <c r="AD19" s="2589"/>
      <c r="AE19" s="2560"/>
      <c r="AF19" s="425" t="s">
        <v>10442</v>
      </c>
      <c r="AG19" s="583" t="s">
        <v>12444</v>
      </c>
      <c r="AH19" s="583" t="s">
        <v>12445</v>
      </c>
      <c r="AI19" s="583" t="s">
        <v>12446</v>
      </c>
      <c r="AJ19" s="379" t="s">
        <v>12447</v>
      </c>
      <c r="AK19" s="86"/>
      <c r="AL19" s="86"/>
      <c r="AM19" s="86"/>
      <c r="AN19" s="86"/>
      <c r="AO19" s="86"/>
    </row>
    <row r="20" spans="1:41" ht="15.75" customHeight="1" thickTop="1" thickBot="1">
      <c r="A20" s="197"/>
      <c r="B20" s="106"/>
      <c r="C20" s="106"/>
      <c r="D20" s="106"/>
      <c r="E20" s="313"/>
      <c r="F20" s="313"/>
      <c r="G20" s="313"/>
      <c r="H20" s="313"/>
      <c r="I20" s="313"/>
      <c r="J20" s="313"/>
      <c r="K20" s="313"/>
      <c r="L20" s="313"/>
      <c r="M20" s="197"/>
      <c r="N20" s="313"/>
      <c r="O20" s="909"/>
      <c r="P20" s="918"/>
      <c r="Q20" s="918"/>
      <c r="R20" s="918"/>
      <c r="S20" s="2589"/>
      <c r="T20" s="1121"/>
      <c r="U20" s="2589"/>
      <c r="V20" s="2562"/>
      <c r="W20" s="2562"/>
      <c r="X20" s="2562"/>
      <c r="Y20" s="2562"/>
      <c r="Z20" s="2562"/>
      <c r="AA20" s="2562"/>
      <c r="AB20" s="2562"/>
      <c r="AC20" s="2562"/>
      <c r="AD20" s="2589"/>
      <c r="AE20" s="2560"/>
      <c r="AF20" s="106"/>
      <c r="AG20" s="313"/>
      <c r="AH20" s="313"/>
      <c r="AI20" s="313"/>
      <c r="AJ20" s="313"/>
      <c r="AK20" s="313"/>
      <c r="AL20" s="313"/>
      <c r="AM20" s="313"/>
      <c r="AN20" s="313"/>
      <c r="AO20" s="749"/>
    </row>
    <row r="21" spans="1:41" ht="56.25" customHeight="1" thickTop="1" thickBot="1">
      <c r="A21" s="197"/>
      <c r="B21" s="407" t="s">
        <v>1891</v>
      </c>
      <c r="C21" s="408" t="s">
        <v>1892</v>
      </c>
      <c r="D21" s="408" t="s">
        <v>136</v>
      </c>
      <c r="E21" s="408" t="s">
        <v>12448</v>
      </c>
      <c r="F21" s="408" t="s">
        <v>12449</v>
      </c>
      <c r="G21" s="408" t="s">
        <v>12450</v>
      </c>
      <c r="H21" s="408" t="s">
        <v>12451</v>
      </c>
      <c r="I21" s="408" t="s">
        <v>12452</v>
      </c>
      <c r="J21" s="408" t="s">
        <v>12453</v>
      </c>
      <c r="K21" s="408" t="s">
        <v>2410</v>
      </c>
      <c r="L21" s="409" t="s">
        <v>2112</v>
      </c>
      <c r="M21" s="197"/>
      <c r="N21" s="313"/>
      <c r="O21" s="909"/>
      <c r="P21" s="918"/>
      <c r="Q21" s="918"/>
      <c r="R21" s="918"/>
      <c r="S21" s="2589"/>
      <c r="T21" s="1121"/>
      <c r="U21" s="2589"/>
      <c r="V21" s="2562"/>
      <c r="W21" s="2562"/>
      <c r="X21" s="2562"/>
      <c r="Y21" s="2562"/>
      <c r="Z21" s="2562"/>
      <c r="AA21" s="2562"/>
      <c r="AB21" s="2562"/>
      <c r="AC21" s="2562"/>
      <c r="AD21" s="2589"/>
      <c r="AE21" s="2560"/>
      <c r="AF21" s="407" t="s">
        <v>1891</v>
      </c>
      <c r="AG21" s="408" t="s">
        <v>12448</v>
      </c>
      <c r="AH21" s="408" t="s">
        <v>12449</v>
      </c>
      <c r="AI21" s="408" t="s">
        <v>12450</v>
      </c>
      <c r="AJ21" s="408" t="s">
        <v>12451</v>
      </c>
      <c r="AK21" s="408" t="s">
        <v>12452</v>
      </c>
      <c r="AL21" s="408" t="s">
        <v>12453</v>
      </c>
      <c r="AM21" s="408" t="s">
        <v>2410</v>
      </c>
      <c r="AN21" s="409" t="s">
        <v>2112</v>
      </c>
      <c r="AO21" s="2562"/>
    </row>
    <row r="22" spans="1:41" ht="15.75" customHeight="1" thickTop="1" thickBot="1">
      <c r="A22" s="197"/>
      <c r="B22" s="444"/>
      <c r="C22" s="444"/>
      <c r="D22" s="444"/>
      <c r="E22" s="444"/>
      <c r="F22" s="444"/>
      <c r="G22" s="444"/>
      <c r="H22" s="444"/>
      <c r="I22" s="444"/>
      <c r="J22" s="444"/>
      <c r="K22" s="444"/>
      <c r="L22" s="444"/>
      <c r="M22" s="197"/>
      <c r="N22" s="313"/>
      <c r="O22" s="909"/>
      <c r="P22" s="918"/>
      <c r="Q22" s="918"/>
      <c r="R22" s="918"/>
      <c r="S22" s="2589"/>
      <c r="T22" s="1121"/>
      <c r="U22" s="2589"/>
      <c r="V22" s="2562"/>
      <c r="W22" s="2562"/>
      <c r="X22" s="2562"/>
      <c r="Y22" s="2562"/>
      <c r="Z22" s="2562"/>
      <c r="AA22" s="2562"/>
      <c r="AB22" s="2562"/>
      <c r="AC22" s="2562"/>
      <c r="AD22" s="2589"/>
      <c r="AE22" s="2560"/>
      <c r="AF22" s="444"/>
      <c r="AG22" s="444"/>
      <c r="AH22" s="444"/>
      <c r="AI22" s="444"/>
      <c r="AJ22" s="444"/>
      <c r="AK22" s="444"/>
      <c r="AL22" s="444"/>
      <c r="AM22" s="444"/>
      <c r="AN22" s="444"/>
      <c r="AO22" s="2562"/>
    </row>
    <row r="23" spans="1:41" ht="15.75" customHeight="1" thickTop="1" thickBot="1">
      <c r="A23" s="197"/>
      <c r="B23" s="1256" t="s">
        <v>12454</v>
      </c>
      <c r="C23" s="222"/>
      <c r="D23" s="222"/>
      <c r="E23" s="444"/>
      <c r="F23" s="444"/>
      <c r="G23" s="444"/>
      <c r="H23" s="444"/>
      <c r="I23" s="106"/>
      <c r="J23" s="106"/>
      <c r="K23" s="106"/>
      <c r="L23" s="106"/>
      <c r="M23" s="197"/>
      <c r="N23" s="106"/>
      <c r="O23" s="86"/>
      <c r="P23" s="918"/>
      <c r="Q23" s="918"/>
      <c r="R23" s="918"/>
      <c r="S23" s="2589"/>
      <c r="T23" s="1121"/>
      <c r="U23" s="2589"/>
      <c r="V23" s="2562"/>
      <c r="W23" s="2562"/>
      <c r="X23" s="2562"/>
      <c r="Y23" s="2562"/>
      <c r="Z23" s="2562"/>
      <c r="AA23" s="2562"/>
      <c r="AB23" s="2562"/>
      <c r="AC23" s="2562"/>
      <c r="AD23" s="2589"/>
      <c r="AE23" s="2560"/>
      <c r="AF23" s="1256" t="s">
        <v>12454</v>
      </c>
      <c r="AG23" s="444"/>
      <c r="AH23" s="444"/>
      <c r="AI23" s="444"/>
      <c r="AJ23" s="444"/>
      <c r="AK23" s="106"/>
      <c r="AL23" s="106"/>
      <c r="AM23" s="106"/>
      <c r="AN23" s="106"/>
      <c r="AO23" s="2562"/>
    </row>
    <row r="24" spans="1:41" ht="15.75" customHeight="1" thickTop="1">
      <c r="A24" s="197"/>
      <c r="B24" s="413" t="s">
        <v>2930</v>
      </c>
      <c r="C24" s="244" t="s">
        <v>137</v>
      </c>
      <c r="D24" s="244">
        <v>3</v>
      </c>
      <c r="E24" s="598">
        <v>-4.3999999999999997E-2</v>
      </c>
      <c r="F24" s="598">
        <v>0</v>
      </c>
      <c r="G24" s="598">
        <v>-6.1870000000000003</v>
      </c>
      <c r="H24" s="598">
        <v>0</v>
      </c>
      <c r="I24" s="598">
        <v>0</v>
      </c>
      <c r="J24" s="598">
        <v>-1.1100000000000001</v>
      </c>
      <c r="K24" s="598">
        <v>0</v>
      </c>
      <c r="L24" s="1480">
        <f>IFERROR(SUM(E24:K24), 0)</f>
        <v>-7.3410000000000002</v>
      </c>
      <c r="M24" s="197"/>
      <c r="N24" s="106"/>
      <c r="O24" s="248" t="s">
        <v>12455</v>
      </c>
      <c r="P24" s="918"/>
      <c r="Q24" s="250"/>
      <c r="R24" s="918"/>
      <c r="S24" s="2589"/>
      <c r="T24" s="1121">
        <f t="shared" ref="T24:T27" si="13">IF( SUM( V24:AC24 ) = 0, 0, $V$5 )</f>
        <v>0</v>
      </c>
      <c r="U24" s="2589"/>
      <c r="V24" s="252">
        <f t="shared" ref="V24:V27" si="14" xml:space="preserve"> IF( ISNUMBER(E24 ), 0, 1 )</f>
        <v>0</v>
      </c>
      <c r="W24" s="252">
        <f t="shared" ref="W24:W27" si="15" xml:space="preserve"> IF( ISNUMBER(F24 ), 0, 1 )</f>
        <v>0</v>
      </c>
      <c r="X24" s="252">
        <f t="shared" ref="X24:X27" si="16" xml:space="preserve"> IF( ISNUMBER(G24 ), 0, 1 )</f>
        <v>0</v>
      </c>
      <c r="Y24" s="252">
        <f t="shared" ref="Y24:Y27" si="17" xml:space="preserve"> IF( ISNUMBER(H24 ), 0, 1 )</f>
        <v>0</v>
      </c>
      <c r="Z24" s="252">
        <f t="shared" ref="Z24:Z27" si="18" xml:space="preserve"> IF( ISNUMBER(I24 ), 0, 1 )</f>
        <v>0</v>
      </c>
      <c r="AA24" s="252">
        <f t="shared" ref="AA24:AA27" si="19" xml:space="preserve"> IF( ISNUMBER(J24 ), 0, 1 )</f>
        <v>0</v>
      </c>
      <c r="AB24" s="252">
        <f t="shared" ref="AB24:AB27" si="20" xml:space="preserve"> IF( ISNUMBER(K24 ), 0, 1 )</f>
        <v>0</v>
      </c>
      <c r="AC24" s="2562"/>
      <c r="AD24" s="2589"/>
      <c r="AE24" s="2560"/>
      <c r="AF24" s="413" t="s">
        <v>2930</v>
      </c>
      <c r="AG24" s="801" t="s">
        <v>12456</v>
      </c>
      <c r="AH24" s="801" t="s">
        <v>12457</v>
      </c>
      <c r="AI24" s="801" t="s">
        <v>12458</v>
      </c>
      <c r="AJ24" s="801" t="s">
        <v>12459</v>
      </c>
      <c r="AK24" s="801" t="s">
        <v>12460</v>
      </c>
      <c r="AL24" s="801" t="s">
        <v>12461</v>
      </c>
      <c r="AM24" s="801" t="s">
        <v>12462</v>
      </c>
      <c r="AN24" s="378" t="s">
        <v>12463</v>
      </c>
      <c r="AO24" s="2562"/>
    </row>
    <row r="25" spans="1:41" ht="15.75" customHeight="1">
      <c r="A25" s="197"/>
      <c r="B25" s="422" t="s">
        <v>2938</v>
      </c>
      <c r="C25" s="253" t="s">
        <v>137</v>
      </c>
      <c r="D25" s="253">
        <v>3</v>
      </c>
      <c r="E25" s="601">
        <v>-8.0000000000000002E-3</v>
      </c>
      <c r="F25" s="601">
        <v>0</v>
      </c>
      <c r="G25" s="601">
        <v>-1.1379999999999999</v>
      </c>
      <c r="H25" s="601">
        <v>0</v>
      </c>
      <c r="I25" s="601">
        <v>0</v>
      </c>
      <c r="J25" s="601">
        <v>-0.625</v>
      </c>
      <c r="K25" s="601">
        <v>0</v>
      </c>
      <c r="L25" s="1482">
        <f>IFERROR(SUM(E25:K25), 0)</f>
        <v>-1.7709999999999999</v>
      </c>
      <c r="M25" s="197"/>
      <c r="N25" s="106"/>
      <c r="O25" s="257" t="s">
        <v>12464</v>
      </c>
      <c r="P25" s="918"/>
      <c r="Q25" s="258"/>
      <c r="R25" s="918"/>
      <c r="S25" s="2589"/>
      <c r="T25" s="1121">
        <f t="shared" si="13"/>
        <v>0</v>
      </c>
      <c r="U25" s="2589"/>
      <c r="V25" s="252">
        <f t="shared" si="14"/>
        <v>0</v>
      </c>
      <c r="W25" s="252">
        <f t="shared" si="15"/>
        <v>0</v>
      </c>
      <c r="X25" s="252">
        <f t="shared" si="16"/>
        <v>0</v>
      </c>
      <c r="Y25" s="252">
        <f t="shared" si="17"/>
        <v>0</v>
      </c>
      <c r="Z25" s="252">
        <f t="shared" si="18"/>
        <v>0</v>
      </c>
      <c r="AA25" s="252">
        <f t="shared" si="19"/>
        <v>0</v>
      </c>
      <c r="AB25" s="252">
        <f t="shared" si="20"/>
        <v>0</v>
      </c>
      <c r="AC25" s="2562"/>
      <c r="AD25" s="2589"/>
      <c r="AE25" s="2560"/>
      <c r="AF25" s="422" t="s">
        <v>2938</v>
      </c>
      <c r="AG25" s="802" t="s">
        <v>12465</v>
      </c>
      <c r="AH25" s="802" t="s">
        <v>12466</v>
      </c>
      <c r="AI25" s="802" t="s">
        <v>12467</v>
      </c>
      <c r="AJ25" s="802" t="s">
        <v>12468</v>
      </c>
      <c r="AK25" s="802" t="s">
        <v>12469</v>
      </c>
      <c r="AL25" s="802" t="s">
        <v>12470</v>
      </c>
      <c r="AM25" s="802" t="s">
        <v>12471</v>
      </c>
      <c r="AN25" s="790" t="s">
        <v>12472</v>
      </c>
      <c r="AO25" s="2562"/>
    </row>
    <row r="26" spans="1:41" ht="15.75" customHeight="1">
      <c r="A26" s="197"/>
      <c r="B26" s="422" t="s">
        <v>12405</v>
      </c>
      <c r="C26" s="253" t="s">
        <v>137</v>
      </c>
      <c r="D26" s="253">
        <v>3</v>
      </c>
      <c r="E26" s="601">
        <v>0</v>
      </c>
      <c r="F26" s="601">
        <v>0</v>
      </c>
      <c r="G26" s="601">
        <v>0</v>
      </c>
      <c r="H26" s="601">
        <v>0</v>
      </c>
      <c r="I26" s="601">
        <v>0</v>
      </c>
      <c r="J26" s="601">
        <v>0</v>
      </c>
      <c r="K26" s="601">
        <v>0</v>
      </c>
      <c r="L26" s="1482">
        <f>IFERROR(SUM(E26:K26), 0)</f>
        <v>0</v>
      </c>
      <c r="M26" s="197"/>
      <c r="N26" s="106"/>
      <c r="O26" s="257" t="s">
        <v>12473</v>
      </c>
      <c r="P26" s="918"/>
      <c r="Q26" s="258"/>
      <c r="R26" s="918"/>
      <c r="S26" s="2589"/>
      <c r="T26" s="1121">
        <f t="shared" si="13"/>
        <v>0</v>
      </c>
      <c r="U26" s="2589"/>
      <c r="V26" s="252">
        <f t="shared" si="14"/>
        <v>0</v>
      </c>
      <c r="W26" s="252">
        <f t="shared" si="15"/>
        <v>0</v>
      </c>
      <c r="X26" s="252">
        <f t="shared" si="16"/>
        <v>0</v>
      </c>
      <c r="Y26" s="252">
        <f t="shared" si="17"/>
        <v>0</v>
      </c>
      <c r="Z26" s="252">
        <f t="shared" si="18"/>
        <v>0</v>
      </c>
      <c r="AA26" s="252">
        <f t="shared" si="19"/>
        <v>0</v>
      </c>
      <c r="AB26" s="252">
        <f t="shared" si="20"/>
        <v>0</v>
      </c>
      <c r="AC26" s="2562"/>
      <c r="AD26" s="2589"/>
      <c r="AE26" s="2560"/>
      <c r="AF26" s="422" t="s">
        <v>12405</v>
      </c>
      <c r="AG26" s="802" t="s">
        <v>12474</v>
      </c>
      <c r="AH26" s="802" t="s">
        <v>12475</v>
      </c>
      <c r="AI26" s="802" t="s">
        <v>12476</v>
      </c>
      <c r="AJ26" s="802" t="s">
        <v>12477</v>
      </c>
      <c r="AK26" s="802" t="s">
        <v>12478</v>
      </c>
      <c r="AL26" s="802" t="s">
        <v>12479</v>
      </c>
      <c r="AM26" s="802" t="s">
        <v>12480</v>
      </c>
      <c r="AN26" s="790" t="s">
        <v>12481</v>
      </c>
      <c r="AO26" s="2562"/>
    </row>
    <row r="27" spans="1:41" ht="15.75" customHeight="1" thickBot="1">
      <c r="A27" s="197"/>
      <c r="B27" s="425" t="s">
        <v>6885</v>
      </c>
      <c r="C27" s="319" t="s">
        <v>137</v>
      </c>
      <c r="D27" s="319">
        <v>3</v>
      </c>
      <c r="E27" s="1524">
        <v>0</v>
      </c>
      <c r="F27" s="1524">
        <v>0</v>
      </c>
      <c r="G27" s="1524">
        <v>0</v>
      </c>
      <c r="H27" s="1524">
        <v>0</v>
      </c>
      <c r="I27" s="1524">
        <v>0</v>
      </c>
      <c r="J27" s="1524">
        <v>0</v>
      </c>
      <c r="K27" s="1524">
        <v>0</v>
      </c>
      <c r="L27" s="1483">
        <f>IFERROR(SUM(E27:K27), 0)</f>
        <v>0</v>
      </c>
      <c r="M27" s="197"/>
      <c r="N27" s="106"/>
      <c r="O27" s="320" t="s">
        <v>12482</v>
      </c>
      <c r="P27" s="918"/>
      <c r="Q27" s="269"/>
      <c r="R27" s="918"/>
      <c r="S27" s="2589"/>
      <c r="T27" s="1121">
        <f t="shared" si="13"/>
        <v>0</v>
      </c>
      <c r="U27" s="2589"/>
      <c r="V27" s="252">
        <f t="shared" si="14"/>
        <v>0</v>
      </c>
      <c r="W27" s="252">
        <f t="shared" si="15"/>
        <v>0</v>
      </c>
      <c r="X27" s="252">
        <f t="shared" si="16"/>
        <v>0</v>
      </c>
      <c r="Y27" s="252">
        <f t="shared" si="17"/>
        <v>0</v>
      </c>
      <c r="Z27" s="252">
        <f t="shared" si="18"/>
        <v>0</v>
      </c>
      <c r="AA27" s="252">
        <f t="shared" si="19"/>
        <v>0</v>
      </c>
      <c r="AB27" s="252">
        <f t="shared" si="20"/>
        <v>0</v>
      </c>
      <c r="AC27" s="2562"/>
      <c r="AD27" s="2589"/>
      <c r="AE27" s="2560"/>
      <c r="AF27" s="425" t="s">
        <v>6885</v>
      </c>
      <c r="AG27" s="937" t="s">
        <v>12483</v>
      </c>
      <c r="AH27" s="937" t="s">
        <v>12484</v>
      </c>
      <c r="AI27" s="937" t="s">
        <v>12485</v>
      </c>
      <c r="AJ27" s="937" t="s">
        <v>12486</v>
      </c>
      <c r="AK27" s="937" t="s">
        <v>12487</v>
      </c>
      <c r="AL27" s="937" t="s">
        <v>12488</v>
      </c>
      <c r="AM27" s="937" t="s">
        <v>12489</v>
      </c>
      <c r="AN27" s="379" t="s">
        <v>12490</v>
      </c>
      <c r="AO27" s="2562"/>
    </row>
    <row r="28" spans="1:41" ht="15.75" customHeight="1" thickTop="1" thickBot="1">
      <c r="A28" s="197"/>
      <c r="B28" s="327"/>
      <c r="C28" s="327"/>
      <c r="D28" s="327"/>
      <c r="E28" s="1518"/>
      <c r="F28" s="1518"/>
      <c r="G28" s="1518"/>
      <c r="H28" s="1518"/>
      <c r="I28" s="1477"/>
      <c r="J28" s="1477"/>
      <c r="K28" s="1477"/>
      <c r="L28" s="1477"/>
      <c r="M28" s="197"/>
      <c r="N28" s="106"/>
      <c r="O28" s="909"/>
      <c r="P28" s="918"/>
      <c r="Q28" s="918"/>
      <c r="R28" s="918"/>
      <c r="S28" s="2589"/>
      <c r="T28" s="1121"/>
      <c r="U28" s="2589"/>
      <c r="V28" s="2562"/>
      <c r="W28" s="2562"/>
      <c r="X28" s="2562"/>
      <c r="Y28" s="2562"/>
      <c r="Z28" s="2562"/>
      <c r="AA28" s="2562"/>
      <c r="AB28" s="2562"/>
      <c r="AC28" s="2562"/>
      <c r="AD28" s="2589"/>
      <c r="AE28" s="2560"/>
      <c r="AF28" s="327"/>
      <c r="AG28" s="83"/>
      <c r="AH28" s="83"/>
      <c r="AI28" s="83"/>
      <c r="AJ28" s="83"/>
      <c r="AK28" s="106"/>
      <c r="AL28" s="106"/>
      <c r="AM28" s="106"/>
      <c r="AN28" s="106"/>
      <c r="AO28" s="2562"/>
    </row>
    <row r="29" spans="1:41" ht="15.75" customHeight="1" thickTop="1" thickBot="1">
      <c r="A29" s="197"/>
      <c r="B29" s="355" t="s">
        <v>2981</v>
      </c>
      <c r="C29" s="222"/>
      <c r="D29" s="222"/>
      <c r="E29" s="1515"/>
      <c r="F29" s="1515"/>
      <c r="G29" s="1515"/>
      <c r="H29" s="1515"/>
      <c r="I29" s="1645"/>
      <c r="J29" s="1645"/>
      <c r="K29" s="1645"/>
      <c r="L29" s="1645"/>
      <c r="M29" s="197"/>
      <c r="N29" s="106"/>
      <c r="O29" s="909"/>
      <c r="P29" s="918"/>
      <c r="Q29" s="918"/>
      <c r="R29" s="918"/>
      <c r="S29" s="2589"/>
      <c r="T29" s="1121"/>
      <c r="U29" s="2589"/>
      <c r="V29" s="2562"/>
      <c r="W29" s="2562"/>
      <c r="X29" s="2562"/>
      <c r="Y29" s="2562"/>
      <c r="Z29" s="2562"/>
      <c r="AA29" s="2562"/>
      <c r="AB29" s="2562"/>
      <c r="AC29" s="2562"/>
      <c r="AD29" s="2589"/>
      <c r="AE29" s="2560"/>
      <c r="AF29" s="355" t="s">
        <v>2981</v>
      </c>
      <c r="AG29" s="444"/>
      <c r="AH29" s="444"/>
      <c r="AI29" s="444"/>
      <c r="AJ29" s="444"/>
      <c r="AK29" s="86"/>
      <c r="AL29" s="86"/>
      <c r="AM29" s="86"/>
      <c r="AN29" s="86"/>
      <c r="AO29" s="2562"/>
    </row>
    <row r="30" spans="1:41" ht="15.75" customHeight="1" thickTop="1">
      <c r="A30" s="197"/>
      <c r="B30" s="413" t="s">
        <v>2963</v>
      </c>
      <c r="C30" s="244" t="s">
        <v>137</v>
      </c>
      <c r="D30" s="244">
        <v>3</v>
      </c>
      <c r="E30" s="598">
        <v>0</v>
      </c>
      <c r="F30" s="598">
        <v>0</v>
      </c>
      <c r="G30" s="598">
        <v>0</v>
      </c>
      <c r="H30" s="598">
        <v>0</v>
      </c>
      <c r="I30" s="598">
        <v>0</v>
      </c>
      <c r="J30" s="598">
        <v>0</v>
      </c>
      <c r="K30" s="598">
        <v>0</v>
      </c>
      <c r="L30" s="1480">
        <f t="shared" ref="L30:L35" si="21">IFERROR(SUM(E30:K30), 0)</f>
        <v>0</v>
      </c>
      <c r="M30" s="197"/>
      <c r="N30" s="106"/>
      <c r="O30" s="248" t="s">
        <v>12491</v>
      </c>
      <c r="P30" s="918"/>
      <c r="Q30" s="250"/>
      <c r="R30" s="918"/>
      <c r="S30" s="2589"/>
      <c r="T30" s="1121">
        <f t="shared" ref="T30:T34" si="22">IF( SUM( V30:AC30 ) = 0, 0, $V$5 )</f>
        <v>0</v>
      </c>
      <c r="U30" s="2589"/>
      <c r="V30" s="252">
        <f t="shared" ref="V30:V34" si="23" xml:space="preserve"> IF( ISNUMBER(E30 ), 0, 1 )</f>
        <v>0</v>
      </c>
      <c r="W30" s="252">
        <f t="shared" ref="W30:W34" si="24" xml:space="preserve"> IF( ISNUMBER(F30 ), 0, 1 )</f>
        <v>0</v>
      </c>
      <c r="X30" s="252">
        <f t="shared" ref="X30:X34" si="25" xml:space="preserve"> IF( ISNUMBER(G30 ), 0, 1 )</f>
        <v>0</v>
      </c>
      <c r="Y30" s="252">
        <f t="shared" ref="Y30:Y34" si="26" xml:space="preserve"> IF( ISNUMBER(H30 ), 0, 1 )</f>
        <v>0</v>
      </c>
      <c r="Z30" s="252">
        <f t="shared" ref="Z30:Z34" si="27" xml:space="preserve"> IF( ISNUMBER(I30 ), 0, 1 )</f>
        <v>0</v>
      </c>
      <c r="AA30" s="252">
        <f t="shared" ref="AA30:AA34" si="28" xml:space="preserve"> IF( ISNUMBER(J30 ), 0, 1 )</f>
        <v>0</v>
      </c>
      <c r="AB30" s="252">
        <f t="shared" ref="AB30:AB34" si="29" xml:space="preserve"> IF( ISNUMBER(K30 ), 0, 1 )</f>
        <v>0</v>
      </c>
      <c r="AC30" s="2562"/>
      <c r="AD30" s="2589"/>
      <c r="AE30" s="2560"/>
      <c r="AF30" s="413" t="s">
        <v>2963</v>
      </c>
      <c r="AG30" s="801" t="s">
        <v>12492</v>
      </c>
      <c r="AH30" s="801" t="s">
        <v>12493</v>
      </c>
      <c r="AI30" s="801" t="s">
        <v>12494</v>
      </c>
      <c r="AJ30" s="801" t="s">
        <v>12495</v>
      </c>
      <c r="AK30" s="801" t="s">
        <v>12496</v>
      </c>
      <c r="AL30" s="801" t="s">
        <v>12497</v>
      </c>
      <c r="AM30" s="801" t="s">
        <v>12498</v>
      </c>
      <c r="AN30" s="378" t="s">
        <v>12499</v>
      </c>
      <c r="AO30" s="2562"/>
    </row>
    <row r="31" spans="1:41" ht="15.75" customHeight="1">
      <c r="A31" s="197"/>
      <c r="B31" s="422" t="s">
        <v>2971</v>
      </c>
      <c r="C31" s="253" t="s">
        <v>137</v>
      </c>
      <c r="D31" s="253">
        <v>3</v>
      </c>
      <c r="E31" s="601">
        <v>0</v>
      </c>
      <c r="F31" s="601">
        <v>0</v>
      </c>
      <c r="G31" s="601">
        <v>0</v>
      </c>
      <c r="H31" s="601">
        <v>0</v>
      </c>
      <c r="I31" s="601">
        <v>0</v>
      </c>
      <c r="J31" s="601">
        <v>0</v>
      </c>
      <c r="K31" s="601">
        <v>0</v>
      </c>
      <c r="L31" s="1482">
        <f t="shared" si="21"/>
        <v>0</v>
      </c>
      <c r="M31" s="197"/>
      <c r="N31" s="106"/>
      <c r="O31" s="257" t="s">
        <v>12500</v>
      </c>
      <c r="P31" s="918"/>
      <c r="Q31" s="258"/>
      <c r="R31" s="918"/>
      <c r="S31" s="2589"/>
      <c r="T31" s="1121">
        <f t="shared" si="22"/>
        <v>0</v>
      </c>
      <c r="U31" s="2589"/>
      <c r="V31" s="252">
        <f t="shared" si="23"/>
        <v>0</v>
      </c>
      <c r="W31" s="252">
        <f t="shared" si="24"/>
        <v>0</v>
      </c>
      <c r="X31" s="252">
        <f t="shared" si="25"/>
        <v>0</v>
      </c>
      <c r="Y31" s="252">
        <f t="shared" si="26"/>
        <v>0</v>
      </c>
      <c r="Z31" s="252">
        <f t="shared" si="27"/>
        <v>0</v>
      </c>
      <c r="AA31" s="252">
        <f t="shared" si="28"/>
        <v>0</v>
      </c>
      <c r="AB31" s="252">
        <f t="shared" si="29"/>
        <v>0</v>
      </c>
      <c r="AC31" s="2562"/>
      <c r="AD31" s="2589"/>
      <c r="AE31" s="2560"/>
      <c r="AF31" s="422" t="s">
        <v>2971</v>
      </c>
      <c r="AG31" s="802" t="s">
        <v>12501</v>
      </c>
      <c r="AH31" s="802" t="s">
        <v>12502</v>
      </c>
      <c r="AI31" s="802" t="s">
        <v>12503</v>
      </c>
      <c r="AJ31" s="802" t="s">
        <v>12504</v>
      </c>
      <c r="AK31" s="802" t="s">
        <v>12505</v>
      </c>
      <c r="AL31" s="802" t="s">
        <v>12506</v>
      </c>
      <c r="AM31" s="802" t="s">
        <v>12507</v>
      </c>
      <c r="AN31" s="790" t="s">
        <v>12508</v>
      </c>
      <c r="AO31" s="2562"/>
    </row>
    <row r="32" spans="1:41" ht="15.75" customHeight="1">
      <c r="A32" s="197"/>
      <c r="B32" s="422" t="s">
        <v>10422</v>
      </c>
      <c r="C32" s="253" t="s">
        <v>137</v>
      </c>
      <c r="D32" s="253">
        <v>3</v>
      </c>
      <c r="E32" s="601">
        <v>0.129</v>
      </c>
      <c r="F32" s="601">
        <v>0</v>
      </c>
      <c r="G32" s="601">
        <v>18.312000000000001</v>
      </c>
      <c r="H32" s="601">
        <v>0</v>
      </c>
      <c r="I32" s="601">
        <v>0</v>
      </c>
      <c r="J32" s="601">
        <v>4.0110000000000001</v>
      </c>
      <c r="K32" s="601">
        <v>0</v>
      </c>
      <c r="L32" s="1482">
        <f t="shared" si="21"/>
        <v>22.452000000000002</v>
      </c>
      <c r="M32" s="197"/>
      <c r="N32" s="106"/>
      <c r="O32" s="257" t="s">
        <v>12509</v>
      </c>
      <c r="P32" s="918"/>
      <c r="Q32" s="258"/>
      <c r="R32" s="918"/>
      <c r="S32" s="2589"/>
      <c r="T32" s="1121">
        <f t="shared" si="22"/>
        <v>0</v>
      </c>
      <c r="U32" s="2589"/>
      <c r="V32" s="252">
        <f t="shared" si="23"/>
        <v>0</v>
      </c>
      <c r="W32" s="252">
        <f t="shared" si="24"/>
        <v>0</v>
      </c>
      <c r="X32" s="252">
        <f t="shared" si="25"/>
        <v>0</v>
      </c>
      <c r="Y32" s="252">
        <f t="shared" si="26"/>
        <v>0</v>
      </c>
      <c r="Z32" s="252">
        <f t="shared" si="27"/>
        <v>0</v>
      </c>
      <c r="AA32" s="252">
        <f t="shared" si="28"/>
        <v>0</v>
      </c>
      <c r="AB32" s="252">
        <f t="shared" si="29"/>
        <v>0</v>
      </c>
      <c r="AC32" s="2562"/>
      <c r="AD32" s="2589"/>
      <c r="AE32" s="2560"/>
      <c r="AF32" s="422" t="s">
        <v>12427</v>
      </c>
      <c r="AG32" s="802" t="s">
        <v>12510</v>
      </c>
      <c r="AH32" s="802" t="s">
        <v>12511</v>
      </c>
      <c r="AI32" s="802" t="s">
        <v>12512</v>
      </c>
      <c r="AJ32" s="802" t="s">
        <v>12513</v>
      </c>
      <c r="AK32" s="802" t="s">
        <v>12514</v>
      </c>
      <c r="AL32" s="802" t="s">
        <v>12515</v>
      </c>
      <c r="AM32" s="802" t="s">
        <v>12516</v>
      </c>
      <c r="AN32" s="790" t="s">
        <v>12517</v>
      </c>
      <c r="AO32" s="2562"/>
    </row>
    <row r="33" spans="2:42" s="197" customFormat="1" ht="15.75" customHeight="1">
      <c r="B33" s="422" t="s">
        <v>12432</v>
      </c>
      <c r="C33" s="253" t="s">
        <v>137</v>
      </c>
      <c r="D33" s="253">
        <v>3</v>
      </c>
      <c r="E33" s="1481">
        <f>IFERROR(SUM(E24:E27,E30:E32), 0)</f>
        <v>7.7000000000000013E-2</v>
      </c>
      <c r="F33" s="1481">
        <f t="shared" ref="F33:K33" si="30">IFERROR(SUM(F24:F27,F30:F32), 0)</f>
        <v>0</v>
      </c>
      <c r="G33" s="1481">
        <f t="shared" si="30"/>
        <v>10.987000000000002</v>
      </c>
      <c r="H33" s="1481">
        <f t="shared" si="30"/>
        <v>0</v>
      </c>
      <c r="I33" s="1481">
        <f t="shared" si="30"/>
        <v>0</v>
      </c>
      <c r="J33" s="1481">
        <f t="shared" si="30"/>
        <v>2.2759999999999998</v>
      </c>
      <c r="K33" s="1481">
        <f t="shared" si="30"/>
        <v>0</v>
      </c>
      <c r="L33" s="1482">
        <f t="shared" si="21"/>
        <v>13.340000000000002</v>
      </c>
      <c r="N33" s="106"/>
      <c r="O33" s="257" t="s">
        <v>12518</v>
      </c>
      <c r="P33" s="918"/>
      <c r="Q33" s="258"/>
      <c r="R33" s="918"/>
      <c r="S33" s="2589"/>
      <c r="T33" s="1121">
        <f t="shared" si="22"/>
        <v>0</v>
      </c>
      <c r="U33" s="2589"/>
      <c r="V33" s="252">
        <f t="shared" si="23"/>
        <v>0</v>
      </c>
      <c r="W33" s="252">
        <f t="shared" si="24"/>
        <v>0</v>
      </c>
      <c r="X33" s="252">
        <f t="shared" si="25"/>
        <v>0</v>
      </c>
      <c r="Y33" s="252">
        <f t="shared" si="26"/>
        <v>0</v>
      </c>
      <c r="Z33" s="252">
        <f t="shared" si="27"/>
        <v>0</v>
      </c>
      <c r="AA33" s="252">
        <f t="shared" si="28"/>
        <v>0</v>
      </c>
      <c r="AB33" s="252">
        <f t="shared" si="29"/>
        <v>0</v>
      </c>
      <c r="AC33" s="2562"/>
      <c r="AD33" s="2589"/>
      <c r="AE33" s="237"/>
      <c r="AF33" s="422" t="s">
        <v>10424</v>
      </c>
      <c r="AG33" s="581" t="s">
        <v>12519</v>
      </c>
      <c r="AH33" s="581" t="s">
        <v>12520</v>
      </c>
      <c r="AI33" s="581" t="s">
        <v>12521</v>
      </c>
      <c r="AJ33" s="581" t="s">
        <v>12522</v>
      </c>
      <c r="AK33" s="581" t="s">
        <v>12523</v>
      </c>
      <c r="AL33" s="581" t="s">
        <v>12524</v>
      </c>
      <c r="AM33" s="581" t="s">
        <v>12525</v>
      </c>
      <c r="AN33" s="790" t="s">
        <v>12526</v>
      </c>
    </row>
    <row r="34" spans="2:42" s="197" customFormat="1" ht="15.75" customHeight="1">
      <c r="B34" s="422" t="s">
        <v>2988</v>
      </c>
      <c r="C34" s="253" t="s">
        <v>137</v>
      </c>
      <c r="D34" s="253">
        <v>3</v>
      </c>
      <c r="E34" s="601">
        <v>7.0000000000000001E-3</v>
      </c>
      <c r="F34" s="601">
        <v>0</v>
      </c>
      <c r="G34" s="601">
        <v>1.0609999999999999</v>
      </c>
      <c r="H34" s="601">
        <v>0</v>
      </c>
      <c r="I34" s="601">
        <v>0</v>
      </c>
      <c r="J34" s="601">
        <v>0.219</v>
      </c>
      <c r="K34" s="601">
        <v>0</v>
      </c>
      <c r="L34" s="1482">
        <f t="shared" si="21"/>
        <v>1.2869999999999999</v>
      </c>
      <c r="N34" s="106"/>
      <c r="O34" s="257" t="s">
        <v>12527</v>
      </c>
      <c r="P34" s="918"/>
      <c r="Q34" s="258"/>
      <c r="R34" s="918"/>
      <c r="S34" s="2589"/>
      <c r="T34" s="1121">
        <f t="shared" si="22"/>
        <v>0</v>
      </c>
      <c r="U34" s="2589"/>
      <c r="V34" s="252">
        <f t="shared" si="23"/>
        <v>0</v>
      </c>
      <c r="W34" s="252">
        <f t="shared" si="24"/>
        <v>0</v>
      </c>
      <c r="X34" s="252">
        <f t="shared" si="25"/>
        <v>0</v>
      </c>
      <c r="Y34" s="252">
        <f t="shared" si="26"/>
        <v>0</v>
      </c>
      <c r="Z34" s="252">
        <f t="shared" si="27"/>
        <v>0</v>
      </c>
      <c r="AA34" s="252">
        <f t="shared" si="28"/>
        <v>0</v>
      </c>
      <c r="AB34" s="252">
        <f t="shared" si="29"/>
        <v>0</v>
      </c>
      <c r="AC34" s="2562"/>
      <c r="AD34" s="2589"/>
      <c r="AE34" s="2560"/>
      <c r="AF34" s="422" t="s">
        <v>2988</v>
      </c>
      <c r="AG34" s="802" t="s">
        <v>12528</v>
      </c>
      <c r="AH34" s="802" t="s">
        <v>12529</v>
      </c>
      <c r="AI34" s="802" t="s">
        <v>12530</v>
      </c>
      <c r="AJ34" s="802" t="s">
        <v>12531</v>
      </c>
      <c r="AK34" s="802" t="s">
        <v>12532</v>
      </c>
      <c r="AL34" s="802" t="s">
        <v>12533</v>
      </c>
      <c r="AM34" s="802" t="s">
        <v>12534</v>
      </c>
      <c r="AN34" s="790" t="s">
        <v>12535</v>
      </c>
    </row>
    <row r="35" spans="2:42" s="197" customFormat="1" ht="15.75" customHeight="1" thickBot="1">
      <c r="B35" s="425" t="s">
        <v>10442</v>
      </c>
      <c r="C35" s="319" t="s">
        <v>137</v>
      </c>
      <c r="D35" s="319">
        <v>3</v>
      </c>
      <c r="E35" s="1473">
        <f>IFERROR(E33 + E34, 0)</f>
        <v>8.4000000000000019E-2</v>
      </c>
      <c r="F35" s="1473">
        <f t="shared" ref="F35:K35" si="31">IFERROR(F33 + F34, 0)</f>
        <v>0</v>
      </c>
      <c r="G35" s="1473">
        <f t="shared" si="31"/>
        <v>12.048000000000002</v>
      </c>
      <c r="H35" s="1473">
        <f t="shared" si="31"/>
        <v>0</v>
      </c>
      <c r="I35" s="1473">
        <f t="shared" si="31"/>
        <v>0</v>
      </c>
      <c r="J35" s="1473">
        <f t="shared" si="31"/>
        <v>2.4949999999999997</v>
      </c>
      <c r="K35" s="1473">
        <f t="shared" si="31"/>
        <v>0</v>
      </c>
      <c r="L35" s="1483">
        <f t="shared" si="21"/>
        <v>14.627000000000001</v>
      </c>
      <c r="N35" s="106"/>
      <c r="O35" s="320" t="s">
        <v>12536</v>
      </c>
      <c r="P35" s="918"/>
      <c r="Q35" s="269"/>
      <c r="R35" s="918"/>
      <c r="S35" s="2589"/>
      <c r="T35" s="1121"/>
      <c r="U35" s="2589"/>
      <c r="V35" s="2562"/>
      <c r="W35" s="2562"/>
      <c r="X35" s="2562"/>
      <c r="Y35" s="2562"/>
      <c r="Z35" s="2562"/>
      <c r="AA35" s="2562"/>
      <c r="AB35" s="2562"/>
      <c r="AC35" s="2562"/>
      <c r="AD35" s="2589"/>
      <c r="AE35" s="2560"/>
      <c r="AF35" s="425" t="s">
        <v>10442</v>
      </c>
      <c r="AG35" s="583" t="s">
        <v>12537</v>
      </c>
      <c r="AH35" s="583" t="s">
        <v>12538</v>
      </c>
      <c r="AI35" s="583" t="s">
        <v>12539</v>
      </c>
      <c r="AJ35" s="583" t="s">
        <v>12540</v>
      </c>
      <c r="AK35" s="583" t="s">
        <v>12541</v>
      </c>
      <c r="AL35" s="583" t="s">
        <v>12542</v>
      </c>
      <c r="AM35" s="583" t="s">
        <v>12543</v>
      </c>
      <c r="AN35" s="379" t="s">
        <v>12544</v>
      </c>
    </row>
    <row r="36" spans="2:42" s="197" customFormat="1" ht="15.75" customHeight="1" thickTop="1" thickBot="1">
      <c r="B36" s="106"/>
      <c r="C36" s="106"/>
      <c r="D36" s="106"/>
      <c r="E36" s="313"/>
      <c r="F36" s="313"/>
      <c r="G36" s="313"/>
      <c r="H36" s="313"/>
      <c r="I36" s="313"/>
      <c r="J36" s="313"/>
      <c r="K36" s="313"/>
      <c r="L36" s="313"/>
      <c r="N36" s="313"/>
      <c r="O36" s="909"/>
      <c r="P36" s="918"/>
      <c r="Q36" s="918"/>
      <c r="R36" s="918"/>
      <c r="S36" s="2589"/>
      <c r="T36" s="1121"/>
      <c r="U36" s="2589"/>
      <c r="V36" s="2562"/>
      <c r="W36" s="2562"/>
      <c r="X36" s="2562"/>
      <c r="Y36" s="2562"/>
      <c r="Z36" s="2562"/>
      <c r="AA36" s="2562"/>
      <c r="AB36" s="2562"/>
      <c r="AC36" s="2562"/>
      <c r="AD36" s="2589"/>
      <c r="AE36" s="2560"/>
      <c r="AF36" s="106"/>
      <c r="AG36" s="313"/>
      <c r="AH36" s="313"/>
      <c r="AI36" s="313"/>
      <c r="AJ36" s="313"/>
      <c r="AK36" s="313"/>
      <c r="AL36" s="313"/>
      <c r="AM36" s="313"/>
      <c r="AN36" s="313"/>
      <c r="AO36" s="313"/>
    </row>
    <row r="37" spans="2:42" s="197" customFormat="1" ht="56.25" customHeight="1" thickTop="1" thickBot="1">
      <c r="B37" s="407" t="s">
        <v>1891</v>
      </c>
      <c r="C37" s="408" t="s">
        <v>1892</v>
      </c>
      <c r="D37" s="408" t="s">
        <v>136</v>
      </c>
      <c r="E37" s="408" t="s">
        <v>12545</v>
      </c>
      <c r="F37" s="408" t="s">
        <v>12546</v>
      </c>
      <c r="G37" s="408" t="s">
        <v>12547</v>
      </c>
      <c r="H37" s="408" t="s">
        <v>12548</v>
      </c>
      <c r="I37" s="408" t="s">
        <v>12549</v>
      </c>
      <c r="J37" s="408" t="s">
        <v>2410</v>
      </c>
      <c r="K37" s="409" t="s">
        <v>2112</v>
      </c>
      <c r="L37" s="313"/>
      <c r="M37" s="313"/>
      <c r="O37" s="313"/>
      <c r="P37" s="909"/>
      <c r="Q37" s="918"/>
      <c r="R37" s="918"/>
      <c r="S37" s="2589"/>
      <c r="T37" s="1121"/>
      <c r="U37" s="2589"/>
      <c r="V37" s="2562"/>
      <c r="W37" s="2562"/>
      <c r="X37" s="2562"/>
      <c r="Y37" s="2562"/>
      <c r="Z37" s="2562"/>
      <c r="AA37" s="2562"/>
      <c r="AB37" s="2562"/>
      <c r="AC37" s="2562"/>
      <c r="AD37" s="2589"/>
      <c r="AE37" s="2560"/>
      <c r="AF37" s="407" t="s">
        <v>1891</v>
      </c>
      <c r="AG37" s="408" t="s">
        <v>12550</v>
      </c>
      <c r="AH37" s="408" t="s">
        <v>12551</v>
      </c>
      <c r="AI37" s="408" t="s">
        <v>12552</v>
      </c>
      <c r="AJ37" s="408" t="s">
        <v>12553</v>
      </c>
      <c r="AK37" s="408" t="s">
        <v>12549</v>
      </c>
      <c r="AL37" s="408" t="s">
        <v>2410</v>
      </c>
      <c r="AM37" s="409" t="s">
        <v>2112</v>
      </c>
      <c r="AN37" s="313"/>
      <c r="AO37" s="313"/>
      <c r="AP37" s="313"/>
    </row>
    <row r="38" spans="2:42" s="197" customFormat="1" ht="15.75" customHeight="1" thickTop="1" thickBot="1">
      <c r="B38" s="756"/>
      <c r="C38" s="756"/>
      <c r="D38" s="756"/>
      <c r="E38" s="313"/>
      <c r="F38" s="313"/>
      <c r="G38" s="313"/>
      <c r="H38" s="313"/>
      <c r="J38" s="313"/>
      <c r="K38" s="313"/>
      <c r="L38" s="313"/>
      <c r="M38" s="313"/>
      <c r="O38" s="313"/>
      <c r="P38" s="909"/>
      <c r="Q38" s="918"/>
      <c r="R38" s="918"/>
      <c r="S38" s="2589"/>
      <c r="T38" s="1121"/>
      <c r="U38" s="2589"/>
      <c r="V38" s="2562"/>
      <c r="W38" s="2562"/>
      <c r="X38" s="2562"/>
      <c r="Y38" s="2562"/>
      <c r="Z38" s="2562"/>
      <c r="AA38" s="2562"/>
      <c r="AB38" s="2562"/>
      <c r="AC38" s="2562"/>
      <c r="AD38" s="2589"/>
      <c r="AE38" s="2560"/>
      <c r="AF38" s="756"/>
      <c r="AG38" s="313"/>
      <c r="AH38" s="313"/>
      <c r="AI38" s="313"/>
      <c r="AJ38" s="313"/>
      <c r="AL38" s="313"/>
      <c r="AM38" s="313"/>
      <c r="AN38" s="313"/>
      <c r="AO38" s="313"/>
      <c r="AP38" s="313"/>
    </row>
    <row r="39" spans="2:42" s="197" customFormat="1" ht="15.75" customHeight="1" thickTop="1" thickBot="1">
      <c r="B39" s="1256" t="s">
        <v>12554</v>
      </c>
      <c r="C39" s="222"/>
      <c r="D39" s="222"/>
      <c r="E39" s="444"/>
      <c r="F39" s="444"/>
      <c r="G39" s="444"/>
      <c r="H39" s="444"/>
      <c r="J39" s="106"/>
      <c r="K39" s="106"/>
      <c r="L39" s="106"/>
      <c r="M39" s="106"/>
      <c r="O39" s="106"/>
      <c r="P39" s="86"/>
      <c r="Q39" s="918"/>
      <c r="R39" s="918"/>
      <c r="S39" s="2589"/>
      <c r="T39" s="1121"/>
      <c r="U39" s="2589"/>
      <c r="V39" s="2562"/>
      <c r="W39" s="2562"/>
      <c r="X39" s="2562"/>
      <c r="Y39" s="2562"/>
      <c r="Z39" s="2562"/>
      <c r="AA39" s="2562"/>
      <c r="AB39" s="2562"/>
      <c r="AC39" s="2562"/>
      <c r="AD39" s="2589"/>
      <c r="AE39" s="2560"/>
      <c r="AF39" s="1256" t="s">
        <v>12554</v>
      </c>
      <c r="AG39" s="444"/>
      <c r="AH39" s="444"/>
      <c r="AI39" s="444"/>
      <c r="AJ39" s="444"/>
      <c r="AL39" s="106"/>
      <c r="AM39" s="106"/>
      <c r="AN39" s="106"/>
      <c r="AO39" s="106"/>
      <c r="AP39" s="106"/>
    </row>
    <row r="40" spans="2:42" s="197" customFormat="1" ht="15.75" customHeight="1" thickTop="1">
      <c r="B40" s="413" t="s">
        <v>2930</v>
      </c>
      <c r="C40" s="244" t="s">
        <v>137</v>
      </c>
      <c r="D40" s="244">
        <v>3</v>
      </c>
      <c r="E40" s="598">
        <v>0</v>
      </c>
      <c r="F40" s="598">
        <v>0</v>
      </c>
      <c r="G40" s="598">
        <v>0</v>
      </c>
      <c r="H40" s="598">
        <v>2.7E-2</v>
      </c>
      <c r="I40" s="598">
        <v>0</v>
      </c>
      <c r="J40" s="598">
        <v>0</v>
      </c>
      <c r="K40" s="1480">
        <f>IFERROR(SUM(E40:J40), 0)</f>
        <v>2.7E-2</v>
      </c>
      <c r="L40" s="106"/>
      <c r="M40" s="106"/>
      <c r="O40" s="248" t="s">
        <v>12555</v>
      </c>
      <c r="P40" s="918"/>
      <c r="Q40" s="250"/>
      <c r="S40" s="2589"/>
      <c r="T40" s="1121">
        <f t="shared" ref="T40:T43" si="32">IF( SUM( V40:AC40 ) = 0, 0, $V$5 )</f>
        <v>0</v>
      </c>
      <c r="U40" s="2589"/>
      <c r="V40" s="252">
        <f t="shared" ref="V40:V43" si="33" xml:space="preserve"> IF( ISNUMBER(E40 ), 0, 1 )</f>
        <v>0</v>
      </c>
      <c r="W40" s="252">
        <f t="shared" ref="W40:W43" si="34" xml:space="preserve"> IF( ISNUMBER(F40 ), 0, 1 )</f>
        <v>0</v>
      </c>
      <c r="X40" s="252">
        <f t="shared" ref="X40:X43" si="35" xml:space="preserve"> IF( ISNUMBER(G40 ), 0, 1 )</f>
        <v>0</v>
      </c>
      <c r="Y40" s="252">
        <f t="shared" ref="Y40:Y43" si="36" xml:space="preserve"> IF( ISNUMBER(H40 ), 0, 1 )</f>
        <v>0</v>
      </c>
      <c r="Z40" s="252">
        <f t="shared" ref="Z40:Z43" si="37" xml:space="preserve"> IF( ISNUMBER(I40 ), 0, 1 )</f>
        <v>0</v>
      </c>
      <c r="AA40" s="252">
        <f t="shared" ref="AA40:AA43" si="38" xml:space="preserve"> IF( ISNUMBER(J40 ), 0, 1 )</f>
        <v>0</v>
      </c>
      <c r="AB40" s="2562"/>
      <c r="AC40" s="2562"/>
      <c r="AD40" s="2589"/>
      <c r="AE40" s="2560"/>
      <c r="AF40" s="413" t="s">
        <v>2930</v>
      </c>
      <c r="AG40" s="801" t="s">
        <v>12556</v>
      </c>
      <c r="AH40" s="801" t="s">
        <v>12557</v>
      </c>
      <c r="AI40" s="801" t="s">
        <v>12558</v>
      </c>
      <c r="AJ40" s="801" t="s">
        <v>12559</v>
      </c>
      <c r="AK40" s="801" t="s">
        <v>12560</v>
      </c>
      <c r="AL40" s="801" t="s">
        <v>12561</v>
      </c>
      <c r="AM40" s="378" t="s">
        <v>12562</v>
      </c>
      <c r="AN40" s="106"/>
      <c r="AO40" s="106"/>
    </row>
    <row r="41" spans="2:42" s="197" customFormat="1" ht="15.75" customHeight="1">
      <c r="B41" s="422" t="s">
        <v>2938</v>
      </c>
      <c r="C41" s="253" t="s">
        <v>137</v>
      </c>
      <c r="D41" s="253">
        <v>3</v>
      </c>
      <c r="E41" s="601">
        <v>0</v>
      </c>
      <c r="F41" s="601">
        <v>0</v>
      </c>
      <c r="G41" s="601">
        <v>0</v>
      </c>
      <c r="H41" s="601">
        <v>0</v>
      </c>
      <c r="I41" s="601">
        <v>0</v>
      </c>
      <c r="J41" s="601">
        <v>0</v>
      </c>
      <c r="K41" s="1482">
        <f>IFERROR(SUM(E41:J41), 0)</f>
        <v>0</v>
      </c>
      <c r="L41" s="106"/>
      <c r="M41" s="106"/>
      <c r="O41" s="257" t="s">
        <v>12563</v>
      </c>
      <c r="P41" s="918"/>
      <c r="Q41" s="258"/>
      <c r="S41" s="2589"/>
      <c r="T41" s="1121">
        <f t="shared" si="32"/>
        <v>0</v>
      </c>
      <c r="U41" s="2589"/>
      <c r="V41" s="252">
        <f t="shared" si="33"/>
        <v>0</v>
      </c>
      <c r="W41" s="252">
        <f t="shared" si="34"/>
        <v>0</v>
      </c>
      <c r="X41" s="252">
        <f t="shared" si="35"/>
        <v>0</v>
      </c>
      <c r="Y41" s="252">
        <f t="shared" si="36"/>
        <v>0</v>
      </c>
      <c r="Z41" s="252">
        <f t="shared" si="37"/>
        <v>0</v>
      </c>
      <c r="AA41" s="252">
        <f t="shared" si="38"/>
        <v>0</v>
      </c>
      <c r="AB41" s="2562"/>
      <c r="AC41" s="2562"/>
      <c r="AD41" s="2589"/>
      <c r="AE41" s="2560"/>
      <c r="AF41" s="422" t="s">
        <v>2938</v>
      </c>
      <c r="AG41" s="802" t="s">
        <v>12564</v>
      </c>
      <c r="AH41" s="802" t="s">
        <v>12565</v>
      </c>
      <c r="AI41" s="802" t="s">
        <v>12566</v>
      </c>
      <c r="AJ41" s="802" t="s">
        <v>12567</v>
      </c>
      <c r="AK41" s="802" t="s">
        <v>12568</v>
      </c>
      <c r="AL41" s="802" t="s">
        <v>12569</v>
      </c>
      <c r="AM41" s="790" t="s">
        <v>12570</v>
      </c>
      <c r="AN41" s="106"/>
      <c r="AO41" s="106"/>
    </row>
    <row r="42" spans="2:42" s="197" customFormat="1" ht="15.75" customHeight="1">
      <c r="B42" s="422" t="s">
        <v>12405</v>
      </c>
      <c r="C42" s="253" t="s">
        <v>137</v>
      </c>
      <c r="D42" s="253">
        <v>3</v>
      </c>
      <c r="E42" s="601">
        <v>0</v>
      </c>
      <c r="F42" s="601">
        <v>0</v>
      </c>
      <c r="G42" s="601">
        <v>0</v>
      </c>
      <c r="H42" s="601">
        <v>0</v>
      </c>
      <c r="I42" s="601">
        <v>0</v>
      </c>
      <c r="J42" s="601">
        <v>0</v>
      </c>
      <c r="K42" s="1482">
        <f>IFERROR(SUM(E42:J42), 0)</f>
        <v>0</v>
      </c>
      <c r="L42" s="106"/>
      <c r="M42" s="106"/>
      <c r="O42" s="257" t="s">
        <v>12571</v>
      </c>
      <c r="P42" s="1258"/>
      <c r="Q42" s="258"/>
      <c r="S42" s="2589"/>
      <c r="T42" s="1121">
        <f t="shared" si="32"/>
        <v>0</v>
      </c>
      <c r="U42" s="2589"/>
      <c r="V42" s="252">
        <f t="shared" si="33"/>
        <v>0</v>
      </c>
      <c r="W42" s="252">
        <f t="shared" si="34"/>
        <v>0</v>
      </c>
      <c r="X42" s="252">
        <f t="shared" si="35"/>
        <v>0</v>
      </c>
      <c r="Y42" s="252">
        <f t="shared" si="36"/>
        <v>0</v>
      </c>
      <c r="Z42" s="252">
        <f t="shared" si="37"/>
        <v>0</v>
      </c>
      <c r="AA42" s="252">
        <f t="shared" si="38"/>
        <v>0</v>
      </c>
      <c r="AB42" s="2562"/>
      <c r="AC42" s="2562"/>
      <c r="AD42" s="2589"/>
      <c r="AE42" s="2560"/>
      <c r="AF42" s="422" t="s">
        <v>12405</v>
      </c>
      <c r="AG42" s="802" t="s">
        <v>12572</v>
      </c>
      <c r="AH42" s="802" t="s">
        <v>12573</v>
      </c>
      <c r="AI42" s="802" t="s">
        <v>12574</v>
      </c>
      <c r="AJ42" s="802" t="s">
        <v>12575</v>
      </c>
      <c r="AK42" s="802" t="s">
        <v>12576</v>
      </c>
      <c r="AL42" s="802" t="s">
        <v>12577</v>
      </c>
      <c r="AM42" s="790" t="s">
        <v>12578</v>
      </c>
      <c r="AN42" s="106"/>
      <c r="AO42" s="106"/>
    </row>
    <row r="43" spans="2:42" s="197" customFormat="1" ht="15.75" customHeight="1" thickBot="1">
      <c r="B43" s="425" t="s">
        <v>6885</v>
      </c>
      <c r="C43" s="319" t="s">
        <v>137</v>
      </c>
      <c r="D43" s="319">
        <v>3</v>
      </c>
      <c r="E43" s="1524">
        <v>0</v>
      </c>
      <c r="F43" s="1524">
        <v>0</v>
      </c>
      <c r="G43" s="1524">
        <v>0</v>
      </c>
      <c r="H43" s="1524">
        <v>0</v>
      </c>
      <c r="I43" s="1524">
        <v>0</v>
      </c>
      <c r="J43" s="1524">
        <v>0</v>
      </c>
      <c r="K43" s="1483">
        <f>IFERROR(SUM(E43:J43), 0)</f>
        <v>0</v>
      </c>
      <c r="L43" s="106"/>
      <c r="M43" s="106"/>
      <c r="O43" s="320" t="s">
        <v>12579</v>
      </c>
      <c r="P43" s="918"/>
      <c r="Q43" s="269"/>
      <c r="S43" s="2589"/>
      <c r="T43" s="1121">
        <f t="shared" si="32"/>
        <v>0</v>
      </c>
      <c r="U43" s="2589"/>
      <c r="V43" s="252">
        <f t="shared" si="33"/>
        <v>0</v>
      </c>
      <c r="W43" s="252">
        <f t="shared" si="34"/>
        <v>0</v>
      </c>
      <c r="X43" s="252">
        <f t="shared" si="35"/>
        <v>0</v>
      </c>
      <c r="Y43" s="252">
        <f t="shared" si="36"/>
        <v>0</v>
      </c>
      <c r="Z43" s="252">
        <f t="shared" si="37"/>
        <v>0</v>
      </c>
      <c r="AA43" s="252">
        <f t="shared" si="38"/>
        <v>0</v>
      </c>
      <c r="AB43" s="2562"/>
      <c r="AC43" s="2562"/>
      <c r="AD43" s="2589"/>
      <c r="AE43" s="2560"/>
      <c r="AF43" s="425" t="s">
        <v>6885</v>
      </c>
      <c r="AG43" s="937" t="s">
        <v>12580</v>
      </c>
      <c r="AH43" s="937" t="s">
        <v>12581</v>
      </c>
      <c r="AI43" s="937" t="s">
        <v>12582</v>
      </c>
      <c r="AJ43" s="937" t="s">
        <v>12583</v>
      </c>
      <c r="AK43" s="937" t="s">
        <v>12584</v>
      </c>
      <c r="AL43" s="937" t="s">
        <v>12585</v>
      </c>
      <c r="AM43" s="379" t="s">
        <v>12586</v>
      </c>
      <c r="AN43" s="106"/>
      <c r="AO43" s="106"/>
    </row>
    <row r="44" spans="2:42" s="197" customFormat="1" ht="15.75" customHeight="1" thickTop="1" thickBot="1">
      <c r="B44" s="377"/>
      <c r="C44" s="377"/>
      <c r="D44" s="313"/>
      <c r="E44" s="1476"/>
      <c r="F44" s="1476"/>
      <c r="G44" s="1476"/>
      <c r="H44" s="1476"/>
      <c r="I44" s="440"/>
      <c r="J44" s="1476"/>
      <c r="K44" s="1645"/>
      <c r="L44" s="313"/>
      <c r="M44" s="313"/>
      <c r="O44" s="909"/>
      <c r="P44" s="918"/>
      <c r="Q44" s="918"/>
      <c r="S44" s="2589"/>
      <c r="T44" s="1121"/>
      <c r="U44" s="2589"/>
      <c r="V44" s="2562"/>
      <c r="W44" s="2562"/>
      <c r="X44" s="2562"/>
      <c r="Y44" s="2562"/>
      <c r="Z44" s="2562"/>
      <c r="AA44" s="2562"/>
      <c r="AB44" s="2562"/>
      <c r="AC44" s="2562"/>
      <c r="AD44" s="2589"/>
      <c r="AE44" s="2560"/>
      <c r="AF44" s="377"/>
      <c r="AG44" s="313"/>
      <c r="AH44" s="313"/>
      <c r="AI44" s="313"/>
      <c r="AJ44" s="313"/>
      <c r="AL44" s="313"/>
      <c r="AM44" s="86"/>
      <c r="AN44" s="313"/>
      <c r="AO44" s="313"/>
      <c r="AP44" s="313"/>
    </row>
    <row r="45" spans="2:42" s="197" customFormat="1" ht="15.75" customHeight="1" thickTop="1" thickBot="1">
      <c r="B45" s="355" t="s">
        <v>2981</v>
      </c>
      <c r="C45" s="222"/>
      <c r="D45" s="1196"/>
      <c r="E45" s="1515"/>
      <c r="F45" s="1515"/>
      <c r="G45" s="1515"/>
      <c r="H45" s="1515"/>
      <c r="I45" s="440"/>
      <c r="J45" s="1645"/>
      <c r="K45" s="1645"/>
      <c r="L45" s="313"/>
      <c r="M45" s="313"/>
      <c r="O45" s="909"/>
      <c r="P45" s="918"/>
      <c r="Q45" s="918"/>
      <c r="S45" s="2589"/>
      <c r="T45" s="1121"/>
      <c r="U45" s="2589"/>
      <c r="V45" s="2562"/>
      <c r="W45" s="2562"/>
      <c r="X45" s="2562"/>
      <c r="Y45" s="2562"/>
      <c r="Z45" s="2562"/>
      <c r="AA45" s="2562"/>
      <c r="AB45" s="2562"/>
      <c r="AC45" s="2562"/>
      <c r="AD45" s="2589"/>
      <c r="AE45" s="2560"/>
      <c r="AF45" s="355" t="s">
        <v>2981</v>
      </c>
      <c r="AG45" s="444"/>
      <c r="AH45" s="444"/>
      <c r="AI45" s="444"/>
      <c r="AJ45" s="444"/>
      <c r="AL45" s="86"/>
      <c r="AM45" s="86"/>
      <c r="AN45" s="313"/>
      <c r="AO45" s="313"/>
      <c r="AP45" s="313"/>
    </row>
    <row r="46" spans="2:42" s="197" customFormat="1" ht="15.75" customHeight="1" thickTop="1">
      <c r="B46" s="413" t="s">
        <v>2963</v>
      </c>
      <c r="C46" s="244" t="s">
        <v>137</v>
      </c>
      <c r="D46" s="244">
        <v>3</v>
      </c>
      <c r="E46" s="598">
        <v>0</v>
      </c>
      <c r="F46" s="598">
        <v>0</v>
      </c>
      <c r="G46" s="598">
        <v>0</v>
      </c>
      <c r="H46" s="598">
        <v>0</v>
      </c>
      <c r="I46" s="598">
        <v>0</v>
      </c>
      <c r="J46" s="598">
        <v>0</v>
      </c>
      <c r="K46" s="1480">
        <f t="shared" ref="K46:K51" si="39">IFERROR(SUM(E46:J46), 0)</f>
        <v>0</v>
      </c>
      <c r="L46" s="313"/>
      <c r="M46" s="313"/>
      <c r="O46" s="248" t="s">
        <v>12587</v>
      </c>
      <c r="P46" s="918"/>
      <c r="Q46" s="250"/>
      <c r="S46" s="2589"/>
      <c r="T46" s="1121">
        <f t="shared" ref="T46:T48" si="40">IF( SUM( V46:AC46 ) = 0, 0, $V$5 )</f>
        <v>0</v>
      </c>
      <c r="U46" s="2589"/>
      <c r="V46" s="252">
        <f t="shared" ref="V46:V48" si="41" xml:space="preserve"> IF( ISNUMBER(E46 ), 0, 1 )</f>
        <v>0</v>
      </c>
      <c r="W46" s="252">
        <f t="shared" ref="W46:W48" si="42" xml:space="preserve"> IF( ISNUMBER(F46 ), 0, 1 )</f>
        <v>0</v>
      </c>
      <c r="X46" s="252">
        <f t="shared" ref="X46:X48" si="43" xml:space="preserve"> IF( ISNUMBER(G46 ), 0, 1 )</f>
        <v>0</v>
      </c>
      <c r="Y46" s="252">
        <f t="shared" ref="Y46:Y48" si="44" xml:space="preserve"> IF( ISNUMBER(H46 ), 0, 1 )</f>
        <v>0</v>
      </c>
      <c r="Z46" s="252">
        <f t="shared" ref="Z46:Z48" si="45" xml:space="preserve"> IF( ISNUMBER(I46 ), 0, 1 )</f>
        <v>0</v>
      </c>
      <c r="AA46" s="252">
        <f t="shared" ref="AA46:AA48" si="46" xml:space="preserve"> IF( ISNUMBER(J46 ), 0, 1 )</f>
        <v>0</v>
      </c>
      <c r="AB46" s="2562"/>
      <c r="AC46" s="2562"/>
      <c r="AD46" s="2589"/>
      <c r="AE46" s="2560"/>
      <c r="AF46" s="413" t="s">
        <v>2963</v>
      </c>
      <c r="AG46" s="801" t="s">
        <v>12588</v>
      </c>
      <c r="AH46" s="801" t="s">
        <v>12589</v>
      </c>
      <c r="AI46" s="801" t="s">
        <v>12590</v>
      </c>
      <c r="AJ46" s="801" t="s">
        <v>12591</v>
      </c>
      <c r="AK46" s="801" t="s">
        <v>12592</v>
      </c>
      <c r="AL46" s="801" t="s">
        <v>12593</v>
      </c>
      <c r="AM46" s="378" t="s">
        <v>12594</v>
      </c>
      <c r="AN46" s="313"/>
      <c r="AO46" s="313"/>
      <c r="AP46" s="313"/>
    </row>
    <row r="47" spans="2:42" s="197" customFormat="1" ht="15.75" customHeight="1">
      <c r="B47" s="422" t="s">
        <v>2971</v>
      </c>
      <c r="C47" s="253" t="s">
        <v>137</v>
      </c>
      <c r="D47" s="253">
        <v>3</v>
      </c>
      <c r="E47" s="601">
        <v>0</v>
      </c>
      <c r="F47" s="601">
        <v>0</v>
      </c>
      <c r="G47" s="601">
        <v>0</v>
      </c>
      <c r="H47" s="601">
        <v>0</v>
      </c>
      <c r="I47" s="601">
        <v>0</v>
      </c>
      <c r="J47" s="601">
        <v>0</v>
      </c>
      <c r="K47" s="1482">
        <f t="shared" si="39"/>
        <v>0</v>
      </c>
      <c r="L47" s="313"/>
      <c r="M47" s="313"/>
      <c r="O47" s="257" t="s">
        <v>12595</v>
      </c>
      <c r="P47" s="918"/>
      <c r="Q47" s="258"/>
      <c r="S47" s="2589"/>
      <c r="T47" s="1121">
        <f t="shared" si="40"/>
        <v>0</v>
      </c>
      <c r="U47" s="2589"/>
      <c r="V47" s="252">
        <f t="shared" si="41"/>
        <v>0</v>
      </c>
      <c r="W47" s="252">
        <f t="shared" si="42"/>
        <v>0</v>
      </c>
      <c r="X47" s="252">
        <f t="shared" si="43"/>
        <v>0</v>
      </c>
      <c r="Y47" s="252">
        <f t="shared" si="44"/>
        <v>0</v>
      </c>
      <c r="Z47" s="252">
        <f t="shared" si="45"/>
        <v>0</v>
      </c>
      <c r="AA47" s="252">
        <f t="shared" si="46"/>
        <v>0</v>
      </c>
      <c r="AB47" s="2562"/>
      <c r="AC47" s="2562"/>
      <c r="AD47" s="2589"/>
      <c r="AE47" s="2560"/>
      <c r="AF47" s="422" t="s">
        <v>2971</v>
      </c>
      <c r="AG47" s="802" t="s">
        <v>12596</v>
      </c>
      <c r="AH47" s="802" t="s">
        <v>12597</v>
      </c>
      <c r="AI47" s="802" t="s">
        <v>12598</v>
      </c>
      <c r="AJ47" s="802" t="s">
        <v>12599</v>
      </c>
      <c r="AK47" s="802" t="s">
        <v>12600</v>
      </c>
      <c r="AL47" s="802" t="s">
        <v>12601</v>
      </c>
      <c r="AM47" s="790" t="s">
        <v>12602</v>
      </c>
      <c r="AN47" s="313"/>
      <c r="AO47" s="313"/>
      <c r="AP47" s="313"/>
    </row>
    <row r="48" spans="2:42" s="197" customFormat="1" ht="15.75" customHeight="1">
      <c r="B48" s="422" t="s">
        <v>10422</v>
      </c>
      <c r="C48" s="253" t="s">
        <v>137</v>
      </c>
      <c r="D48" s="253">
        <v>3</v>
      </c>
      <c r="E48" s="601">
        <v>0.03</v>
      </c>
      <c r="F48" s="601">
        <v>0.11799999999999999</v>
      </c>
      <c r="G48" s="601">
        <v>0.44900000000000001</v>
      </c>
      <c r="H48" s="601">
        <v>8.7370000000000001</v>
      </c>
      <c r="I48" s="601">
        <v>0</v>
      </c>
      <c r="J48" s="601">
        <v>0</v>
      </c>
      <c r="K48" s="1482">
        <f t="shared" si="39"/>
        <v>9.3339999999999996</v>
      </c>
      <c r="L48" s="313"/>
      <c r="M48" s="313"/>
      <c r="O48" s="257" t="s">
        <v>12603</v>
      </c>
      <c r="P48" s="918"/>
      <c r="Q48" s="258"/>
      <c r="S48" s="2589"/>
      <c r="T48" s="1121">
        <f t="shared" si="40"/>
        <v>0</v>
      </c>
      <c r="U48" s="2589"/>
      <c r="V48" s="252">
        <f t="shared" si="41"/>
        <v>0</v>
      </c>
      <c r="W48" s="252">
        <f t="shared" si="42"/>
        <v>0</v>
      </c>
      <c r="X48" s="252">
        <f t="shared" si="43"/>
        <v>0</v>
      </c>
      <c r="Y48" s="252">
        <f t="shared" si="44"/>
        <v>0</v>
      </c>
      <c r="Z48" s="252">
        <f t="shared" si="45"/>
        <v>0</v>
      </c>
      <c r="AA48" s="252">
        <f t="shared" si="46"/>
        <v>0</v>
      </c>
      <c r="AB48" s="2562"/>
      <c r="AC48" s="2562"/>
      <c r="AD48" s="2589"/>
      <c r="AE48" s="2560"/>
      <c r="AF48" s="422" t="s">
        <v>12427</v>
      </c>
      <c r="AG48" s="802" t="s">
        <v>12604</v>
      </c>
      <c r="AH48" s="802" t="s">
        <v>12605</v>
      </c>
      <c r="AI48" s="802" t="s">
        <v>12606</v>
      </c>
      <c r="AJ48" s="802" t="s">
        <v>12607</v>
      </c>
      <c r="AK48" s="802" t="s">
        <v>12608</v>
      </c>
      <c r="AL48" s="802" t="s">
        <v>12609</v>
      </c>
      <c r="AM48" s="790" t="s">
        <v>12610</v>
      </c>
      <c r="AN48" s="313"/>
      <c r="AO48" s="313"/>
      <c r="AP48" s="313"/>
    </row>
    <row r="49" spans="1:42" s="197" customFormat="1" ht="15.75" customHeight="1">
      <c r="B49" s="422" t="s">
        <v>12432</v>
      </c>
      <c r="C49" s="253" t="s">
        <v>137</v>
      </c>
      <c r="D49" s="253">
        <v>3</v>
      </c>
      <c r="E49" s="1481">
        <f>IFERROR(SUM(E40:E43,E46:E48), 0)</f>
        <v>0.03</v>
      </c>
      <c r="F49" s="1481">
        <f>IFERROR(SUM(F40:F43,F46:F48), 0)</f>
        <v>0.11799999999999999</v>
      </c>
      <c r="G49" s="1481">
        <f>IFERROR(SUM(G40:G43,G46:G48), 0)</f>
        <v>0.44900000000000001</v>
      </c>
      <c r="H49" s="1481">
        <f>IFERROR(SUM(H40:H43,H46:H48), 0)</f>
        <v>8.7639999999999993</v>
      </c>
      <c r="I49" s="1481">
        <f t="shared" ref="I49" si="47">IFERROR(SUM(I40:I43,I46:I48), 0)</f>
        <v>0</v>
      </c>
      <c r="J49" s="1481">
        <f>IFERROR(SUM(J40:J43,J46:J48), 0)</f>
        <v>0</v>
      </c>
      <c r="K49" s="1482">
        <f t="shared" si="39"/>
        <v>9.3609999999999989</v>
      </c>
      <c r="L49" s="313"/>
      <c r="M49" s="313"/>
      <c r="O49" s="257" t="s">
        <v>12611</v>
      </c>
      <c r="P49" s="918"/>
      <c r="Q49" s="258"/>
      <c r="S49" s="2589"/>
      <c r="T49" s="1121"/>
      <c r="U49" s="2589"/>
      <c r="V49" s="2562"/>
      <c r="W49" s="2562"/>
      <c r="X49" s="2562"/>
      <c r="Y49" s="2562"/>
      <c r="Z49" s="2562"/>
      <c r="AA49" s="2562"/>
      <c r="AB49" s="2562"/>
      <c r="AC49" s="2562"/>
      <c r="AD49" s="2589"/>
      <c r="AE49" s="2560"/>
      <c r="AF49" s="422" t="s">
        <v>12432</v>
      </c>
      <c r="AG49" s="581" t="s">
        <v>12612</v>
      </c>
      <c r="AH49" s="581" t="s">
        <v>12613</v>
      </c>
      <c r="AI49" s="581" t="s">
        <v>12614</v>
      </c>
      <c r="AJ49" s="581" t="s">
        <v>12615</v>
      </c>
      <c r="AK49" s="581" t="s">
        <v>12616</v>
      </c>
      <c r="AL49" s="581" t="s">
        <v>12617</v>
      </c>
      <c r="AM49" s="790" t="s">
        <v>12618</v>
      </c>
      <c r="AN49" s="313"/>
      <c r="AO49" s="313"/>
      <c r="AP49" s="313"/>
    </row>
    <row r="50" spans="1:42" s="197" customFormat="1" ht="15.75" customHeight="1">
      <c r="B50" s="422" t="s">
        <v>2988</v>
      </c>
      <c r="C50" s="253" t="s">
        <v>137</v>
      </c>
      <c r="D50" s="253">
        <v>3</v>
      </c>
      <c r="E50" s="601">
        <v>0</v>
      </c>
      <c r="F50" s="601">
        <v>0</v>
      </c>
      <c r="G50" s="601">
        <v>0</v>
      </c>
      <c r="H50" s="601">
        <v>0</v>
      </c>
      <c r="I50" s="601">
        <v>0</v>
      </c>
      <c r="J50" s="601">
        <v>0</v>
      </c>
      <c r="K50" s="1482">
        <f t="shared" si="39"/>
        <v>0</v>
      </c>
      <c r="L50" s="313"/>
      <c r="M50" s="313"/>
      <c r="O50" s="257" t="s">
        <v>12619</v>
      </c>
      <c r="P50" s="918"/>
      <c r="Q50" s="258"/>
      <c r="S50" s="2589"/>
      <c r="T50" s="1121">
        <f>IF( SUM( V50:AC50 ) = 0, 0, $V$5 )</f>
        <v>0</v>
      </c>
      <c r="U50" s="2589"/>
      <c r="V50" s="252">
        <f t="shared" ref="V50" si="48" xml:space="preserve"> IF( ISNUMBER(E50 ), 0, 1 )</f>
        <v>0</v>
      </c>
      <c r="W50" s="252">
        <f t="shared" ref="W50" si="49" xml:space="preserve"> IF( ISNUMBER(F50 ), 0, 1 )</f>
        <v>0</v>
      </c>
      <c r="X50" s="252">
        <f t="shared" ref="X50" si="50" xml:space="preserve"> IF( ISNUMBER(G50 ), 0, 1 )</f>
        <v>0</v>
      </c>
      <c r="Y50" s="252">
        <f t="shared" ref="Y50" si="51" xml:space="preserve"> IF( ISNUMBER(H50 ), 0, 1 )</f>
        <v>0</v>
      </c>
      <c r="Z50" s="252">
        <f t="shared" ref="Z50" si="52" xml:space="preserve"> IF( ISNUMBER(I50 ), 0, 1 )</f>
        <v>0</v>
      </c>
      <c r="AA50" s="252">
        <f t="shared" ref="AA50" si="53" xml:space="preserve"> IF( ISNUMBER(J50 ), 0, 1 )</f>
        <v>0</v>
      </c>
      <c r="AB50" s="2562"/>
      <c r="AC50" s="2562"/>
      <c r="AD50" s="2589"/>
      <c r="AE50" s="2560"/>
      <c r="AF50" s="422" t="s">
        <v>2988</v>
      </c>
      <c r="AG50" s="802" t="s">
        <v>12620</v>
      </c>
      <c r="AH50" s="802" t="s">
        <v>12621</v>
      </c>
      <c r="AI50" s="802" t="s">
        <v>12622</v>
      </c>
      <c r="AJ50" s="802" t="s">
        <v>12623</v>
      </c>
      <c r="AK50" s="802" t="s">
        <v>12624</v>
      </c>
      <c r="AL50" s="802" t="s">
        <v>12625</v>
      </c>
      <c r="AM50" s="790" t="s">
        <v>12626</v>
      </c>
      <c r="AN50" s="313"/>
      <c r="AO50" s="313"/>
      <c r="AP50" s="313"/>
    </row>
    <row r="51" spans="1:42" s="197" customFormat="1" ht="15.75" customHeight="1" thickBot="1">
      <c r="B51" s="425" t="s">
        <v>10442</v>
      </c>
      <c r="C51" s="319" t="s">
        <v>137</v>
      </c>
      <c r="D51" s="319">
        <v>3</v>
      </c>
      <c r="E51" s="1473">
        <f>IFERROR(E49 + E50, 0)</f>
        <v>0.03</v>
      </c>
      <c r="F51" s="1473">
        <f t="shared" ref="F51:I51" si="54">IFERROR(F49 + F50, 0)</f>
        <v>0.11799999999999999</v>
      </c>
      <c r="G51" s="1473">
        <f t="shared" si="54"/>
        <v>0.44900000000000001</v>
      </c>
      <c r="H51" s="1473">
        <f t="shared" si="54"/>
        <v>8.7639999999999993</v>
      </c>
      <c r="I51" s="1473">
        <f t="shared" si="54"/>
        <v>0</v>
      </c>
      <c r="J51" s="1473">
        <f>IFERROR(J49 + J50, 0)</f>
        <v>0</v>
      </c>
      <c r="K51" s="1483">
        <f t="shared" si="39"/>
        <v>9.3609999999999989</v>
      </c>
      <c r="L51" s="313"/>
      <c r="M51" s="313"/>
      <c r="O51" s="320" t="s">
        <v>12627</v>
      </c>
      <c r="P51" s="918"/>
      <c r="Q51" s="269"/>
      <c r="S51" s="2589"/>
      <c r="T51" s="1121"/>
      <c r="U51" s="2589"/>
      <c r="V51" s="2562"/>
      <c r="W51" s="2562"/>
      <c r="X51" s="2562"/>
      <c r="Y51" s="2562"/>
      <c r="Z51" s="2562"/>
      <c r="AA51" s="2562"/>
      <c r="AB51" s="2562"/>
      <c r="AC51" s="2562"/>
      <c r="AD51" s="2589"/>
      <c r="AE51" s="2560"/>
      <c r="AF51" s="425" t="s">
        <v>10442</v>
      </c>
      <c r="AG51" s="583" t="s">
        <v>12628</v>
      </c>
      <c r="AH51" s="583" t="s">
        <v>12629</v>
      </c>
      <c r="AI51" s="583" t="s">
        <v>12630</v>
      </c>
      <c r="AJ51" s="583" t="s">
        <v>12631</v>
      </c>
      <c r="AK51" s="583" t="s">
        <v>12632</v>
      </c>
      <c r="AL51" s="583" t="s">
        <v>12633</v>
      </c>
      <c r="AM51" s="379" t="s">
        <v>12634</v>
      </c>
      <c r="AN51" s="313"/>
      <c r="AO51" s="313"/>
      <c r="AP51" s="313"/>
    </row>
    <row r="52" spans="1:42" ht="15.75" customHeight="1" thickTop="1">
      <c r="A52" s="197"/>
      <c r="B52" s="106"/>
      <c r="C52" s="106"/>
      <c r="D52" s="106"/>
      <c r="E52" s="313"/>
      <c r="F52" s="313"/>
      <c r="G52" s="313"/>
      <c r="H52" s="313"/>
      <c r="I52" s="313"/>
      <c r="J52" s="313"/>
      <c r="K52" s="313"/>
      <c r="L52" s="313"/>
      <c r="M52" s="313"/>
      <c r="N52" s="197"/>
      <c r="O52" s="313"/>
      <c r="P52" s="929"/>
      <c r="Q52" s="918"/>
      <c r="R52" s="918"/>
      <c r="S52" s="918"/>
      <c r="T52" s="2562"/>
      <c r="U52" s="2560"/>
      <c r="V52" s="2562"/>
      <c r="W52" s="2562"/>
      <c r="X52" s="2562"/>
      <c r="Y52" s="2562"/>
      <c r="Z52" s="2562"/>
      <c r="AA52" s="2562"/>
      <c r="AB52" s="2562"/>
      <c r="AC52" s="2562"/>
      <c r="AD52" s="2562"/>
      <c r="AE52" s="2560"/>
      <c r="AF52" s="2560"/>
      <c r="AG52" s="2560"/>
      <c r="AH52" s="2560"/>
      <c r="AI52" s="2560"/>
      <c r="AJ52" s="2560"/>
      <c r="AK52" s="2562"/>
      <c r="AL52" s="2562"/>
      <c r="AM52" s="2562"/>
      <c r="AN52" s="2562"/>
      <c r="AO52" s="2562"/>
      <c r="AP52" s="2562"/>
    </row>
    <row r="53" spans="1:42" ht="15.75" customHeight="1">
      <c r="A53" s="197"/>
      <c r="B53" s="106"/>
      <c r="C53" s="106"/>
      <c r="D53" s="106"/>
      <c r="E53" s="106"/>
      <c r="F53" s="106"/>
      <c r="G53" s="106"/>
      <c r="H53" s="106"/>
      <c r="I53" s="106"/>
      <c r="J53" s="106"/>
      <c r="K53" s="200"/>
      <c r="L53" s="106"/>
      <c r="M53" s="197"/>
      <c r="N53" s="106"/>
      <c r="O53" s="86"/>
      <c r="P53" s="918"/>
      <c r="Q53" s="918"/>
      <c r="R53" s="918"/>
      <c r="S53" s="609"/>
      <c r="T53" s="2562"/>
      <c r="U53" s="2562"/>
      <c r="V53" s="2562"/>
      <c r="W53" s="2562"/>
      <c r="X53" s="2562"/>
      <c r="Y53" s="2562"/>
      <c r="Z53" s="2562"/>
      <c r="AA53" s="2562"/>
      <c r="AB53" s="2562"/>
      <c r="AC53" s="2562"/>
      <c r="AD53" s="2560"/>
      <c r="AE53" s="2560"/>
      <c r="AF53" s="2560"/>
      <c r="AG53" s="2560"/>
      <c r="AH53" s="2560"/>
      <c r="AI53" s="2560"/>
      <c r="AJ53" s="2560"/>
      <c r="AK53" s="2562"/>
      <c r="AL53" s="2562"/>
      <c r="AM53" s="2562"/>
      <c r="AN53" s="2562"/>
      <c r="AO53" s="2562"/>
      <c r="AP53" s="2562"/>
    </row>
    <row r="54" spans="1:42">
      <c r="A54" s="197"/>
      <c r="B54" s="197"/>
      <c r="C54" s="197"/>
      <c r="D54" s="197"/>
      <c r="E54" s="197"/>
      <c r="F54" s="197"/>
      <c r="G54" s="197"/>
      <c r="H54" s="197"/>
      <c r="I54" s="197"/>
      <c r="J54" s="197"/>
      <c r="K54" s="200"/>
      <c r="L54" s="197"/>
      <c r="M54" s="197"/>
      <c r="N54" s="197"/>
      <c r="O54" s="178"/>
      <c r="S54" s="609"/>
      <c r="T54" s="2562"/>
      <c r="U54" s="2562"/>
      <c r="V54" s="2562"/>
      <c r="W54" s="2562"/>
      <c r="X54" s="2562"/>
      <c r="Y54" s="2562"/>
      <c r="Z54" s="2562"/>
      <c r="AA54" s="2562"/>
      <c r="AB54" s="2562"/>
      <c r="AC54" s="2562"/>
      <c r="AD54" s="2560"/>
      <c r="AE54" s="2560"/>
      <c r="AF54" s="2560"/>
      <c r="AG54" s="2560"/>
      <c r="AH54" s="2560"/>
      <c r="AI54" s="2560"/>
      <c r="AJ54" s="2560"/>
      <c r="AK54" s="2562"/>
      <c r="AL54" s="2562"/>
      <c r="AM54" s="2562"/>
      <c r="AN54" s="2562"/>
      <c r="AO54" s="2562"/>
      <c r="AP54" s="2562"/>
    </row>
    <row r="55" spans="1:42">
      <c r="A55" s="197"/>
      <c r="B55" s="197"/>
      <c r="C55" s="197"/>
      <c r="D55" s="197"/>
      <c r="E55" s="197"/>
      <c r="F55" s="197"/>
      <c r="G55" s="197"/>
      <c r="H55" s="197"/>
      <c r="I55" s="197"/>
      <c r="J55" s="197"/>
      <c r="K55" s="200"/>
      <c r="L55" s="197"/>
      <c r="M55" s="197"/>
      <c r="N55" s="197"/>
      <c r="O55" s="178"/>
      <c r="S55" s="609"/>
      <c r="T55" s="2562"/>
      <c r="U55" s="2562"/>
      <c r="V55" s="2562"/>
      <c r="W55" s="2562"/>
      <c r="X55" s="2562"/>
      <c r="Y55" s="2562"/>
      <c r="Z55" s="2562"/>
      <c r="AA55" s="2562"/>
      <c r="AB55" s="2562"/>
      <c r="AC55" s="2562"/>
      <c r="AD55" s="2560"/>
      <c r="AE55" s="2560"/>
      <c r="AF55" s="2560"/>
      <c r="AG55" s="2560"/>
      <c r="AH55" s="2560"/>
      <c r="AI55" s="2560"/>
      <c r="AJ55" s="2560"/>
      <c r="AK55" s="2562"/>
      <c r="AL55" s="2562"/>
      <c r="AM55" s="2562"/>
      <c r="AN55" s="2562"/>
      <c r="AO55" s="2562"/>
      <c r="AP55" s="2562"/>
    </row>
  </sheetData>
  <sheetProtection formatColumns="0" formatRows="0"/>
  <dataConsolidate/>
  <mergeCells count="3">
    <mergeCell ref="B3:Q3"/>
    <mergeCell ref="AF3:AO3"/>
    <mergeCell ref="V4:AC4"/>
  </mergeCells>
  <conditionalFormatting sqref="T8:T51">
    <cfRule type="cellIs" dxfId="3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7" activePane="bottomLeft" state="frozen"/>
      <selection pane="bottomLeft" activeCell="N42" sqref="N42"/>
    </sheetView>
  </sheetViews>
  <sheetFormatPr defaultColWidth="9.08203125" defaultRowHeight="14"/>
  <cols>
    <col min="1" max="1" width="1.58203125" style="220" customWidth="1"/>
    <col min="2" max="2" width="14.08203125" style="220" customWidth="1"/>
    <col min="3" max="3" width="22.08203125" style="220" customWidth="1"/>
    <col min="4" max="4" width="5.5" style="220" bestFit="1" customWidth="1"/>
    <col min="5" max="5" width="4.58203125" style="220" bestFit="1" customWidth="1"/>
    <col min="6" max="6" width="18.08203125" style="220" customWidth="1"/>
    <col min="7" max="7" width="19.58203125" style="220" customWidth="1"/>
    <col min="8" max="8" width="9.58203125" style="220" bestFit="1" customWidth="1"/>
    <col min="9" max="9" width="11.58203125" style="220" bestFit="1" customWidth="1"/>
    <col min="10" max="10" width="23.08203125" style="324" bestFit="1" customWidth="1"/>
    <col min="11" max="11" width="1.58203125" style="220" customWidth="1"/>
    <col min="12" max="12" width="15.58203125" style="220" bestFit="1" customWidth="1"/>
    <col min="13" max="13" width="1.58203125" style="220" customWidth="1"/>
    <col min="14" max="14" width="29.5" style="220" bestFit="1" customWidth="1"/>
    <col min="15" max="16" width="1.58203125" style="220" customWidth="1"/>
    <col min="17" max="17" width="25.08203125" style="220" customWidth="1"/>
    <col min="18" max="18" width="1.58203125" style="230" customWidth="1"/>
    <col min="19" max="21" width="8.08203125" style="230" hidden="1" customWidth="1"/>
    <col min="22" max="22" width="1.58203125" style="230" hidden="1" customWidth="1"/>
    <col min="23" max="23" width="1.58203125" style="220" customWidth="1"/>
    <col min="24" max="24" width="40.58203125" style="220" bestFit="1" customWidth="1"/>
    <col min="25" max="25" width="9.58203125" style="220" customWidth="1"/>
    <col min="26" max="26" width="16.08203125" style="220" bestFit="1" customWidth="1"/>
    <col min="27" max="27" width="19.08203125" style="220" bestFit="1" customWidth="1"/>
    <col min="28" max="28" width="14.08203125" style="220" bestFit="1" customWidth="1"/>
    <col min="29" max="29" width="17.08203125" style="220" bestFit="1" customWidth="1"/>
    <col min="30" max="30" width="23.08203125" style="220" bestFit="1" customWidth="1"/>
    <col min="31" max="31" width="26.08203125" style="220" customWidth="1"/>
    <col min="32" max="16384" width="9.08203125" style="220"/>
  </cols>
  <sheetData>
    <row r="1" spans="1:30" s="227" customFormat="1" ht="22.5">
      <c r="B1" s="2673" t="s">
        <v>2065</v>
      </c>
      <c r="C1" s="2673"/>
      <c r="D1" s="2673"/>
      <c r="E1" s="2673"/>
      <c r="F1" s="2673"/>
      <c r="G1" s="2673"/>
      <c r="H1" s="2673"/>
      <c r="I1" s="2673"/>
      <c r="J1" s="304"/>
      <c r="P1" s="305"/>
      <c r="R1" s="2577"/>
      <c r="S1" s="2572"/>
      <c r="T1" s="2572"/>
      <c r="U1" s="2572"/>
      <c r="V1" s="2577"/>
      <c r="X1" s="2673" t="s">
        <v>1887</v>
      </c>
      <c r="Y1" s="2673"/>
      <c r="Z1" s="2673"/>
      <c r="AA1" s="2673"/>
      <c r="AB1" s="2673"/>
      <c r="AC1" s="2673"/>
      <c r="AD1" s="304"/>
    </row>
    <row r="2" spans="1:30" s="227" customFormat="1" ht="22.5">
      <c r="B2" s="2673" t="str">
        <f>SelectCompany!B4</f>
        <v>Yorkshire Water</v>
      </c>
      <c r="C2" s="2673"/>
      <c r="D2" s="2673"/>
      <c r="E2" s="2673"/>
      <c r="F2" s="2673"/>
      <c r="G2" s="2673"/>
      <c r="H2" s="2673"/>
      <c r="I2" s="2673"/>
      <c r="J2" s="304"/>
      <c r="P2" s="305"/>
      <c r="R2" s="2577"/>
      <c r="S2" s="2572"/>
      <c r="T2" s="2572"/>
      <c r="U2" s="2572"/>
      <c r="V2" s="2577"/>
      <c r="X2" s="2673"/>
      <c r="Y2" s="2673"/>
      <c r="Z2" s="2673"/>
      <c r="AA2" s="2673"/>
      <c r="AB2" s="2673"/>
      <c r="AC2" s="2673"/>
      <c r="AD2" s="304"/>
    </row>
    <row r="3" spans="1:30" s="231" customFormat="1" ht="19">
      <c r="B3" s="2674" t="s">
        <v>2066</v>
      </c>
      <c r="C3" s="2675"/>
      <c r="D3" s="2675"/>
      <c r="E3" s="2675"/>
      <c r="F3" s="2675"/>
      <c r="G3" s="2675"/>
      <c r="H3" s="2675"/>
      <c r="I3" s="2675"/>
      <c r="J3" s="2675"/>
      <c r="K3" s="2675"/>
      <c r="L3" s="2675"/>
      <c r="M3" s="2675"/>
      <c r="N3" s="2675"/>
      <c r="P3" s="307"/>
      <c r="Q3" s="232" t="s">
        <v>1889</v>
      </c>
      <c r="R3" s="2577"/>
      <c r="S3" s="2572"/>
      <c r="T3" s="2572"/>
      <c r="U3" s="2572"/>
      <c r="V3" s="2577"/>
      <c r="X3" s="2676" t="s">
        <v>2066</v>
      </c>
      <c r="Y3" s="2677"/>
      <c r="Z3" s="2677"/>
      <c r="AA3" s="2677"/>
      <c r="AB3" s="2677"/>
      <c r="AC3" s="2677"/>
      <c r="AD3" s="2678"/>
    </row>
    <row r="4" spans="1:30" ht="16" thickBot="1">
      <c r="A4" s="2562"/>
      <c r="B4" s="233"/>
      <c r="C4" s="233"/>
      <c r="D4" s="233"/>
      <c r="E4" s="233"/>
      <c r="F4" s="2685"/>
      <c r="G4" s="2685"/>
      <c r="H4" s="2685"/>
      <c r="I4" s="2685"/>
      <c r="J4" s="309"/>
      <c r="K4" s="2562"/>
      <c r="L4" s="2562"/>
      <c r="M4" s="2562"/>
      <c r="N4" s="2562"/>
      <c r="O4" s="2562"/>
      <c r="P4" s="2576"/>
      <c r="Q4" s="2562"/>
      <c r="R4" s="2577"/>
      <c r="S4" s="2662" t="s">
        <v>1890</v>
      </c>
      <c r="T4" s="2662"/>
      <c r="U4" s="2662"/>
      <c r="V4" s="2577"/>
      <c r="W4" s="2562"/>
      <c r="X4" s="233"/>
      <c r="Y4" s="233"/>
      <c r="Z4" s="2685"/>
      <c r="AA4" s="2685"/>
      <c r="AB4" s="2685"/>
      <c r="AC4" s="2685"/>
      <c r="AD4" s="309"/>
    </row>
    <row r="5" spans="1:30" ht="16" thickTop="1">
      <c r="A5" s="197"/>
      <c r="B5" s="2686" t="s">
        <v>1891</v>
      </c>
      <c r="C5" s="2667"/>
      <c r="D5" s="2664" t="s">
        <v>1892</v>
      </c>
      <c r="E5" s="2664" t="s">
        <v>136</v>
      </c>
      <c r="F5" s="2667" t="s">
        <v>1893</v>
      </c>
      <c r="G5" s="2667" t="s">
        <v>1894</v>
      </c>
      <c r="H5" s="2667"/>
      <c r="I5" s="2667"/>
      <c r="J5" s="2669" t="s">
        <v>1895</v>
      </c>
      <c r="K5" s="197"/>
      <c r="L5" s="2671" t="s">
        <v>1896</v>
      </c>
      <c r="M5" s="197"/>
      <c r="N5" s="2671" t="s">
        <v>1897</v>
      </c>
      <c r="O5" s="197"/>
      <c r="P5" s="2576"/>
      <c r="Q5" s="2562"/>
      <c r="R5" s="2577"/>
      <c r="S5" s="236" t="s">
        <v>1898</v>
      </c>
      <c r="T5" s="237"/>
      <c r="U5" s="237"/>
      <c r="V5" s="2577"/>
      <c r="W5" s="2562"/>
      <c r="X5" s="2686" t="s">
        <v>1891</v>
      </c>
      <c r="Y5" s="2667"/>
      <c r="Z5" s="2667" t="s">
        <v>1893</v>
      </c>
      <c r="AA5" s="2667" t="s">
        <v>1894</v>
      </c>
      <c r="AB5" s="2667"/>
      <c r="AC5" s="2667"/>
      <c r="AD5" s="2669" t="s">
        <v>1895</v>
      </c>
    </row>
    <row r="6" spans="1:30" ht="62.5" thickBot="1">
      <c r="A6" s="197"/>
      <c r="B6" s="2687"/>
      <c r="C6" s="2668"/>
      <c r="D6" s="2666"/>
      <c r="E6" s="2666"/>
      <c r="F6" s="2668"/>
      <c r="G6" s="238" t="s">
        <v>1899</v>
      </c>
      <c r="H6" s="238" t="s">
        <v>1900</v>
      </c>
      <c r="I6" s="238" t="s">
        <v>1901</v>
      </c>
      <c r="J6" s="2670"/>
      <c r="K6" s="197"/>
      <c r="L6" s="2672"/>
      <c r="M6" s="197"/>
      <c r="N6" s="2672"/>
      <c r="O6" s="197"/>
      <c r="P6" s="2576"/>
      <c r="Q6" s="2562"/>
      <c r="R6" s="2577"/>
      <c r="S6" s="2562"/>
      <c r="T6" s="2562"/>
      <c r="U6" s="2562"/>
      <c r="V6" s="2577"/>
      <c r="W6" s="2562"/>
      <c r="X6" s="2687"/>
      <c r="Y6" s="2668"/>
      <c r="Z6" s="2668"/>
      <c r="AA6" s="238" t="s">
        <v>1899</v>
      </c>
      <c r="AB6" s="238" t="s">
        <v>1900</v>
      </c>
      <c r="AC6" s="238" t="s">
        <v>1901</v>
      </c>
      <c r="AD6" s="2670"/>
    </row>
    <row r="7" spans="1:30" ht="16.5" thickTop="1" thickBot="1">
      <c r="A7" s="197"/>
      <c r="B7" s="311"/>
      <c r="C7" s="312"/>
      <c r="D7" s="312"/>
      <c r="E7" s="312"/>
      <c r="F7" s="83"/>
      <c r="G7" s="83"/>
      <c r="H7" s="83"/>
      <c r="I7" s="83"/>
      <c r="J7" s="313"/>
      <c r="K7" s="197"/>
      <c r="L7" s="197"/>
      <c r="M7" s="197"/>
      <c r="N7" s="197"/>
      <c r="O7" s="197"/>
      <c r="P7" s="2576"/>
      <c r="Q7" s="2562"/>
      <c r="R7" s="2577"/>
      <c r="S7" s="2573"/>
      <c r="T7" s="2573"/>
      <c r="U7" s="2573"/>
      <c r="V7" s="2577"/>
      <c r="W7" s="2562"/>
      <c r="X7" s="311"/>
      <c r="Y7" s="312"/>
      <c r="Z7" s="83"/>
      <c r="AA7" s="83"/>
      <c r="AB7" s="83"/>
      <c r="AC7" s="83"/>
      <c r="AD7" s="313"/>
    </row>
    <row r="8" spans="1:30" ht="16.5" thickTop="1" thickBot="1">
      <c r="A8" s="197"/>
      <c r="B8" s="2635" t="s">
        <v>2067</v>
      </c>
      <c r="C8" s="2636"/>
      <c r="D8" s="325"/>
      <c r="E8" s="325"/>
      <c r="F8" s="83"/>
      <c r="G8" s="83"/>
      <c r="H8" s="83"/>
      <c r="I8" s="83"/>
      <c r="J8" s="313"/>
      <c r="K8" s="197"/>
      <c r="L8" s="178"/>
      <c r="M8" s="197"/>
      <c r="N8" s="197"/>
      <c r="O8" s="197"/>
      <c r="P8" s="2576"/>
      <c r="Q8" s="2562"/>
      <c r="R8" s="2577"/>
      <c r="S8" s="2562"/>
      <c r="T8" s="2562"/>
      <c r="U8" s="2562"/>
      <c r="V8" s="2577"/>
      <c r="W8" s="2562"/>
      <c r="X8" s="2635" t="s">
        <v>2067</v>
      </c>
      <c r="Y8" s="2636"/>
      <c r="Z8" s="83"/>
      <c r="AA8" s="83"/>
      <c r="AB8" s="83"/>
      <c r="AC8" s="83"/>
      <c r="AD8" s="313"/>
    </row>
    <row r="9" spans="1:30" ht="16" thickTop="1">
      <c r="A9" s="197"/>
      <c r="B9" s="2681" t="s">
        <v>2068</v>
      </c>
      <c r="C9" s="2682"/>
      <c r="D9" s="244" t="s">
        <v>137</v>
      </c>
      <c r="E9" s="244">
        <v>3</v>
      </c>
      <c r="F9" s="245">
        <v>9004.6260000000002</v>
      </c>
      <c r="G9" s="245">
        <v>-182.16800000000001</v>
      </c>
      <c r="H9" s="245">
        <v>2.5630000000000002</v>
      </c>
      <c r="I9" s="1807">
        <f>IFERROR(G9-H9,0)</f>
        <v>-184.73099999999999</v>
      </c>
      <c r="J9" s="1818">
        <f>IFERROR(F9+I9,0)</f>
        <v>8819.8950000000004</v>
      </c>
      <c r="K9" s="197"/>
      <c r="L9" s="248" t="s">
        <v>2069</v>
      </c>
      <c r="M9" s="197"/>
      <c r="N9" s="250"/>
      <c r="O9" s="197"/>
      <c r="P9" s="2578"/>
      <c r="Q9" s="251">
        <f>IF( SUM( S9:U9 ) = 0, 0, $S$5 )</f>
        <v>0</v>
      </c>
      <c r="R9" s="2577"/>
      <c r="S9" s="252">
        <f xml:space="preserve"> IF( ISNUMBER( F9 ), 0, 1 )</f>
        <v>0</v>
      </c>
      <c r="T9" s="252">
        <f t="shared" ref="T9:T14" si="0" xml:space="preserve"> IF( ISNUMBER( G9 ), 0, 1 )</f>
        <v>0</v>
      </c>
      <c r="U9" s="252">
        <f t="shared" ref="U9:U14" si="1" xml:space="preserve"> IF( ISNUMBER( H9 ), 0, 1 )</f>
        <v>0</v>
      </c>
      <c r="V9" s="2577"/>
      <c r="W9" s="2562"/>
      <c r="X9" s="2681" t="s">
        <v>2068</v>
      </c>
      <c r="Y9" s="2682"/>
      <c r="Z9" s="245" t="s">
        <v>2070</v>
      </c>
      <c r="AA9" s="245" t="s">
        <v>2071</v>
      </c>
      <c r="AB9" s="245" t="s">
        <v>2072</v>
      </c>
      <c r="AC9" s="246" t="s">
        <v>2073</v>
      </c>
      <c r="AD9" s="315" t="s">
        <v>2074</v>
      </c>
    </row>
    <row r="10" spans="1:30" ht="15.5">
      <c r="A10" s="197"/>
      <c r="B10" s="2641" t="s">
        <v>2075</v>
      </c>
      <c r="C10" s="2642"/>
      <c r="D10" s="290" t="s">
        <v>137</v>
      </c>
      <c r="E10" s="290">
        <v>3</v>
      </c>
      <c r="F10" s="254">
        <v>229.16300000000001</v>
      </c>
      <c r="G10" s="254">
        <v>-5.78</v>
      </c>
      <c r="H10" s="254">
        <v>0</v>
      </c>
      <c r="I10" s="1811">
        <f>IFERROR(G10-H10,0)</f>
        <v>-5.78</v>
      </c>
      <c r="J10" s="1810">
        <f t="shared" ref="J10:J15" si="2">IFERROR(F10+I10,0)</f>
        <v>223.38300000000001</v>
      </c>
      <c r="K10" s="197"/>
      <c r="L10" s="257" t="s">
        <v>2076</v>
      </c>
      <c r="M10" s="197"/>
      <c r="N10" s="258"/>
      <c r="O10" s="197"/>
      <c r="P10" s="2578"/>
      <c r="Q10" s="251">
        <f t="shared" ref="Q10:Q14" si="3">IF( SUM( S10:U10 ) = 0, 0, $S$5 )</f>
        <v>0</v>
      </c>
      <c r="R10" s="2577"/>
      <c r="S10" s="252">
        <f t="shared" ref="S10:S14" si="4" xml:space="preserve"> IF( ISNUMBER( F10 ), 0, 1 )</f>
        <v>0</v>
      </c>
      <c r="T10" s="252">
        <f t="shared" si="0"/>
        <v>0</v>
      </c>
      <c r="U10" s="252">
        <f t="shared" si="1"/>
        <v>0</v>
      </c>
      <c r="V10" s="2577"/>
      <c r="W10" s="2562"/>
      <c r="X10" s="2641" t="s">
        <v>2075</v>
      </c>
      <c r="Y10" s="2642"/>
      <c r="Z10" s="254" t="s">
        <v>2077</v>
      </c>
      <c r="AA10" s="254" t="s">
        <v>2078</v>
      </c>
      <c r="AB10" s="254" t="s">
        <v>2079</v>
      </c>
      <c r="AC10" s="255" t="s">
        <v>2080</v>
      </c>
      <c r="AD10" s="278" t="s">
        <v>2081</v>
      </c>
    </row>
    <row r="11" spans="1:30" ht="15.5">
      <c r="A11" s="197"/>
      <c r="B11" s="2683" t="s">
        <v>2082</v>
      </c>
      <c r="C11" s="2684"/>
      <c r="D11" s="253" t="s">
        <v>137</v>
      </c>
      <c r="E11" s="253">
        <v>3</v>
      </c>
      <c r="F11" s="254">
        <v>625.01400000000001</v>
      </c>
      <c r="G11" s="254">
        <v>0</v>
      </c>
      <c r="H11" s="254">
        <v>0</v>
      </c>
      <c r="I11" s="1811">
        <f t="shared" ref="I11:I15" si="5">IFERROR(G11-H11,0)</f>
        <v>0</v>
      </c>
      <c r="J11" s="1810">
        <f t="shared" si="2"/>
        <v>625.01400000000001</v>
      </c>
      <c r="K11" s="197"/>
      <c r="L11" s="257" t="s">
        <v>2083</v>
      </c>
      <c r="M11" s="197"/>
      <c r="N11" s="258"/>
      <c r="O11" s="197"/>
      <c r="P11" s="2578"/>
      <c r="Q11" s="251">
        <f t="shared" si="3"/>
        <v>0</v>
      </c>
      <c r="R11" s="2577"/>
      <c r="S11" s="252">
        <f t="shared" si="4"/>
        <v>0</v>
      </c>
      <c r="T11" s="252">
        <f t="shared" si="0"/>
        <v>0</v>
      </c>
      <c r="U11" s="252">
        <f t="shared" si="1"/>
        <v>0</v>
      </c>
      <c r="V11" s="2577"/>
      <c r="W11" s="2562"/>
      <c r="X11" s="2683" t="s">
        <v>2082</v>
      </c>
      <c r="Y11" s="2684"/>
      <c r="Z11" s="254" t="s">
        <v>2084</v>
      </c>
      <c r="AA11" s="254" t="s">
        <v>2085</v>
      </c>
      <c r="AB11" s="254" t="s">
        <v>2086</v>
      </c>
      <c r="AC11" s="255" t="s">
        <v>2087</v>
      </c>
      <c r="AD11" s="278" t="s">
        <v>2088</v>
      </c>
    </row>
    <row r="12" spans="1:30" ht="15.5">
      <c r="A12" s="197"/>
      <c r="B12" s="2655" t="s">
        <v>2089</v>
      </c>
      <c r="C12" s="2656"/>
      <c r="D12" s="253" t="s">
        <v>137</v>
      </c>
      <c r="E12" s="253">
        <v>3</v>
      </c>
      <c r="F12" s="254">
        <v>2.2450000000000001</v>
      </c>
      <c r="G12" s="254">
        <v>0</v>
      </c>
      <c r="H12" s="254">
        <v>0</v>
      </c>
      <c r="I12" s="1811">
        <f t="shared" si="5"/>
        <v>0</v>
      </c>
      <c r="J12" s="1810">
        <f t="shared" si="2"/>
        <v>2.2450000000000001</v>
      </c>
      <c r="K12" s="197"/>
      <c r="L12" s="257" t="s">
        <v>2090</v>
      </c>
      <c r="M12" s="197"/>
      <c r="N12" s="258"/>
      <c r="O12" s="197"/>
      <c r="P12" s="2578"/>
      <c r="Q12" s="251">
        <f t="shared" si="3"/>
        <v>0</v>
      </c>
      <c r="R12" s="2577"/>
      <c r="S12" s="252">
        <f t="shared" si="4"/>
        <v>0</v>
      </c>
      <c r="T12" s="252">
        <f t="shared" si="0"/>
        <v>0</v>
      </c>
      <c r="U12" s="252">
        <f t="shared" si="1"/>
        <v>0</v>
      </c>
      <c r="V12" s="2577"/>
      <c r="W12" s="2562"/>
      <c r="X12" s="2655" t="s">
        <v>2089</v>
      </c>
      <c r="Y12" s="2656"/>
      <c r="Z12" s="254" t="s">
        <v>2091</v>
      </c>
      <c r="AA12" s="254" t="s">
        <v>2092</v>
      </c>
      <c r="AB12" s="254" t="s">
        <v>2093</v>
      </c>
      <c r="AC12" s="255" t="s">
        <v>2094</v>
      </c>
      <c r="AD12" s="278" t="s">
        <v>2095</v>
      </c>
    </row>
    <row r="13" spans="1:30" ht="15.5">
      <c r="A13" s="197"/>
      <c r="B13" s="2699" t="s">
        <v>2096</v>
      </c>
      <c r="C13" s="2700"/>
      <c r="D13" s="253" t="s">
        <v>137</v>
      </c>
      <c r="E13" s="253">
        <v>3</v>
      </c>
      <c r="F13" s="254">
        <v>226.166</v>
      </c>
      <c r="G13" s="254">
        <v>0</v>
      </c>
      <c r="H13" s="254">
        <v>0</v>
      </c>
      <c r="I13" s="1811">
        <f t="shared" si="5"/>
        <v>0</v>
      </c>
      <c r="J13" s="1810">
        <f t="shared" si="2"/>
        <v>226.166</v>
      </c>
      <c r="K13" s="197"/>
      <c r="L13" s="257" t="s">
        <v>2097</v>
      </c>
      <c r="M13" s="197"/>
      <c r="N13" s="258"/>
      <c r="O13" s="197"/>
      <c r="P13" s="2578"/>
      <c r="Q13" s="251">
        <f t="shared" si="3"/>
        <v>0</v>
      </c>
      <c r="R13" s="2577"/>
      <c r="S13" s="252">
        <f t="shared" si="4"/>
        <v>0</v>
      </c>
      <c r="T13" s="252">
        <f t="shared" si="0"/>
        <v>0</v>
      </c>
      <c r="U13" s="252">
        <f t="shared" si="1"/>
        <v>0</v>
      </c>
      <c r="V13" s="2577"/>
      <c r="W13" s="2562"/>
      <c r="X13" s="2699" t="s">
        <v>2096</v>
      </c>
      <c r="Y13" s="2700"/>
      <c r="Z13" s="254" t="s">
        <v>2098</v>
      </c>
      <c r="AA13" s="254" t="s">
        <v>2099</v>
      </c>
      <c r="AB13" s="254" t="s">
        <v>2100</v>
      </c>
      <c r="AC13" s="255" t="s">
        <v>2101</v>
      </c>
      <c r="AD13" s="278" t="s">
        <v>2102</v>
      </c>
    </row>
    <row r="14" spans="1:30" ht="15.5">
      <c r="A14" s="197"/>
      <c r="B14" s="2641" t="s">
        <v>2103</v>
      </c>
      <c r="C14" s="2642"/>
      <c r="D14" s="290" t="s">
        <v>137</v>
      </c>
      <c r="E14" s="290">
        <v>3</v>
      </c>
      <c r="F14" s="254">
        <v>0</v>
      </c>
      <c r="G14" s="254">
        <v>0</v>
      </c>
      <c r="H14" s="254">
        <v>0</v>
      </c>
      <c r="I14" s="1811">
        <f t="shared" si="5"/>
        <v>0</v>
      </c>
      <c r="J14" s="1810">
        <f t="shared" si="2"/>
        <v>0</v>
      </c>
      <c r="K14" s="197"/>
      <c r="L14" s="257" t="s">
        <v>2104</v>
      </c>
      <c r="M14" s="197"/>
      <c r="N14" s="258"/>
      <c r="O14" s="197"/>
      <c r="P14" s="2578"/>
      <c r="Q14" s="251">
        <f t="shared" si="3"/>
        <v>0</v>
      </c>
      <c r="R14" s="2577"/>
      <c r="S14" s="252">
        <f t="shared" si="4"/>
        <v>0</v>
      </c>
      <c r="T14" s="252">
        <f t="shared" si="0"/>
        <v>0</v>
      </c>
      <c r="U14" s="252">
        <f t="shared" si="1"/>
        <v>0</v>
      </c>
      <c r="V14" s="2577"/>
      <c r="W14" s="2562"/>
      <c r="X14" s="2641" t="s">
        <v>2103</v>
      </c>
      <c r="Y14" s="2642"/>
      <c r="Z14" s="254" t="s">
        <v>2105</v>
      </c>
      <c r="AA14" s="254" t="s">
        <v>2106</v>
      </c>
      <c r="AB14" s="254" t="s">
        <v>2107</v>
      </c>
      <c r="AC14" s="255" t="s">
        <v>2108</v>
      </c>
      <c r="AD14" s="278" t="s">
        <v>2109</v>
      </c>
    </row>
    <row r="15" spans="1:30" ht="16" thickBot="1">
      <c r="A15" s="197"/>
      <c r="B15" s="2695" t="s">
        <v>2110</v>
      </c>
      <c r="C15" s="2696"/>
      <c r="D15" s="326" t="s">
        <v>137</v>
      </c>
      <c r="E15" s="326">
        <v>3</v>
      </c>
      <c r="F15" s="1813">
        <f>IFERROR(SUM(F9:F14),0)</f>
        <v>10087.214</v>
      </c>
      <c r="G15" s="1813">
        <f>IFERROR(SUM(G9:G14),0)</f>
        <v>-187.94800000000001</v>
      </c>
      <c r="H15" s="1813">
        <f>IFERROR(SUM(H9:H14),0)</f>
        <v>2.5630000000000002</v>
      </c>
      <c r="I15" s="1813">
        <f t="shared" si="5"/>
        <v>-190.511</v>
      </c>
      <c r="J15" s="1806">
        <f t="shared" si="2"/>
        <v>9896.7029999999995</v>
      </c>
      <c r="K15" s="197"/>
      <c r="L15" s="320" t="s">
        <v>2111</v>
      </c>
      <c r="M15" s="197"/>
      <c r="N15" s="269"/>
      <c r="O15" s="197"/>
      <c r="P15" s="2578"/>
      <c r="Q15" s="2562"/>
      <c r="R15" s="2577"/>
      <c r="S15" s="2572"/>
      <c r="T15" s="2572"/>
      <c r="U15" s="2572"/>
      <c r="V15" s="2577"/>
      <c r="W15" s="2562"/>
      <c r="X15" s="2695" t="s">
        <v>2112</v>
      </c>
      <c r="Y15" s="2696"/>
      <c r="Z15" s="265" t="s">
        <v>2113</v>
      </c>
      <c r="AA15" s="265" t="s">
        <v>2114</v>
      </c>
      <c r="AB15" s="265" t="s">
        <v>2115</v>
      </c>
      <c r="AC15" s="265" t="s">
        <v>2116</v>
      </c>
      <c r="AD15" s="280" t="s">
        <v>2117</v>
      </c>
    </row>
    <row r="16" spans="1:30" ht="16.5" thickTop="1" thickBot="1">
      <c r="A16" s="197"/>
      <c r="B16" s="327"/>
      <c r="C16" s="327"/>
      <c r="D16" s="327"/>
      <c r="E16" s="327"/>
      <c r="F16" s="1819"/>
      <c r="G16" s="1819"/>
      <c r="H16" s="1819"/>
      <c r="I16" s="1819"/>
      <c r="J16" s="1820"/>
      <c r="K16" s="197"/>
      <c r="L16" s="330"/>
      <c r="M16" s="197"/>
      <c r="N16" s="197"/>
      <c r="O16" s="197"/>
      <c r="P16" s="2578"/>
      <c r="Q16" s="2562"/>
      <c r="R16" s="2577"/>
      <c r="S16" s="2572"/>
      <c r="T16" s="2572"/>
      <c r="U16" s="2572"/>
      <c r="V16" s="2577"/>
      <c r="W16" s="2562"/>
      <c r="X16" s="327"/>
      <c r="Y16" s="327"/>
      <c r="Z16" s="328"/>
      <c r="AA16" s="328"/>
      <c r="AB16" s="328"/>
      <c r="AC16" s="328"/>
      <c r="AD16" s="329"/>
    </row>
    <row r="17" spans="1:30" ht="16.5" thickTop="1" thickBot="1">
      <c r="A17" s="197"/>
      <c r="B17" s="2635" t="s">
        <v>2118</v>
      </c>
      <c r="C17" s="2636"/>
      <c r="D17" s="325"/>
      <c r="E17" s="325"/>
      <c r="F17" s="1819"/>
      <c r="G17" s="1819"/>
      <c r="H17" s="1819"/>
      <c r="I17" s="1819"/>
      <c r="J17" s="1820"/>
      <c r="K17" s="197"/>
      <c r="L17" s="178"/>
      <c r="M17" s="197"/>
      <c r="N17" s="197"/>
      <c r="O17" s="197"/>
      <c r="P17" s="2578"/>
      <c r="Q17" s="2562"/>
      <c r="R17" s="2577"/>
      <c r="S17" s="2572"/>
      <c r="T17" s="2572"/>
      <c r="U17" s="2572"/>
      <c r="V17" s="2577"/>
      <c r="W17" s="2562"/>
      <c r="X17" s="2635" t="s">
        <v>2118</v>
      </c>
      <c r="Y17" s="2636"/>
      <c r="Z17" s="328"/>
      <c r="AA17" s="328"/>
      <c r="AB17" s="328"/>
      <c r="AC17" s="328"/>
      <c r="AD17" s="329"/>
    </row>
    <row r="18" spans="1:30" ht="16" thickTop="1">
      <c r="A18" s="197"/>
      <c r="B18" s="2681" t="s">
        <v>2119</v>
      </c>
      <c r="C18" s="2682"/>
      <c r="D18" s="244" t="s">
        <v>137</v>
      </c>
      <c r="E18" s="244">
        <v>3</v>
      </c>
      <c r="F18" s="245">
        <v>7.6289999999999996</v>
      </c>
      <c r="G18" s="245">
        <v>0</v>
      </c>
      <c r="H18" s="245">
        <v>0</v>
      </c>
      <c r="I18" s="1807">
        <f t="shared" ref="I18:I22" si="6">IFERROR(G18-H18,0)</f>
        <v>0</v>
      </c>
      <c r="J18" s="1818">
        <f t="shared" ref="J18:J22" si="7">IFERROR(F18+I18,0)</f>
        <v>7.6289999999999996</v>
      </c>
      <c r="K18" s="197"/>
      <c r="L18" s="248" t="s">
        <v>2120</v>
      </c>
      <c r="M18" s="197"/>
      <c r="N18" s="250"/>
      <c r="O18" s="197"/>
      <c r="P18" s="2578"/>
      <c r="Q18" s="251">
        <f t="shared" ref="Q18:Q21" si="8">IF( SUM( S18:U18 ) = 0, 0, $S$5 )</f>
        <v>0</v>
      </c>
      <c r="R18" s="2577"/>
      <c r="S18" s="252">
        <f t="shared" ref="S18:S21" si="9" xml:space="preserve"> IF( ISNUMBER( F18 ), 0, 1 )</f>
        <v>0</v>
      </c>
      <c r="T18" s="252">
        <f t="shared" ref="T18:T21" si="10" xml:space="preserve"> IF( ISNUMBER( G18 ), 0, 1 )</f>
        <v>0</v>
      </c>
      <c r="U18" s="252">
        <f t="shared" ref="U18:U21" si="11" xml:space="preserve"> IF( ISNUMBER( H18 ), 0, 1 )</f>
        <v>0</v>
      </c>
      <c r="V18" s="2577"/>
      <c r="W18" s="2562"/>
      <c r="X18" s="2681" t="s">
        <v>2119</v>
      </c>
      <c r="Y18" s="2682"/>
      <c r="Z18" s="245" t="s">
        <v>2121</v>
      </c>
      <c r="AA18" s="245" t="s">
        <v>2122</v>
      </c>
      <c r="AB18" s="245" t="s">
        <v>2123</v>
      </c>
      <c r="AC18" s="246" t="s">
        <v>2124</v>
      </c>
      <c r="AD18" s="315" t="s">
        <v>2125</v>
      </c>
    </row>
    <row r="19" spans="1:30" ht="15.5">
      <c r="A19" s="197"/>
      <c r="B19" s="2641" t="s">
        <v>2126</v>
      </c>
      <c r="C19" s="2642"/>
      <c r="D19" s="290" t="s">
        <v>137</v>
      </c>
      <c r="E19" s="290">
        <v>3</v>
      </c>
      <c r="F19" s="254">
        <v>638.28499999999997</v>
      </c>
      <c r="G19" s="254">
        <v>0</v>
      </c>
      <c r="H19" s="254">
        <v>1.71</v>
      </c>
      <c r="I19" s="1811">
        <f t="shared" si="6"/>
        <v>-1.71</v>
      </c>
      <c r="J19" s="1810">
        <f t="shared" si="7"/>
        <v>636.57499999999993</v>
      </c>
      <c r="K19" s="197"/>
      <c r="L19" s="257" t="s">
        <v>2127</v>
      </c>
      <c r="M19" s="197"/>
      <c r="N19" s="258"/>
      <c r="O19" s="197"/>
      <c r="P19" s="2578"/>
      <c r="Q19" s="251">
        <f t="shared" si="8"/>
        <v>0</v>
      </c>
      <c r="R19" s="2577"/>
      <c r="S19" s="252">
        <f t="shared" si="9"/>
        <v>0</v>
      </c>
      <c r="T19" s="252">
        <f t="shared" si="10"/>
        <v>0</v>
      </c>
      <c r="U19" s="252">
        <f t="shared" si="11"/>
        <v>0</v>
      </c>
      <c r="V19" s="2577"/>
      <c r="W19" s="2562"/>
      <c r="X19" s="2641" t="s">
        <v>2126</v>
      </c>
      <c r="Y19" s="2642"/>
      <c r="Z19" s="254" t="s">
        <v>2128</v>
      </c>
      <c r="AA19" s="254" t="s">
        <v>2129</v>
      </c>
      <c r="AB19" s="254" t="s">
        <v>2130</v>
      </c>
      <c r="AC19" s="255" t="s">
        <v>2131</v>
      </c>
      <c r="AD19" s="278" t="s">
        <v>2132</v>
      </c>
    </row>
    <row r="20" spans="1:30" ht="15.5">
      <c r="A20" s="197"/>
      <c r="B20" s="2657" t="s">
        <v>2096</v>
      </c>
      <c r="C20" s="2658"/>
      <c r="D20" s="259" t="s">
        <v>137</v>
      </c>
      <c r="E20" s="259">
        <v>3</v>
      </c>
      <c r="F20" s="254">
        <v>31.042999999999999</v>
      </c>
      <c r="G20" s="254">
        <v>0</v>
      </c>
      <c r="H20" s="254">
        <v>0</v>
      </c>
      <c r="I20" s="1811">
        <f t="shared" si="6"/>
        <v>0</v>
      </c>
      <c r="J20" s="1810">
        <f t="shared" si="7"/>
        <v>31.042999999999999</v>
      </c>
      <c r="K20" s="197"/>
      <c r="L20" s="257" t="s">
        <v>2133</v>
      </c>
      <c r="M20" s="197"/>
      <c r="N20" s="258"/>
      <c r="O20" s="197"/>
      <c r="P20" s="2578"/>
      <c r="Q20" s="251">
        <f t="shared" si="8"/>
        <v>0</v>
      </c>
      <c r="R20" s="2577"/>
      <c r="S20" s="252">
        <f t="shared" si="9"/>
        <v>0</v>
      </c>
      <c r="T20" s="252">
        <f t="shared" si="10"/>
        <v>0</v>
      </c>
      <c r="U20" s="252">
        <f t="shared" si="11"/>
        <v>0</v>
      </c>
      <c r="V20" s="2577"/>
      <c r="W20" s="2562"/>
      <c r="X20" s="2657" t="s">
        <v>2096</v>
      </c>
      <c r="Y20" s="2658"/>
      <c r="Z20" s="254" t="s">
        <v>2134</v>
      </c>
      <c r="AA20" s="254" t="s">
        <v>2135</v>
      </c>
      <c r="AB20" s="254" t="s">
        <v>2136</v>
      </c>
      <c r="AC20" s="255" t="s">
        <v>2137</v>
      </c>
      <c r="AD20" s="278" t="s">
        <v>2138</v>
      </c>
    </row>
    <row r="21" spans="1:30" ht="15.5">
      <c r="A21" s="197"/>
      <c r="B21" s="2655" t="s">
        <v>2139</v>
      </c>
      <c r="C21" s="2656"/>
      <c r="D21" s="253" t="s">
        <v>137</v>
      </c>
      <c r="E21" s="253">
        <v>3</v>
      </c>
      <c r="F21" s="254">
        <v>293.87</v>
      </c>
      <c r="G21" s="254">
        <v>0</v>
      </c>
      <c r="H21" s="254">
        <v>0</v>
      </c>
      <c r="I21" s="1811">
        <f t="shared" si="6"/>
        <v>0</v>
      </c>
      <c r="J21" s="1810">
        <f t="shared" si="7"/>
        <v>293.87</v>
      </c>
      <c r="K21" s="197"/>
      <c r="L21" s="257" t="s">
        <v>2140</v>
      </c>
      <c r="M21" s="197"/>
      <c r="N21" s="258"/>
      <c r="O21" s="197"/>
      <c r="P21" s="2578"/>
      <c r="Q21" s="251">
        <f t="shared" si="8"/>
        <v>0</v>
      </c>
      <c r="R21" s="2577"/>
      <c r="S21" s="252">
        <f t="shared" si="9"/>
        <v>0</v>
      </c>
      <c r="T21" s="252">
        <f t="shared" si="10"/>
        <v>0</v>
      </c>
      <c r="U21" s="252">
        <f t="shared" si="11"/>
        <v>0</v>
      </c>
      <c r="V21" s="2577"/>
      <c r="W21" s="2562"/>
      <c r="X21" s="2655" t="s">
        <v>2139</v>
      </c>
      <c r="Y21" s="2656"/>
      <c r="Z21" s="254" t="s">
        <v>2141</v>
      </c>
      <c r="AA21" s="254" t="s">
        <v>2142</v>
      </c>
      <c r="AB21" s="254" t="s">
        <v>2143</v>
      </c>
      <c r="AC21" s="255" t="s">
        <v>2144</v>
      </c>
      <c r="AD21" s="278" t="s">
        <v>2145</v>
      </c>
    </row>
    <row r="22" spans="1:30" ht="16" thickBot="1">
      <c r="A22" s="197"/>
      <c r="B22" s="2697" t="s">
        <v>2146</v>
      </c>
      <c r="C22" s="2698"/>
      <c r="D22" s="319" t="s">
        <v>137</v>
      </c>
      <c r="E22" s="319">
        <v>3</v>
      </c>
      <c r="F22" s="1813">
        <f>IFERROR(SUM(F18:F21),0)</f>
        <v>970.827</v>
      </c>
      <c r="G22" s="1813">
        <f>IFERROR(SUM(G18:G21),0)</f>
        <v>0</v>
      </c>
      <c r="H22" s="1813">
        <f>IFERROR(SUM(H18:H21),0)</f>
        <v>1.71</v>
      </c>
      <c r="I22" s="1813">
        <f t="shared" si="6"/>
        <v>-1.71</v>
      </c>
      <c r="J22" s="1806">
        <f t="shared" si="7"/>
        <v>969.11699999999996</v>
      </c>
      <c r="K22" s="197"/>
      <c r="L22" s="320" t="s">
        <v>2147</v>
      </c>
      <c r="M22" s="197"/>
      <c r="N22" s="269"/>
      <c r="O22" s="197"/>
      <c r="P22" s="2578"/>
      <c r="Q22" s="2562"/>
      <c r="R22" s="2577"/>
      <c r="S22" s="2572"/>
      <c r="T22" s="2572"/>
      <c r="U22" s="2572"/>
      <c r="V22" s="2577"/>
      <c r="W22" s="2562"/>
      <c r="X22" s="2697" t="s">
        <v>2148</v>
      </c>
      <c r="Y22" s="2698"/>
      <c r="Z22" s="265" t="s">
        <v>2149</v>
      </c>
      <c r="AA22" s="265" t="s">
        <v>2150</v>
      </c>
      <c r="AB22" s="265" t="s">
        <v>2151</v>
      </c>
      <c r="AC22" s="265" t="s">
        <v>2152</v>
      </c>
      <c r="AD22" s="280" t="s">
        <v>2153</v>
      </c>
    </row>
    <row r="23" spans="1:30" ht="16.5" thickTop="1" thickBot="1">
      <c r="A23" s="197"/>
      <c r="B23" s="331"/>
      <c r="C23" s="331"/>
      <c r="D23" s="331"/>
      <c r="E23" s="331"/>
      <c r="F23" s="1819"/>
      <c r="G23" s="1819"/>
      <c r="H23" s="1819"/>
      <c r="I23" s="1819"/>
      <c r="J23" s="1820"/>
      <c r="K23" s="197"/>
      <c r="L23" s="330"/>
      <c r="M23" s="197"/>
      <c r="N23" s="197"/>
      <c r="O23" s="197"/>
      <c r="P23" s="2578"/>
      <c r="Q23" s="2562"/>
      <c r="R23" s="332"/>
      <c r="S23" s="2572"/>
      <c r="T23" s="2572"/>
      <c r="U23" s="2572"/>
      <c r="V23" s="332"/>
      <c r="W23" s="2562"/>
      <c r="X23" s="331"/>
      <c r="Y23" s="331"/>
      <c r="Z23" s="328"/>
      <c r="AA23" s="328"/>
      <c r="AB23" s="328"/>
      <c r="AC23" s="328"/>
      <c r="AD23" s="329"/>
    </row>
    <row r="24" spans="1:30" ht="16.5" thickTop="1" thickBot="1">
      <c r="A24" s="197"/>
      <c r="B24" s="2635" t="s">
        <v>2154</v>
      </c>
      <c r="C24" s="2636"/>
      <c r="D24" s="325"/>
      <c r="E24" s="325"/>
      <c r="F24" s="1819"/>
      <c r="G24" s="1819"/>
      <c r="H24" s="1819"/>
      <c r="I24" s="1819"/>
      <c r="J24" s="1820"/>
      <c r="K24" s="197"/>
      <c r="L24" s="178"/>
      <c r="M24" s="197"/>
      <c r="N24" s="197"/>
      <c r="O24" s="197"/>
      <c r="P24" s="2578"/>
      <c r="Q24" s="2562"/>
      <c r="R24" s="332"/>
      <c r="S24" s="2572"/>
      <c r="T24" s="2572"/>
      <c r="U24" s="2572"/>
      <c r="V24" s="332"/>
      <c r="W24" s="2562"/>
      <c r="X24" s="2635" t="s">
        <v>2154</v>
      </c>
      <c r="Y24" s="2636"/>
      <c r="Z24" s="328"/>
      <c r="AA24" s="328"/>
      <c r="AB24" s="328"/>
      <c r="AC24" s="328"/>
      <c r="AD24" s="329"/>
    </row>
    <row r="25" spans="1:30" ht="16" thickTop="1">
      <c r="A25" s="197"/>
      <c r="B25" s="2681" t="s">
        <v>2155</v>
      </c>
      <c r="C25" s="2682"/>
      <c r="D25" s="244" t="s">
        <v>137</v>
      </c>
      <c r="E25" s="244">
        <v>3</v>
      </c>
      <c r="F25" s="245">
        <v>-370.108</v>
      </c>
      <c r="G25" s="245">
        <v>0</v>
      </c>
      <c r="H25" s="245">
        <v>-0.51600000000000001</v>
      </c>
      <c r="I25" s="1807">
        <f t="shared" ref="I25:I31" si="12">IFERROR(G25-H25,0)</f>
        <v>0.51600000000000001</v>
      </c>
      <c r="J25" s="1818">
        <f t="shared" ref="J25:J31" si="13">IFERROR(F25+I25,0)</f>
        <v>-369.59199999999998</v>
      </c>
      <c r="K25" s="197"/>
      <c r="L25" s="248" t="s">
        <v>2156</v>
      </c>
      <c r="M25" s="197"/>
      <c r="N25" s="250"/>
      <c r="O25" s="197"/>
      <c r="P25" s="2578"/>
      <c r="Q25" s="251">
        <f t="shared" ref="Q25:Q30" si="14">IF( SUM( S25:U25 ) = 0, 0, $S$5 )</f>
        <v>0</v>
      </c>
      <c r="R25" s="332"/>
      <c r="S25" s="252">
        <f t="shared" ref="S25:S30" si="15" xml:space="preserve"> IF( ISNUMBER( F25 ), 0, 1 )</f>
        <v>0</v>
      </c>
      <c r="T25" s="252">
        <f t="shared" ref="T25:T30" si="16" xml:space="preserve"> IF( ISNUMBER( G25 ), 0, 1 )</f>
        <v>0</v>
      </c>
      <c r="U25" s="252">
        <f t="shared" ref="U25:U30" si="17" xml:space="preserve"> IF( ISNUMBER( H25 ), 0, 1 )</f>
        <v>0</v>
      </c>
      <c r="V25" s="332"/>
      <c r="W25" s="2562"/>
      <c r="X25" s="2681" t="s">
        <v>2155</v>
      </c>
      <c r="Y25" s="2682"/>
      <c r="Z25" s="245" t="s">
        <v>2157</v>
      </c>
      <c r="AA25" s="245" t="s">
        <v>2158</v>
      </c>
      <c r="AB25" s="245" t="s">
        <v>2159</v>
      </c>
      <c r="AC25" s="246" t="s">
        <v>2160</v>
      </c>
      <c r="AD25" s="315" t="s">
        <v>2161</v>
      </c>
    </row>
    <row r="26" spans="1:30" ht="15.5">
      <c r="A26" s="197"/>
      <c r="B26" s="2641" t="s">
        <v>2162</v>
      </c>
      <c r="C26" s="2642"/>
      <c r="D26" s="290" t="s">
        <v>137</v>
      </c>
      <c r="E26" s="290">
        <v>3</v>
      </c>
      <c r="F26" s="254">
        <v>-133.84800000000001</v>
      </c>
      <c r="G26" s="254">
        <v>0</v>
      </c>
      <c r="H26" s="254">
        <v>0</v>
      </c>
      <c r="I26" s="1811">
        <f t="shared" si="12"/>
        <v>0</v>
      </c>
      <c r="J26" s="1810">
        <f t="shared" si="13"/>
        <v>-133.84800000000001</v>
      </c>
      <c r="K26" s="197"/>
      <c r="L26" s="257" t="s">
        <v>2163</v>
      </c>
      <c r="M26" s="197"/>
      <c r="N26" s="258"/>
      <c r="O26" s="197"/>
      <c r="P26" s="2578"/>
      <c r="Q26" s="251">
        <f t="shared" si="14"/>
        <v>0</v>
      </c>
      <c r="R26" s="2577"/>
      <c r="S26" s="252">
        <f t="shared" si="15"/>
        <v>0</v>
      </c>
      <c r="T26" s="252">
        <f t="shared" si="16"/>
        <v>0</v>
      </c>
      <c r="U26" s="252">
        <f t="shared" si="17"/>
        <v>0</v>
      </c>
      <c r="V26" s="2577"/>
      <c r="W26" s="2562"/>
      <c r="X26" s="2641" t="s">
        <v>2162</v>
      </c>
      <c r="Y26" s="2642"/>
      <c r="Z26" s="254" t="s">
        <v>2164</v>
      </c>
      <c r="AA26" s="254" t="s">
        <v>2165</v>
      </c>
      <c r="AB26" s="254" t="s">
        <v>2166</v>
      </c>
      <c r="AC26" s="255" t="s">
        <v>2167</v>
      </c>
      <c r="AD26" s="278" t="s">
        <v>2168</v>
      </c>
    </row>
    <row r="27" spans="1:30" ht="15.5">
      <c r="A27" s="197"/>
      <c r="B27" s="2657" t="s">
        <v>2169</v>
      </c>
      <c r="C27" s="2658"/>
      <c r="D27" s="259" t="s">
        <v>137</v>
      </c>
      <c r="E27" s="259">
        <v>3</v>
      </c>
      <c r="F27" s="254">
        <v>-564.923</v>
      </c>
      <c r="G27" s="254">
        <v>-3.351</v>
      </c>
      <c r="H27" s="254">
        <v>0</v>
      </c>
      <c r="I27" s="1811">
        <f t="shared" si="12"/>
        <v>-3.351</v>
      </c>
      <c r="J27" s="1810">
        <f t="shared" si="13"/>
        <v>-568.274</v>
      </c>
      <c r="K27" s="197"/>
      <c r="L27" s="257" t="s">
        <v>2170</v>
      </c>
      <c r="M27" s="197"/>
      <c r="N27" s="258"/>
      <c r="O27" s="197"/>
      <c r="P27" s="2578"/>
      <c r="Q27" s="251">
        <f t="shared" si="14"/>
        <v>0</v>
      </c>
      <c r="R27" s="2577"/>
      <c r="S27" s="252">
        <f t="shared" si="15"/>
        <v>0</v>
      </c>
      <c r="T27" s="252">
        <f t="shared" si="16"/>
        <v>0</v>
      </c>
      <c r="U27" s="252">
        <f t="shared" si="17"/>
        <v>0</v>
      </c>
      <c r="V27" s="2577"/>
      <c r="W27" s="2562"/>
      <c r="X27" s="2657" t="s">
        <v>2169</v>
      </c>
      <c r="Y27" s="2658"/>
      <c r="Z27" s="254" t="s">
        <v>2171</v>
      </c>
      <c r="AA27" s="254" t="s">
        <v>2172</v>
      </c>
      <c r="AB27" s="254" t="s">
        <v>2173</v>
      </c>
      <c r="AC27" s="255" t="s">
        <v>2174</v>
      </c>
      <c r="AD27" s="278" t="s">
        <v>2175</v>
      </c>
    </row>
    <row r="28" spans="1:30" ht="15.5">
      <c r="A28" s="197"/>
      <c r="B28" s="2655" t="s">
        <v>2096</v>
      </c>
      <c r="C28" s="2656"/>
      <c r="D28" s="253" t="s">
        <v>137</v>
      </c>
      <c r="E28" s="253">
        <v>3</v>
      </c>
      <c r="F28" s="254">
        <v>-6.6909999999999998</v>
      </c>
      <c r="G28" s="254">
        <v>0</v>
      </c>
      <c r="H28" s="254">
        <v>0</v>
      </c>
      <c r="I28" s="1811">
        <f t="shared" si="12"/>
        <v>0</v>
      </c>
      <c r="J28" s="1810">
        <f t="shared" si="13"/>
        <v>-6.6909999999999998</v>
      </c>
      <c r="K28" s="197"/>
      <c r="L28" s="257" t="s">
        <v>2176</v>
      </c>
      <c r="M28" s="197"/>
      <c r="N28" s="258"/>
      <c r="O28" s="197"/>
      <c r="P28" s="2578"/>
      <c r="Q28" s="251">
        <f t="shared" si="14"/>
        <v>0</v>
      </c>
      <c r="R28" s="2577"/>
      <c r="S28" s="252">
        <f t="shared" si="15"/>
        <v>0</v>
      </c>
      <c r="T28" s="252">
        <f t="shared" si="16"/>
        <v>0</v>
      </c>
      <c r="U28" s="252">
        <f t="shared" si="17"/>
        <v>0</v>
      </c>
      <c r="V28" s="2577"/>
      <c r="W28" s="2562"/>
      <c r="X28" s="2655" t="s">
        <v>2096</v>
      </c>
      <c r="Y28" s="2656"/>
      <c r="Z28" s="254" t="s">
        <v>2177</v>
      </c>
      <c r="AA28" s="254" t="s">
        <v>2178</v>
      </c>
      <c r="AB28" s="254" t="s">
        <v>2179</v>
      </c>
      <c r="AC28" s="255" t="s">
        <v>2180</v>
      </c>
      <c r="AD28" s="278" t="s">
        <v>2181</v>
      </c>
    </row>
    <row r="29" spans="1:30" ht="15.5">
      <c r="A29" s="197"/>
      <c r="B29" s="2699" t="s">
        <v>2182</v>
      </c>
      <c r="C29" s="2700"/>
      <c r="D29" s="253" t="s">
        <v>137</v>
      </c>
      <c r="E29" s="253">
        <v>3</v>
      </c>
      <c r="F29" s="254">
        <v>0</v>
      </c>
      <c r="G29" s="254">
        <v>0</v>
      </c>
      <c r="H29" s="254">
        <v>0</v>
      </c>
      <c r="I29" s="1811">
        <f t="shared" si="12"/>
        <v>0</v>
      </c>
      <c r="J29" s="1810">
        <f t="shared" si="13"/>
        <v>0</v>
      </c>
      <c r="K29" s="197"/>
      <c r="L29" s="257" t="s">
        <v>2183</v>
      </c>
      <c r="M29" s="197"/>
      <c r="N29" s="258"/>
      <c r="O29" s="197"/>
      <c r="P29" s="2578"/>
      <c r="Q29" s="251">
        <f t="shared" si="14"/>
        <v>0</v>
      </c>
      <c r="R29" s="2577"/>
      <c r="S29" s="252">
        <f t="shared" si="15"/>
        <v>0</v>
      </c>
      <c r="T29" s="252">
        <f t="shared" si="16"/>
        <v>0</v>
      </c>
      <c r="U29" s="252">
        <f t="shared" si="17"/>
        <v>0</v>
      </c>
      <c r="V29" s="2577"/>
      <c r="W29" s="2562"/>
      <c r="X29" s="2699" t="s">
        <v>2182</v>
      </c>
      <c r="Y29" s="2700"/>
      <c r="Z29" s="254" t="s">
        <v>2184</v>
      </c>
      <c r="AA29" s="254" t="s">
        <v>2185</v>
      </c>
      <c r="AB29" s="254" t="s">
        <v>2186</v>
      </c>
      <c r="AC29" s="255" t="s">
        <v>2187</v>
      </c>
      <c r="AD29" s="278" t="s">
        <v>2188</v>
      </c>
    </row>
    <row r="30" spans="1:30" ht="15.5">
      <c r="A30" s="197"/>
      <c r="B30" s="2699" t="s">
        <v>2189</v>
      </c>
      <c r="C30" s="2700"/>
      <c r="D30" s="253" t="s">
        <v>137</v>
      </c>
      <c r="E30" s="253">
        <v>3</v>
      </c>
      <c r="F30" s="254">
        <v>-13.036</v>
      </c>
      <c r="G30" s="254">
        <v>0</v>
      </c>
      <c r="H30" s="254">
        <v>0</v>
      </c>
      <c r="I30" s="1811">
        <f t="shared" si="12"/>
        <v>0</v>
      </c>
      <c r="J30" s="1810">
        <f t="shared" si="13"/>
        <v>-13.036</v>
      </c>
      <c r="K30" s="197"/>
      <c r="L30" s="257" t="s">
        <v>2190</v>
      </c>
      <c r="M30" s="197"/>
      <c r="N30" s="258"/>
      <c r="O30" s="197"/>
      <c r="P30" s="2578"/>
      <c r="Q30" s="251">
        <f t="shared" si="14"/>
        <v>0</v>
      </c>
      <c r="R30" s="332"/>
      <c r="S30" s="252">
        <f t="shared" si="15"/>
        <v>0</v>
      </c>
      <c r="T30" s="252">
        <f t="shared" si="16"/>
        <v>0</v>
      </c>
      <c r="U30" s="252">
        <f t="shared" si="17"/>
        <v>0</v>
      </c>
      <c r="V30" s="332"/>
      <c r="W30" s="2562"/>
      <c r="X30" s="2699" t="s">
        <v>2189</v>
      </c>
      <c r="Y30" s="2700"/>
      <c r="Z30" s="254" t="s">
        <v>2191</v>
      </c>
      <c r="AA30" s="254" t="s">
        <v>2192</v>
      </c>
      <c r="AB30" s="254" t="s">
        <v>2193</v>
      </c>
      <c r="AC30" s="255" t="s">
        <v>2194</v>
      </c>
      <c r="AD30" s="278" t="s">
        <v>2195</v>
      </c>
    </row>
    <row r="31" spans="1:30" ht="16" thickBot="1">
      <c r="A31" s="197"/>
      <c r="B31" s="2637" t="s">
        <v>2196</v>
      </c>
      <c r="C31" s="2638"/>
      <c r="D31" s="297" t="s">
        <v>137</v>
      </c>
      <c r="E31" s="297">
        <v>3</v>
      </c>
      <c r="F31" s="1813">
        <f>IFERROR(SUM(F25:F30),0)</f>
        <v>-1088.606</v>
      </c>
      <c r="G31" s="1813">
        <f>IFERROR(SUM(G25:G30),0)</f>
        <v>-3.351</v>
      </c>
      <c r="H31" s="1813">
        <f>IFERROR(SUM(H25:H30),0)</f>
        <v>-0.51600000000000001</v>
      </c>
      <c r="I31" s="1813">
        <f t="shared" si="12"/>
        <v>-2.835</v>
      </c>
      <c r="J31" s="1806">
        <f t="shared" si="13"/>
        <v>-1091.441</v>
      </c>
      <c r="K31" s="197"/>
      <c r="L31" s="320" t="s">
        <v>2197</v>
      </c>
      <c r="M31" s="197"/>
      <c r="N31" s="269"/>
      <c r="O31" s="197"/>
      <c r="P31" s="2578"/>
      <c r="Q31" s="2562"/>
      <c r="R31" s="332"/>
      <c r="S31" s="2572"/>
      <c r="T31" s="2572"/>
      <c r="U31" s="2572"/>
      <c r="V31" s="332"/>
      <c r="W31" s="2562"/>
      <c r="X31" s="2637" t="s">
        <v>2112</v>
      </c>
      <c r="Y31" s="2638"/>
      <c r="Z31" s="265" t="s">
        <v>2198</v>
      </c>
      <c r="AA31" s="265" t="s">
        <v>2199</v>
      </c>
      <c r="AB31" s="265" t="s">
        <v>2200</v>
      </c>
      <c r="AC31" s="265" t="s">
        <v>2201</v>
      </c>
      <c r="AD31" s="280" t="s">
        <v>2202</v>
      </c>
    </row>
    <row r="32" spans="1:30" ht="16.5" thickTop="1" thickBot="1">
      <c r="A32" s="197"/>
      <c r="B32" s="331"/>
      <c r="C32" s="331"/>
      <c r="D32" s="331"/>
      <c r="E32" s="331"/>
      <c r="F32" s="1819"/>
      <c r="G32" s="1819"/>
      <c r="H32" s="1819"/>
      <c r="I32" s="1819"/>
      <c r="J32" s="1820"/>
      <c r="K32" s="197"/>
      <c r="L32" s="330"/>
      <c r="M32" s="197"/>
      <c r="N32" s="197"/>
      <c r="O32" s="197"/>
      <c r="P32" s="2578"/>
      <c r="Q32" s="2562"/>
      <c r="R32" s="2577"/>
      <c r="S32" s="2572"/>
      <c r="T32" s="2572"/>
      <c r="U32" s="2572"/>
      <c r="V32" s="2577"/>
      <c r="W32" s="2562"/>
      <c r="X32" s="331"/>
      <c r="Y32" s="331"/>
      <c r="Z32" s="328"/>
      <c r="AA32" s="328"/>
      <c r="AB32" s="328"/>
      <c r="AC32" s="328"/>
      <c r="AD32" s="329"/>
    </row>
    <row r="33" spans="1:30" ht="16.5" thickTop="1" thickBot="1">
      <c r="A33" s="197"/>
      <c r="B33" s="2693" t="s">
        <v>2203</v>
      </c>
      <c r="C33" s="2694"/>
      <c r="D33" s="333" t="s">
        <v>137</v>
      </c>
      <c r="E33" s="333">
        <v>3</v>
      </c>
      <c r="F33" s="334">
        <f xml:space="preserve"> IFERROR(F22 + F31,0)</f>
        <v>-117.779</v>
      </c>
      <c r="G33" s="334">
        <f xml:space="preserve"> IFERROR(G22 + G31,0)</f>
        <v>-3.351</v>
      </c>
      <c r="H33" s="334">
        <f xml:space="preserve"> IFERROR(H22 + H31,0)</f>
        <v>1.194</v>
      </c>
      <c r="I33" s="334">
        <f>IFERROR(G33-H33,0)</f>
        <v>-4.5449999999999999</v>
      </c>
      <c r="J33" s="335">
        <f>IFERROR(F33+I33,0)</f>
        <v>-122.324</v>
      </c>
      <c r="K33" s="197"/>
      <c r="L33" s="336" t="s">
        <v>2204</v>
      </c>
      <c r="M33" s="197"/>
      <c r="N33" s="337"/>
      <c r="O33" s="197"/>
      <c r="P33" s="2578"/>
      <c r="Q33" s="2562"/>
      <c r="R33" s="2577"/>
      <c r="S33" s="2572"/>
      <c r="T33" s="2572"/>
      <c r="U33" s="2572"/>
      <c r="V33" s="2577"/>
      <c r="W33" s="2562"/>
      <c r="X33" s="2693" t="s">
        <v>2203</v>
      </c>
      <c r="Y33" s="2694"/>
      <c r="Z33" s="334" t="s">
        <v>2205</v>
      </c>
      <c r="AA33" s="334" t="s">
        <v>2206</v>
      </c>
      <c r="AB33" s="334" t="s">
        <v>2207</v>
      </c>
      <c r="AC33" s="334" t="s">
        <v>2208</v>
      </c>
      <c r="AD33" s="335" t="s">
        <v>2209</v>
      </c>
    </row>
    <row r="34" spans="1:30" ht="16.5" thickTop="1" thickBot="1">
      <c r="A34" s="197"/>
      <c r="B34" s="338"/>
      <c r="C34" s="233"/>
      <c r="D34" s="233"/>
      <c r="E34" s="233"/>
      <c r="F34" s="1819"/>
      <c r="G34" s="1819"/>
      <c r="H34" s="1819"/>
      <c r="I34" s="1819"/>
      <c r="J34" s="1820"/>
      <c r="K34" s="197"/>
      <c r="L34" s="330"/>
      <c r="M34" s="197"/>
      <c r="N34" s="197"/>
      <c r="O34" s="197"/>
      <c r="P34" s="2578"/>
      <c r="Q34" s="2562"/>
      <c r="R34" s="2577"/>
      <c r="S34" s="2572"/>
      <c r="T34" s="2572"/>
      <c r="U34" s="2572"/>
      <c r="V34" s="2577"/>
      <c r="W34" s="2562"/>
      <c r="X34" s="338"/>
      <c r="Y34" s="233"/>
      <c r="Z34" s="328"/>
      <c r="AA34" s="328"/>
      <c r="AB34" s="328"/>
      <c r="AC34" s="328"/>
      <c r="AD34" s="329"/>
    </row>
    <row r="35" spans="1:30" ht="16.5" thickTop="1" thickBot="1">
      <c r="A35" s="197"/>
      <c r="B35" s="2635" t="s">
        <v>2210</v>
      </c>
      <c r="C35" s="2636"/>
      <c r="D35" s="325"/>
      <c r="E35" s="325"/>
      <c r="F35" s="1819"/>
      <c r="G35" s="1819"/>
      <c r="H35" s="1819"/>
      <c r="I35" s="1819"/>
      <c r="J35" s="1820"/>
      <c r="K35" s="197"/>
      <c r="L35" s="178"/>
      <c r="M35" s="197"/>
      <c r="N35" s="197"/>
      <c r="O35" s="197"/>
      <c r="P35" s="2578"/>
      <c r="Q35" s="2562"/>
      <c r="R35" s="2577"/>
      <c r="S35" s="2572"/>
      <c r="T35" s="2572"/>
      <c r="U35" s="2572"/>
      <c r="V35" s="2577"/>
      <c r="W35" s="2562"/>
      <c r="X35" s="2635" t="s">
        <v>2210</v>
      </c>
      <c r="Y35" s="2636"/>
      <c r="Z35" s="328"/>
      <c r="AA35" s="328"/>
      <c r="AB35" s="328"/>
      <c r="AC35" s="328"/>
      <c r="AD35" s="329"/>
    </row>
    <row r="36" spans="1:30" ht="16" thickTop="1">
      <c r="A36" s="197"/>
      <c r="B36" s="2681" t="s">
        <v>2155</v>
      </c>
      <c r="C36" s="2682"/>
      <c r="D36" s="244" t="s">
        <v>137</v>
      </c>
      <c r="E36" s="244">
        <v>3</v>
      </c>
      <c r="F36" s="245">
        <v>-2.0859999999999999</v>
      </c>
      <c r="G36" s="245">
        <v>0</v>
      </c>
      <c r="H36" s="245">
        <v>0</v>
      </c>
      <c r="I36" s="1807">
        <f t="shared" ref="I36:I45" si="18">IFERROR(G36-H36,0)</f>
        <v>0</v>
      </c>
      <c r="J36" s="1818">
        <f t="shared" ref="J36:J45" si="19">IFERROR(F36+I36,0)</f>
        <v>-2.0859999999999999</v>
      </c>
      <c r="K36" s="197"/>
      <c r="L36" s="248" t="s">
        <v>2211</v>
      </c>
      <c r="M36" s="197"/>
      <c r="N36" s="250"/>
      <c r="O36" s="197"/>
      <c r="P36" s="2578"/>
      <c r="Q36" s="251">
        <f t="shared" ref="Q36:Q44" si="20">IF( SUM( S36:U36 ) = 0, 0, $S$5 )</f>
        <v>0</v>
      </c>
      <c r="R36" s="2577"/>
      <c r="S36" s="252">
        <f t="shared" ref="S36:S44" si="21" xml:space="preserve"> IF( ISNUMBER( F36 ), 0, 1 )</f>
        <v>0</v>
      </c>
      <c r="T36" s="252">
        <f t="shared" ref="T36:T44" si="22" xml:space="preserve"> IF( ISNUMBER( G36 ), 0, 1 )</f>
        <v>0</v>
      </c>
      <c r="U36" s="252">
        <f t="shared" ref="U36:U44" si="23" xml:space="preserve"> IF( ISNUMBER( H36 ), 0, 1 )</f>
        <v>0</v>
      </c>
      <c r="V36" s="2577"/>
      <c r="W36" s="2562"/>
      <c r="X36" s="2681" t="s">
        <v>2155</v>
      </c>
      <c r="Y36" s="2682"/>
      <c r="Z36" s="245" t="s">
        <v>2212</v>
      </c>
      <c r="AA36" s="245" t="s">
        <v>2213</v>
      </c>
      <c r="AB36" s="245" t="s">
        <v>2214</v>
      </c>
      <c r="AC36" s="246" t="s">
        <v>2215</v>
      </c>
      <c r="AD36" s="315" t="s">
        <v>2216</v>
      </c>
    </row>
    <row r="37" spans="1:30" ht="15.5">
      <c r="A37" s="197"/>
      <c r="B37" s="2641" t="s">
        <v>2169</v>
      </c>
      <c r="C37" s="2642"/>
      <c r="D37" s="290" t="s">
        <v>137</v>
      </c>
      <c r="E37" s="290">
        <v>3</v>
      </c>
      <c r="F37" s="254">
        <v>-5504.768</v>
      </c>
      <c r="G37" s="254">
        <v>-11.334</v>
      </c>
      <c r="H37" s="254">
        <v>0</v>
      </c>
      <c r="I37" s="1811">
        <f t="shared" si="18"/>
        <v>-11.334</v>
      </c>
      <c r="J37" s="1810">
        <f t="shared" si="19"/>
        <v>-5516.1019999999999</v>
      </c>
      <c r="K37" s="197"/>
      <c r="L37" s="257" t="s">
        <v>2217</v>
      </c>
      <c r="M37" s="197"/>
      <c r="N37" s="258"/>
      <c r="O37" s="197"/>
      <c r="P37" s="2578"/>
      <c r="Q37" s="251">
        <f t="shared" si="20"/>
        <v>0</v>
      </c>
      <c r="R37" s="339"/>
      <c r="S37" s="252">
        <f t="shared" si="21"/>
        <v>0</v>
      </c>
      <c r="T37" s="252">
        <f t="shared" si="22"/>
        <v>0</v>
      </c>
      <c r="U37" s="252">
        <f t="shared" si="23"/>
        <v>0</v>
      </c>
      <c r="V37" s="339"/>
      <c r="W37" s="2562"/>
      <c r="X37" s="2641" t="s">
        <v>2169</v>
      </c>
      <c r="Y37" s="2642"/>
      <c r="Z37" s="254" t="s">
        <v>2218</v>
      </c>
      <c r="AA37" s="254" t="s">
        <v>2219</v>
      </c>
      <c r="AB37" s="254" t="s">
        <v>2220</v>
      </c>
      <c r="AC37" s="255" t="s">
        <v>2221</v>
      </c>
      <c r="AD37" s="278" t="s">
        <v>2222</v>
      </c>
    </row>
    <row r="38" spans="1:30" ht="15.5">
      <c r="A38" s="197"/>
      <c r="B38" s="2657" t="s">
        <v>2096</v>
      </c>
      <c r="C38" s="2658"/>
      <c r="D38" s="259" t="s">
        <v>137</v>
      </c>
      <c r="E38" s="259">
        <v>3</v>
      </c>
      <c r="F38" s="254">
        <v>-1929.9159999999999</v>
      </c>
      <c r="G38" s="254">
        <v>0</v>
      </c>
      <c r="H38" s="254">
        <v>0</v>
      </c>
      <c r="I38" s="1811">
        <f t="shared" si="18"/>
        <v>0</v>
      </c>
      <c r="J38" s="1810">
        <f t="shared" si="19"/>
        <v>-1929.9159999999999</v>
      </c>
      <c r="K38" s="197"/>
      <c r="L38" s="257" t="s">
        <v>2223</v>
      </c>
      <c r="M38" s="197"/>
      <c r="N38" s="258"/>
      <c r="O38" s="197"/>
      <c r="P38" s="2578"/>
      <c r="Q38" s="251">
        <f t="shared" si="20"/>
        <v>0</v>
      </c>
      <c r="R38" s="2577"/>
      <c r="S38" s="252">
        <f t="shared" si="21"/>
        <v>0</v>
      </c>
      <c r="T38" s="252">
        <f t="shared" si="22"/>
        <v>0</v>
      </c>
      <c r="U38" s="252">
        <f t="shared" si="23"/>
        <v>0</v>
      </c>
      <c r="V38" s="2577"/>
      <c r="W38" s="2562"/>
      <c r="X38" s="2657" t="s">
        <v>2096</v>
      </c>
      <c r="Y38" s="2658"/>
      <c r="Z38" s="254" t="s">
        <v>2224</v>
      </c>
      <c r="AA38" s="254" t="s">
        <v>2225</v>
      </c>
      <c r="AB38" s="254" t="s">
        <v>2226</v>
      </c>
      <c r="AC38" s="255" t="s">
        <v>2227</v>
      </c>
      <c r="AD38" s="278" t="s">
        <v>2228</v>
      </c>
    </row>
    <row r="39" spans="1:30" ht="15.5">
      <c r="A39" s="197"/>
      <c r="B39" s="2655" t="s">
        <v>2229</v>
      </c>
      <c r="C39" s="2656"/>
      <c r="D39" s="253" t="s">
        <v>137</v>
      </c>
      <c r="E39" s="253">
        <v>3</v>
      </c>
      <c r="F39" s="254">
        <v>0</v>
      </c>
      <c r="G39" s="254">
        <v>0</v>
      </c>
      <c r="H39" s="254">
        <v>0</v>
      </c>
      <c r="I39" s="1811">
        <f t="shared" si="18"/>
        <v>0</v>
      </c>
      <c r="J39" s="1810">
        <f t="shared" si="19"/>
        <v>0</v>
      </c>
      <c r="K39" s="197"/>
      <c r="L39" s="257" t="s">
        <v>2230</v>
      </c>
      <c r="M39" s="197"/>
      <c r="N39" s="258"/>
      <c r="O39" s="197"/>
      <c r="P39" s="2578"/>
      <c r="Q39" s="251">
        <f t="shared" si="20"/>
        <v>0</v>
      </c>
      <c r="R39" s="2577"/>
      <c r="S39" s="252">
        <f t="shared" si="21"/>
        <v>0</v>
      </c>
      <c r="T39" s="252">
        <f t="shared" si="22"/>
        <v>0</v>
      </c>
      <c r="U39" s="252">
        <f t="shared" si="23"/>
        <v>0</v>
      </c>
      <c r="V39" s="2577"/>
      <c r="W39" s="2562"/>
      <c r="X39" s="2655" t="s">
        <v>2229</v>
      </c>
      <c r="Y39" s="2656"/>
      <c r="Z39" s="254" t="s">
        <v>2231</v>
      </c>
      <c r="AA39" s="254" t="s">
        <v>2232</v>
      </c>
      <c r="AB39" s="254" t="s">
        <v>2233</v>
      </c>
      <c r="AC39" s="255" t="s">
        <v>2234</v>
      </c>
      <c r="AD39" s="278" t="s">
        <v>2235</v>
      </c>
    </row>
    <row r="40" spans="1:30" ht="15.5">
      <c r="A40" s="197"/>
      <c r="B40" s="2699" t="s">
        <v>2189</v>
      </c>
      <c r="C40" s="2700"/>
      <c r="D40" s="253" t="s">
        <v>137</v>
      </c>
      <c r="E40" s="253">
        <v>3</v>
      </c>
      <c r="F40" s="254">
        <v>-13.909000000000001</v>
      </c>
      <c r="G40" s="254">
        <v>5.899</v>
      </c>
      <c r="H40" s="254">
        <v>0</v>
      </c>
      <c r="I40" s="1811">
        <f t="shared" si="18"/>
        <v>5.899</v>
      </c>
      <c r="J40" s="1810">
        <f t="shared" si="19"/>
        <v>-8.0100000000000016</v>
      </c>
      <c r="K40" s="197"/>
      <c r="L40" s="257" t="s">
        <v>2236</v>
      </c>
      <c r="M40" s="197"/>
      <c r="N40" s="258"/>
      <c r="O40" s="197"/>
      <c r="P40" s="2578"/>
      <c r="Q40" s="251">
        <f t="shared" si="20"/>
        <v>0</v>
      </c>
      <c r="R40" s="2577"/>
      <c r="S40" s="252">
        <f t="shared" si="21"/>
        <v>0</v>
      </c>
      <c r="T40" s="252">
        <f t="shared" si="22"/>
        <v>0</v>
      </c>
      <c r="U40" s="252">
        <f t="shared" si="23"/>
        <v>0</v>
      </c>
      <c r="V40" s="2577"/>
      <c r="W40" s="2562"/>
      <c r="X40" s="2699" t="s">
        <v>2189</v>
      </c>
      <c r="Y40" s="2700"/>
      <c r="Z40" s="254" t="s">
        <v>2237</v>
      </c>
      <c r="AA40" s="254" t="s">
        <v>2238</v>
      </c>
      <c r="AB40" s="254" t="s">
        <v>2239</v>
      </c>
      <c r="AC40" s="255" t="s">
        <v>2240</v>
      </c>
      <c r="AD40" s="278" t="s">
        <v>2241</v>
      </c>
    </row>
    <row r="41" spans="1:30" ht="46.5">
      <c r="A41" s="197"/>
      <c r="B41" s="2699" t="s">
        <v>2242</v>
      </c>
      <c r="C41" s="2700"/>
      <c r="D41" s="253" t="s">
        <v>137</v>
      </c>
      <c r="E41" s="253">
        <v>3</v>
      </c>
      <c r="F41" s="254">
        <v>-367.46800000000002</v>
      </c>
      <c r="G41" s="254">
        <v>0</v>
      </c>
      <c r="H41" s="254">
        <v>-1.4750000000000001</v>
      </c>
      <c r="I41" s="1811">
        <f t="shared" si="18"/>
        <v>1.4750000000000001</v>
      </c>
      <c r="J41" s="1810">
        <f t="shared" si="19"/>
        <v>-365.99299999999999</v>
      </c>
      <c r="K41" s="197"/>
      <c r="L41" s="257" t="s">
        <v>2243</v>
      </c>
      <c r="M41" s="197"/>
      <c r="N41" s="258" t="s">
        <v>2244</v>
      </c>
      <c r="O41" s="197"/>
      <c r="P41" s="2578"/>
      <c r="Q41" s="251">
        <f t="shared" si="20"/>
        <v>0</v>
      </c>
      <c r="R41" s="2577"/>
      <c r="S41" s="252">
        <f t="shared" si="21"/>
        <v>0</v>
      </c>
      <c r="T41" s="252">
        <f t="shared" si="22"/>
        <v>0</v>
      </c>
      <c r="U41" s="252">
        <f t="shared" si="23"/>
        <v>0</v>
      </c>
      <c r="V41" s="2577"/>
      <c r="W41" s="2562"/>
      <c r="X41" s="2699" t="s">
        <v>2245</v>
      </c>
      <c r="Y41" s="2700"/>
      <c r="Z41" s="254" t="s">
        <v>2246</v>
      </c>
      <c r="AA41" s="254" t="s">
        <v>2247</v>
      </c>
      <c r="AB41" s="254" t="s">
        <v>2248</v>
      </c>
      <c r="AC41" s="255" t="s">
        <v>2249</v>
      </c>
      <c r="AD41" s="278" t="s">
        <v>2250</v>
      </c>
    </row>
    <row r="42" spans="1:30" ht="15.5">
      <c r="A42" s="197"/>
      <c r="B42" s="2641" t="s">
        <v>2251</v>
      </c>
      <c r="C42" s="2642"/>
      <c r="D42" s="290" t="s">
        <v>137</v>
      </c>
      <c r="E42" s="290">
        <v>3</v>
      </c>
      <c r="F42" s="254">
        <v>-223.65600000000001</v>
      </c>
      <c r="G42" s="254">
        <v>69.501000000000005</v>
      </c>
      <c r="H42" s="254">
        <v>0</v>
      </c>
      <c r="I42" s="1811">
        <f t="shared" si="18"/>
        <v>69.501000000000005</v>
      </c>
      <c r="J42" s="1810">
        <f t="shared" si="19"/>
        <v>-154.155</v>
      </c>
      <c r="K42" s="197"/>
      <c r="L42" s="257" t="s">
        <v>2252</v>
      </c>
      <c r="M42" s="197"/>
      <c r="N42" s="258"/>
      <c r="O42" s="197"/>
      <c r="P42" s="2578"/>
      <c r="Q42" s="251">
        <f t="shared" si="20"/>
        <v>0</v>
      </c>
      <c r="R42" s="2577"/>
      <c r="S42" s="252">
        <f t="shared" si="21"/>
        <v>0</v>
      </c>
      <c r="T42" s="252">
        <f t="shared" si="22"/>
        <v>0</v>
      </c>
      <c r="U42" s="252">
        <f t="shared" si="23"/>
        <v>0</v>
      </c>
      <c r="V42" s="2577"/>
      <c r="W42" s="2562"/>
      <c r="X42" s="2641" t="s">
        <v>2251</v>
      </c>
      <c r="Y42" s="2642"/>
      <c r="Z42" s="254" t="s">
        <v>2253</v>
      </c>
      <c r="AA42" s="254" t="s">
        <v>2254</v>
      </c>
      <c r="AB42" s="254" t="s">
        <v>2255</v>
      </c>
      <c r="AC42" s="255" t="s">
        <v>2256</v>
      </c>
      <c r="AD42" s="278" t="s">
        <v>2257</v>
      </c>
    </row>
    <row r="43" spans="1:30" ht="15.5">
      <c r="A43" s="197"/>
      <c r="B43" s="2657" t="s">
        <v>2258</v>
      </c>
      <c r="C43" s="2658"/>
      <c r="D43" s="259" t="s">
        <v>137</v>
      </c>
      <c r="E43" s="259">
        <v>3</v>
      </c>
      <c r="F43" s="254">
        <v>0</v>
      </c>
      <c r="G43" s="254">
        <v>0</v>
      </c>
      <c r="H43" s="254">
        <v>0</v>
      </c>
      <c r="I43" s="1811">
        <f t="shared" si="18"/>
        <v>0</v>
      </c>
      <c r="J43" s="1810">
        <f t="shared" si="19"/>
        <v>0</v>
      </c>
      <c r="K43" s="197"/>
      <c r="L43" s="257" t="s">
        <v>2259</v>
      </c>
      <c r="M43" s="197"/>
      <c r="N43" s="258"/>
      <c r="O43" s="197"/>
      <c r="P43" s="2578"/>
      <c r="Q43" s="251">
        <f t="shared" si="20"/>
        <v>0</v>
      </c>
      <c r="R43" s="2577"/>
      <c r="S43" s="252">
        <f t="shared" si="21"/>
        <v>0</v>
      </c>
      <c r="T43" s="252">
        <f t="shared" si="22"/>
        <v>0</v>
      </c>
      <c r="U43" s="252">
        <f t="shared" si="23"/>
        <v>0</v>
      </c>
      <c r="V43" s="2577"/>
      <c r="W43" s="2562"/>
      <c r="X43" s="2657" t="s">
        <v>2258</v>
      </c>
      <c r="Y43" s="2658"/>
      <c r="Z43" s="254" t="s">
        <v>2260</v>
      </c>
      <c r="AA43" s="254" t="s">
        <v>2261</v>
      </c>
      <c r="AB43" s="254" t="s">
        <v>2262</v>
      </c>
      <c r="AC43" s="255" t="s">
        <v>2263</v>
      </c>
      <c r="AD43" s="278" t="s">
        <v>2264</v>
      </c>
    </row>
    <row r="44" spans="1:30" ht="15.5">
      <c r="A44" s="197"/>
      <c r="B44" s="2655" t="s">
        <v>1986</v>
      </c>
      <c r="C44" s="2656"/>
      <c r="D44" s="253" t="s">
        <v>137</v>
      </c>
      <c r="E44" s="253">
        <v>3</v>
      </c>
      <c r="F44" s="254">
        <v>-713.03599999999994</v>
      </c>
      <c r="G44" s="254">
        <v>49.183999999999997</v>
      </c>
      <c r="H44" s="254">
        <v>0</v>
      </c>
      <c r="I44" s="1811">
        <f t="shared" si="18"/>
        <v>49.183999999999997</v>
      </c>
      <c r="J44" s="1810">
        <f t="shared" si="19"/>
        <v>-663.85199999999998</v>
      </c>
      <c r="K44" s="197"/>
      <c r="L44" s="257" t="s">
        <v>2265</v>
      </c>
      <c r="M44" s="197"/>
      <c r="N44" s="258"/>
      <c r="O44" s="197"/>
      <c r="P44" s="2578"/>
      <c r="Q44" s="251">
        <f t="shared" si="20"/>
        <v>0</v>
      </c>
      <c r="R44" s="2577"/>
      <c r="S44" s="252">
        <f t="shared" si="21"/>
        <v>0</v>
      </c>
      <c r="T44" s="252">
        <f t="shared" si="22"/>
        <v>0</v>
      </c>
      <c r="U44" s="252">
        <f t="shared" si="23"/>
        <v>0</v>
      </c>
      <c r="V44" s="2577"/>
      <c r="W44" s="2562"/>
      <c r="X44" s="2655" t="s">
        <v>1986</v>
      </c>
      <c r="Y44" s="2656"/>
      <c r="Z44" s="254" t="s">
        <v>2266</v>
      </c>
      <c r="AA44" s="254" t="s">
        <v>2267</v>
      </c>
      <c r="AB44" s="254" t="s">
        <v>2268</v>
      </c>
      <c r="AC44" s="255" t="s">
        <v>2269</v>
      </c>
      <c r="AD44" s="278" t="s">
        <v>2270</v>
      </c>
    </row>
    <row r="45" spans="1:30" ht="16" thickBot="1">
      <c r="A45" s="197"/>
      <c r="B45" s="2697" t="s">
        <v>2271</v>
      </c>
      <c r="C45" s="2698"/>
      <c r="D45" s="319" t="s">
        <v>137</v>
      </c>
      <c r="E45" s="319">
        <v>3</v>
      </c>
      <c r="F45" s="1813">
        <f>IFERROR(SUM(F36:F44),0)</f>
        <v>-8754.8389999999999</v>
      </c>
      <c r="G45" s="1813">
        <f>IFERROR(SUM(G36:G44),0)</f>
        <v>113.25</v>
      </c>
      <c r="H45" s="1813">
        <f>IFERROR(SUM(H36:H44),0)</f>
        <v>-1.4750000000000001</v>
      </c>
      <c r="I45" s="1813">
        <f t="shared" si="18"/>
        <v>114.72499999999999</v>
      </c>
      <c r="J45" s="1806">
        <f t="shared" si="19"/>
        <v>-8640.1139999999996</v>
      </c>
      <c r="K45" s="197"/>
      <c r="L45" s="320" t="s">
        <v>2272</v>
      </c>
      <c r="M45" s="197"/>
      <c r="N45" s="269"/>
      <c r="O45" s="197"/>
      <c r="P45" s="2578"/>
      <c r="Q45" s="2562"/>
      <c r="R45" s="2577"/>
      <c r="S45" s="2572"/>
      <c r="T45" s="2572"/>
      <c r="U45" s="2572"/>
      <c r="V45" s="2577"/>
      <c r="W45" s="2562"/>
      <c r="X45" s="2697" t="s">
        <v>2112</v>
      </c>
      <c r="Y45" s="2698"/>
      <c r="Z45" s="265" t="s">
        <v>2273</v>
      </c>
      <c r="AA45" s="265" t="s">
        <v>2274</v>
      </c>
      <c r="AB45" s="265" t="s">
        <v>2275</v>
      </c>
      <c r="AC45" s="265" t="s">
        <v>2276</v>
      </c>
      <c r="AD45" s="280" t="s">
        <v>2277</v>
      </c>
    </row>
    <row r="46" spans="1:30" ht="16.5" thickTop="1" thickBot="1">
      <c r="A46" s="197"/>
      <c r="B46" s="338"/>
      <c r="C46" s="340"/>
      <c r="D46" s="340"/>
      <c r="E46" s="340"/>
      <c r="F46" s="1820"/>
      <c r="G46" s="1820"/>
      <c r="H46" s="1820"/>
      <c r="I46" s="1820"/>
      <c r="J46" s="1820"/>
      <c r="K46" s="106"/>
      <c r="L46" s="341"/>
      <c r="M46" s="197"/>
      <c r="N46" s="197"/>
      <c r="O46" s="197"/>
      <c r="P46" s="2578"/>
      <c r="Q46" s="2562"/>
      <c r="R46" s="2577"/>
      <c r="S46" s="2572"/>
      <c r="T46" s="2572"/>
      <c r="U46" s="2572"/>
      <c r="V46" s="2577"/>
      <c r="W46" s="2562"/>
      <c r="X46" s="338"/>
      <c r="Y46" s="340"/>
      <c r="Z46" s="329"/>
      <c r="AA46" s="329"/>
      <c r="AB46" s="329"/>
      <c r="AC46" s="329"/>
      <c r="AD46" s="329"/>
    </row>
    <row r="47" spans="1:30" ht="16.5" thickTop="1" thickBot="1">
      <c r="A47" s="197"/>
      <c r="B47" s="2693" t="s">
        <v>2278</v>
      </c>
      <c r="C47" s="2694"/>
      <c r="D47" s="333" t="s">
        <v>137</v>
      </c>
      <c r="E47" s="333">
        <v>3</v>
      </c>
      <c r="F47" s="334">
        <f>IFERROR(F15 + F33 + F45,0)</f>
        <v>1214.5959999999995</v>
      </c>
      <c r="G47" s="334">
        <f>IFERROR(G15 + G33 + G45,0)</f>
        <v>-78.049000000000007</v>
      </c>
      <c r="H47" s="334">
        <f>IFERROR(H15 + H33 + H45,0)</f>
        <v>2.282</v>
      </c>
      <c r="I47" s="334">
        <f t="shared" ref="I47" si="24">IFERROR(G47-H47,0)</f>
        <v>-80.331000000000003</v>
      </c>
      <c r="J47" s="335">
        <f t="shared" ref="J47" si="25">IFERROR(F47+I47,0)</f>
        <v>1134.2649999999996</v>
      </c>
      <c r="K47" s="197"/>
      <c r="L47" s="336" t="s">
        <v>2279</v>
      </c>
      <c r="M47" s="197"/>
      <c r="N47" s="337"/>
      <c r="O47" s="197"/>
      <c r="P47" s="2578"/>
      <c r="Q47" s="2562"/>
      <c r="R47" s="2577"/>
      <c r="S47" s="2572"/>
      <c r="T47" s="2572"/>
      <c r="U47" s="2572"/>
      <c r="V47" s="2577"/>
      <c r="W47" s="2562"/>
      <c r="X47" s="2693" t="s">
        <v>2278</v>
      </c>
      <c r="Y47" s="2694"/>
      <c r="Z47" s="334" t="s">
        <v>2280</v>
      </c>
      <c r="AA47" s="334" t="s">
        <v>2281</v>
      </c>
      <c r="AB47" s="334" t="s">
        <v>2282</v>
      </c>
      <c r="AC47" s="334" t="s">
        <v>2283</v>
      </c>
      <c r="AD47" s="335" t="s">
        <v>2284</v>
      </c>
    </row>
    <row r="48" spans="1:30" ht="16.5" thickTop="1" thickBot="1">
      <c r="A48" s="197"/>
      <c r="B48" s="342"/>
      <c r="C48" s="342"/>
      <c r="D48" s="342"/>
      <c r="E48" s="342"/>
      <c r="F48" s="1820"/>
      <c r="G48" s="1820"/>
      <c r="H48" s="1820"/>
      <c r="I48" s="1820"/>
      <c r="J48" s="1820"/>
      <c r="K48" s="106"/>
      <c r="L48" s="341"/>
      <c r="M48" s="197"/>
      <c r="N48" s="197"/>
      <c r="O48" s="197"/>
      <c r="P48" s="2578"/>
      <c r="Q48" s="2562"/>
      <c r="R48" s="2577"/>
      <c r="S48" s="2572"/>
      <c r="T48" s="2572"/>
      <c r="U48" s="2572"/>
      <c r="V48" s="2577"/>
      <c r="W48" s="2562"/>
      <c r="X48" s="342"/>
      <c r="Y48" s="342"/>
      <c r="Z48" s="329"/>
      <c r="AA48" s="329"/>
      <c r="AB48" s="329"/>
      <c r="AC48" s="329"/>
      <c r="AD48" s="329"/>
    </row>
    <row r="49" spans="1:30" ht="16.5" thickTop="1" thickBot="1">
      <c r="A49" s="197"/>
      <c r="B49" s="2635" t="s">
        <v>2285</v>
      </c>
      <c r="C49" s="2636"/>
      <c r="D49" s="325"/>
      <c r="E49" s="325"/>
      <c r="F49" s="1820"/>
      <c r="G49" s="1820"/>
      <c r="H49" s="1820"/>
      <c r="I49" s="1820"/>
      <c r="J49" s="1820"/>
      <c r="K49" s="106"/>
      <c r="L49" s="272"/>
      <c r="M49" s="197"/>
      <c r="N49" s="197"/>
      <c r="O49" s="197"/>
      <c r="P49" s="2578"/>
      <c r="Q49" s="2562"/>
      <c r="R49" s="2577"/>
      <c r="S49" s="2572"/>
      <c r="T49" s="2572"/>
      <c r="U49" s="2572"/>
      <c r="V49" s="2577"/>
      <c r="W49" s="2562"/>
      <c r="X49" s="2635" t="s">
        <v>2285</v>
      </c>
      <c r="Y49" s="2636"/>
      <c r="Z49" s="329"/>
      <c r="AA49" s="329"/>
      <c r="AB49" s="329"/>
      <c r="AC49" s="329"/>
      <c r="AD49" s="329"/>
    </row>
    <row r="50" spans="1:30" ht="16" thickTop="1">
      <c r="A50" s="197"/>
      <c r="B50" s="2681" t="s">
        <v>2286</v>
      </c>
      <c r="C50" s="2682"/>
      <c r="D50" s="244" t="s">
        <v>137</v>
      </c>
      <c r="E50" s="244">
        <v>3</v>
      </c>
      <c r="F50" s="245">
        <v>11</v>
      </c>
      <c r="G50" s="245">
        <v>0</v>
      </c>
      <c r="H50" s="245">
        <v>0</v>
      </c>
      <c r="I50" s="1807">
        <f t="shared" ref="I50:I52" si="26">IFERROR(G50-H50,0)</f>
        <v>0</v>
      </c>
      <c r="J50" s="1818">
        <f t="shared" ref="J50:J52" si="27">IFERROR(F50+I50,0)</f>
        <v>11</v>
      </c>
      <c r="K50" s="197"/>
      <c r="L50" s="248" t="s">
        <v>2287</v>
      </c>
      <c r="M50" s="197"/>
      <c r="N50" s="250"/>
      <c r="O50" s="197"/>
      <c r="P50" s="2578"/>
      <c r="Q50" s="251">
        <f t="shared" ref="Q50:Q51" si="28">IF( SUM( S50:U50 ) = 0, 0, $S$5 )</f>
        <v>0</v>
      </c>
      <c r="R50" s="2577"/>
      <c r="S50" s="252">
        <f t="shared" ref="S50:S51" si="29" xml:space="preserve"> IF( ISNUMBER( F50 ), 0, 1 )</f>
        <v>0</v>
      </c>
      <c r="T50" s="252">
        <f t="shared" ref="T50:T51" si="30" xml:space="preserve"> IF( ISNUMBER( G50 ), 0, 1 )</f>
        <v>0</v>
      </c>
      <c r="U50" s="252">
        <f t="shared" ref="U50:U51" si="31" xml:space="preserve"> IF( ISNUMBER( H50 ), 0, 1 )</f>
        <v>0</v>
      </c>
      <c r="V50" s="2577"/>
      <c r="W50" s="2562"/>
      <c r="X50" s="2681" t="s">
        <v>2286</v>
      </c>
      <c r="Y50" s="2682"/>
      <c r="Z50" s="245" t="s">
        <v>2288</v>
      </c>
      <c r="AA50" s="245" t="s">
        <v>2289</v>
      </c>
      <c r="AB50" s="245" t="s">
        <v>2290</v>
      </c>
      <c r="AC50" s="246" t="s">
        <v>2291</v>
      </c>
      <c r="AD50" s="315" t="s">
        <v>2292</v>
      </c>
    </row>
    <row r="51" spans="1:30" ht="15.5">
      <c r="A51" s="197"/>
      <c r="B51" s="2641" t="s">
        <v>2293</v>
      </c>
      <c r="C51" s="2642"/>
      <c r="D51" s="290" t="s">
        <v>137</v>
      </c>
      <c r="E51" s="290">
        <v>3</v>
      </c>
      <c r="F51" s="254">
        <v>1203.596</v>
      </c>
      <c r="G51" s="254">
        <v>-78.049000000000007</v>
      </c>
      <c r="H51" s="254">
        <v>2.282</v>
      </c>
      <c r="I51" s="1811">
        <f t="shared" si="26"/>
        <v>-80.331000000000003</v>
      </c>
      <c r="J51" s="1810">
        <f t="shared" si="27"/>
        <v>1123.2650000000001</v>
      </c>
      <c r="K51" s="197"/>
      <c r="L51" s="257" t="s">
        <v>2294</v>
      </c>
      <c r="M51" s="197"/>
      <c r="N51" s="258"/>
      <c r="O51" s="197"/>
      <c r="P51" s="2578"/>
      <c r="Q51" s="251">
        <f t="shared" si="28"/>
        <v>0</v>
      </c>
      <c r="R51" s="2577"/>
      <c r="S51" s="252">
        <f t="shared" si="29"/>
        <v>0</v>
      </c>
      <c r="T51" s="252">
        <f t="shared" si="30"/>
        <v>0</v>
      </c>
      <c r="U51" s="252">
        <f t="shared" si="31"/>
        <v>0</v>
      </c>
      <c r="V51" s="2577"/>
      <c r="W51" s="2562"/>
      <c r="X51" s="2641" t="s">
        <v>2293</v>
      </c>
      <c r="Y51" s="2642"/>
      <c r="Z51" s="254" t="s">
        <v>2295</v>
      </c>
      <c r="AA51" s="254" t="s">
        <v>2296</v>
      </c>
      <c r="AB51" s="254" t="s">
        <v>2297</v>
      </c>
      <c r="AC51" s="255" t="s">
        <v>2298</v>
      </c>
      <c r="AD51" s="278" t="s">
        <v>2299</v>
      </c>
    </row>
    <row r="52" spans="1:30" ht="16" thickBot="1">
      <c r="A52" s="197"/>
      <c r="B52" s="2695" t="s">
        <v>2300</v>
      </c>
      <c r="C52" s="2696"/>
      <c r="D52" s="326" t="s">
        <v>137</v>
      </c>
      <c r="E52" s="326">
        <v>3</v>
      </c>
      <c r="F52" s="1813">
        <f>IFERROR(SUM(F50:F51),0)</f>
        <v>1214.596</v>
      </c>
      <c r="G52" s="1813">
        <f>IFERROR(SUM(G50:G51),0)</f>
        <v>-78.049000000000007</v>
      </c>
      <c r="H52" s="1813">
        <f>IFERROR(SUM(H50:H51),0)</f>
        <v>2.282</v>
      </c>
      <c r="I52" s="1813">
        <f t="shared" si="26"/>
        <v>-80.331000000000003</v>
      </c>
      <c r="J52" s="1806">
        <f t="shared" si="27"/>
        <v>1134.2650000000001</v>
      </c>
      <c r="K52" s="197"/>
      <c r="L52" s="320" t="s">
        <v>2301</v>
      </c>
      <c r="M52" s="197"/>
      <c r="N52" s="269"/>
      <c r="O52" s="197"/>
      <c r="P52" s="2578"/>
      <c r="Q52" s="2562"/>
      <c r="R52" s="2577"/>
      <c r="S52" s="2572"/>
      <c r="T52" s="2572"/>
      <c r="U52" s="2572"/>
      <c r="V52" s="2577"/>
      <c r="W52" s="2562"/>
      <c r="X52" s="2695" t="s">
        <v>2300</v>
      </c>
      <c r="Y52" s="2696"/>
      <c r="Z52" s="265" t="s">
        <v>2302</v>
      </c>
      <c r="AA52" s="265" t="s">
        <v>2303</v>
      </c>
      <c r="AB52" s="265" t="s">
        <v>2304</v>
      </c>
      <c r="AC52" s="265" t="s">
        <v>2305</v>
      </c>
      <c r="AD52" s="280" t="s">
        <v>2306</v>
      </c>
    </row>
    <row r="53" spans="1:30" ht="16" thickTop="1">
      <c r="A53" s="197"/>
      <c r="B53" s="197"/>
      <c r="C53" s="197"/>
      <c r="D53" s="197"/>
      <c r="E53" s="197"/>
      <c r="F53" s="197"/>
      <c r="G53" s="197"/>
      <c r="H53" s="197"/>
      <c r="I53" s="197"/>
      <c r="J53" s="106"/>
      <c r="K53" s="197"/>
      <c r="L53" s="178"/>
      <c r="M53" s="197"/>
      <c r="N53" s="197"/>
      <c r="O53" s="197"/>
      <c r="P53" s="2562"/>
      <c r="Q53" s="2562"/>
      <c r="R53" s="2572"/>
      <c r="S53" s="2572"/>
      <c r="T53" s="2572"/>
      <c r="U53" s="2572"/>
      <c r="V53" s="2572"/>
      <c r="W53" s="2562"/>
      <c r="X53" s="2562"/>
      <c r="Y53" s="2562"/>
      <c r="Z53" s="2562"/>
      <c r="AA53" s="2562"/>
      <c r="AB53" s="2562"/>
      <c r="AC53" s="2562"/>
      <c r="AD53" s="2562"/>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08" priority="15" operator="equal">
      <formula>0</formula>
    </cfRule>
  </conditionalFormatting>
  <conditionalFormatting sqref="Q18:Q21">
    <cfRule type="cellIs" dxfId="207" priority="4" operator="equal">
      <formula>0</formula>
    </cfRule>
  </conditionalFormatting>
  <conditionalFormatting sqref="Q25:Q30">
    <cfRule type="cellIs" dxfId="206" priority="3" operator="equal">
      <formula>0</formula>
    </cfRule>
  </conditionalFormatting>
  <conditionalFormatting sqref="Q36:Q44">
    <cfRule type="cellIs" dxfId="205" priority="2" operator="equal">
      <formula>0</formula>
    </cfRule>
  </conditionalFormatting>
  <conditionalFormatting sqref="Q50:Q51">
    <cfRule type="cellIs" dxfId="204"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A15" zoomScale="85" zoomScaleNormal="85" zoomScaleSheetLayoutView="100" workbookViewId="0">
      <selection activeCell="I40" sqref="I40"/>
    </sheetView>
  </sheetViews>
  <sheetFormatPr defaultColWidth="9" defaultRowHeight="15.5"/>
  <cols>
    <col min="1" max="1" width="1.58203125" style="609" customWidth="1"/>
    <col min="2" max="2" width="63.58203125" style="609" customWidth="1"/>
    <col min="3" max="4" width="19.58203125" style="1199" bestFit="1" customWidth="1"/>
    <col min="5" max="12" width="12.5" style="609" customWidth="1"/>
    <col min="13" max="13" width="1.58203125" style="1297" customWidth="1"/>
    <col min="14" max="14" width="12.5" style="1297" customWidth="1"/>
    <col min="15" max="15" width="1.58203125" style="1290" customWidth="1"/>
    <col min="16" max="16" width="33.58203125" style="1290" customWidth="1"/>
    <col min="17" max="17" width="1.58203125" style="1290" customWidth="1"/>
    <col min="18" max="18" width="1.58203125" style="219" customWidth="1"/>
    <col min="19" max="19" width="21.08203125" style="609" customWidth="1"/>
    <col min="20" max="20" width="1.58203125" style="219" customWidth="1"/>
    <col min="21" max="28" width="9" style="609" hidden="1" customWidth="1"/>
    <col min="29" max="29" width="1.58203125" style="219" hidden="1" customWidth="1"/>
    <col min="30" max="30" width="1.58203125" style="219" customWidth="1"/>
    <col min="31" max="31" width="36.08203125" style="219" customWidth="1"/>
    <col min="32" max="38" width="16.58203125" style="219" customWidth="1"/>
    <col min="39" max="39" width="16.58203125" style="609" customWidth="1"/>
    <col min="40" max="40" width="1.58203125" style="609" customWidth="1"/>
    <col min="41" max="16384" width="9" style="609"/>
  </cols>
  <sheetData>
    <row r="1" spans="1:39" s="1253" customFormat="1" ht="30" customHeight="1">
      <c r="B1" s="1119" t="s">
        <v>12635</v>
      </c>
      <c r="C1" s="1119"/>
      <c r="D1" s="1119"/>
      <c r="E1" s="1119"/>
      <c r="F1" s="1119"/>
      <c r="G1" s="1119"/>
      <c r="H1" s="1119"/>
      <c r="I1" s="1119"/>
      <c r="J1" s="1119"/>
      <c r="K1" s="1119"/>
      <c r="L1" s="1259"/>
      <c r="M1" s="1259"/>
      <c r="N1" s="1259"/>
      <c r="O1" s="1260"/>
      <c r="P1" s="1260"/>
      <c r="Q1" s="1260"/>
      <c r="R1" s="2589"/>
      <c r="T1" s="2589"/>
      <c r="AC1" s="2589"/>
      <c r="AD1" s="1261"/>
      <c r="AE1" s="1119" t="s">
        <v>1887</v>
      </c>
      <c r="AF1" s="1119"/>
      <c r="AG1" s="1119"/>
      <c r="AH1" s="1119"/>
      <c r="AI1" s="1119"/>
      <c r="AJ1" s="1119"/>
      <c r="AK1" s="1119"/>
      <c r="AL1" s="1119"/>
      <c r="AM1" s="1119"/>
    </row>
    <row r="2" spans="1:39" s="1253" customFormat="1" ht="30" customHeight="1">
      <c r="B2" s="1119" t="str">
        <f>SelectCompany!B4</f>
        <v>Yorkshire Water</v>
      </c>
      <c r="C2" s="491"/>
      <c r="D2" s="491"/>
      <c r="E2" s="491"/>
      <c r="F2" s="491"/>
      <c r="G2" s="491"/>
      <c r="H2" s="491"/>
      <c r="I2" s="491"/>
      <c r="J2" s="491"/>
      <c r="K2" s="491"/>
      <c r="L2" s="1262"/>
      <c r="M2" s="1263"/>
      <c r="N2" s="1263"/>
      <c r="O2" s="1260"/>
      <c r="P2" s="1260"/>
      <c r="Q2" s="1260"/>
      <c r="R2" s="2589"/>
      <c r="T2" s="2589"/>
      <c r="AC2" s="2589"/>
      <c r="AD2" s="1264"/>
      <c r="AE2" s="1119"/>
      <c r="AF2" s="491"/>
      <c r="AG2" s="491"/>
      <c r="AH2" s="491"/>
      <c r="AI2" s="491"/>
      <c r="AJ2" s="491"/>
      <c r="AK2" s="491"/>
      <c r="AL2" s="491"/>
      <c r="AM2" s="491"/>
    </row>
    <row r="3" spans="1:39" ht="45" customHeight="1">
      <c r="B3" s="2781" t="s">
        <v>12636</v>
      </c>
      <c r="C3" s="2781"/>
      <c r="D3" s="2781"/>
      <c r="E3" s="2781"/>
      <c r="F3" s="2781"/>
      <c r="G3" s="2781"/>
      <c r="H3" s="2781"/>
      <c r="I3" s="2781"/>
      <c r="J3" s="2781"/>
      <c r="K3" s="2781"/>
      <c r="L3" s="2781"/>
      <c r="M3" s="2781"/>
      <c r="N3" s="2781"/>
      <c r="O3" s="2781"/>
      <c r="P3" s="2781"/>
      <c r="Q3" s="1265"/>
      <c r="R3" s="2589"/>
      <c r="S3" s="1129" t="s">
        <v>1889</v>
      </c>
      <c r="T3" s="2589"/>
      <c r="AC3" s="2589"/>
      <c r="AD3" s="237"/>
      <c r="AE3" s="2781" t="s">
        <v>12636</v>
      </c>
      <c r="AF3" s="2781"/>
      <c r="AG3" s="2781"/>
      <c r="AH3" s="2781"/>
      <c r="AI3" s="2781"/>
      <c r="AJ3" s="2781"/>
      <c r="AK3" s="2781"/>
      <c r="AL3" s="2781"/>
      <c r="AM3" s="2781"/>
    </row>
    <row r="4" spans="1:39" ht="15" customHeight="1" thickBot="1">
      <c r="B4" s="594"/>
      <c r="C4" s="594"/>
      <c r="D4" s="594"/>
      <c r="E4" s="594"/>
      <c r="F4" s="594"/>
      <c r="G4" s="594"/>
      <c r="H4" s="594"/>
      <c r="I4" s="594"/>
      <c r="J4" s="594"/>
      <c r="K4" s="594"/>
      <c r="L4" s="1266"/>
      <c r="M4" s="1267"/>
      <c r="N4" s="1267"/>
      <c r="O4" s="1265"/>
      <c r="P4" s="1265"/>
      <c r="Q4" s="1265"/>
      <c r="R4" s="2589"/>
      <c r="T4" s="2589"/>
      <c r="U4" s="2893" t="s">
        <v>1890</v>
      </c>
      <c r="V4" s="2893"/>
      <c r="W4" s="2893"/>
      <c r="X4" s="2893"/>
      <c r="Y4" s="2893"/>
      <c r="Z4" s="2893"/>
      <c r="AA4" s="2893"/>
      <c r="AB4" s="2893"/>
      <c r="AC4" s="2589"/>
      <c r="AD4" s="2560"/>
      <c r="AE4" s="594"/>
      <c r="AF4" s="594"/>
      <c r="AG4" s="594"/>
      <c r="AH4" s="594"/>
      <c r="AI4" s="594"/>
      <c r="AJ4" s="594"/>
      <c r="AK4" s="594"/>
      <c r="AL4" s="594"/>
      <c r="AM4" s="594"/>
    </row>
    <row r="5" spans="1:39" ht="30" customHeight="1" thickTop="1">
      <c r="A5" s="200"/>
      <c r="B5" s="2686" t="s">
        <v>1891</v>
      </c>
      <c r="C5" s="2667" t="s">
        <v>1892</v>
      </c>
      <c r="D5" s="2667" t="s">
        <v>136</v>
      </c>
      <c r="E5" s="574" t="s">
        <v>12637</v>
      </c>
      <c r="F5" s="574" t="s">
        <v>12638</v>
      </c>
      <c r="G5" s="574" t="s">
        <v>12639</v>
      </c>
      <c r="H5" s="574" t="s">
        <v>2112</v>
      </c>
      <c r="I5" s="574" t="s">
        <v>12637</v>
      </c>
      <c r="J5" s="574" t="s">
        <v>12638</v>
      </c>
      <c r="K5" s="574" t="s">
        <v>12639</v>
      </c>
      <c r="L5" s="575" t="s">
        <v>2112</v>
      </c>
      <c r="M5" s="200"/>
      <c r="N5" s="2763" t="s">
        <v>1896</v>
      </c>
      <c r="O5" s="761"/>
      <c r="P5" s="2763" t="s">
        <v>1897</v>
      </c>
      <c r="Q5" s="761"/>
      <c r="R5" s="2589"/>
      <c r="T5" s="2589"/>
      <c r="U5" s="236" t="s">
        <v>1898</v>
      </c>
      <c r="AC5" s="2589"/>
      <c r="AD5" s="2560"/>
      <c r="AE5" s="2686" t="s">
        <v>1891</v>
      </c>
      <c r="AF5" s="574" t="s">
        <v>12637</v>
      </c>
      <c r="AG5" s="574" t="s">
        <v>12638</v>
      </c>
      <c r="AH5" s="574" t="s">
        <v>12639</v>
      </c>
      <c r="AI5" s="574" t="s">
        <v>2112</v>
      </c>
      <c r="AJ5" s="574" t="s">
        <v>12637</v>
      </c>
      <c r="AK5" s="574" t="s">
        <v>12638</v>
      </c>
      <c r="AL5" s="574" t="s">
        <v>12639</v>
      </c>
      <c r="AM5" s="575" t="s">
        <v>2112</v>
      </c>
    </row>
    <row r="6" spans="1:39" ht="30" customHeight="1" thickBot="1">
      <c r="A6" s="200"/>
      <c r="B6" s="2687"/>
      <c r="C6" s="2668"/>
      <c r="D6" s="2668"/>
      <c r="E6" s="238" t="s">
        <v>12640</v>
      </c>
      <c r="F6" s="238" t="s">
        <v>12640</v>
      </c>
      <c r="G6" s="238" t="s">
        <v>12640</v>
      </c>
      <c r="H6" s="238" t="s">
        <v>12640</v>
      </c>
      <c r="I6" s="238" t="s">
        <v>12641</v>
      </c>
      <c r="J6" s="238" t="s">
        <v>12641</v>
      </c>
      <c r="K6" s="238" t="s">
        <v>12641</v>
      </c>
      <c r="L6" s="576" t="s">
        <v>12641</v>
      </c>
      <c r="M6" s="200"/>
      <c r="N6" s="2765"/>
      <c r="O6" s="761"/>
      <c r="P6" s="2765"/>
      <c r="Q6" s="761"/>
      <c r="R6" s="2589"/>
      <c r="T6" s="2589"/>
      <c r="AC6" s="2589"/>
      <c r="AD6" s="2560"/>
      <c r="AE6" s="2687"/>
      <c r="AF6" s="238" t="s">
        <v>12640</v>
      </c>
      <c r="AG6" s="238" t="s">
        <v>12640</v>
      </c>
      <c r="AH6" s="238" t="s">
        <v>12640</v>
      </c>
      <c r="AI6" s="238" t="s">
        <v>12640</v>
      </c>
      <c r="AJ6" s="238" t="s">
        <v>12641</v>
      </c>
      <c r="AK6" s="238" t="s">
        <v>12641</v>
      </c>
      <c r="AL6" s="238" t="s">
        <v>12641</v>
      </c>
      <c r="AM6" s="576" t="s">
        <v>12641</v>
      </c>
    </row>
    <row r="7" spans="1:39" ht="15.75" customHeight="1" thickTop="1" thickBot="1">
      <c r="A7" s="200"/>
      <c r="B7" s="491"/>
      <c r="C7" s="222"/>
      <c r="D7" s="222"/>
      <c r="E7" s="491"/>
      <c r="F7" s="491"/>
      <c r="G7" s="491"/>
      <c r="H7" s="491"/>
      <c r="I7" s="491"/>
      <c r="J7" s="491"/>
      <c r="K7" s="491"/>
      <c r="L7" s="491"/>
      <c r="M7" s="200"/>
      <c r="N7" s="672"/>
      <c r="O7" s="761"/>
      <c r="P7" s="761"/>
      <c r="Q7" s="761"/>
      <c r="R7" s="2589"/>
      <c r="T7" s="2589"/>
      <c r="AC7" s="2589"/>
      <c r="AD7" s="2560"/>
      <c r="AE7" s="491"/>
      <c r="AF7" s="491"/>
      <c r="AG7" s="491"/>
      <c r="AH7" s="491"/>
      <c r="AI7" s="491"/>
      <c r="AJ7" s="491"/>
      <c r="AK7" s="491"/>
      <c r="AL7" s="491"/>
      <c r="AM7" s="491"/>
    </row>
    <row r="8" spans="1:39" ht="15.75" customHeight="1" thickTop="1" thickBot="1">
      <c r="A8" s="200"/>
      <c r="B8" s="355" t="s">
        <v>12642</v>
      </c>
      <c r="C8" s="222"/>
      <c r="D8" s="222"/>
      <c r="E8" s="444"/>
      <c r="F8" s="444"/>
      <c r="G8" s="444"/>
      <c r="H8" s="444"/>
      <c r="I8" s="444"/>
      <c r="J8" s="1042"/>
      <c r="K8" s="1042"/>
      <c r="L8" s="1042"/>
      <c r="M8" s="1268"/>
      <c r="N8" s="1269"/>
      <c r="O8" s="761"/>
      <c r="P8" s="761"/>
      <c r="Q8" s="761"/>
      <c r="R8" s="2589"/>
      <c r="T8" s="2589"/>
      <c r="AC8" s="2589"/>
      <c r="AD8" s="2560"/>
      <c r="AE8" s="355" t="s">
        <v>12642</v>
      </c>
      <c r="AF8" s="444"/>
      <c r="AG8" s="444"/>
      <c r="AH8" s="444"/>
      <c r="AI8" s="444"/>
      <c r="AJ8" s="444"/>
      <c r="AK8" s="1042"/>
      <c r="AL8" s="1042"/>
      <c r="AM8" s="1042"/>
    </row>
    <row r="9" spans="1:39" ht="54.75" customHeight="1">
      <c r="A9" s="200"/>
      <c r="B9" s="413" t="s">
        <v>12643</v>
      </c>
      <c r="C9" s="244" t="s">
        <v>1695</v>
      </c>
      <c r="D9" s="244" t="s">
        <v>1695</v>
      </c>
      <c r="E9" s="1646"/>
      <c r="F9" s="1646"/>
      <c r="G9" s="1646"/>
      <c r="H9" s="2459">
        <v>69352</v>
      </c>
      <c r="I9" s="1651"/>
      <c r="J9" s="1651"/>
      <c r="K9" s="1651"/>
      <c r="L9" s="621">
        <v>10.925982677272412</v>
      </c>
      <c r="M9" s="1268"/>
      <c r="N9" s="248" t="s">
        <v>12644</v>
      </c>
      <c r="O9" s="761"/>
      <c r="P9" s="250"/>
      <c r="Q9" s="761"/>
      <c r="R9" s="2589"/>
      <c r="S9" s="1121">
        <f>IF( SUM( U9:AB9 ) = 0, 0, $U$5 )</f>
        <v>0</v>
      </c>
      <c r="T9" s="2589"/>
      <c r="AB9" s="252">
        <f xml:space="preserve"> IF( ISNUMBER(L9 ), 0, 1 )</f>
        <v>0</v>
      </c>
      <c r="AC9" s="2589"/>
      <c r="AD9" s="2560"/>
      <c r="AE9" s="413" t="s">
        <v>12643</v>
      </c>
      <c r="AF9" s="1270"/>
      <c r="AG9" s="1270"/>
      <c r="AH9" s="1270"/>
      <c r="AI9" s="621" t="s">
        <v>1401</v>
      </c>
      <c r="AJ9" s="1270"/>
      <c r="AK9" s="1270"/>
      <c r="AL9" s="1270"/>
      <c r="AM9" s="621" t="s">
        <v>12645</v>
      </c>
    </row>
    <row r="10" spans="1:39" ht="15.75" customHeight="1">
      <c r="A10" s="200"/>
      <c r="B10" s="422" t="s">
        <v>12646</v>
      </c>
      <c r="C10" s="253" t="s">
        <v>1695</v>
      </c>
      <c r="D10" s="253" t="s">
        <v>1695</v>
      </c>
      <c r="E10" s="1647">
        <v>13041</v>
      </c>
      <c r="F10" s="1647">
        <v>117573</v>
      </c>
      <c r="G10" s="1647">
        <v>0</v>
      </c>
      <c r="H10" s="1648">
        <f>IFERROR(SUM(E10:G10), 0)</f>
        <v>130614</v>
      </c>
      <c r="I10" s="254">
        <v>2.6058885822412132</v>
      </c>
      <c r="J10" s="254">
        <v>8.1630000000000003</v>
      </c>
      <c r="K10" s="254">
        <v>0</v>
      </c>
      <c r="L10" s="1482">
        <f>IFERROR(SUM(I10:K10), 0)</f>
        <v>10.768888582241214</v>
      </c>
      <c r="M10" s="1268"/>
      <c r="N10" s="257" t="s">
        <v>12647</v>
      </c>
      <c r="O10" s="761"/>
      <c r="P10" s="258"/>
      <c r="Q10" s="761"/>
      <c r="R10" s="2589"/>
      <c r="S10" s="1121">
        <f t="shared" ref="S10:S14" si="0">IF( SUM( U10:AB10 ) = 0, 0, $U$5 )</f>
        <v>0</v>
      </c>
      <c r="T10" s="2589"/>
      <c r="U10" s="252">
        <f t="shared" ref="U10" si="1" xml:space="preserve"> IF( ISNUMBER(E10 ), 0, 1 )</f>
        <v>0</v>
      </c>
      <c r="V10" s="252">
        <f t="shared" ref="V10" si="2" xml:space="preserve"> IF( ISNUMBER(F10 ), 0, 1 )</f>
        <v>0</v>
      </c>
      <c r="W10" s="252">
        <f t="shared" ref="W10" si="3" xml:space="preserve"> IF( ISNUMBER(G10 ), 0, 1 )</f>
        <v>0</v>
      </c>
      <c r="Y10" s="252">
        <f t="shared" ref="Y10:AA10" si="4" xml:space="preserve"> IF( ISNUMBER(I10 ), 0, 1 )</f>
        <v>0</v>
      </c>
      <c r="Z10" s="252">
        <f t="shared" si="4"/>
        <v>0</v>
      </c>
      <c r="AA10" s="252">
        <f t="shared" si="4"/>
        <v>0</v>
      </c>
      <c r="AC10" s="2589"/>
      <c r="AD10" s="2560"/>
      <c r="AE10" s="422" t="s">
        <v>12646</v>
      </c>
      <c r="AF10" s="1271" t="s">
        <v>12648</v>
      </c>
      <c r="AG10" s="1271" t="s">
        <v>12649</v>
      </c>
      <c r="AH10" s="1271" t="s">
        <v>12650</v>
      </c>
      <c r="AI10" s="1272" t="s">
        <v>12651</v>
      </c>
      <c r="AJ10" s="254" t="s">
        <v>12652</v>
      </c>
      <c r="AK10" s="254" t="s">
        <v>12653</v>
      </c>
      <c r="AL10" s="254" t="s">
        <v>12654</v>
      </c>
      <c r="AM10" s="790" t="s">
        <v>12655</v>
      </c>
    </row>
    <row r="11" spans="1:39" ht="24" customHeight="1">
      <c r="A11" s="200"/>
      <c r="B11" s="422" t="s">
        <v>12656</v>
      </c>
      <c r="C11" s="253" t="s">
        <v>1695</v>
      </c>
      <c r="D11" s="253" t="s">
        <v>1695</v>
      </c>
      <c r="E11" s="1647">
        <v>58535</v>
      </c>
      <c r="F11" s="1647">
        <v>0</v>
      </c>
      <c r="G11" s="1647">
        <v>0</v>
      </c>
      <c r="H11" s="1648">
        <f>IFERROR(SUM(E11:G11), 0)</f>
        <v>58535</v>
      </c>
      <c r="I11" s="254">
        <v>11.696625117819909</v>
      </c>
      <c r="J11" s="254">
        <v>0</v>
      </c>
      <c r="K11" s="254">
        <v>0</v>
      </c>
      <c r="L11" s="1482">
        <f>IFERROR(SUM(I11:K11), 0)</f>
        <v>11.696625117819909</v>
      </c>
      <c r="M11" s="1268"/>
      <c r="N11" s="257" t="s">
        <v>12657</v>
      </c>
      <c r="O11" s="761"/>
      <c r="P11" s="258"/>
      <c r="Q11" s="761"/>
      <c r="R11" s="2589"/>
      <c r="S11" s="1121">
        <f t="shared" si="0"/>
        <v>0</v>
      </c>
      <c r="T11" s="2589"/>
      <c r="U11" s="252">
        <f t="shared" ref="U11:U13" si="5" xml:space="preserve"> IF( ISNUMBER(E11 ), 0, 1 )</f>
        <v>0</v>
      </c>
      <c r="V11" s="252">
        <f t="shared" ref="V11:V13" si="6" xml:space="preserve"> IF( ISNUMBER(F11 ), 0, 1 )</f>
        <v>0</v>
      </c>
      <c r="W11" s="252">
        <f t="shared" ref="W11:W13" si="7" xml:space="preserve"> IF( ISNUMBER(G11 ), 0, 1 )</f>
        <v>0</v>
      </c>
      <c r="Y11" s="252">
        <f t="shared" ref="Y11:Y12" si="8" xml:space="preserve"> IF( ISNUMBER(I11 ), 0, 1 )</f>
        <v>0</v>
      </c>
      <c r="Z11" s="252">
        <f t="shared" ref="Z11:Z12" si="9" xml:space="preserve"> IF( ISNUMBER(J11 ), 0, 1 )</f>
        <v>0</v>
      </c>
      <c r="AA11" s="252">
        <f t="shared" ref="AA11:AA12" si="10" xml:space="preserve"> IF( ISNUMBER(K11 ), 0, 1 )</f>
        <v>0</v>
      </c>
      <c r="AC11" s="2589"/>
      <c r="AD11" s="2560"/>
      <c r="AE11" s="422" t="s">
        <v>12656</v>
      </c>
      <c r="AF11" s="1271" t="s">
        <v>12658</v>
      </c>
      <c r="AG11" s="1271" t="s">
        <v>12659</v>
      </c>
      <c r="AH11" s="1271" t="s">
        <v>12660</v>
      </c>
      <c r="AI11" s="1272" t="s">
        <v>12661</v>
      </c>
      <c r="AJ11" s="254" t="s">
        <v>12662</v>
      </c>
      <c r="AK11" s="254" t="s">
        <v>12663</v>
      </c>
      <c r="AL11" s="254" t="s">
        <v>12664</v>
      </c>
      <c r="AM11" s="790" t="s">
        <v>12665</v>
      </c>
    </row>
    <row r="12" spans="1:39" ht="28.5" customHeight="1">
      <c r="A12" s="200"/>
      <c r="B12" s="422" t="s">
        <v>12666</v>
      </c>
      <c r="C12" s="253" t="s">
        <v>1695</v>
      </c>
      <c r="D12" s="253" t="s">
        <v>1695</v>
      </c>
      <c r="E12" s="1647">
        <v>4912</v>
      </c>
      <c r="F12" s="1647">
        <v>0</v>
      </c>
      <c r="G12" s="1647">
        <v>0</v>
      </c>
      <c r="H12" s="1648">
        <f>IFERROR(SUM(E12:G12), 0)</f>
        <v>4912</v>
      </c>
      <c r="I12" s="254">
        <v>0.85508547422213077</v>
      </c>
      <c r="J12" s="254">
        <v>0</v>
      </c>
      <c r="K12" s="254">
        <v>0</v>
      </c>
      <c r="L12" s="1482">
        <f>IFERROR(SUM(I12:K12), 0)</f>
        <v>0.85508547422213077</v>
      </c>
      <c r="M12" s="1268"/>
      <c r="N12" s="257" t="s">
        <v>12667</v>
      </c>
      <c r="O12" s="761"/>
      <c r="P12" s="258"/>
      <c r="Q12" s="761"/>
      <c r="R12" s="2589"/>
      <c r="S12" s="1121">
        <f t="shared" si="0"/>
        <v>0</v>
      </c>
      <c r="T12" s="2589"/>
      <c r="U12" s="252">
        <f t="shared" si="5"/>
        <v>0</v>
      </c>
      <c r="V12" s="252">
        <f t="shared" si="6"/>
        <v>0</v>
      </c>
      <c r="W12" s="252">
        <f t="shared" si="7"/>
        <v>0</v>
      </c>
      <c r="Y12" s="252">
        <f t="shared" si="8"/>
        <v>0</v>
      </c>
      <c r="Z12" s="252">
        <f t="shared" si="9"/>
        <v>0</v>
      </c>
      <c r="AA12" s="252">
        <f t="shared" si="10"/>
        <v>0</v>
      </c>
      <c r="AC12" s="2589"/>
      <c r="AD12" s="2560"/>
      <c r="AE12" s="422" t="s">
        <v>12666</v>
      </c>
      <c r="AF12" s="1271" t="s">
        <v>12668</v>
      </c>
      <c r="AG12" s="1271" t="s">
        <v>12669</v>
      </c>
      <c r="AH12" s="1271" t="s">
        <v>12670</v>
      </c>
      <c r="AI12" s="1272" t="s">
        <v>12671</v>
      </c>
      <c r="AJ12" s="254" t="s">
        <v>12672</v>
      </c>
      <c r="AK12" s="254" t="s">
        <v>12673</v>
      </c>
      <c r="AL12" s="254" t="s">
        <v>12674</v>
      </c>
      <c r="AM12" s="790" t="s">
        <v>12675</v>
      </c>
    </row>
    <row r="13" spans="1:39" ht="15.75" customHeight="1">
      <c r="A13" s="200"/>
      <c r="B13" s="422" t="s">
        <v>12676</v>
      </c>
      <c r="C13" s="253" t="s">
        <v>1695</v>
      </c>
      <c r="D13" s="253" t="s">
        <v>1695</v>
      </c>
      <c r="E13" s="1647">
        <v>0</v>
      </c>
      <c r="F13" s="1647">
        <v>145342</v>
      </c>
      <c r="G13" s="1647">
        <v>0</v>
      </c>
      <c r="H13" s="1648">
        <f>IFERROR(SUM(E13:G13), 0)</f>
        <v>145342</v>
      </c>
      <c r="I13" s="1979"/>
      <c r="J13" s="1980"/>
      <c r="K13" s="1980"/>
      <c r="L13" s="1652"/>
      <c r="M13" s="1268"/>
      <c r="N13" s="257" t="s">
        <v>12677</v>
      </c>
      <c r="O13" s="761"/>
      <c r="P13" s="1276"/>
      <c r="Q13" s="761"/>
      <c r="R13" s="2589"/>
      <c r="S13" s="1121">
        <f t="shared" si="0"/>
        <v>0</v>
      </c>
      <c r="T13" s="2589"/>
      <c r="U13" s="252">
        <f t="shared" si="5"/>
        <v>0</v>
      </c>
      <c r="V13" s="252">
        <f t="shared" si="6"/>
        <v>0</v>
      </c>
      <c r="W13" s="252">
        <f t="shared" si="7"/>
        <v>0</v>
      </c>
      <c r="AC13" s="2589"/>
      <c r="AD13" s="2560"/>
      <c r="AE13" s="422" t="s">
        <v>12676</v>
      </c>
      <c r="AF13" s="1271" t="s">
        <v>12678</v>
      </c>
      <c r="AG13" s="1271" t="s">
        <v>12679</v>
      </c>
      <c r="AH13" s="1271" t="s">
        <v>12680</v>
      </c>
      <c r="AI13" s="1272" t="s">
        <v>12681</v>
      </c>
      <c r="AJ13" s="1273"/>
      <c r="AK13" s="1274"/>
      <c r="AL13" s="1274"/>
      <c r="AM13" s="1275"/>
    </row>
    <row r="14" spans="1:39" ht="15.75" customHeight="1" thickBot="1">
      <c r="A14" s="200"/>
      <c r="B14" s="425" t="s">
        <v>12682</v>
      </c>
      <c r="C14" s="319" t="s">
        <v>1695</v>
      </c>
      <c r="D14" s="319" t="s">
        <v>1695</v>
      </c>
      <c r="E14" s="1649">
        <v>4621</v>
      </c>
      <c r="F14" s="1649">
        <v>26781</v>
      </c>
      <c r="G14" s="1649">
        <v>0</v>
      </c>
      <c r="H14" s="1650">
        <f>IFERROR(SUM(E14:G14), 0)</f>
        <v>31402</v>
      </c>
      <c r="I14" s="264">
        <v>0.92338096300411376</v>
      </c>
      <c r="J14" s="264">
        <v>1.873</v>
      </c>
      <c r="K14" s="264">
        <v>0</v>
      </c>
      <c r="L14" s="1483">
        <f>IFERROR(SUM(I14:K14), 0)</f>
        <v>2.7963809630041139</v>
      </c>
      <c r="M14" s="1268"/>
      <c r="N14" s="320" t="s">
        <v>12683</v>
      </c>
      <c r="O14" s="761"/>
      <c r="P14" s="269"/>
      <c r="Q14" s="761"/>
      <c r="R14" s="2589"/>
      <c r="S14" s="1121">
        <f t="shared" si="0"/>
        <v>0</v>
      </c>
      <c r="T14" s="2589"/>
      <c r="U14" s="252">
        <f t="shared" ref="U14" si="11" xml:space="preserve"> IF( ISNUMBER(E14 ), 0, 1 )</f>
        <v>0</v>
      </c>
      <c r="V14" s="252">
        <f t="shared" ref="V14" si="12" xml:space="preserve"> IF( ISNUMBER(F14 ), 0, 1 )</f>
        <v>0</v>
      </c>
      <c r="W14" s="252">
        <f t="shared" ref="W14" si="13" xml:space="preserve"> IF( ISNUMBER(G14 ), 0, 1 )</f>
        <v>0</v>
      </c>
      <c r="Y14" s="252">
        <f t="shared" ref="Y14" si="14" xml:space="preserve"> IF( ISNUMBER(I14 ), 0, 1 )</f>
        <v>0</v>
      </c>
      <c r="Z14" s="252">
        <f t="shared" ref="Z14" si="15" xml:space="preserve"> IF( ISNUMBER(J14 ), 0, 1 )</f>
        <v>0</v>
      </c>
      <c r="AA14" s="252">
        <f t="shared" ref="AA14" si="16" xml:space="preserve"> IF( ISNUMBER(K14 ), 0, 1 )</f>
        <v>0</v>
      </c>
      <c r="AC14" s="2589"/>
      <c r="AD14" s="2560"/>
      <c r="AE14" s="425" t="s">
        <v>12682</v>
      </c>
      <c r="AF14" s="1277" t="s">
        <v>12684</v>
      </c>
      <c r="AG14" s="1277" t="s">
        <v>12685</v>
      </c>
      <c r="AH14" s="1277" t="s">
        <v>12686</v>
      </c>
      <c r="AI14" s="1278" t="s">
        <v>12687</v>
      </c>
      <c r="AJ14" s="264" t="s">
        <v>12688</v>
      </c>
      <c r="AK14" s="264" t="s">
        <v>12689</v>
      </c>
      <c r="AL14" s="264" t="s">
        <v>12690</v>
      </c>
      <c r="AM14" s="379" t="s">
        <v>12691</v>
      </c>
    </row>
    <row r="15" spans="1:39" ht="15.75" customHeight="1" thickTop="1" thickBot="1">
      <c r="A15" s="200"/>
      <c r="B15" s="327"/>
      <c r="C15" s="83"/>
      <c r="D15" s="83"/>
      <c r="E15" s="83"/>
      <c r="F15" s="83"/>
      <c r="G15" s="83"/>
      <c r="H15" s="83"/>
      <c r="I15" s="83"/>
      <c r="J15" s="83"/>
      <c r="K15" s="83"/>
      <c r="L15" s="1268"/>
      <c r="M15" s="249"/>
      <c r="N15" s="249"/>
      <c r="O15" s="761"/>
      <c r="P15" s="865"/>
      <c r="Q15" s="761"/>
      <c r="R15" s="2589"/>
      <c r="T15" s="2589"/>
      <c r="AC15" s="2589"/>
      <c r="AD15" s="2560"/>
      <c r="AE15" s="327"/>
      <c r="AF15" s="83"/>
      <c r="AG15" s="83"/>
      <c r="AH15" s="83"/>
      <c r="AI15" s="83"/>
      <c r="AJ15" s="83"/>
      <c r="AK15" s="83"/>
      <c r="AL15" s="83"/>
      <c r="AM15" s="1268"/>
    </row>
    <row r="16" spans="1:39" ht="15.75" customHeight="1" thickTop="1" thickBot="1">
      <c r="A16" s="200"/>
      <c r="B16" s="1079" t="s">
        <v>12692</v>
      </c>
      <c r="C16" s="1080" t="s">
        <v>135</v>
      </c>
      <c r="D16" s="1080" t="s">
        <v>136</v>
      </c>
      <c r="E16" s="1279" t="s">
        <v>12693</v>
      </c>
      <c r="F16" s="83"/>
      <c r="G16" s="83"/>
      <c r="H16" s="83"/>
      <c r="I16" s="83"/>
      <c r="J16" s="83"/>
      <c r="K16" s="83"/>
      <c r="L16" s="1268"/>
      <c r="M16" s="249"/>
      <c r="N16" s="249"/>
      <c r="O16" s="761"/>
      <c r="P16" s="865"/>
      <c r="Q16" s="761"/>
      <c r="R16" s="2589"/>
      <c r="T16" s="2589"/>
      <c r="AC16" s="2589"/>
      <c r="AD16" s="2560"/>
      <c r="AE16" s="1079" t="s">
        <v>12692</v>
      </c>
      <c r="AF16" s="1279" t="s">
        <v>12693</v>
      </c>
      <c r="AG16" s="83"/>
      <c r="AH16" s="83"/>
      <c r="AI16" s="83"/>
      <c r="AJ16" s="83"/>
      <c r="AK16" s="83"/>
      <c r="AL16" s="83"/>
      <c r="AM16" s="1268"/>
    </row>
    <row r="17" spans="1:39" ht="15.75" customHeight="1" thickTop="1" thickBot="1">
      <c r="A17" s="200"/>
      <c r="B17" s="413" t="s">
        <v>12694</v>
      </c>
      <c r="C17" s="244" t="s">
        <v>137</v>
      </c>
      <c r="D17" s="244">
        <v>3</v>
      </c>
      <c r="E17" s="621">
        <v>1.7709999999999999</v>
      </c>
      <c r="F17" s="83"/>
      <c r="G17" s="83"/>
      <c r="H17" s="83"/>
      <c r="I17" s="83"/>
      <c r="J17" s="83"/>
      <c r="K17" s="83"/>
      <c r="L17" s="1268"/>
      <c r="M17" s="249"/>
      <c r="N17" s="248" t="s">
        <v>12695</v>
      </c>
      <c r="O17" s="761"/>
      <c r="P17" s="250"/>
      <c r="Q17" s="761"/>
      <c r="R17" s="2589"/>
      <c r="S17" s="1121">
        <f t="shared" ref="S17:S21" si="17">IF( SUM( U17:AB17 ) = 0, 0, $U$5 )</f>
        <v>0</v>
      </c>
      <c r="T17" s="2589"/>
      <c r="U17" s="252">
        <f t="shared" ref="U17:U24" si="18" xml:space="preserve"> IF( ISNUMBER(E17 ), 0, 1 )</f>
        <v>0</v>
      </c>
      <c r="AC17" s="2589"/>
      <c r="AD17" s="2560"/>
      <c r="AE17" s="1280" t="s">
        <v>12694</v>
      </c>
      <c r="AF17" s="1281" t="s">
        <v>12696</v>
      </c>
      <c r="AG17" s="83"/>
      <c r="AH17" s="83"/>
      <c r="AI17" s="83"/>
      <c r="AJ17" s="83"/>
      <c r="AK17" s="83"/>
      <c r="AL17" s="83"/>
      <c r="AM17" s="1268"/>
    </row>
    <row r="18" spans="1:39" ht="15.75" customHeight="1" thickTop="1">
      <c r="A18" s="200"/>
      <c r="B18" s="422" t="s">
        <v>12697</v>
      </c>
      <c r="C18" s="253" t="s">
        <v>137</v>
      </c>
      <c r="D18" s="253">
        <v>3</v>
      </c>
      <c r="E18" s="367">
        <v>0</v>
      </c>
      <c r="F18" s="83"/>
      <c r="G18" s="83"/>
      <c r="H18" s="83"/>
      <c r="I18" s="83"/>
      <c r="J18" s="83"/>
      <c r="K18" s="83"/>
      <c r="L18" s="1268"/>
      <c r="M18" s="249"/>
      <c r="N18" s="257" t="s">
        <v>12698</v>
      </c>
      <c r="O18" s="761"/>
      <c r="P18" s="258"/>
      <c r="Q18" s="761"/>
      <c r="R18" s="2589"/>
      <c r="S18" s="1121">
        <f t="shared" si="17"/>
        <v>0</v>
      </c>
      <c r="T18" s="2589"/>
      <c r="U18" s="252">
        <f t="shared" si="18"/>
        <v>0</v>
      </c>
      <c r="AC18" s="2589"/>
      <c r="AD18" s="2560"/>
      <c r="AE18" s="413" t="s">
        <v>12697</v>
      </c>
      <c r="AF18" s="621" t="s">
        <v>12699</v>
      </c>
      <c r="AG18" s="83"/>
      <c r="AH18" s="83"/>
      <c r="AI18" s="83"/>
      <c r="AJ18" s="83"/>
      <c r="AK18" s="83"/>
      <c r="AL18" s="83"/>
      <c r="AM18" s="1268"/>
    </row>
    <row r="19" spans="1:39" ht="15.75" customHeight="1">
      <c r="A19" s="200"/>
      <c r="B19" s="422" t="s">
        <v>12700</v>
      </c>
      <c r="C19" s="253" t="s">
        <v>137</v>
      </c>
      <c r="D19" s="253">
        <v>3</v>
      </c>
      <c r="E19" s="367">
        <v>0</v>
      </c>
      <c r="F19" s="83"/>
      <c r="G19" s="83"/>
      <c r="H19" s="83"/>
      <c r="I19" s="83"/>
      <c r="J19" s="83"/>
      <c r="K19" s="83"/>
      <c r="L19" s="1268"/>
      <c r="M19" s="249"/>
      <c r="N19" s="257" t="s">
        <v>12701</v>
      </c>
      <c r="O19" s="761"/>
      <c r="P19" s="258"/>
      <c r="Q19" s="761"/>
      <c r="R19" s="2589"/>
      <c r="S19" s="1121">
        <f t="shared" si="17"/>
        <v>0</v>
      </c>
      <c r="T19" s="2589"/>
      <c r="U19" s="252">
        <f t="shared" si="18"/>
        <v>0</v>
      </c>
      <c r="AC19" s="2589"/>
      <c r="AD19" s="2560"/>
      <c r="AE19" s="422" t="s">
        <v>12700</v>
      </c>
      <c r="AF19" s="367" t="s">
        <v>12702</v>
      </c>
      <c r="AG19" s="83"/>
      <c r="AH19" s="83"/>
      <c r="AI19" s="83"/>
      <c r="AJ19" s="83"/>
      <c r="AK19" s="83"/>
      <c r="AL19" s="83"/>
      <c r="AM19" s="1268"/>
    </row>
    <row r="20" spans="1:39" ht="15.75" customHeight="1">
      <c r="A20" s="200"/>
      <c r="B20" s="422" t="s">
        <v>12703</v>
      </c>
      <c r="C20" s="253" t="s">
        <v>137</v>
      </c>
      <c r="D20" s="253">
        <v>3</v>
      </c>
      <c r="E20" s="367">
        <v>0</v>
      </c>
      <c r="F20" s="83"/>
      <c r="G20" s="83"/>
      <c r="H20" s="83"/>
      <c r="I20" s="83"/>
      <c r="J20" s="83"/>
      <c r="K20" s="83"/>
      <c r="L20" s="1268"/>
      <c r="M20" s="249"/>
      <c r="N20" s="257" t="s">
        <v>12704</v>
      </c>
      <c r="O20" s="761"/>
      <c r="P20" s="258"/>
      <c r="Q20" s="761"/>
      <c r="R20" s="2589"/>
      <c r="S20" s="1121">
        <f t="shared" si="17"/>
        <v>0</v>
      </c>
      <c r="T20" s="2589"/>
      <c r="U20" s="252">
        <f t="shared" si="18"/>
        <v>0</v>
      </c>
      <c r="AC20" s="2589"/>
      <c r="AD20" s="2560"/>
      <c r="AE20" s="422" t="s">
        <v>12703</v>
      </c>
      <c r="AF20" s="367" t="s">
        <v>12705</v>
      </c>
      <c r="AG20" s="83"/>
      <c r="AH20" s="83"/>
      <c r="AI20" s="83"/>
      <c r="AJ20" s="83"/>
      <c r="AK20" s="83"/>
      <c r="AL20" s="83"/>
      <c r="AM20" s="1268"/>
    </row>
    <row r="21" spans="1:39" ht="15.75" customHeight="1">
      <c r="A21" s="200"/>
      <c r="B21" s="422" t="s">
        <v>12706</v>
      </c>
      <c r="C21" s="253" t="s">
        <v>137</v>
      </c>
      <c r="D21" s="253">
        <v>3</v>
      </c>
      <c r="E21" s="367">
        <v>0</v>
      </c>
      <c r="F21" s="83"/>
      <c r="G21" s="83"/>
      <c r="H21" s="83"/>
      <c r="I21" s="83"/>
      <c r="J21" s="83"/>
      <c r="K21" s="83"/>
      <c r="L21" s="1268"/>
      <c r="M21" s="249"/>
      <c r="N21" s="257" t="s">
        <v>12707</v>
      </c>
      <c r="O21" s="761"/>
      <c r="P21" s="258"/>
      <c r="Q21" s="761"/>
      <c r="R21" s="2589"/>
      <c r="S21" s="1121">
        <f t="shared" si="17"/>
        <v>0</v>
      </c>
      <c r="T21" s="2589"/>
      <c r="U21" s="252">
        <f t="shared" si="18"/>
        <v>0</v>
      </c>
      <c r="AC21" s="2589"/>
      <c r="AD21" s="237"/>
      <c r="AE21" s="422" t="s">
        <v>12706</v>
      </c>
      <c r="AF21" s="367" t="s">
        <v>12708</v>
      </c>
      <c r="AG21" s="83"/>
      <c r="AH21" s="83"/>
      <c r="AI21" s="83"/>
      <c r="AJ21" s="83"/>
      <c r="AK21" s="83"/>
      <c r="AL21" s="83"/>
      <c r="AM21" s="1268"/>
    </row>
    <row r="22" spans="1:39" ht="15.75" customHeight="1">
      <c r="A22" s="200"/>
      <c r="B22" s="422" t="s">
        <v>12709</v>
      </c>
      <c r="C22" s="253" t="s">
        <v>137</v>
      </c>
      <c r="D22" s="253">
        <v>3</v>
      </c>
      <c r="E22" s="1482">
        <f>IFERROR(SUM(E17:E21), 0)</f>
        <v>1.7709999999999999</v>
      </c>
      <c r="F22" s="83"/>
      <c r="G22" s="83"/>
      <c r="H22" s="83"/>
      <c r="I22" s="83"/>
      <c r="J22" s="83"/>
      <c r="K22" s="83"/>
      <c r="L22" s="1268"/>
      <c r="M22" s="249"/>
      <c r="N22" s="257" t="s">
        <v>12710</v>
      </c>
      <c r="O22" s="761"/>
      <c r="P22" s="258"/>
      <c r="Q22" s="761"/>
      <c r="R22" s="2589"/>
      <c r="T22" s="2589"/>
      <c r="AC22" s="2589"/>
      <c r="AD22" s="237"/>
      <c r="AE22" s="422" t="s">
        <v>12709</v>
      </c>
      <c r="AF22" s="790" t="s">
        <v>12711</v>
      </c>
      <c r="AG22" s="83"/>
      <c r="AH22" s="83"/>
      <c r="AI22" s="83"/>
      <c r="AJ22" s="83"/>
      <c r="AK22" s="83"/>
      <c r="AL22" s="83"/>
      <c r="AM22" s="1268"/>
    </row>
    <row r="23" spans="1:39" ht="32.25" customHeight="1">
      <c r="A23" s="200"/>
      <c r="B23" s="422" t="s">
        <v>12712</v>
      </c>
      <c r="C23" s="253" t="s">
        <v>1344</v>
      </c>
      <c r="D23" s="253">
        <v>0</v>
      </c>
      <c r="E23" s="1282">
        <v>0</v>
      </c>
      <c r="F23" s="83"/>
      <c r="G23" s="83"/>
      <c r="H23" s="83"/>
      <c r="I23" s="83"/>
      <c r="J23" s="83"/>
      <c r="K23" s="83"/>
      <c r="L23" s="1268"/>
      <c r="M23" s="249"/>
      <c r="N23" s="257" t="s">
        <v>12713</v>
      </c>
      <c r="O23" s="761"/>
      <c r="P23" s="258"/>
      <c r="Q23" s="761"/>
      <c r="R23" s="2589"/>
      <c r="S23" s="1121">
        <f t="shared" ref="S23:S24" si="19">IF( SUM( U23:AB23 ) = 0, 0, $U$5 )</f>
        <v>0</v>
      </c>
      <c r="T23" s="2589"/>
      <c r="U23" s="252">
        <f t="shared" si="18"/>
        <v>0</v>
      </c>
      <c r="AC23" s="2589"/>
      <c r="AD23" s="237"/>
      <c r="AE23" s="422" t="s">
        <v>12712</v>
      </c>
      <c r="AF23" s="1282" t="s">
        <v>12714</v>
      </c>
      <c r="AG23" s="83"/>
      <c r="AH23" s="83"/>
      <c r="AI23" s="83"/>
      <c r="AJ23" s="83"/>
      <c r="AK23" s="83"/>
      <c r="AL23" s="83"/>
      <c r="AM23" s="1268"/>
    </row>
    <row r="24" spans="1:39" ht="32.25" customHeight="1" thickBot="1">
      <c r="A24" s="200"/>
      <c r="B24" s="425" t="s">
        <v>12715</v>
      </c>
      <c r="C24" s="319" t="s">
        <v>137</v>
      </c>
      <c r="D24" s="319">
        <v>3</v>
      </c>
      <c r="E24" s="622">
        <v>0</v>
      </c>
      <c r="F24" s="83"/>
      <c r="G24" s="83"/>
      <c r="H24" s="83"/>
      <c r="I24" s="83"/>
      <c r="J24" s="83"/>
      <c r="K24" s="83"/>
      <c r="L24" s="1268"/>
      <c r="M24" s="249"/>
      <c r="N24" s="320" t="s">
        <v>12716</v>
      </c>
      <c r="O24" s="761"/>
      <c r="P24" s="269"/>
      <c r="Q24" s="761"/>
      <c r="R24" s="2589"/>
      <c r="S24" s="1121">
        <f t="shared" si="19"/>
        <v>0</v>
      </c>
      <c r="T24" s="2589"/>
      <c r="U24" s="252">
        <f t="shared" si="18"/>
        <v>0</v>
      </c>
      <c r="AC24" s="2589"/>
      <c r="AD24" s="237"/>
      <c r="AE24" s="425" t="s">
        <v>12715</v>
      </c>
      <c r="AF24" s="622" t="s">
        <v>12717</v>
      </c>
      <c r="AG24" s="83"/>
      <c r="AH24" s="83"/>
      <c r="AI24" s="83"/>
      <c r="AJ24" s="83"/>
      <c r="AK24" s="83"/>
      <c r="AL24" s="83"/>
      <c r="AM24" s="1268"/>
    </row>
    <row r="25" spans="1:39" ht="15.75" customHeight="1" thickTop="1" thickBot="1">
      <c r="A25" s="200"/>
      <c r="B25" s="1283"/>
      <c r="C25" s="1284"/>
      <c r="D25" s="1284"/>
      <c r="E25" s="1285"/>
      <c r="F25" s="1285"/>
      <c r="G25" s="1285"/>
      <c r="H25" s="1285"/>
      <c r="I25" s="1285"/>
      <c r="J25" s="1285"/>
      <c r="K25" s="1285"/>
      <c r="L25" s="1268"/>
      <c r="M25" s="222"/>
      <c r="N25" s="222"/>
      <c r="O25" s="761"/>
      <c r="P25" s="865"/>
      <c r="Q25" s="761"/>
      <c r="R25" s="2589"/>
      <c r="T25" s="2589"/>
      <c r="AC25" s="2589"/>
      <c r="AD25" s="237"/>
      <c r="AE25" s="1283"/>
      <c r="AF25" s="1285"/>
      <c r="AG25" s="1285"/>
      <c r="AH25" s="1285"/>
      <c r="AI25" s="1285"/>
      <c r="AJ25" s="1285"/>
      <c r="AK25" s="1285"/>
      <c r="AL25" s="1285"/>
      <c r="AM25" s="1268"/>
    </row>
    <row r="26" spans="1:39" ht="32.25" customHeight="1" thickTop="1" thickBot="1">
      <c r="A26" s="200"/>
      <c r="B26" s="1286" t="s">
        <v>12718</v>
      </c>
      <c r="C26" s="1284"/>
      <c r="D26" s="1284"/>
      <c r="E26" s="1285"/>
      <c r="F26" s="1285"/>
      <c r="G26" s="1285"/>
      <c r="H26" s="1285"/>
      <c r="I26" s="1285"/>
      <c r="J26" s="1285"/>
      <c r="K26" s="1285"/>
      <c r="L26" s="1268"/>
      <c r="M26" s="222"/>
      <c r="N26" s="222"/>
      <c r="O26" s="761"/>
      <c r="P26" s="865"/>
      <c r="Q26" s="761"/>
      <c r="R26" s="2589"/>
      <c r="T26" s="2589"/>
      <c r="AC26" s="2589"/>
      <c r="AD26" s="237"/>
      <c r="AE26" s="1286" t="s">
        <v>12719</v>
      </c>
      <c r="AF26" s="1285"/>
      <c r="AG26" s="1285"/>
      <c r="AH26" s="1285"/>
      <c r="AI26" s="1285"/>
      <c r="AJ26" s="1285"/>
      <c r="AK26" s="1285"/>
      <c r="AL26" s="1285"/>
      <c r="AM26" s="1268"/>
    </row>
    <row r="27" spans="1:39" ht="15.75" customHeight="1" thickTop="1" thickBot="1">
      <c r="A27" s="200"/>
      <c r="B27" s="1283"/>
      <c r="C27" s="222"/>
      <c r="D27" s="222"/>
      <c r="E27" s="222"/>
      <c r="F27" s="222"/>
      <c r="G27" s="222"/>
      <c r="H27" s="222"/>
      <c r="I27" s="1285"/>
      <c r="J27" s="1285"/>
      <c r="K27" s="1285"/>
      <c r="L27" s="1268"/>
      <c r="M27" s="1287"/>
      <c r="N27" s="1287"/>
      <c r="O27" s="761"/>
      <c r="P27" s="865"/>
      <c r="Q27" s="761"/>
      <c r="R27" s="2589"/>
      <c r="T27" s="2589"/>
      <c r="AC27" s="2589"/>
      <c r="AD27" s="237"/>
      <c r="AE27" s="1283"/>
      <c r="AF27" s="222"/>
      <c r="AG27" s="222"/>
      <c r="AH27" s="222"/>
      <c r="AI27" s="222"/>
      <c r="AJ27" s="1285"/>
      <c r="AK27" s="1285"/>
      <c r="AL27" s="1285"/>
      <c r="AM27" s="1268"/>
    </row>
    <row r="28" spans="1:39" ht="15.75" customHeight="1" thickTop="1" thickBot="1">
      <c r="A28" s="200"/>
      <c r="B28" s="1079" t="s">
        <v>12720</v>
      </c>
      <c r="C28" s="1080" t="s">
        <v>135</v>
      </c>
      <c r="D28" s="1080" t="s">
        <v>136</v>
      </c>
      <c r="E28" s="1279" t="s">
        <v>12693</v>
      </c>
      <c r="F28" s="444"/>
      <c r="G28" s="1285"/>
      <c r="H28" s="1042"/>
      <c r="I28" s="1042"/>
      <c r="J28" s="1042"/>
      <c r="K28" s="1042"/>
      <c r="L28" s="1268"/>
      <c r="M28" s="1287"/>
      <c r="N28" s="1287"/>
      <c r="O28" s="761"/>
      <c r="P28" s="865"/>
      <c r="Q28" s="761"/>
      <c r="R28" s="2589"/>
      <c r="T28" s="2589"/>
      <c r="AC28" s="2589"/>
      <c r="AD28" s="2560"/>
      <c r="AE28" s="1079" t="s">
        <v>12721</v>
      </c>
      <c r="AF28" s="1279" t="s">
        <v>12693</v>
      </c>
      <c r="AG28" s="444"/>
      <c r="AH28" s="1285"/>
      <c r="AI28" s="1042"/>
      <c r="AJ28" s="1042"/>
      <c r="AK28" s="1042"/>
      <c r="AL28" s="1042"/>
      <c r="AM28" s="1268"/>
    </row>
    <row r="29" spans="1:39" ht="32.25" customHeight="1" thickTop="1" thickBot="1">
      <c r="A29" s="200"/>
      <c r="B29" s="413" t="s">
        <v>12722</v>
      </c>
      <c r="C29" s="244" t="s">
        <v>12723</v>
      </c>
      <c r="D29" s="244">
        <v>0</v>
      </c>
      <c r="E29" s="1653">
        <v>17675</v>
      </c>
      <c r="F29" s="83"/>
      <c r="G29" s="1285"/>
      <c r="H29" s="1285"/>
      <c r="I29" s="1285"/>
      <c r="J29" s="1285"/>
      <c r="K29" s="1285"/>
      <c r="L29" s="1268"/>
      <c r="M29" s="174"/>
      <c r="N29" s="935" t="s">
        <v>12724</v>
      </c>
      <c r="O29" s="761"/>
      <c r="P29" s="250"/>
      <c r="Q29" s="761"/>
      <c r="R29" s="2589"/>
      <c r="S29" s="1121">
        <f t="shared" ref="S29:S31" si="20">IF( SUM( U29:AB29 ) = 0, 0, $U$5 )</f>
        <v>0</v>
      </c>
      <c r="T29" s="2589"/>
      <c r="U29" s="252">
        <f t="shared" ref="U29:U31" si="21" xml:space="preserve"> IF( ISNUMBER(E29 ), 0, 1 )</f>
        <v>0</v>
      </c>
      <c r="AC29" s="2589"/>
      <c r="AD29" s="237"/>
      <c r="AE29" s="1280" t="s">
        <v>12722</v>
      </c>
      <c r="AF29" s="1288" t="s">
        <v>12725</v>
      </c>
      <c r="AG29" s="83"/>
      <c r="AH29" s="1285"/>
      <c r="AI29" s="1285"/>
      <c r="AJ29" s="1285"/>
      <c r="AK29" s="1285"/>
      <c r="AL29" s="1285"/>
      <c r="AM29" s="1268"/>
    </row>
    <row r="30" spans="1:39" ht="32.25" customHeight="1" thickTop="1">
      <c r="A30" s="200"/>
      <c r="B30" s="422" t="s">
        <v>12726</v>
      </c>
      <c r="C30" s="253" t="s">
        <v>12727</v>
      </c>
      <c r="D30" s="253">
        <v>0</v>
      </c>
      <c r="E30" s="1654">
        <v>4764</v>
      </c>
      <c r="F30" s="83"/>
      <c r="G30" s="1285"/>
      <c r="H30" s="1285"/>
      <c r="I30" s="1285"/>
      <c r="J30" s="1285"/>
      <c r="K30" s="1285"/>
      <c r="L30" s="1268"/>
      <c r="M30" s="174"/>
      <c r="N30" s="936" t="s">
        <v>12728</v>
      </c>
      <c r="O30" s="761"/>
      <c r="P30" s="258"/>
      <c r="Q30" s="761"/>
      <c r="R30" s="2589"/>
      <c r="S30" s="1121">
        <f t="shared" si="20"/>
        <v>0</v>
      </c>
      <c r="T30" s="2589"/>
      <c r="U30" s="252">
        <f t="shared" si="21"/>
        <v>0</v>
      </c>
      <c r="AC30" s="2589"/>
      <c r="AD30" s="237"/>
      <c r="AE30" s="413" t="s">
        <v>12726</v>
      </c>
      <c r="AF30" s="1289" t="s">
        <v>12729</v>
      </c>
      <c r="AG30" s="83"/>
      <c r="AH30" s="1285"/>
      <c r="AI30" s="1285"/>
      <c r="AJ30" s="1285"/>
      <c r="AK30" s="1285"/>
      <c r="AL30" s="1285"/>
      <c r="AM30" s="1268"/>
    </row>
    <row r="31" spans="1:39" ht="32.25" customHeight="1" thickBot="1">
      <c r="A31" s="200"/>
      <c r="B31" s="425" t="s">
        <v>12730</v>
      </c>
      <c r="C31" s="319" t="s">
        <v>137</v>
      </c>
      <c r="D31" s="319">
        <v>3</v>
      </c>
      <c r="E31" s="622">
        <v>7.84</v>
      </c>
      <c r="F31" s="83"/>
      <c r="G31" s="1285"/>
      <c r="H31" s="1285"/>
      <c r="I31" s="1285"/>
      <c r="J31" s="1285"/>
      <c r="K31" s="1285"/>
      <c r="L31" s="1268"/>
      <c r="M31" s="174"/>
      <c r="N31" s="938" t="s">
        <v>12731</v>
      </c>
      <c r="O31" s="761"/>
      <c r="P31" s="269"/>
      <c r="Q31" s="761"/>
      <c r="R31" s="2589"/>
      <c r="S31" s="1121">
        <f t="shared" si="20"/>
        <v>0</v>
      </c>
      <c r="T31" s="2589"/>
      <c r="U31" s="252">
        <f t="shared" si="21"/>
        <v>0</v>
      </c>
      <c r="AC31" s="2589"/>
      <c r="AD31" s="237"/>
      <c r="AE31" s="425" t="s">
        <v>12730</v>
      </c>
      <c r="AF31" s="622" t="s">
        <v>12732</v>
      </c>
      <c r="AG31" s="83"/>
      <c r="AH31" s="1285"/>
      <c r="AI31" s="1285"/>
      <c r="AJ31" s="1285"/>
      <c r="AK31" s="1285"/>
      <c r="AL31" s="1285"/>
      <c r="AM31" s="1268"/>
    </row>
    <row r="32" spans="1:39" ht="15.75" customHeight="1" thickTop="1" thickBot="1">
      <c r="A32" s="200"/>
      <c r="B32" s="200"/>
      <c r="C32" s="597"/>
      <c r="D32" s="597"/>
      <c r="E32" s="200"/>
      <c r="F32" s="200"/>
      <c r="G32" s="200"/>
      <c r="H32" s="200"/>
      <c r="I32" s="200"/>
      <c r="J32" s="200"/>
      <c r="K32" s="200"/>
      <c r="L32" s="200"/>
      <c r="M32" s="672"/>
      <c r="N32" s="672"/>
      <c r="R32" s="2589"/>
      <c r="T32" s="2589"/>
      <c r="AC32" s="2589"/>
      <c r="AD32" s="237"/>
      <c r="AE32" s="200"/>
      <c r="AF32" s="200"/>
      <c r="AG32" s="200"/>
      <c r="AH32" s="200"/>
      <c r="AI32" s="200"/>
      <c r="AJ32" s="200"/>
      <c r="AK32" s="200"/>
      <c r="AL32" s="200"/>
      <c r="AM32" s="200"/>
    </row>
    <row r="33" spans="1:39" ht="30" customHeight="1" thickTop="1">
      <c r="A33" s="200"/>
      <c r="B33" s="2686"/>
      <c r="C33" s="2667" t="s">
        <v>1892</v>
      </c>
      <c r="D33" s="2667" t="s">
        <v>136</v>
      </c>
      <c r="E33" s="574" t="s">
        <v>12637</v>
      </c>
      <c r="F33" s="574" t="s">
        <v>12638</v>
      </c>
      <c r="G33" s="574" t="s">
        <v>12639</v>
      </c>
      <c r="H33" s="574" t="s">
        <v>2112</v>
      </c>
      <c r="I33" s="574" t="s">
        <v>12637</v>
      </c>
      <c r="J33" s="574" t="s">
        <v>12638</v>
      </c>
      <c r="K33" s="574" t="s">
        <v>12639</v>
      </c>
      <c r="L33" s="575" t="s">
        <v>2112</v>
      </c>
      <c r="M33" s="619"/>
      <c r="N33" s="619"/>
      <c r="R33" s="2589"/>
      <c r="T33" s="2589"/>
      <c r="AC33" s="2589"/>
      <c r="AD33" s="2560"/>
      <c r="AE33" s="2686"/>
      <c r="AF33" s="574" t="s">
        <v>12637</v>
      </c>
      <c r="AG33" s="574" t="s">
        <v>12638</v>
      </c>
      <c r="AH33" s="574" t="s">
        <v>12639</v>
      </c>
      <c r="AI33" s="574" t="s">
        <v>2112</v>
      </c>
      <c r="AJ33" s="574" t="s">
        <v>12637</v>
      </c>
      <c r="AK33" s="574" t="s">
        <v>12638</v>
      </c>
      <c r="AL33" s="574" t="s">
        <v>12639</v>
      </c>
      <c r="AM33" s="575" t="s">
        <v>2112</v>
      </c>
    </row>
    <row r="34" spans="1:39" ht="31.5" thickBot="1">
      <c r="A34" s="200"/>
      <c r="B34" s="2687"/>
      <c r="C34" s="2668"/>
      <c r="D34" s="2668"/>
      <c r="E34" s="238" t="s">
        <v>12640</v>
      </c>
      <c r="F34" s="238" t="s">
        <v>12640</v>
      </c>
      <c r="G34" s="238" t="s">
        <v>12640</v>
      </c>
      <c r="H34" s="238" t="s">
        <v>12640</v>
      </c>
      <c r="I34" s="238" t="s">
        <v>12641</v>
      </c>
      <c r="J34" s="238" t="s">
        <v>12641</v>
      </c>
      <c r="K34" s="238" t="s">
        <v>12641</v>
      </c>
      <c r="L34" s="576" t="s">
        <v>12641</v>
      </c>
      <c r="M34" s="672"/>
      <c r="N34" s="672"/>
      <c r="R34" s="2589"/>
      <c r="T34" s="2589"/>
      <c r="AC34" s="2589"/>
      <c r="AD34" s="2560"/>
      <c r="AE34" s="2687"/>
      <c r="AF34" s="238" t="s">
        <v>12640</v>
      </c>
      <c r="AG34" s="238" t="s">
        <v>12640</v>
      </c>
      <c r="AH34" s="238" t="s">
        <v>12640</v>
      </c>
      <c r="AI34" s="238" t="s">
        <v>12640</v>
      </c>
      <c r="AJ34" s="238" t="s">
        <v>12641</v>
      </c>
      <c r="AK34" s="238" t="s">
        <v>12641</v>
      </c>
      <c r="AL34" s="238" t="s">
        <v>12641</v>
      </c>
      <c r="AM34" s="576" t="s">
        <v>12641</v>
      </c>
    </row>
    <row r="35" spans="1:39" ht="15.75" customHeight="1" thickTop="1" thickBot="1">
      <c r="A35" s="200"/>
      <c r="B35" s="1291"/>
      <c r="C35" s="597"/>
      <c r="D35" s="597"/>
      <c r="E35" s="444"/>
      <c r="F35" s="444"/>
      <c r="G35" s="444"/>
      <c r="H35" s="444"/>
      <c r="I35" s="444"/>
      <c r="J35" s="444"/>
      <c r="K35" s="444"/>
      <c r="L35" s="444"/>
      <c r="M35" s="672"/>
      <c r="N35" s="672"/>
      <c r="R35" s="2589"/>
      <c r="T35" s="2589"/>
      <c r="AC35" s="2589"/>
      <c r="AD35" s="237"/>
      <c r="AE35" s="1291"/>
      <c r="AF35" s="444"/>
      <c r="AG35" s="444"/>
      <c r="AH35" s="444"/>
      <c r="AI35" s="444"/>
      <c r="AJ35" s="444"/>
      <c r="AK35" s="444"/>
      <c r="AL35" s="444"/>
      <c r="AM35" s="444"/>
    </row>
    <row r="36" spans="1:39" ht="15.75" customHeight="1" thickTop="1" thickBot="1">
      <c r="A36" s="200"/>
      <c r="B36" s="355" t="s">
        <v>12733</v>
      </c>
      <c r="C36" s="597"/>
      <c r="D36" s="597"/>
      <c r="E36" s="444"/>
      <c r="F36" s="444"/>
      <c r="G36" s="444"/>
      <c r="H36" s="444"/>
      <c r="I36" s="444"/>
      <c r="J36" s="1042"/>
      <c r="K36" s="1042"/>
      <c r="L36" s="1042"/>
      <c r="M36" s="672"/>
      <c r="N36" s="672"/>
      <c r="R36" s="2589"/>
      <c r="T36" s="2589"/>
      <c r="AC36" s="2589"/>
      <c r="AD36" s="237"/>
      <c r="AE36" s="355" t="s">
        <v>12733</v>
      </c>
      <c r="AF36" s="444"/>
      <c r="AG36" s="444"/>
      <c r="AH36" s="444"/>
      <c r="AI36" s="444"/>
      <c r="AJ36" s="444"/>
      <c r="AK36" s="1042"/>
      <c r="AL36" s="1042"/>
      <c r="AM36" s="1042"/>
    </row>
    <row r="37" spans="1:39" ht="31.5" thickTop="1">
      <c r="A37" s="200"/>
      <c r="B37" s="413" t="s">
        <v>12643</v>
      </c>
      <c r="C37" s="244" t="s">
        <v>1695</v>
      </c>
      <c r="D37" s="244" t="s">
        <v>1695</v>
      </c>
      <c r="E37" s="1646"/>
      <c r="F37" s="1646"/>
      <c r="G37" s="1646"/>
      <c r="H37" s="2459">
        <v>66352</v>
      </c>
      <c r="I37" s="1651"/>
      <c r="J37" s="1651"/>
      <c r="K37" s="1651"/>
      <c r="L37" s="599">
        <f>L9</f>
        <v>10.925982677272412</v>
      </c>
      <c r="M37" s="672"/>
      <c r="N37" s="248" t="s">
        <v>12734</v>
      </c>
      <c r="P37" s="250"/>
      <c r="R37" s="2589"/>
      <c r="S37" s="1121">
        <f t="shared" ref="S37:S42" si="22">IF( SUM( U37:AB37 ) = 0, 0, $U$5 )</f>
        <v>0</v>
      </c>
      <c r="T37" s="2589"/>
      <c r="AB37" s="252">
        <f t="shared" ref="AB37" si="23" xml:space="preserve"> IF( ISNUMBER(L37 ), 0, 1 )</f>
        <v>0</v>
      </c>
      <c r="AC37" s="2589"/>
      <c r="AD37" s="237"/>
      <c r="AE37" s="413" t="s">
        <v>12643</v>
      </c>
      <c r="AF37" s="1292"/>
      <c r="AG37" s="1292"/>
      <c r="AH37" s="1292"/>
      <c r="AI37" s="967" t="s">
        <v>1403</v>
      </c>
      <c r="AJ37" s="1292"/>
      <c r="AK37" s="1292"/>
      <c r="AL37" s="1292"/>
      <c r="AM37" s="1293" t="s">
        <v>12735</v>
      </c>
    </row>
    <row r="38" spans="1:39" ht="31">
      <c r="A38" s="200"/>
      <c r="B38" s="422" t="s">
        <v>12646</v>
      </c>
      <c r="C38" s="253" t="s">
        <v>1695</v>
      </c>
      <c r="D38" s="253" t="s">
        <v>1695</v>
      </c>
      <c r="E38" s="1647">
        <v>13041</v>
      </c>
      <c r="F38" s="1647">
        <v>117573</v>
      </c>
      <c r="G38" s="1647">
        <v>0</v>
      </c>
      <c r="H38" s="1605">
        <f t="shared" ref="H38:H42" si="24">IFERROR(SUM(E38:G38), 0)</f>
        <v>130614</v>
      </c>
      <c r="I38" s="601">
        <v>2.6058885822412132</v>
      </c>
      <c r="J38" s="601">
        <v>8.1630000000000003</v>
      </c>
      <c r="K38" s="601">
        <v>0</v>
      </c>
      <c r="L38" s="1482">
        <f t="shared" ref="L38:L40" si="25">IFERROR(SUM(I38:K38), 0)</f>
        <v>10.768888582241214</v>
      </c>
      <c r="M38" s="672"/>
      <c r="N38" s="257" t="s">
        <v>12736</v>
      </c>
      <c r="P38" s="258"/>
      <c r="R38" s="2589"/>
      <c r="S38" s="1121">
        <f t="shared" si="22"/>
        <v>0</v>
      </c>
      <c r="T38" s="2589"/>
      <c r="U38" s="252">
        <f t="shared" ref="U38:U40" si="26" xml:space="preserve"> IF( ISNUMBER(E38 ), 0, 1 )</f>
        <v>0</v>
      </c>
      <c r="V38" s="252">
        <f t="shared" ref="V38:V42" si="27" xml:space="preserve"> IF( ISNUMBER(F38 ), 0, 1 )</f>
        <v>0</v>
      </c>
      <c r="W38" s="252">
        <f t="shared" ref="W38:W42" si="28" xml:space="preserve"> IF( ISNUMBER(G38 ), 0, 1 )</f>
        <v>0</v>
      </c>
      <c r="Y38" s="252">
        <f t="shared" ref="Y38:Y40" si="29" xml:space="preserve"> IF( ISNUMBER(I38 ), 0, 1 )</f>
        <v>0</v>
      </c>
      <c r="Z38" s="252">
        <f t="shared" ref="Z38:Z40" si="30" xml:space="preserve"> IF( ISNUMBER(J38 ), 0, 1 )</f>
        <v>0</v>
      </c>
      <c r="AA38" s="252">
        <f t="shared" ref="AA38:AA40" si="31" xml:space="preserve"> IF( ISNUMBER(K38 ), 0, 1 )</f>
        <v>0</v>
      </c>
      <c r="AC38" s="2589"/>
      <c r="AD38" s="237"/>
      <c r="AE38" s="422" t="s">
        <v>12646</v>
      </c>
      <c r="AF38" s="967" t="s">
        <v>12737</v>
      </c>
      <c r="AG38" s="967" t="s">
        <v>12738</v>
      </c>
      <c r="AH38" s="967" t="s">
        <v>12739</v>
      </c>
      <c r="AI38" s="1046" t="s">
        <v>12740</v>
      </c>
      <c r="AJ38" s="967" t="s">
        <v>12741</v>
      </c>
      <c r="AK38" s="967" t="s">
        <v>12742</v>
      </c>
      <c r="AL38" s="967" t="s">
        <v>12743</v>
      </c>
      <c r="AM38" s="1028" t="s">
        <v>12744</v>
      </c>
    </row>
    <row r="39" spans="1:39" ht="31">
      <c r="A39" s="200"/>
      <c r="B39" s="422" t="s">
        <v>12656</v>
      </c>
      <c r="C39" s="253" t="s">
        <v>1695</v>
      </c>
      <c r="D39" s="253" t="s">
        <v>1695</v>
      </c>
      <c r="E39" s="1647">
        <v>58535</v>
      </c>
      <c r="F39" s="1647">
        <v>0</v>
      </c>
      <c r="G39" s="1647">
        <v>0</v>
      </c>
      <c r="H39" s="1605">
        <f t="shared" si="24"/>
        <v>58535</v>
      </c>
      <c r="I39" s="601">
        <v>11.696625117819909</v>
      </c>
      <c r="J39" s="601">
        <v>0</v>
      </c>
      <c r="K39" s="601">
        <v>0</v>
      </c>
      <c r="L39" s="1482">
        <f t="shared" si="25"/>
        <v>11.696625117819909</v>
      </c>
      <c r="M39" s="672"/>
      <c r="N39" s="257" t="s">
        <v>12745</v>
      </c>
      <c r="P39" s="258"/>
      <c r="R39" s="2589"/>
      <c r="S39" s="1121">
        <f t="shared" si="22"/>
        <v>0</v>
      </c>
      <c r="T39" s="2589"/>
      <c r="U39" s="252">
        <f t="shared" si="26"/>
        <v>0</v>
      </c>
      <c r="V39" s="252">
        <f t="shared" si="27"/>
        <v>0</v>
      </c>
      <c r="W39" s="252">
        <f t="shared" si="28"/>
        <v>0</v>
      </c>
      <c r="Y39" s="252">
        <f t="shared" si="29"/>
        <v>0</v>
      </c>
      <c r="Z39" s="252">
        <f t="shared" si="30"/>
        <v>0</v>
      </c>
      <c r="AA39" s="252">
        <f t="shared" si="31"/>
        <v>0</v>
      </c>
      <c r="AC39" s="2589"/>
      <c r="AD39" s="237"/>
      <c r="AE39" s="422" t="s">
        <v>12656</v>
      </c>
      <c r="AF39" s="967" t="s">
        <v>12746</v>
      </c>
      <c r="AG39" s="967" t="s">
        <v>12747</v>
      </c>
      <c r="AH39" s="967" t="s">
        <v>12748</v>
      </c>
      <c r="AI39" s="1046" t="s">
        <v>12749</v>
      </c>
      <c r="AJ39" s="967" t="s">
        <v>12750</v>
      </c>
      <c r="AK39" s="967" t="s">
        <v>12751</v>
      </c>
      <c r="AL39" s="967" t="s">
        <v>12752</v>
      </c>
      <c r="AM39" s="1028" t="s">
        <v>12753</v>
      </c>
    </row>
    <row r="40" spans="1:39" ht="31">
      <c r="A40" s="200"/>
      <c r="B40" s="422" t="s">
        <v>12666</v>
      </c>
      <c r="C40" s="253" t="s">
        <v>1695</v>
      </c>
      <c r="D40" s="253" t="s">
        <v>1695</v>
      </c>
      <c r="E40" s="1647">
        <v>4912</v>
      </c>
      <c r="F40" s="1647">
        <v>0</v>
      </c>
      <c r="G40" s="1647">
        <v>0</v>
      </c>
      <c r="H40" s="1605">
        <f t="shared" si="24"/>
        <v>4912</v>
      </c>
      <c r="I40" s="601">
        <v>0.85508547422213077</v>
      </c>
      <c r="J40" s="601">
        <v>0</v>
      </c>
      <c r="K40" s="601">
        <v>0</v>
      </c>
      <c r="L40" s="1482">
        <f t="shared" si="25"/>
        <v>0.85508547422213077</v>
      </c>
      <c r="M40" s="672"/>
      <c r="N40" s="257" t="s">
        <v>12754</v>
      </c>
      <c r="P40" s="258"/>
      <c r="R40" s="2589"/>
      <c r="S40" s="1121">
        <f t="shared" si="22"/>
        <v>0</v>
      </c>
      <c r="T40" s="2589"/>
      <c r="U40" s="252">
        <f t="shared" si="26"/>
        <v>0</v>
      </c>
      <c r="V40" s="252">
        <f t="shared" si="27"/>
        <v>0</v>
      </c>
      <c r="W40" s="252">
        <f t="shared" si="28"/>
        <v>0</v>
      </c>
      <c r="Y40" s="252">
        <f t="shared" si="29"/>
        <v>0</v>
      </c>
      <c r="Z40" s="252">
        <f t="shared" si="30"/>
        <v>0</v>
      </c>
      <c r="AA40" s="252">
        <f t="shared" si="31"/>
        <v>0</v>
      </c>
      <c r="AC40" s="2589"/>
      <c r="AD40" s="237"/>
      <c r="AE40" s="422" t="s">
        <v>12666</v>
      </c>
      <c r="AF40" s="967" t="s">
        <v>12755</v>
      </c>
      <c r="AG40" s="967" t="s">
        <v>12756</v>
      </c>
      <c r="AH40" s="967" t="s">
        <v>12757</v>
      </c>
      <c r="AI40" s="1046" t="s">
        <v>12758</v>
      </c>
      <c r="AJ40" s="967" t="s">
        <v>12759</v>
      </c>
      <c r="AK40" s="967" t="s">
        <v>12760</v>
      </c>
      <c r="AL40" s="967" t="s">
        <v>12761</v>
      </c>
      <c r="AM40" s="1028" t="s">
        <v>12762</v>
      </c>
    </row>
    <row r="41" spans="1:39" ht="31">
      <c r="A41" s="200"/>
      <c r="B41" s="422" t="s">
        <v>12676</v>
      </c>
      <c r="C41" s="253" t="s">
        <v>1695</v>
      </c>
      <c r="D41" s="253" t="s">
        <v>1695</v>
      </c>
      <c r="E41" s="1647">
        <v>0</v>
      </c>
      <c r="F41" s="1647">
        <v>145342</v>
      </c>
      <c r="G41" s="1647">
        <v>0</v>
      </c>
      <c r="H41" s="1605">
        <f t="shared" si="24"/>
        <v>145342</v>
      </c>
      <c r="I41" s="1981"/>
      <c r="J41" s="1980"/>
      <c r="K41" s="1980"/>
      <c r="L41" s="1652"/>
      <c r="M41" s="672"/>
      <c r="N41" s="257" t="s">
        <v>12763</v>
      </c>
      <c r="P41" s="258"/>
      <c r="R41" s="2589"/>
      <c r="S41" s="1121">
        <f t="shared" si="22"/>
        <v>0</v>
      </c>
      <c r="T41" s="2589"/>
      <c r="U41" s="252">
        <f t="shared" ref="U41:U42" si="32" xml:space="preserve"> IF( ISNUMBER(E41 ), 0, 1 )</f>
        <v>0</v>
      </c>
      <c r="V41" s="252">
        <f t="shared" si="27"/>
        <v>0</v>
      </c>
      <c r="W41" s="252">
        <f t="shared" si="28"/>
        <v>0</v>
      </c>
      <c r="AC41" s="2589"/>
      <c r="AD41" s="237"/>
      <c r="AE41" s="422" t="s">
        <v>12676</v>
      </c>
      <c r="AF41" s="967" t="s">
        <v>12764</v>
      </c>
      <c r="AG41" s="967" t="s">
        <v>12765</v>
      </c>
      <c r="AH41" s="967" t="s">
        <v>12766</v>
      </c>
      <c r="AI41" s="1046" t="s">
        <v>12767</v>
      </c>
      <c r="AJ41" s="1294"/>
      <c r="AK41" s="1274"/>
      <c r="AL41" s="1274"/>
      <c r="AM41" s="1275"/>
    </row>
    <row r="42" spans="1:39" ht="31.5" thickBot="1">
      <c r="A42" s="200"/>
      <c r="B42" s="425" t="s">
        <v>12682</v>
      </c>
      <c r="C42" s="319" t="s">
        <v>1695</v>
      </c>
      <c r="D42" s="319" t="s">
        <v>1695</v>
      </c>
      <c r="E42" s="1649">
        <v>4621</v>
      </c>
      <c r="F42" s="1649">
        <v>26781</v>
      </c>
      <c r="G42" s="1649">
        <v>0</v>
      </c>
      <c r="H42" s="1613">
        <f t="shared" si="24"/>
        <v>31402</v>
      </c>
      <c r="I42" s="1524">
        <v>0.92338096300411376</v>
      </c>
      <c r="J42" s="1524">
        <v>1.873</v>
      </c>
      <c r="K42" s="1524">
        <v>0</v>
      </c>
      <c r="L42" s="1483">
        <f t="shared" ref="L42" si="33">IFERROR(SUM(I42:K42), 0)</f>
        <v>2.7963809630041139</v>
      </c>
      <c r="M42" s="672"/>
      <c r="N42" s="320" t="s">
        <v>12768</v>
      </c>
      <c r="P42" s="269"/>
      <c r="R42" s="2589"/>
      <c r="S42" s="1121">
        <f t="shared" si="22"/>
        <v>0</v>
      </c>
      <c r="T42" s="2589"/>
      <c r="U42" s="252">
        <f t="shared" si="32"/>
        <v>0</v>
      </c>
      <c r="V42" s="252">
        <f t="shared" si="27"/>
        <v>0</v>
      </c>
      <c r="W42" s="252">
        <f t="shared" si="28"/>
        <v>0</v>
      </c>
      <c r="Y42" s="252">
        <f t="shared" ref="Y42" si="34" xml:space="preserve"> IF( ISNUMBER(I42 ), 0, 1 )</f>
        <v>0</v>
      </c>
      <c r="Z42" s="252">
        <f t="shared" ref="Z42" si="35" xml:space="preserve"> IF( ISNUMBER(J42 ), 0, 1 )</f>
        <v>0</v>
      </c>
      <c r="AA42" s="252">
        <f t="shared" ref="AA42" si="36" xml:space="preserve"> IF( ISNUMBER(K42 ), 0, 1 )</f>
        <v>0</v>
      </c>
      <c r="AC42" s="2589"/>
      <c r="AD42" s="237"/>
      <c r="AE42" s="425" t="s">
        <v>12682</v>
      </c>
      <c r="AF42" s="1295" t="s">
        <v>12769</v>
      </c>
      <c r="AG42" s="1295" t="s">
        <v>12770</v>
      </c>
      <c r="AH42" s="1295" t="s">
        <v>12771</v>
      </c>
      <c r="AI42" s="1030" t="s">
        <v>12772</v>
      </c>
      <c r="AJ42" s="1295" t="s">
        <v>12773</v>
      </c>
      <c r="AK42" s="1295" t="s">
        <v>12774</v>
      </c>
      <c r="AL42" s="1295" t="s">
        <v>12775</v>
      </c>
      <c r="AM42" s="1031" t="s">
        <v>12776</v>
      </c>
    </row>
    <row r="43" spans="1:39" ht="15.75" customHeight="1" thickTop="1" thickBot="1">
      <c r="A43" s="200"/>
      <c r="B43" s="484"/>
      <c r="C43" s="596"/>
      <c r="D43" s="596"/>
      <c r="E43" s="596"/>
      <c r="F43" s="596"/>
      <c r="G43" s="596"/>
      <c r="H43" s="596"/>
      <c r="I43" s="596"/>
      <c r="J43" s="596"/>
      <c r="K43" s="596"/>
      <c r="L43" s="200"/>
      <c r="M43" s="672"/>
      <c r="N43" s="619"/>
      <c r="R43" s="2589"/>
      <c r="T43" s="2589"/>
      <c r="AC43" s="2589"/>
      <c r="AD43" s="237"/>
      <c r="AE43" s="484"/>
      <c r="AF43" s="596"/>
      <c r="AG43" s="596"/>
      <c r="AH43" s="596"/>
      <c r="AI43" s="596"/>
      <c r="AJ43" s="596"/>
      <c r="AK43" s="596"/>
      <c r="AL43" s="596"/>
      <c r="AM43" s="200"/>
    </row>
    <row r="44" spans="1:39" ht="15.75" customHeight="1" thickTop="1" thickBot="1">
      <c r="A44" s="200"/>
      <c r="B44" s="407"/>
      <c r="C44" s="409" t="s">
        <v>1344</v>
      </c>
      <c r="D44" s="596"/>
      <c r="E44" s="596"/>
      <c r="F44" s="596"/>
      <c r="G44" s="596"/>
      <c r="H44" s="596"/>
      <c r="I44" s="596"/>
      <c r="J44" s="596"/>
      <c r="K44" s="619"/>
      <c r="L44" s="200"/>
      <c r="M44" s="672"/>
      <c r="N44" s="1290"/>
      <c r="R44" s="2589"/>
      <c r="T44" s="2589"/>
      <c r="AC44" s="2589"/>
      <c r="AD44" s="237"/>
      <c r="AE44" s="407"/>
      <c r="AF44" s="409" t="s">
        <v>1344</v>
      </c>
      <c r="AG44" s="596"/>
      <c r="AH44" s="596"/>
      <c r="AI44" s="596"/>
      <c r="AJ44" s="596"/>
      <c r="AK44" s="596"/>
      <c r="AL44" s="619"/>
      <c r="AM44" s="200"/>
    </row>
    <row r="45" spans="1:39" ht="15.75" customHeight="1" thickTop="1" thickBot="1">
      <c r="A45" s="200"/>
      <c r="B45" s="484"/>
      <c r="C45" s="596"/>
      <c r="D45" s="596"/>
      <c r="E45" s="596"/>
      <c r="F45" s="596"/>
      <c r="G45" s="596"/>
      <c r="H45" s="596"/>
      <c r="I45" s="596"/>
      <c r="J45" s="596"/>
      <c r="K45" s="619"/>
      <c r="L45" s="200"/>
      <c r="M45" s="672"/>
      <c r="N45" s="1290"/>
      <c r="R45" s="2589"/>
      <c r="T45" s="2589"/>
      <c r="AC45" s="2589"/>
      <c r="AD45" s="237"/>
      <c r="AE45" s="484"/>
      <c r="AF45" s="596"/>
      <c r="AG45" s="596"/>
      <c r="AH45" s="596"/>
      <c r="AI45" s="596"/>
      <c r="AJ45" s="596"/>
      <c r="AK45" s="596"/>
      <c r="AL45" s="619"/>
      <c r="AM45" s="200"/>
    </row>
    <row r="46" spans="1:39" ht="15.75" customHeight="1" thickTop="1" thickBot="1">
      <c r="A46" s="200"/>
      <c r="B46" s="431" t="s">
        <v>12777</v>
      </c>
      <c r="C46" s="1982">
        <v>0</v>
      </c>
      <c r="D46" s="596"/>
      <c r="E46" s="596"/>
      <c r="F46" s="596"/>
      <c r="G46" s="596"/>
      <c r="H46" s="596"/>
      <c r="I46" s="596"/>
      <c r="J46" s="596"/>
      <c r="K46" s="596"/>
      <c r="L46" s="200"/>
      <c r="M46" s="672"/>
      <c r="N46" s="336" t="s">
        <v>12778</v>
      </c>
      <c r="P46" s="337"/>
      <c r="R46" s="2589"/>
      <c r="S46" s="1121">
        <f>IF( SUM( U46:AB46 ) = 0, 0, $U$5 )</f>
        <v>0</v>
      </c>
      <c r="T46" s="2589"/>
      <c r="U46" s="252">
        <f xml:space="preserve"> IF( ISNUMBER(C46 ), 0, 1 )</f>
        <v>0</v>
      </c>
      <c r="AC46" s="2589"/>
      <c r="AD46" s="237"/>
      <c r="AE46" s="431" t="s">
        <v>12777</v>
      </c>
      <c r="AF46" s="1296" t="s">
        <v>12779</v>
      </c>
      <c r="AG46" s="596"/>
      <c r="AH46" s="596"/>
      <c r="AI46" s="596"/>
      <c r="AJ46" s="596"/>
      <c r="AK46" s="596"/>
      <c r="AL46" s="596"/>
      <c r="AM46" s="200"/>
    </row>
    <row r="47" spans="1:39" ht="16" thickTop="1">
      <c r="A47" s="200"/>
      <c r="B47" s="200"/>
      <c r="C47" s="597"/>
      <c r="D47" s="597"/>
      <c r="E47" s="200"/>
      <c r="F47" s="200"/>
      <c r="G47" s="200"/>
      <c r="H47" s="200"/>
      <c r="I47" s="200"/>
      <c r="J47" s="200"/>
      <c r="K47" s="200"/>
      <c r="L47" s="200"/>
      <c r="M47" s="672"/>
      <c r="N47" s="672"/>
      <c r="R47" s="2560"/>
      <c r="T47" s="2560"/>
      <c r="AC47" s="2560"/>
      <c r="AD47" s="237"/>
      <c r="AE47" s="237"/>
      <c r="AF47" s="2572"/>
      <c r="AG47" s="2560"/>
      <c r="AH47" s="2560"/>
      <c r="AI47" s="2560"/>
      <c r="AJ47" s="2560"/>
      <c r="AK47" s="2560"/>
      <c r="AL47" s="2560"/>
    </row>
    <row r="48" spans="1:39">
      <c r="A48" s="200"/>
      <c r="B48" s="200"/>
      <c r="C48" s="597"/>
      <c r="D48" s="597"/>
      <c r="E48" s="200"/>
      <c r="F48" s="200"/>
      <c r="G48" s="200"/>
      <c r="H48" s="200"/>
      <c r="I48" s="200"/>
      <c r="J48" s="200"/>
      <c r="K48" s="200"/>
      <c r="L48" s="200"/>
      <c r="M48" s="672"/>
      <c r="N48" s="672"/>
      <c r="R48" s="2560"/>
      <c r="T48" s="2560"/>
      <c r="AC48" s="2560"/>
      <c r="AD48" s="237"/>
      <c r="AE48" s="237"/>
      <c r="AF48" s="2572"/>
      <c r="AG48" s="2560"/>
      <c r="AH48" s="2560"/>
      <c r="AI48" s="2560"/>
      <c r="AJ48" s="2560"/>
      <c r="AK48" s="2560"/>
      <c r="AL48" s="323"/>
    </row>
    <row r="49" spans="1:32">
      <c r="A49" s="200"/>
      <c r="B49" s="200"/>
      <c r="C49" s="597"/>
      <c r="D49" s="597"/>
      <c r="E49" s="200"/>
      <c r="F49" s="200"/>
      <c r="G49" s="200"/>
      <c r="H49" s="200"/>
      <c r="I49" s="200"/>
      <c r="J49" s="200"/>
      <c r="K49" s="200"/>
      <c r="L49" s="200"/>
      <c r="M49" s="672"/>
      <c r="N49" s="672"/>
      <c r="R49" s="2560"/>
      <c r="T49" s="2560"/>
      <c r="AC49" s="2560"/>
      <c r="AD49" s="2560"/>
      <c r="AE49" s="2560"/>
      <c r="AF49" s="2560"/>
    </row>
    <row r="50" spans="1:32">
      <c r="A50" s="200"/>
      <c r="B50" s="200"/>
      <c r="C50" s="597"/>
      <c r="D50" s="597"/>
      <c r="E50" s="200"/>
      <c r="F50" s="200"/>
      <c r="G50" s="200"/>
      <c r="H50" s="200"/>
      <c r="I50" s="200"/>
      <c r="J50" s="200"/>
      <c r="K50" s="200"/>
      <c r="L50" s="200"/>
      <c r="M50" s="672"/>
      <c r="N50" s="672"/>
      <c r="R50" s="2560"/>
      <c r="T50" s="2560"/>
      <c r="AC50" s="2560"/>
      <c r="AD50" s="2560"/>
      <c r="AE50" s="2560"/>
      <c r="AF50" s="2560"/>
    </row>
    <row r="51" spans="1:32">
      <c r="A51" s="200"/>
      <c r="B51" s="200"/>
      <c r="C51" s="597"/>
      <c r="D51" s="597"/>
      <c r="E51" s="200"/>
      <c r="F51" s="200"/>
      <c r="G51" s="200"/>
      <c r="H51" s="200"/>
      <c r="I51" s="200"/>
      <c r="J51" s="200"/>
      <c r="K51" s="200"/>
      <c r="L51" s="200"/>
      <c r="M51" s="672"/>
      <c r="N51" s="672"/>
      <c r="R51" s="2560"/>
      <c r="T51" s="2560"/>
      <c r="AC51" s="2560"/>
      <c r="AD51" s="2560"/>
      <c r="AE51" s="2560"/>
      <c r="AF51" s="2560"/>
    </row>
    <row r="52" spans="1:32">
      <c r="A52" s="200"/>
      <c r="B52" s="200"/>
      <c r="C52" s="597"/>
      <c r="D52" s="597"/>
      <c r="E52" s="200"/>
      <c r="F52" s="200"/>
      <c r="G52" s="200"/>
      <c r="H52" s="200"/>
      <c r="I52" s="200"/>
      <c r="J52" s="200"/>
      <c r="K52" s="200"/>
      <c r="L52" s="200"/>
      <c r="M52" s="672"/>
      <c r="N52" s="672"/>
      <c r="R52" s="2560"/>
      <c r="T52" s="2560"/>
      <c r="AC52" s="2560"/>
      <c r="AD52" s="2560"/>
      <c r="AE52" s="2560"/>
      <c r="AF52" s="2560"/>
    </row>
    <row r="53" spans="1:32">
      <c r="A53" s="200"/>
      <c r="B53" s="200"/>
      <c r="C53" s="597"/>
      <c r="D53" s="597"/>
      <c r="E53" s="200"/>
      <c r="F53" s="200"/>
      <c r="G53" s="200"/>
      <c r="H53" s="200"/>
      <c r="I53" s="200"/>
      <c r="J53" s="200"/>
      <c r="K53" s="200"/>
      <c r="L53" s="200"/>
      <c r="M53" s="672"/>
      <c r="N53" s="672"/>
      <c r="R53" s="2560"/>
      <c r="T53" s="2560"/>
      <c r="AC53" s="2560"/>
      <c r="AD53" s="2560"/>
      <c r="AE53" s="2560"/>
      <c r="AF53" s="2560"/>
    </row>
    <row r="54" spans="1:32">
      <c r="A54" s="200"/>
      <c r="B54" s="200"/>
      <c r="C54" s="597"/>
      <c r="D54" s="597"/>
      <c r="E54" s="200"/>
      <c r="F54" s="200"/>
      <c r="G54" s="200"/>
      <c r="H54" s="200"/>
      <c r="I54" s="200"/>
      <c r="J54" s="200"/>
      <c r="K54" s="200"/>
      <c r="L54" s="200"/>
      <c r="M54" s="672"/>
      <c r="N54" s="672"/>
      <c r="R54" s="2560"/>
      <c r="T54" s="2560"/>
      <c r="AC54" s="2560"/>
      <c r="AD54" s="2560"/>
      <c r="AE54" s="2560"/>
      <c r="AF54" s="2560"/>
    </row>
    <row r="55" spans="1:32">
      <c r="A55" s="200"/>
      <c r="B55" s="200"/>
      <c r="C55" s="597"/>
      <c r="D55" s="597"/>
      <c r="E55" s="200"/>
      <c r="F55" s="200"/>
      <c r="G55" s="200"/>
      <c r="H55" s="200"/>
      <c r="I55" s="200"/>
      <c r="J55" s="200"/>
      <c r="K55" s="200"/>
      <c r="L55" s="200"/>
      <c r="M55" s="672"/>
      <c r="N55" s="672"/>
      <c r="R55" s="2560"/>
      <c r="T55" s="2560"/>
      <c r="AC55" s="2560"/>
      <c r="AD55" s="237"/>
      <c r="AE55" s="237"/>
      <c r="AF55" s="2572"/>
    </row>
    <row r="56" spans="1:32">
      <c r="A56" s="200"/>
      <c r="B56" s="200"/>
      <c r="C56" s="597"/>
      <c r="D56" s="597"/>
      <c r="E56" s="200"/>
      <c r="F56" s="200"/>
      <c r="G56" s="200"/>
      <c r="H56" s="200"/>
      <c r="I56" s="200"/>
      <c r="J56" s="200"/>
      <c r="K56" s="200"/>
      <c r="L56" s="200"/>
      <c r="M56" s="672"/>
      <c r="N56" s="672"/>
      <c r="R56" s="2560"/>
      <c r="T56" s="2560"/>
      <c r="AC56" s="2560"/>
      <c r="AD56" s="237"/>
      <c r="AE56" s="237"/>
      <c r="AF56" s="2572"/>
    </row>
    <row r="57" spans="1:32">
      <c r="A57" s="200"/>
      <c r="B57" s="200"/>
      <c r="C57" s="597"/>
      <c r="D57" s="597"/>
      <c r="E57" s="200"/>
      <c r="F57" s="200"/>
      <c r="G57" s="200"/>
      <c r="H57" s="200"/>
      <c r="I57" s="200"/>
      <c r="J57" s="200"/>
      <c r="K57" s="200"/>
      <c r="L57" s="200"/>
      <c r="M57" s="672"/>
      <c r="N57" s="672"/>
      <c r="R57" s="2560"/>
      <c r="T57" s="2560"/>
      <c r="AC57" s="2560"/>
      <c r="AD57" s="237"/>
      <c r="AE57" s="237"/>
      <c r="AF57" s="2572"/>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1" priority="9" operator="equal">
      <formula>0</formula>
    </cfRule>
  </conditionalFormatting>
  <conditionalFormatting sqref="S17:S21">
    <cfRule type="cellIs" dxfId="30" priority="5" operator="equal">
      <formula>0</formula>
    </cfRule>
  </conditionalFormatting>
  <conditionalFormatting sqref="S23:S24">
    <cfRule type="cellIs" dxfId="29" priority="4" operator="equal">
      <formula>0</formula>
    </cfRule>
  </conditionalFormatting>
  <conditionalFormatting sqref="S29:S31">
    <cfRule type="cellIs" dxfId="28" priority="3" operator="equal">
      <formula>0</formula>
    </cfRule>
  </conditionalFormatting>
  <conditionalFormatting sqref="S37:S42">
    <cfRule type="cellIs" dxfId="27" priority="2" operator="equal">
      <formula>0</formula>
    </cfRule>
  </conditionalFormatting>
  <conditionalFormatting sqref="S46">
    <cfRule type="cellIs" dxfId="26" priority="1" operator="equal">
      <formula>0</formula>
    </cfRule>
  </conditionalFormatting>
  <dataValidations count="1">
    <dataValidation type="custom" allowBlank="1" showErrorMessage="1" errorTitle="Input Error" error="Please input a numeric value." sqref="E23:E24 E17:E21 I14:K14 L9 E10:G14 I10:K12 E29:E31 E38:G42"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Normal="100" zoomScaleSheetLayoutView="100" workbookViewId="0">
      <selection activeCell="J22" sqref="J22"/>
    </sheetView>
  </sheetViews>
  <sheetFormatPr defaultColWidth="9" defaultRowHeight="14"/>
  <cols>
    <col min="1" max="1" width="1.58203125" style="219" customWidth="1"/>
    <col min="2" max="2" width="59" style="224" customWidth="1"/>
    <col min="3" max="3" width="5.5" style="219" bestFit="1" customWidth="1"/>
    <col min="4" max="4" width="4.58203125" style="219" bestFit="1" customWidth="1"/>
    <col min="5" max="5" width="10.08203125" style="219" bestFit="1" customWidth="1"/>
    <col min="6" max="6" width="19.58203125" style="219" customWidth="1"/>
    <col min="7" max="7" width="1.58203125" style="219" customWidth="1"/>
    <col min="8" max="8" width="9.08203125" style="1303" bestFit="1" customWidth="1"/>
    <col min="9" max="9" width="1.58203125" style="219" customWidth="1"/>
    <col min="10" max="10" width="82.83203125" style="219" bestFit="1" customWidth="1"/>
    <col min="11" max="12" width="1.58203125" style="219" customWidth="1"/>
    <col min="13" max="13" width="25" style="219" customWidth="1"/>
    <col min="14" max="14" width="1.58203125" style="219" customWidth="1"/>
    <col min="15" max="16" width="12.5" style="219" hidden="1" customWidth="1"/>
    <col min="17" max="17" width="1.58203125" style="219" hidden="1" customWidth="1"/>
    <col min="18" max="18" width="1.58203125" style="219" customWidth="1"/>
    <col min="19" max="19" width="36.08203125" style="219" customWidth="1"/>
    <col min="20" max="21" width="12.5" style="219" customWidth="1"/>
    <col min="22" max="22" width="1.58203125" style="219" customWidth="1"/>
    <col min="23" max="23" width="9" style="219"/>
    <col min="24" max="24" width="9.08203125" style="219" bestFit="1" customWidth="1"/>
    <col min="25" max="25" width="9" style="219" customWidth="1"/>
    <col min="26" max="16384" width="9" style="219"/>
  </cols>
  <sheetData>
    <row r="1" spans="1:21" ht="30" customHeight="1">
      <c r="A1" s="2560"/>
      <c r="B1" s="1119" t="s">
        <v>12780</v>
      </c>
      <c r="C1" s="1119"/>
      <c r="D1" s="1119"/>
      <c r="E1" s="1119"/>
      <c r="F1" s="1119"/>
      <c r="G1" s="1119"/>
      <c r="H1" s="1119"/>
      <c r="I1" s="1119"/>
      <c r="J1" s="1119"/>
      <c r="K1" s="1119"/>
      <c r="L1" s="2589"/>
      <c r="M1" s="2560"/>
      <c r="N1" s="2589"/>
      <c r="O1" s="2560"/>
      <c r="P1" s="2560"/>
      <c r="Q1" s="2589"/>
      <c r="R1" s="2560"/>
      <c r="S1" s="1119" t="s">
        <v>1887</v>
      </c>
      <c r="T1" s="1119"/>
      <c r="U1" s="1119"/>
    </row>
    <row r="2" spans="1:21" ht="30" customHeight="1">
      <c r="A2" s="2560"/>
      <c r="B2" s="1119" t="str">
        <f>SelectCompany!B4</f>
        <v>Yorkshire Water</v>
      </c>
      <c r="C2" s="491"/>
      <c r="D2" s="491"/>
      <c r="E2" s="491"/>
      <c r="F2" s="491"/>
      <c r="G2" s="491"/>
      <c r="H2" s="491"/>
      <c r="I2" s="491"/>
      <c r="J2" s="491"/>
      <c r="K2" s="491"/>
      <c r="L2" s="2589"/>
      <c r="M2" s="2560"/>
      <c r="N2" s="2589"/>
      <c r="O2" s="2560"/>
      <c r="P2" s="2560"/>
      <c r="Q2" s="2589"/>
      <c r="R2" s="2560"/>
      <c r="S2" s="1119"/>
      <c r="T2" s="491"/>
      <c r="U2" s="491"/>
    </row>
    <row r="3" spans="1:21" ht="45" customHeight="1">
      <c r="A3" s="2560"/>
      <c r="B3" s="2781" t="s">
        <v>12781</v>
      </c>
      <c r="C3" s="2781"/>
      <c r="D3" s="2781"/>
      <c r="E3" s="2781"/>
      <c r="F3" s="2781"/>
      <c r="G3" s="2781"/>
      <c r="H3" s="2781"/>
      <c r="I3" s="2781"/>
      <c r="J3" s="2781"/>
      <c r="K3" s="1298"/>
      <c r="L3" s="2589"/>
      <c r="M3" s="1129" t="s">
        <v>1889</v>
      </c>
      <c r="N3" s="2589"/>
      <c r="O3" s="2560"/>
      <c r="P3" s="2560"/>
      <c r="Q3" s="2589"/>
      <c r="R3" s="2560"/>
      <c r="S3" s="2781" t="s">
        <v>12781</v>
      </c>
      <c r="T3" s="2781"/>
      <c r="U3" s="2781"/>
    </row>
    <row r="4" spans="1:21" ht="14.25" customHeight="1" thickBot="1">
      <c r="A4" s="2560"/>
      <c r="B4" s="594"/>
      <c r="C4" s="594"/>
      <c r="D4" s="594"/>
      <c r="E4" s="594"/>
      <c r="F4" s="594"/>
      <c r="G4" s="594"/>
      <c r="H4" s="1298"/>
      <c r="I4" s="2560"/>
      <c r="J4" s="2560"/>
      <c r="K4" s="2560"/>
      <c r="L4" s="2589"/>
      <c r="M4" s="2560"/>
      <c r="N4" s="2589"/>
      <c r="O4" s="2869" t="s">
        <v>1890</v>
      </c>
      <c r="P4" s="2869"/>
      <c r="Q4" s="2589"/>
      <c r="R4" s="2560"/>
      <c r="S4" s="594"/>
      <c r="T4" s="594"/>
      <c r="U4" s="594"/>
    </row>
    <row r="5" spans="1:21" ht="55.5" customHeight="1" thickTop="1" thickBot="1">
      <c r="A5" s="222"/>
      <c r="B5" s="407" t="s">
        <v>1891</v>
      </c>
      <c r="C5" s="408" t="s">
        <v>1892</v>
      </c>
      <c r="D5" s="408" t="s">
        <v>136</v>
      </c>
      <c r="E5" s="408" t="s">
        <v>12782</v>
      </c>
      <c r="F5" s="409" t="s">
        <v>12783</v>
      </c>
      <c r="G5" s="1223"/>
      <c r="H5" s="411" t="s">
        <v>1896</v>
      </c>
      <c r="I5" s="222"/>
      <c r="J5" s="411" t="s">
        <v>1897</v>
      </c>
      <c r="K5" s="222"/>
      <c r="L5" s="2589"/>
      <c r="M5" s="2560"/>
      <c r="N5" s="2589"/>
      <c r="O5" s="236" t="s">
        <v>1898</v>
      </c>
      <c r="P5" s="2560"/>
      <c r="Q5" s="2589"/>
      <c r="R5" s="2560"/>
      <c r="S5" s="407" t="s">
        <v>1891</v>
      </c>
      <c r="T5" s="408" t="s">
        <v>12782</v>
      </c>
      <c r="U5" s="409" t="s">
        <v>12783</v>
      </c>
    </row>
    <row r="6" spans="1:21" ht="15.75" customHeight="1" thickTop="1" thickBot="1">
      <c r="A6" s="222"/>
      <c r="B6" s="195"/>
      <c r="C6" s="768"/>
      <c r="D6" s="768"/>
      <c r="E6" s="768"/>
      <c r="F6" s="768"/>
      <c r="G6" s="1223"/>
      <c r="H6" s="771"/>
      <c r="I6" s="222"/>
      <c r="J6" s="222"/>
      <c r="K6" s="222"/>
      <c r="L6" s="2589"/>
      <c r="M6" s="2560"/>
      <c r="N6" s="2589"/>
      <c r="O6" s="2560"/>
      <c r="P6" s="2560"/>
      <c r="Q6" s="2589"/>
      <c r="R6" s="2560"/>
      <c r="S6" s="195"/>
      <c r="T6" s="768"/>
      <c r="U6" s="768"/>
    </row>
    <row r="7" spans="1:21" ht="15.75" customHeight="1" thickTop="1" thickBot="1">
      <c r="A7" s="222"/>
      <c r="B7" s="355" t="s">
        <v>12784</v>
      </c>
      <c r="C7" s="444"/>
      <c r="D7" s="444"/>
      <c r="E7" s="444"/>
      <c r="F7" s="114"/>
      <c r="G7" s="114"/>
      <c r="H7" s="771"/>
      <c r="I7" s="222"/>
      <c r="J7" s="222"/>
      <c r="K7" s="222"/>
      <c r="L7" s="2589"/>
      <c r="M7" s="2560"/>
      <c r="N7" s="2589"/>
      <c r="O7" s="2560"/>
      <c r="P7" s="2560"/>
      <c r="Q7" s="2589"/>
      <c r="R7" s="2560"/>
      <c r="S7" s="355" t="s">
        <v>12784</v>
      </c>
      <c r="T7" s="444"/>
      <c r="U7" s="114"/>
    </row>
    <row r="8" spans="1:21" ht="15.75" customHeight="1" thickTop="1">
      <c r="A8" s="222"/>
      <c r="B8" s="413" t="s">
        <v>12785</v>
      </c>
      <c r="C8" s="244" t="s">
        <v>1344</v>
      </c>
      <c r="D8" s="244">
        <v>1</v>
      </c>
      <c r="E8" s="1655">
        <v>7.0000000000000001E-3</v>
      </c>
      <c r="F8" s="1656">
        <v>0</v>
      </c>
      <c r="G8" s="114"/>
      <c r="H8" s="248" t="s">
        <v>12786</v>
      </c>
      <c r="I8" s="222"/>
      <c r="J8" s="1120"/>
      <c r="K8" s="222"/>
      <c r="L8" s="2589"/>
      <c r="M8" s="1121">
        <f t="shared" ref="M8:M13" si="0">IF( SUM( O8:P8 ) = 0, 0, $O$5 )</f>
        <v>0</v>
      </c>
      <c r="N8" s="2589"/>
      <c r="O8" s="252">
        <f t="shared" ref="O8" si="1" xml:space="preserve"> IF( ISNUMBER(E8 ), 0, 1 )</f>
        <v>0</v>
      </c>
      <c r="P8" s="252">
        <f t="shared" ref="P8:P13" si="2" xml:space="preserve"> IF( ISNUMBER(F8 ), 0, 1 )</f>
        <v>0</v>
      </c>
      <c r="Q8" s="2589"/>
      <c r="R8" s="2560"/>
      <c r="S8" s="413" t="s">
        <v>12785</v>
      </c>
      <c r="T8" s="1299" t="s">
        <v>12787</v>
      </c>
      <c r="U8" s="1157" t="s">
        <v>12788</v>
      </c>
    </row>
    <row r="9" spans="1:21" ht="15.75" customHeight="1">
      <c r="A9" s="222"/>
      <c r="B9" s="422" t="s">
        <v>12789</v>
      </c>
      <c r="C9" s="253" t="s">
        <v>1344</v>
      </c>
      <c r="D9" s="253">
        <v>1</v>
      </c>
      <c r="E9" s="1657">
        <v>0</v>
      </c>
      <c r="F9" s="1658">
        <v>0</v>
      </c>
      <c r="G9" s="114"/>
      <c r="H9" s="257" t="s">
        <v>12790</v>
      </c>
      <c r="I9" s="222"/>
      <c r="J9" s="1122"/>
      <c r="K9" s="222"/>
      <c r="L9" s="2589"/>
      <c r="M9" s="1121">
        <f t="shared" si="0"/>
        <v>0</v>
      </c>
      <c r="N9" s="2589"/>
      <c r="O9" s="252">
        <f t="shared" ref="O9:O13" si="3" xml:space="preserve"> IF( ISNUMBER(E9 ), 0, 1 )</f>
        <v>0</v>
      </c>
      <c r="P9" s="252">
        <f t="shared" si="2"/>
        <v>0</v>
      </c>
      <c r="Q9" s="2589"/>
      <c r="R9" s="2560"/>
      <c r="S9" s="422" t="s">
        <v>12789</v>
      </c>
      <c r="T9" s="1300" t="s">
        <v>12791</v>
      </c>
      <c r="U9" s="1158" t="s">
        <v>12792</v>
      </c>
    </row>
    <row r="10" spans="1:21" ht="15.75" customHeight="1">
      <c r="A10" s="222"/>
      <c r="B10" s="422" t="s">
        <v>12793</v>
      </c>
      <c r="C10" s="253" t="s">
        <v>1344</v>
      </c>
      <c r="D10" s="253">
        <v>1</v>
      </c>
      <c r="E10" s="1657">
        <v>0.82499999999999996</v>
      </c>
      <c r="F10" s="1658">
        <v>0</v>
      </c>
      <c r="G10" s="114"/>
      <c r="H10" s="257" t="s">
        <v>12794</v>
      </c>
      <c r="I10" s="222"/>
      <c r="J10" s="1122"/>
      <c r="K10" s="222"/>
      <c r="L10" s="2589"/>
      <c r="M10" s="1121">
        <f t="shared" si="0"/>
        <v>0</v>
      </c>
      <c r="N10" s="2589"/>
      <c r="O10" s="252">
        <f t="shared" si="3"/>
        <v>0</v>
      </c>
      <c r="P10" s="252">
        <f t="shared" si="2"/>
        <v>0</v>
      </c>
      <c r="Q10" s="2589"/>
      <c r="R10" s="2560"/>
      <c r="S10" s="422" t="s">
        <v>12793</v>
      </c>
      <c r="T10" s="1171" t="s">
        <v>12795</v>
      </c>
      <c r="U10" s="1158" t="s">
        <v>12796</v>
      </c>
    </row>
    <row r="11" spans="1:21" ht="15.75" customHeight="1">
      <c r="A11" s="222"/>
      <c r="B11" s="422" t="s">
        <v>12797</v>
      </c>
      <c r="C11" s="253" t="s">
        <v>1344</v>
      </c>
      <c r="D11" s="253">
        <v>1</v>
      </c>
      <c r="E11" s="1657">
        <v>0.16800000000000001</v>
      </c>
      <c r="F11" s="1658">
        <v>0</v>
      </c>
      <c r="G11" s="394"/>
      <c r="H11" s="257" t="s">
        <v>12798</v>
      </c>
      <c r="I11" s="222"/>
      <c r="J11" s="1122"/>
      <c r="K11" s="222"/>
      <c r="L11" s="2589"/>
      <c r="M11" s="1121">
        <f t="shared" si="0"/>
        <v>0</v>
      </c>
      <c r="N11" s="2589"/>
      <c r="O11" s="252">
        <f t="shared" si="3"/>
        <v>0</v>
      </c>
      <c r="P11" s="252">
        <f t="shared" si="2"/>
        <v>0</v>
      </c>
      <c r="Q11" s="2589"/>
      <c r="R11" s="2560"/>
      <c r="S11" s="422" t="s">
        <v>12797</v>
      </c>
      <c r="T11" s="1300" t="s">
        <v>12799</v>
      </c>
      <c r="U11" s="1158" t="s">
        <v>12800</v>
      </c>
    </row>
    <row r="12" spans="1:21" ht="15.75" customHeight="1">
      <c r="A12" s="222"/>
      <c r="B12" s="422" t="s">
        <v>12801</v>
      </c>
      <c r="C12" s="253" t="s">
        <v>1344</v>
      </c>
      <c r="D12" s="253">
        <v>1</v>
      </c>
      <c r="E12" s="1657">
        <v>0</v>
      </c>
      <c r="F12" s="1658">
        <v>0</v>
      </c>
      <c r="G12" s="114"/>
      <c r="H12" s="257" t="s">
        <v>12802</v>
      </c>
      <c r="I12" s="222"/>
      <c r="J12" s="1122"/>
      <c r="K12" s="222"/>
      <c r="L12" s="2589"/>
      <c r="M12" s="1121">
        <f t="shared" si="0"/>
        <v>0</v>
      </c>
      <c r="N12" s="2589"/>
      <c r="O12" s="252">
        <f t="shared" si="3"/>
        <v>0</v>
      </c>
      <c r="P12" s="252">
        <f t="shared" si="2"/>
        <v>0</v>
      </c>
      <c r="Q12" s="2589"/>
      <c r="R12" s="2560"/>
      <c r="S12" s="422" t="s">
        <v>12801</v>
      </c>
      <c r="T12" s="1300" t="s">
        <v>12803</v>
      </c>
      <c r="U12" s="1158" t="s">
        <v>12804</v>
      </c>
    </row>
    <row r="13" spans="1:21" ht="15.75" customHeight="1">
      <c r="A13" s="222"/>
      <c r="B13" s="422" t="s">
        <v>12805</v>
      </c>
      <c r="C13" s="253" t="s">
        <v>1344</v>
      </c>
      <c r="D13" s="253">
        <v>1</v>
      </c>
      <c r="E13" s="1657">
        <v>0</v>
      </c>
      <c r="F13" s="1658">
        <v>0</v>
      </c>
      <c r="G13" s="111"/>
      <c r="H13" s="257" t="s">
        <v>12806</v>
      </c>
      <c r="I13" s="222"/>
      <c r="J13" s="1122"/>
      <c r="K13" s="222"/>
      <c r="L13" s="2589"/>
      <c r="M13" s="1121">
        <f t="shared" si="0"/>
        <v>0</v>
      </c>
      <c r="N13" s="2589"/>
      <c r="O13" s="252">
        <f t="shared" si="3"/>
        <v>0</v>
      </c>
      <c r="P13" s="252">
        <f t="shared" si="2"/>
        <v>0</v>
      </c>
      <c r="Q13" s="2589"/>
      <c r="R13" s="2560"/>
      <c r="S13" s="422" t="s">
        <v>12805</v>
      </c>
      <c r="T13" s="1300" t="s">
        <v>12807</v>
      </c>
      <c r="U13" s="1158" t="s">
        <v>12808</v>
      </c>
    </row>
    <row r="14" spans="1:21" ht="15.75" customHeight="1" thickBot="1">
      <c r="A14" s="222"/>
      <c r="B14" s="425" t="s">
        <v>12809</v>
      </c>
      <c r="C14" s="319" t="s">
        <v>1344</v>
      </c>
      <c r="D14" s="319">
        <v>1</v>
      </c>
      <c r="E14" s="1659">
        <f>IFERROR(SUM(E8:E13), 0)</f>
        <v>1</v>
      </c>
      <c r="F14" s="1660">
        <f>IFERROR(SUM(F8:F13), 0)</f>
        <v>0</v>
      </c>
      <c r="G14" s="111"/>
      <c r="H14" s="320" t="s">
        <v>12810</v>
      </c>
      <c r="I14" s="222"/>
      <c r="J14" s="1126"/>
      <c r="K14" s="222"/>
      <c r="L14" s="2589"/>
      <c r="M14" s="2560"/>
      <c r="N14" s="2589"/>
      <c r="O14" s="2560"/>
      <c r="P14" s="2560"/>
      <c r="Q14" s="2589"/>
      <c r="R14" s="2560"/>
      <c r="S14" s="425" t="s">
        <v>12809</v>
      </c>
      <c r="T14" s="1301" t="s">
        <v>12811</v>
      </c>
      <c r="U14" s="1251" t="s">
        <v>12812</v>
      </c>
    </row>
    <row r="15" spans="1:21" ht="15.75" customHeight="1" thickTop="1" thickBot="1">
      <c r="A15" s="222"/>
      <c r="B15" s="1302"/>
      <c r="C15" s="111"/>
      <c r="D15" s="111"/>
      <c r="E15" s="1661"/>
      <c r="F15" s="1661"/>
      <c r="G15" s="114"/>
      <c r="H15" s="1162"/>
      <c r="I15" s="222"/>
      <c r="J15" s="222"/>
      <c r="K15" s="222"/>
      <c r="L15" s="2589"/>
      <c r="M15" s="2560"/>
      <c r="N15" s="2589"/>
      <c r="O15" s="2560"/>
      <c r="P15" s="2560"/>
      <c r="Q15" s="2589"/>
      <c r="R15" s="2560"/>
      <c r="S15" s="1302"/>
      <c r="T15" s="114"/>
      <c r="U15" s="114"/>
    </row>
    <row r="16" spans="1:21" ht="15.75" customHeight="1" thickTop="1" thickBot="1">
      <c r="A16" s="222"/>
      <c r="B16" s="355" t="s">
        <v>12813</v>
      </c>
      <c r="C16" s="444"/>
      <c r="D16" s="444"/>
      <c r="E16" s="1662"/>
      <c r="F16" s="1661"/>
      <c r="G16" s="114"/>
      <c r="H16" s="771"/>
      <c r="I16" s="222"/>
      <c r="J16" s="222"/>
      <c r="K16" s="222"/>
      <c r="L16" s="2589"/>
      <c r="M16" s="2560"/>
      <c r="N16" s="2589"/>
      <c r="O16" s="2560"/>
      <c r="P16" s="2560"/>
      <c r="Q16" s="2589"/>
      <c r="R16" s="2560"/>
      <c r="S16" s="355" t="s">
        <v>12813</v>
      </c>
      <c r="T16" s="444"/>
      <c r="U16" s="114"/>
    </row>
    <row r="17" spans="1:21" ht="15.75" customHeight="1" thickTop="1">
      <c r="A17" s="222"/>
      <c r="B17" s="413" t="s">
        <v>12814</v>
      </c>
      <c r="C17" s="244" t="s">
        <v>1344</v>
      </c>
      <c r="D17" s="244">
        <v>1</v>
      </c>
      <c r="E17" s="1655">
        <v>3.0000000000000001E-3</v>
      </c>
      <c r="F17" s="1656">
        <v>0</v>
      </c>
      <c r="G17" s="114"/>
      <c r="H17" s="248" t="s">
        <v>12815</v>
      </c>
      <c r="I17" s="222"/>
      <c r="J17" s="1120"/>
      <c r="K17" s="222"/>
      <c r="L17" s="2589"/>
      <c r="M17" s="1121">
        <f t="shared" ref="M17:M21" si="4">IF( SUM( O17:P17 ) = 0, 0, $O$5 )</f>
        <v>0</v>
      </c>
      <c r="N17" s="2589"/>
      <c r="O17" s="252">
        <f t="shared" ref="O17:O21" si="5" xml:space="preserve"> IF( ISNUMBER(E17 ), 0, 1 )</f>
        <v>0</v>
      </c>
      <c r="P17" s="252">
        <f t="shared" ref="P17:P21" si="6" xml:space="preserve"> IF( ISNUMBER(F17 ), 0, 1 )</f>
        <v>0</v>
      </c>
      <c r="Q17" s="2589"/>
      <c r="R17" s="2560"/>
      <c r="S17" s="413" t="s">
        <v>12814</v>
      </c>
      <c r="T17" s="1299" t="s">
        <v>12816</v>
      </c>
      <c r="U17" s="1157" t="s">
        <v>12817</v>
      </c>
    </row>
    <row r="18" spans="1:21" ht="15.75" customHeight="1">
      <c r="A18" s="222"/>
      <c r="B18" s="422" t="s">
        <v>12818</v>
      </c>
      <c r="C18" s="253" t="s">
        <v>1344</v>
      </c>
      <c r="D18" s="253">
        <v>1</v>
      </c>
      <c r="E18" s="1657">
        <v>1.2E-2</v>
      </c>
      <c r="F18" s="1658">
        <v>0</v>
      </c>
      <c r="G18" s="114"/>
      <c r="H18" s="257" t="s">
        <v>12819</v>
      </c>
      <c r="I18" s="222"/>
      <c r="J18" s="1122"/>
      <c r="K18" s="222"/>
      <c r="L18" s="2589"/>
      <c r="M18" s="1121">
        <f t="shared" si="4"/>
        <v>0</v>
      </c>
      <c r="N18" s="2589"/>
      <c r="O18" s="252">
        <f t="shared" si="5"/>
        <v>0</v>
      </c>
      <c r="P18" s="252">
        <f t="shared" si="6"/>
        <v>0</v>
      </c>
      <c r="Q18" s="2589"/>
      <c r="R18" s="2560"/>
      <c r="S18" s="422" t="s">
        <v>12818</v>
      </c>
      <c r="T18" s="1300" t="s">
        <v>12820</v>
      </c>
      <c r="U18" s="1158" t="s">
        <v>12821</v>
      </c>
    </row>
    <row r="19" spans="1:21" ht="15.75" customHeight="1">
      <c r="A19" s="222"/>
      <c r="B19" s="422" t="s">
        <v>12822</v>
      </c>
      <c r="C19" s="253" t="s">
        <v>1344</v>
      </c>
      <c r="D19" s="253">
        <v>1</v>
      </c>
      <c r="E19" s="1657">
        <v>4.7E-2</v>
      </c>
      <c r="F19" s="1658">
        <v>0</v>
      </c>
      <c r="G19" s="114"/>
      <c r="H19" s="257" t="s">
        <v>12823</v>
      </c>
      <c r="I19" s="222"/>
      <c r="J19" s="1122"/>
      <c r="K19" s="222"/>
      <c r="L19" s="2589"/>
      <c r="M19" s="1121">
        <f t="shared" si="4"/>
        <v>0</v>
      </c>
      <c r="N19" s="2589"/>
      <c r="O19" s="252">
        <f t="shared" si="5"/>
        <v>0</v>
      </c>
      <c r="P19" s="252">
        <f t="shared" si="6"/>
        <v>0</v>
      </c>
      <c r="Q19" s="2589"/>
      <c r="R19" s="2560"/>
      <c r="S19" s="422" t="s">
        <v>12822</v>
      </c>
      <c r="T19" s="1300" t="s">
        <v>12824</v>
      </c>
      <c r="U19" s="1158" t="s">
        <v>12825</v>
      </c>
    </row>
    <row r="20" spans="1:21" ht="15.75" customHeight="1">
      <c r="A20" s="222"/>
      <c r="B20" s="422" t="s">
        <v>12826</v>
      </c>
      <c r="C20" s="253" t="s">
        <v>1344</v>
      </c>
      <c r="D20" s="253">
        <v>1</v>
      </c>
      <c r="E20" s="1657">
        <v>0.93700000000000006</v>
      </c>
      <c r="F20" s="1658">
        <v>0</v>
      </c>
      <c r="G20" s="394"/>
      <c r="H20" s="257" t="s">
        <v>12827</v>
      </c>
      <c r="I20" s="222"/>
      <c r="J20" s="1122"/>
      <c r="K20" s="222"/>
      <c r="L20" s="2589"/>
      <c r="M20" s="1121">
        <f t="shared" si="4"/>
        <v>0</v>
      </c>
      <c r="N20" s="2589"/>
      <c r="O20" s="252">
        <f t="shared" si="5"/>
        <v>0</v>
      </c>
      <c r="P20" s="252">
        <f t="shared" si="6"/>
        <v>0</v>
      </c>
      <c r="Q20" s="2589"/>
      <c r="R20" s="2560"/>
      <c r="S20" s="422" t="s">
        <v>12826</v>
      </c>
      <c r="T20" s="1300" t="s">
        <v>12828</v>
      </c>
      <c r="U20" s="1158" t="s">
        <v>12829</v>
      </c>
    </row>
    <row r="21" spans="1:21" ht="15.75" customHeight="1">
      <c r="A21" s="222"/>
      <c r="B21" s="422" t="s">
        <v>12830</v>
      </c>
      <c r="C21" s="253" t="s">
        <v>1344</v>
      </c>
      <c r="D21" s="253">
        <v>1</v>
      </c>
      <c r="E21" s="1657">
        <v>0</v>
      </c>
      <c r="F21" s="1658">
        <v>0</v>
      </c>
      <c r="G21" s="114"/>
      <c r="H21" s="257" t="s">
        <v>12831</v>
      </c>
      <c r="I21" s="222"/>
      <c r="J21" s="1122"/>
      <c r="K21" s="222"/>
      <c r="L21" s="2589"/>
      <c r="M21" s="1121">
        <f t="shared" si="4"/>
        <v>0</v>
      </c>
      <c r="N21" s="2589"/>
      <c r="O21" s="252">
        <f t="shared" si="5"/>
        <v>0</v>
      </c>
      <c r="P21" s="252">
        <f t="shared" si="6"/>
        <v>0</v>
      </c>
      <c r="Q21" s="2589"/>
      <c r="R21" s="2560"/>
      <c r="S21" s="422" t="s">
        <v>12830</v>
      </c>
      <c r="T21" s="1300" t="s">
        <v>12832</v>
      </c>
      <c r="U21" s="1158" t="s">
        <v>12833</v>
      </c>
    </row>
    <row r="22" spans="1:21" ht="15.75" customHeight="1" thickBot="1">
      <c r="A22" s="222"/>
      <c r="B22" s="425" t="s">
        <v>12834</v>
      </c>
      <c r="C22" s="319" t="s">
        <v>1344</v>
      </c>
      <c r="D22" s="319">
        <v>1</v>
      </c>
      <c r="E22" s="1659">
        <f>IFERROR(SUM(E17:E21), 0)</f>
        <v>0.99900000000000011</v>
      </c>
      <c r="F22" s="1660">
        <f>IFERROR(SUM(F17:F21), 0)</f>
        <v>0</v>
      </c>
      <c r="G22" s="111"/>
      <c r="H22" s="320" t="s">
        <v>12835</v>
      </c>
      <c r="I22" s="222"/>
      <c r="J22" s="2455" t="s">
        <v>12836</v>
      </c>
      <c r="K22" s="222"/>
      <c r="L22" s="2589"/>
      <c r="M22" s="2560"/>
      <c r="N22" s="2589"/>
      <c r="O22" s="2560"/>
      <c r="P22" s="2560"/>
      <c r="Q22" s="2589"/>
      <c r="R22" s="2560"/>
      <c r="S22" s="425" t="s">
        <v>12834</v>
      </c>
      <c r="T22" s="1301" t="s">
        <v>12837</v>
      </c>
      <c r="U22" s="1251" t="s">
        <v>12838</v>
      </c>
    </row>
    <row r="23" spans="1:21" ht="33" customHeight="1" thickTop="1">
      <c r="A23" s="222"/>
      <c r="B23" s="954"/>
      <c r="C23" s="222"/>
      <c r="D23" s="222"/>
      <c r="E23" s="222"/>
      <c r="F23" s="222"/>
      <c r="G23" s="222"/>
      <c r="H23" s="850"/>
      <c r="I23" s="222"/>
      <c r="J23" s="222"/>
      <c r="K23" s="222"/>
      <c r="L23" s="2560"/>
      <c r="M23" s="2560"/>
      <c r="N23" s="2560"/>
      <c r="O23" s="2560"/>
      <c r="P23" s="2560"/>
      <c r="Q23" s="2560"/>
      <c r="R23" s="2560"/>
      <c r="S23" s="2560"/>
      <c r="T23" s="2560"/>
      <c r="U23" s="2560"/>
    </row>
    <row r="24" spans="1:21" ht="33" customHeight="1">
      <c r="A24" s="222"/>
      <c r="B24" s="954"/>
      <c r="C24" s="222"/>
      <c r="D24" s="222"/>
      <c r="E24" s="222"/>
      <c r="F24" s="222"/>
      <c r="G24" s="222"/>
      <c r="H24" s="850"/>
      <c r="I24" s="222"/>
      <c r="J24" s="222"/>
      <c r="K24" s="222"/>
      <c r="L24" s="2560"/>
      <c r="M24" s="2560"/>
      <c r="N24" s="2560"/>
      <c r="O24" s="2560"/>
      <c r="P24" s="2560"/>
      <c r="Q24" s="2560"/>
      <c r="R24" s="2560"/>
      <c r="S24" s="2560"/>
      <c r="T24" s="2560"/>
      <c r="U24" s="2560"/>
    </row>
    <row r="25" spans="1:21" ht="15.5">
      <c r="A25" s="222"/>
      <c r="B25" s="954"/>
      <c r="C25" s="222"/>
      <c r="D25" s="222"/>
      <c r="E25" s="222"/>
      <c r="F25" s="222"/>
      <c r="G25" s="222"/>
      <c r="H25" s="850"/>
      <c r="I25" s="222"/>
      <c r="J25" s="222"/>
      <c r="K25" s="222"/>
      <c r="L25" s="2560"/>
      <c r="M25" s="2560"/>
      <c r="N25" s="2560"/>
      <c r="O25" s="2560"/>
      <c r="P25" s="2560"/>
      <c r="Q25" s="2560"/>
      <c r="R25" s="2560"/>
      <c r="S25" s="2560"/>
      <c r="T25" s="2560"/>
      <c r="U25" s="2560"/>
    </row>
    <row r="26" spans="1:21" ht="15.5">
      <c r="A26" s="222"/>
      <c r="B26" s="954"/>
      <c r="C26" s="222"/>
      <c r="D26" s="222"/>
      <c r="E26" s="222"/>
      <c r="F26" s="222"/>
      <c r="G26" s="222"/>
      <c r="H26" s="850"/>
      <c r="I26" s="222"/>
      <c r="J26" s="222"/>
      <c r="K26" s="222"/>
      <c r="L26" s="2560"/>
      <c r="M26" s="2560"/>
      <c r="N26" s="2560"/>
      <c r="O26" s="2560"/>
      <c r="P26" s="2560"/>
      <c r="Q26" s="2560"/>
      <c r="R26" s="2560"/>
      <c r="S26" s="2560"/>
      <c r="T26" s="2560"/>
      <c r="U26" s="2560"/>
    </row>
  </sheetData>
  <sheetProtection formatColumns="0" formatRows="0"/>
  <mergeCells count="3">
    <mergeCell ref="B3:J3"/>
    <mergeCell ref="S3:U3"/>
    <mergeCell ref="O4:P4"/>
  </mergeCells>
  <conditionalFormatting sqref="M8:M13">
    <cfRule type="cellIs" dxfId="25" priority="2" operator="equal">
      <formula>0</formula>
    </cfRule>
  </conditionalFormatting>
  <conditionalFormatting sqref="M17:M21">
    <cfRule type="cellIs" dxfId="24"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zoomScale="55" zoomScaleNormal="55" zoomScaleSheetLayoutView="100" workbookViewId="0">
      <selection activeCell="G8" sqref="G8"/>
    </sheetView>
  </sheetViews>
  <sheetFormatPr defaultColWidth="9" defaultRowHeight="14"/>
  <cols>
    <col min="1" max="1" width="1.58203125" style="1304" customWidth="1"/>
    <col min="2" max="2" width="80.58203125" style="1304" customWidth="1"/>
    <col min="3" max="4" width="19.08203125" style="1316" customWidth="1"/>
    <col min="5" max="5" width="19.5" style="1316" bestFit="1" customWidth="1"/>
    <col min="6" max="6" width="19.08203125" style="1304" customWidth="1"/>
    <col min="7" max="7" width="14.58203125" style="1304" bestFit="1" customWidth="1"/>
    <col min="8" max="9" width="21.58203125" style="1304" bestFit="1" customWidth="1"/>
    <col min="10" max="12" width="14.58203125" style="1304" bestFit="1" customWidth="1"/>
    <col min="13" max="13" width="14.58203125" style="1304" customWidth="1"/>
    <col min="14" max="16" width="15.08203125" style="1304" customWidth="1"/>
    <col min="17" max="17" width="12.5" style="1304" customWidth="1"/>
    <col min="18" max="18" width="1.58203125" style="1304" customWidth="1"/>
    <col min="19" max="19" width="33.58203125" style="1304" customWidth="1"/>
    <col min="20" max="20" width="1.58203125" style="1304" customWidth="1"/>
    <col min="21" max="21" width="1.58203125" style="219" customWidth="1"/>
    <col min="22" max="22" width="20.58203125" style="219" customWidth="1"/>
    <col min="23" max="23" width="1.58203125" style="219" customWidth="1"/>
    <col min="24" max="24" width="6.08203125" style="219" hidden="1" customWidth="1"/>
    <col min="25" max="25" width="7.5" style="219" hidden="1" customWidth="1"/>
    <col min="26" max="26" width="10.08203125" style="219" hidden="1" customWidth="1"/>
    <col min="27" max="27" width="7.5" style="219" hidden="1" customWidth="1"/>
    <col min="28" max="28" width="9" style="219" hidden="1" customWidth="1"/>
    <col min="29" max="33" width="9.58203125" style="219" hidden="1" customWidth="1"/>
    <col min="34" max="34" width="1.58203125" style="219" hidden="1" customWidth="1"/>
    <col min="35" max="35" width="1.58203125" style="1304" customWidth="1"/>
    <col min="36" max="36" width="44.08203125" style="1304" customWidth="1"/>
    <col min="37" max="40" width="18.08203125" style="219" customWidth="1"/>
    <col min="41" max="41" width="19.08203125" style="219" bestFit="1" customWidth="1"/>
    <col min="42" max="43" width="18.08203125" style="219" customWidth="1"/>
    <col min="44" max="44" width="13.5" style="219" bestFit="1" customWidth="1"/>
    <col min="45" max="45" width="15.58203125" style="219" customWidth="1"/>
    <col min="46" max="48" width="17.08203125" style="219" customWidth="1"/>
    <col min="49" max="51" width="17.08203125" style="1304" customWidth="1"/>
    <col min="52" max="16384" width="9" style="1304"/>
  </cols>
  <sheetData>
    <row r="1" spans="1:48" ht="30.75" customHeight="1">
      <c r="A1" s="2607"/>
      <c r="B1" s="1119" t="s">
        <v>12839</v>
      </c>
      <c r="C1" s="1305"/>
      <c r="D1" s="1305"/>
      <c r="E1" s="1305"/>
      <c r="F1" s="1119"/>
      <c r="G1" s="1119"/>
      <c r="H1" s="1119"/>
      <c r="I1" s="2607"/>
      <c r="J1" s="2607"/>
      <c r="K1" s="2607"/>
      <c r="L1" s="2607"/>
      <c r="M1" s="2607"/>
      <c r="N1" s="2607"/>
      <c r="O1" s="2607"/>
      <c r="P1" s="2607"/>
      <c r="Q1" s="2607"/>
      <c r="R1" s="2607"/>
      <c r="S1" s="2607"/>
      <c r="T1" s="2607"/>
      <c r="U1" s="2589"/>
      <c r="V1" s="2560"/>
      <c r="W1" s="2589"/>
      <c r="X1" s="2560"/>
      <c r="Y1" s="2560"/>
      <c r="Z1" s="2560"/>
      <c r="AA1" s="2560"/>
      <c r="AB1" s="2560"/>
      <c r="AC1" s="2560"/>
      <c r="AD1" s="2560"/>
      <c r="AE1" s="2560"/>
      <c r="AF1" s="2560"/>
      <c r="AG1" s="2560"/>
      <c r="AH1" s="2589"/>
      <c r="AI1" s="2607"/>
      <c r="AJ1" s="1119" t="s">
        <v>1887</v>
      </c>
      <c r="AK1" s="1119"/>
      <c r="AL1" s="1119"/>
      <c r="AM1" s="1119"/>
      <c r="AN1" s="2607"/>
      <c r="AO1" s="2607"/>
      <c r="AP1" s="2607"/>
      <c r="AQ1" s="2607"/>
      <c r="AR1" s="2560"/>
      <c r="AS1" s="2560"/>
      <c r="AT1" s="2560"/>
      <c r="AU1" s="2560"/>
      <c r="AV1" s="2560"/>
    </row>
    <row r="2" spans="1:48" ht="30.75" customHeight="1">
      <c r="A2" s="2607"/>
      <c r="B2" s="1119" t="str">
        <f>SelectCompany!B4</f>
        <v>Yorkshire Water</v>
      </c>
      <c r="C2" s="1128"/>
      <c r="D2" s="1128"/>
      <c r="E2" s="1128"/>
      <c r="F2" s="491"/>
      <c r="G2" s="491"/>
      <c r="H2" s="491"/>
      <c r="I2" s="2607"/>
      <c r="J2" s="2607"/>
      <c r="K2" s="2607"/>
      <c r="L2" s="2607"/>
      <c r="M2" s="2607"/>
      <c r="N2" s="2607"/>
      <c r="O2" s="2607"/>
      <c r="P2" s="2607"/>
      <c r="Q2" s="2607"/>
      <c r="R2" s="2607"/>
      <c r="S2" s="2607"/>
      <c r="T2" s="2607"/>
      <c r="U2" s="2589"/>
      <c r="V2" s="2560"/>
      <c r="W2" s="2589"/>
      <c r="X2" s="2560"/>
      <c r="Y2" s="2560"/>
      <c r="Z2" s="2560"/>
      <c r="AA2" s="2560"/>
      <c r="AB2" s="2560"/>
      <c r="AC2" s="2560"/>
      <c r="AD2" s="2560"/>
      <c r="AE2" s="2560"/>
      <c r="AF2" s="2560"/>
      <c r="AG2" s="2560"/>
      <c r="AH2" s="2589"/>
      <c r="AI2" s="2607"/>
      <c r="AJ2" s="491"/>
      <c r="AK2" s="491"/>
      <c r="AL2" s="491"/>
      <c r="AM2" s="491"/>
      <c r="AN2" s="2607"/>
      <c r="AO2" s="2607"/>
      <c r="AP2" s="2607"/>
      <c r="AQ2" s="2607"/>
      <c r="AR2" s="2560"/>
      <c r="AS2" s="2560"/>
      <c r="AT2" s="2560"/>
      <c r="AU2" s="2560"/>
      <c r="AV2" s="2560"/>
    </row>
    <row r="3" spans="1:48" ht="45" customHeight="1">
      <c r="A3" s="2607"/>
      <c r="B3" s="2781" t="s">
        <v>12840</v>
      </c>
      <c r="C3" s="2781"/>
      <c r="D3" s="2781"/>
      <c r="E3" s="2781"/>
      <c r="F3" s="2781"/>
      <c r="G3" s="2781"/>
      <c r="H3" s="2781"/>
      <c r="I3" s="2781"/>
      <c r="J3" s="2781"/>
      <c r="K3" s="2781"/>
      <c r="L3" s="2781"/>
      <c r="M3" s="2781"/>
      <c r="N3" s="2781"/>
      <c r="O3" s="2781"/>
      <c r="P3" s="2781"/>
      <c r="Q3" s="2781"/>
      <c r="R3" s="2781"/>
      <c r="S3" s="2781"/>
      <c r="T3" s="2607"/>
      <c r="U3" s="2589"/>
      <c r="V3" s="1129" t="s">
        <v>1889</v>
      </c>
      <c r="W3" s="2589"/>
      <c r="X3" s="2560"/>
      <c r="Y3" s="2560"/>
      <c r="Z3" s="2560"/>
      <c r="AA3" s="2560"/>
      <c r="AB3" s="2560"/>
      <c r="AC3" s="2560"/>
      <c r="AD3" s="2560"/>
      <c r="AE3" s="2560"/>
      <c r="AF3" s="2560"/>
      <c r="AG3" s="2560"/>
      <c r="AH3" s="2589"/>
      <c r="AI3" s="2607"/>
      <c r="AJ3" s="2781" t="s">
        <v>12840</v>
      </c>
      <c r="AK3" s="2781"/>
      <c r="AL3" s="2781"/>
      <c r="AM3" s="2781"/>
      <c r="AN3" s="2781"/>
      <c r="AO3" s="2781"/>
      <c r="AP3" s="2781"/>
      <c r="AQ3" s="2781"/>
      <c r="AR3" s="2607"/>
      <c r="AS3" s="2607"/>
      <c r="AT3" s="2607"/>
      <c r="AU3" s="2607"/>
      <c r="AV3" s="2607"/>
    </row>
    <row r="4" spans="1:48" ht="15.75" customHeight="1" thickBot="1">
      <c r="A4" s="2607"/>
      <c r="B4" s="594"/>
      <c r="C4" s="594"/>
      <c r="D4" s="594"/>
      <c r="E4" s="594"/>
      <c r="F4" s="594"/>
      <c r="G4" s="594"/>
      <c r="H4" s="594"/>
      <c r="I4" s="2607"/>
      <c r="J4" s="2607"/>
      <c r="K4" s="2607"/>
      <c r="L4" s="2607"/>
      <c r="M4" s="2607"/>
      <c r="N4" s="2607"/>
      <c r="O4" s="2607"/>
      <c r="P4" s="2607"/>
      <c r="Q4" s="2607"/>
      <c r="R4" s="2607"/>
      <c r="S4" s="2607"/>
      <c r="T4" s="2607"/>
      <c r="U4" s="2589"/>
      <c r="V4" s="2560"/>
      <c r="W4" s="2589"/>
      <c r="X4" s="2894" t="s">
        <v>1890</v>
      </c>
      <c r="Y4" s="2894"/>
      <c r="Z4" s="2894"/>
      <c r="AA4" s="2894"/>
      <c r="AB4" s="2894"/>
      <c r="AC4" s="2894"/>
      <c r="AD4" s="2894"/>
      <c r="AE4" s="2894"/>
      <c r="AF4" s="2894"/>
      <c r="AG4" s="2894"/>
      <c r="AH4" s="2589"/>
      <c r="AI4" s="2607"/>
      <c r="AJ4" s="594"/>
      <c r="AK4" s="594"/>
      <c r="AL4" s="594"/>
      <c r="AM4" s="594"/>
      <c r="AN4" s="2607"/>
      <c r="AO4" s="2607"/>
      <c r="AP4" s="2607"/>
      <c r="AQ4" s="2607"/>
      <c r="AR4" s="2607"/>
      <c r="AS4" s="2607"/>
      <c r="AT4" s="2607"/>
      <c r="AU4" s="2607"/>
      <c r="AV4" s="2607"/>
    </row>
    <row r="5" spans="1:48" ht="50.9" customHeight="1" thickTop="1" thickBot="1">
      <c r="A5" s="1038"/>
      <c r="B5" s="407" t="s">
        <v>1891</v>
      </c>
      <c r="C5" s="408" t="s">
        <v>1892</v>
      </c>
      <c r="D5" s="408" t="s">
        <v>136</v>
      </c>
      <c r="E5" s="2403" t="s">
        <v>2008</v>
      </c>
      <c r="F5" s="2200"/>
      <c r="G5" s="1038"/>
      <c r="H5" s="1038"/>
      <c r="I5" s="1038"/>
      <c r="J5" s="1038"/>
      <c r="K5" s="1038"/>
      <c r="L5" s="1038"/>
      <c r="M5" s="1038"/>
      <c r="N5" s="1038"/>
      <c r="O5" s="1038"/>
      <c r="P5" s="1038"/>
      <c r="Q5" s="411" t="s">
        <v>1896</v>
      </c>
      <c r="R5" s="1038"/>
      <c r="S5" s="411" t="s">
        <v>1897</v>
      </c>
      <c r="T5" s="1038"/>
      <c r="U5" s="2589"/>
      <c r="V5" s="2560"/>
      <c r="W5" s="2589"/>
      <c r="X5" s="236" t="s">
        <v>1898</v>
      </c>
      <c r="Y5" s="236"/>
      <c r="Z5" s="236"/>
      <c r="AA5" s="236"/>
      <c r="AB5" s="236"/>
      <c r="AC5" s="236"/>
      <c r="AD5" s="236"/>
      <c r="AE5" s="236"/>
      <c r="AF5" s="236"/>
      <c r="AG5" s="236"/>
      <c r="AH5" s="2589"/>
      <c r="AI5" s="2607"/>
      <c r="AJ5" s="407" t="s">
        <v>1891</v>
      </c>
      <c r="AK5" s="2403" t="s">
        <v>2008</v>
      </c>
      <c r="AL5" s="2200"/>
      <c r="AM5" s="2607"/>
      <c r="AN5" s="2607"/>
      <c r="AO5" s="2607"/>
      <c r="AP5" s="2607"/>
      <c r="AQ5" s="2607"/>
      <c r="AR5" s="2607"/>
      <c r="AS5" s="2607"/>
      <c r="AT5" s="2607"/>
      <c r="AU5" s="2607"/>
      <c r="AV5" s="2607"/>
    </row>
    <row r="6" spans="1:48" ht="15.75" customHeight="1" thickTop="1" thickBot="1">
      <c r="A6" s="1038"/>
      <c r="B6" s="1306"/>
      <c r="C6" s="1307"/>
      <c r="D6" s="1307"/>
      <c r="E6" s="1306"/>
      <c r="F6" s="1306"/>
      <c r="G6" s="1306"/>
      <c r="H6" s="1306"/>
      <c r="I6" s="1306"/>
      <c r="J6" s="1306"/>
      <c r="K6" s="1306"/>
      <c r="L6" s="1306"/>
      <c r="M6" s="1306"/>
      <c r="N6" s="1306"/>
      <c r="O6" s="1306"/>
      <c r="P6" s="1306"/>
      <c r="Q6" s="672"/>
      <c r="R6" s="1038"/>
      <c r="S6" s="1038"/>
      <c r="T6" s="1038"/>
      <c r="U6" s="2589"/>
      <c r="V6" s="2560"/>
      <c r="W6" s="2589"/>
      <c r="X6" s="2560"/>
      <c r="Y6" s="2560"/>
      <c r="Z6" s="2560"/>
      <c r="AA6" s="2560"/>
      <c r="AB6" s="2560"/>
      <c r="AC6" s="2560"/>
      <c r="AD6" s="2560"/>
      <c r="AE6" s="2560"/>
      <c r="AF6" s="2560"/>
      <c r="AG6" s="2560"/>
      <c r="AH6" s="2589"/>
      <c r="AI6" s="2607"/>
      <c r="AJ6" s="1306"/>
      <c r="AK6" s="1306"/>
      <c r="AL6" s="1306"/>
      <c r="AM6" s="2607"/>
      <c r="AN6" s="2607"/>
      <c r="AO6" s="2607"/>
      <c r="AP6" s="2607"/>
      <c r="AQ6" s="2607"/>
      <c r="AR6" s="2607"/>
      <c r="AS6" s="2607"/>
      <c r="AT6" s="2607"/>
      <c r="AU6" s="2607"/>
      <c r="AV6" s="2607"/>
    </row>
    <row r="7" spans="1:48" ht="15.75" customHeight="1" thickTop="1" thickBot="1">
      <c r="A7" s="1038"/>
      <c r="B7" s="355" t="s">
        <v>12841</v>
      </c>
      <c r="C7" s="444"/>
      <c r="D7" s="444"/>
      <c r="E7" s="444"/>
      <c r="F7" s="1306"/>
      <c r="G7" s="1306"/>
      <c r="H7" s="1306"/>
      <c r="I7" s="1306"/>
      <c r="J7" s="1306"/>
      <c r="K7" s="1306"/>
      <c r="L7" s="1306"/>
      <c r="M7" s="1306"/>
      <c r="N7" s="1306"/>
      <c r="O7" s="1306"/>
      <c r="P7" s="1306"/>
      <c r="Q7" s="1038"/>
      <c r="R7" s="1038"/>
      <c r="S7" s="1038"/>
      <c r="T7" s="1038"/>
      <c r="U7" s="2589"/>
      <c r="V7" s="2560"/>
      <c r="W7" s="2589"/>
      <c r="X7" s="2560"/>
      <c r="Y7" s="2560"/>
      <c r="Z7" s="2560"/>
      <c r="AA7" s="2560"/>
      <c r="AB7" s="2560"/>
      <c r="AC7" s="2560"/>
      <c r="AD7" s="2560"/>
      <c r="AE7" s="2560"/>
      <c r="AF7" s="2560"/>
      <c r="AG7" s="2560"/>
      <c r="AH7" s="2589"/>
      <c r="AI7" s="2607"/>
      <c r="AJ7" s="355" t="s">
        <v>12841</v>
      </c>
      <c r="AK7" s="444"/>
      <c r="AL7" s="1306"/>
      <c r="AM7" s="2607"/>
      <c r="AN7" s="2607"/>
      <c r="AO7" s="2607"/>
      <c r="AP7" s="2607"/>
      <c r="AQ7" s="2607"/>
      <c r="AR7" s="2607"/>
      <c r="AS7" s="2607"/>
      <c r="AT7" s="2607"/>
      <c r="AU7" s="2607"/>
      <c r="AV7" s="2607"/>
    </row>
    <row r="8" spans="1:48" ht="32" thickTop="1" thickBot="1">
      <c r="A8" s="1038"/>
      <c r="B8" s="431" t="s">
        <v>12842</v>
      </c>
      <c r="C8" s="346" t="s">
        <v>137</v>
      </c>
      <c r="D8" s="346">
        <v>3</v>
      </c>
      <c r="E8" s="2404">
        <v>4.1550000000000002</v>
      </c>
      <c r="F8" s="1306"/>
      <c r="G8" s="1306"/>
      <c r="H8" s="1306"/>
      <c r="I8" s="1306"/>
      <c r="J8" s="1306"/>
      <c r="K8" s="1306"/>
      <c r="L8" s="1306"/>
      <c r="M8" s="1306"/>
      <c r="N8" s="1306"/>
      <c r="O8" s="1306"/>
      <c r="P8" s="1306"/>
      <c r="Q8" s="943" t="s">
        <v>12843</v>
      </c>
      <c r="R8" s="1038"/>
      <c r="S8" s="337"/>
      <c r="T8" s="1038"/>
      <c r="U8" s="2589"/>
      <c r="V8" s="1121"/>
      <c r="W8" s="2589"/>
      <c r="X8" s="2560"/>
      <c r="Y8" s="2560"/>
      <c r="Z8" s="252">
        <f xml:space="preserve"> IF( ISNUMBER(F8 ), 0, 1 )</f>
        <v>1</v>
      </c>
      <c r="AA8" s="2560"/>
      <c r="AB8" s="2560"/>
      <c r="AC8" s="2560"/>
      <c r="AD8" s="2560"/>
      <c r="AE8" s="2560"/>
      <c r="AF8" s="2560"/>
      <c r="AG8" s="2560"/>
      <c r="AH8" s="2589"/>
      <c r="AI8" s="2607"/>
      <c r="AJ8" s="431" t="s">
        <v>12842</v>
      </c>
      <c r="AK8" s="2404" t="s">
        <v>12844</v>
      </c>
      <c r="AL8" s="1306"/>
      <c r="AM8" s="2607"/>
      <c r="AN8" s="2607"/>
      <c r="AO8" s="2607"/>
      <c r="AP8" s="2607"/>
      <c r="AQ8" s="2607"/>
      <c r="AR8" s="2607"/>
      <c r="AS8" s="2607"/>
      <c r="AT8" s="2607"/>
      <c r="AU8" s="2607"/>
      <c r="AV8" s="2607"/>
    </row>
    <row r="9" spans="1:48" ht="15.75" customHeight="1" thickTop="1" thickBot="1">
      <c r="A9" s="1038"/>
      <c r="B9" s="1283"/>
      <c r="C9" s="1284"/>
      <c r="D9" s="1284"/>
      <c r="E9" s="2405"/>
      <c r="F9" s="1306"/>
      <c r="G9" s="1306"/>
      <c r="H9" s="1306"/>
      <c r="I9" s="1306"/>
      <c r="J9" s="1306"/>
      <c r="K9" s="1306"/>
      <c r="L9" s="1306"/>
      <c r="M9" s="1306"/>
      <c r="N9" s="1306"/>
      <c r="O9" s="1306"/>
      <c r="P9" s="1306"/>
      <c r="Q9" s="1308"/>
      <c r="R9" s="1038"/>
      <c r="S9" s="1038"/>
      <c r="T9" s="1038"/>
      <c r="U9" s="2589"/>
      <c r="V9" s="2560"/>
      <c r="W9" s="2589"/>
      <c r="X9" s="2560"/>
      <c r="Y9" s="2560"/>
      <c r="Z9" s="2560"/>
      <c r="AA9" s="2560"/>
      <c r="AB9" s="2560"/>
      <c r="AC9" s="2560"/>
      <c r="AD9" s="2560"/>
      <c r="AE9" s="2560"/>
      <c r="AF9" s="2560"/>
      <c r="AG9" s="2560"/>
      <c r="AH9" s="2589"/>
      <c r="AI9" s="2607"/>
      <c r="AJ9" s="1283"/>
      <c r="AK9" s="2405"/>
      <c r="AL9" s="1306"/>
      <c r="AM9" s="2607"/>
      <c r="AN9" s="2607"/>
      <c r="AO9" s="2607"/>
      <c r="AP9" s="2607"/>
      <c r="AQ9" s="2607"/>
      <c r="AR9" s="2607"/>
      <c r="AS9" s="2607"/>
      <c r="AT9" s="2607"/>
      <c r="AU9" s="2607"/>
      <c r="AV9" s="2607"/>
    </row>
    <row r="10" spans="1:48" ht="35.25" customHeight="1" thickTop="1" thickBot="1">
      <c r="A10" s="1038"/>
      <c r="B10" s="355" t="s">
        <v>12845</v>
      </c>
      <c r="C10" s="444"/>
      <c r="D10" s="114"/>
      <c r="E10" s="2406"/>
      <c r="F10" s="1306"/>
      <c r="G10" s="1306"/>
      <c r="H10" s="1306"/>
      <c r="I10" s="1306"/>
      <c r="J10" s="1306"/>
      <c r="K10" s="1306"/>
      <c r="L10" s="1306"/>
      <c r="M10" s="1306"/>
      <c r="N10" s="1306"/>
      <c r="O10" s="1306"/>
      <c r="P10" s="1306"/>
      <c r="Q10" s="1038"/>
      <c r="R10" s="1038"/>
      <c r="S10" s="1038"/>
      <c r="T10" s="1038"/>
      <c r="U10" s="2589"/>
      <c r="V10" s="2560"/>
      <c r="W10" s="2589"/>
      <c r="X10" s="2560"/>
      <c r="Y10" s="2560"/>
      <c r="Z10" s="2560"/>
      <c r="AA10" s="2560"/>
      <c r="AB10" s="2560"/>
      <c r="AC10" s="2560"/>
      <c r="AD10" s="2560"/>
      <c r="AE10" s="2560"/>
      <c r="AF10" s="2560"/>
      <c r="AG10" s="2560"/>
      <c r="AH10" s="2589"/>
      <c r="AI10" s="2607"/>
      <c r="AJ10" s="355" t="s">
        <v>12845</v>
      </c>
      <c r="AK10" s="2406"/>
      <c r="AL10" s="1306"/>
      <c r="AM10" s="2607"/>
      <c r="AN10" s="2607"/>
      <c r="AO10" s="2607"/>
      <c r="AP10" s="2607"/>
      <c r="AQ10" s="2607"/>
      <c r="AR10" s="2607"/>
      <c r="AS10" s="2607"/>
      <c r="AT10" s="2607"/>
      <c r="AU10" s="2607"/>
      <c r="AV10" s="2607"/>
    </row>
    <row r="11" spans="1:48" s="1306" customFormat="1" ht="15.75" customHeight="1" thickTop="1">
      <c r="A11" s="1038"/>
      <c r="B11" s="413" t="s">
        <v>12846</v>
      </c>
      <c r="C11" s="1309" t="s">
        <v>137</v>
      </c>
      <c r="D11" s="1309">
        <v>3</v>
      </c>
      <c r="E11" s="2378">
        <v>4.1550000000000002</v>
      </c>
      <c r="Q11" s="248" t="s">
        <v>12847</v>
      </c>
      <c r="R11" s="1038"/>
      <c r="S11" s="250"/>
      <c r="T11" s="1038"/>
      <c r="U11" s="2589"/>
      <c r="V11" s="1121"/>
      <c r="W11" s="2589"/>
      <c r="X11" s="2560"/>
      <c r="Y11" s="2560"/>
      <c r="Z11" s="252">
        <f xml:space="preserve"> IF( ISNUMBER(F11 ), 0, 1 )</f>
        <v>1</v>
      </c>
      <c r="AA11" s="2560"/>
      <c r="AB11" s="2560"/>
      <c r="AC11" s="2560"/>
      <c r="AD11" s="2560"/>
      <c r="AE11" s="2560"/>
      <c r="AF11" s="2560"/>
      <c r="AG11" s="2560"/>
      <c r="AH11" s="2589"/>
      <c r="AI11" s="2607"/>
      <c r="AJ11" s="413" t="s">
        <v>12846</v>
      </c>
      <c r="AK11" s="2378" t="s">
        <v>12848</v>
      </c>
    </row>
    <row r="12" spans="1:48" s="1306" customFormat="1" ht="15.75" customHeight="1">
      <c r="A12" s="1038"/>
      <c r="B12" s="422" t="s">
        <v>12849</v>
      </c>
      <c r="C12" s="1310" t="s">
        <v>137</v>
      </c>
      <c r="D12" s="1310">
        <v>3</v>
      </c>
      <c r="E12" s="2381">
        <v>1.4999999999999999E-2</v>
      </c>
      <c r="Q12" s="257" t="s">
        <v>12850</v>
      </c>
      <c r="R12" s="1038"/>
      <c r="S12" s="258"/>
      <c r="T12" s="1038"/>
      <c r="U12" s="2589"/>
      <c r="V12" s="1121"/>
      <c r="W12" s="2589"/>
      <c r="X12" s="2560"/>
      <c r="Y12" s="2560"/>
      <c r="Z12" s="252">
        <f xml:space="preserve"> IF( ISNUMBER(F12 ), 0, 1 )</f>
        <v>1</v>
      </c>
      <c r="AA12" s="2560"/>
      <c r="AB12" s="2560"/>
      <c r="AC12" s="2560"/>
      <c r="AD12" s="2560"/>
      <c r="AE12" s="2560"/>
      <c r="AF12" s="2560"/>
      <c r="AG12" s="2560"/>
      <c r="AH12" s="2589"/>
      <c r="AI12" s="2607"/>
      <c r="AJ12" s="422" t="s">
        <v>12849</v>
      </c>
      <c r="AK12" s="2381" t="s">
        <v>12851</v>
      </c>
    </row>
    <row r="13" spans="1:48" s="1306" customFormat="1" ht="15.75" customHeight="1">
      <c r="A13" s="1038"/>
      <c r="B13" s="422" t="s">
        <v>12852</v>
      </c>
      <c r="C13" s="1310" t="s">
        <v>137</v>
      </c>
      <c r="D13" s="1310">
        <v>3</v>
      </c>
      <c r="E13" s="2381">
        <v>0</v>
      </c>
      <c r="Q13" s="936" t="s">
        <v>12853</v>
      </c>
      <c r="R13" s="1038"/>
      <c r="S13" s="520"/>
      <c r="T13" s="1038"/>
      <c r="U13" s="2589"/>
      <c r="V13" s="2184"/>
      <c r="W13" s="2589"/>
      <c r="X13" s="2564"/>
      <c r="Y13" s="2564"/>
      <c r="Z13" s="252"/>
      <c r="AA13" s="2564"/>
      <c r="AB13" s="2564"/>
      <c r="AC13" s="2564"/>
      <c r="AD13" s="2564"/>
      <c r="AE13" s="2564"/>
      <c r="AF13" s="2564"/>
      <c r="AG13" s="2564"/>
      <c r="AH13" s="2564"/>
      <c r="AI13" s="2607"/>
      <c r="AJ13" s="422" t="s">
        <v>12852</v>
      </c>
      <c r="AK13" s="2381" t="s">
        <v>1404</v>
      </c>
    </row>
    <row r="14" spans="1:48" s="1306" customFormat="1" ht="35.15" customHeight="1">
      <c r="A14" s="1038"/>
      <c r="B14" s="422" t="s">
        <v>12854</v>
      </c>
      <c r="C14" s="1310" t="s">
        <v>137</v>
      </c>
      <c r="D14" s="1310">
        <v>3</v>
      </c>
      <c r="E14" s="2381">
        <v>0.159</v>
      </c>
      <c r="Q14" s="257" t="s">
        <v>12855</v>
      </c>
      <c r="R14" s="1038"/>
      <c r="S14" s="258"/>
      <c r="T14" s="1038"/>
      <c r="U14" s="2589"/>
      <c r="V14" s="1121"/>
      <c r="W14" s="2589"/>
      <c r="X14" s="2560"/>
      <c r="Y14" s="2560"/>
      <c r="Z14" s="252">
        <f xml:space="preserve"> IF( ISNUMBER(F14 ), 0, 1 )</f>
        <v>1</v>
      </c>
      <c r="AA14" s="2560"/>
      <c r="AB14" s="2560"/>
      <c r="AC14" s="2560"/>
      <c r="AD14" s="2560"/>
      <c r="AE14" s="2560"/>
      <c r="AF14" s="2560"/>
      <c r="AG14" s="2560"/>
      <c r="AH14" s="2589"/>
      <c r="AI14" s="2607"/>
      <c r="AJ14" s="422" t="s">
        <v>12854</v>
      </c>
      <c r="AK14" s="2381" t="s">
        <v>12856</v>
      </c>
    </row>
    <row r="15" spans="1:48" s="1306" customFormat="1" ht="27.65" customHeight="1">
      <c r="A15" s="1038"/>
      <c r="B15" s="422" t="s">
        <v>12857</v>
      </c>
      <c r="C15" s="1310" t="s">
        <v>137</v>
      </c>
      <c r="D15" s="1310">
        <v>3</v>
      </c>
      <c r="E15" s="2381">
        <v>5.2380000000000004</v>
      </c>
      <c r="Q15" s="257" t="s">
        <v>12858</v>
      </c>
      <c r="R15" s="1038"/>
      <c r="S15" s="258"/>
      <c r="T15" s="1038"/>
      <c r="U15" s="2589"/>
      <c r="V15" s="1121"/>
      <c r="W15" s="2589"/>
      <c r="X15" s="2560"/>
      <c r="Y15" s="2560"/>
      <c r="Z15" s="252">
        <f xml:space="preserve"> IF( ISNUMBER(F15 ), 0, 1 )</f>
        <v>1</v>
      </c>
      <c r="AA15" s="2560"/>
      <c r="AB15" s="2560"/>
      <c r="AC15" s="2560"/>
      <c r="AD15" s="2560"/>
      <c r="AE15" s="2560"/>
      <c r="AF15" s="2560"/>
      <c r="AG15" s="2560"/>
      <c r="AH15" s="2589"/>
      <c r="AI15" s="2607"/>
      <c r="AJ15" s="422" t="s">
        <v>12857</v>
      </c>
      <c r="AK15" s="2381" t="s">
        <v>12859</v>
      </c>
    </row>
    <row r="16" spans="1:48" s="1306" customFormat="1" ht="15.75" customHeight="1" thickBot="1">
      <c r="A16" s="1038"/>
      <c r="B16" s="425" t="s">
        <v>12860</v>
      </c>
      <c r="C16" s="1311" t="s">
        <v>137</v>
      </c>
      <c r="D16" s="1311">
        <v>3</v>
      </c>
      <c r="E16" s="2379">
        <v>0</v>
      </c>
      <c r="Q16" s="320" t="s">
        <v>12861</v>
      </c>
      <c r="R16" s="1038"/>
      <c r="S16" s="269"/>
      <c r="T16" s="1038"/>
      <c r="U16" s="2589"/>
      <c r="V16" s="1121"/>
      <c r="W16" s="2589"/>
      <c r="X16" s="2560"/>
      <c r="Y16" s="2560"/>
      <c r="Z16" s="252">
        <f xml:space="preserve"> IF( ISNUMBER(F16 ), 0, 1 )</f>
        <v>1</v>
      </c>
      <c r="AA16" s="2560"/>
      <c r="AB16" s="2560"/>
      <c r="AC16" s="2560"/>
      <c r="AD16" s="2560"/>
      <c r="AE16" s="2560"/>
      <c r="AF16" s="2560"/>
      <c r="AG16" s="2560"/>
      <c r="AH16" s="2589"/>
      <c r="AI16" s="2607"/>
      <c r="AJ16" s="425" t="s">
        <v>12860</v>
      </c>
      <c r="AK16" s="2379" t="s">
        <v>12862</v>
      </c>
    </row>
    <row r="17" spans="1:49" s="1306" customFormat="1" ht="15.75" customHeight="1" thickTop="1" thickBot="1">
      <c r="A17" s="1038"/>
      <c r="B17" s="327"/>
      <c r="C17" s="1315"/>
      <c r="D17" s="1315"/>
      <c r="E17" s="1315"/>
      <c r="Q17" s="249"/>
      <c r="R17" s="1038"/>
      <c r="S17" s="670"/>
      <c r="T17" s="1038"/>
      <c r="U17" s="2589"/>
      <c r="V17" s="1121"/>
      <c r="W17" s="2589"/>
      <c r="X17" s="2560"/>
      <c r="Y17" s="2560"/>
      <c r="Z17" s="252"/>
      <c r="AA17" s="2560"/>
      <c r="AB17" s="2560"/>
      <c r="AC17" s="2560"/>
      <c r="AD17" s="2560"/>
      <c r="AE17" s="2560"/>
      <c r="AF17" s="2560"/>
      <c r="AG17" s="2560"/>
      <c r="AH17" s="2589"/>
      <c r="AI17" s="2607"/>
      <c r="AJ17" s="327"/>
      <c r="AK17" s="1315"/>
    </row>
    <row r="18" spans="1:49" s="1306" customFormat="1" ht="15.75" customHeight="1" thickTop="1" thickBot="1">
      <c r="A18" s="1038"/>
      <c r="B18" s="355" t="s">
        <v>12863</v>
      </c>
      <c r="Q18" s="1038"/>
      <c r="R18" s="1038"/>
      <c r="S18" s="1038"/>
      <c r="T18" s="1038"/>
      <c r="U18" s="2589"/>
      <c r="V18" s="1121"/>
      <c r="W18" s="2589"/>
      <c r="X18" s="2564"/>
      <c r="Y18" s="2564"/>
      <c r="Z18" s="2564"/>
      <c r="AA18" s="2564"/>
      <c r="AB18" s="2564"/>
      <c r="AC18" s="2564"/>
      <c r="AD18" s="2564"/>
      <c r="AE18" s="2564"/>
      <c r="AF18" s="2564"/>
      <c r="AG18" s="2564"/>
      <c r="AH18" s="2564"/>
      <c r="AI18" s="2607"/>
      <c r="AJ18" s="355" t="s">
        <v>12863</v>
      </c>
    </row>
    <row r="19" spans="1:49" s="1306" customFormat="1" ht="15.75" customHeight="1" thickTop="1" thickBot="1">
      <c r="A19" s="1038"/>
      <c r="B19" s="431" t="s">
        <v>12864</v>
      </c>
      <c r="C19" s="2336" t="s">
        <v>137</v>
      </c>
      <c r="D19" s="2336">
        <v>3</v>
      </c>
      <c r="E19" s="2457">
        <v>0.158</v>
      </c>
      <c r="Q19" s="943" t="s">
        <v>12865</v>
      </c>
      <c r="R19" s="1038"/>
      <c r="S19" s="2335"/>
      <c r="T19" s="1038"/>
      <c r="U19" s="2589"/>
      <c r="V19" s="1121"/>
      <c r="W19" s="2589"/>
      <c r="X19" s="252">
        <f xml:space="preserve"> IF( ISNUMBER(C19 ), 0, 1 )</f>
        <v>1</v>
      </c>
      <c r="Y19" s="2564"/>
      <c r="Z19" s="2564"/>
      <c r="AA19" s="2564"/>
      <c r="AB19" s="2564"/>
      <c r="AC19" s="2564"/>
      <c r="AD19" s="2564"/>
      <c r="AE19" s="2564"/>
      <c r="AF19" s="2564"/>
      <c r="AG19" s="2564"/>
      <c r="AH19" s="2564"/>
      <c r="AI19" s="2607"/>
      <c r="AJ19" s="431" t="s">
        <v>12864</v>
      </c>
      <c r="AK19" s="2337" t="s">
        <v>1405</v>
      </c>
    </row>
    <row r="20" spans="1:49" ht="15.75" customHeight="1" thickTop="1" thickBot="1">
      <c r="A20" s="1038"/>
      <c r="B20" s="1038"/>
      <c r="C20" s="1312">
        <v>1</v>
      </c>
      <c r="D20" s="1312">
        <v>2</v>
      </c>
      <c r="E20" s="1312">
        <v>3</v>
      </c>
      <c r="F20" s="1312">
        <v>4</v>
      </c>
      <c r="G20" s="1312">
        <v>5</v>
      </c>
      <c r="H20" s="1312">
        <v>6</v>
      </c>
      <c r="I20" s="1312">
        <v>7</v>
      </c>
      <c r="J20" s="1312">
        <v>8</v>
      </c>
      <c r="K20" s="1312">
        <v>9</v>
      </c>
      <c r="L20" s="1312">
        <v>10</v>
      </c>
      <c r="M20" s="1312">
        <v>11</v>
      </c>
      <c r="N20" s="1312">
        <v>12</v>
      </c>
      <c r="O20" s="1312">
        <v>13</v>
      </c>
      <c r="P20" s="1306"/>
      <c r="Q20" s="1038"/>
      <c r="R20" s="1038"/>
      <c r="S20" s="1038"/>
      <c r="T20" s="1038"/>
      <c r="U20" s="2589"/>
      <c r="V20" s="2560"/>
      <c r="W20" s="2589"/>
      <c r="X20" s="2560"/>
      <c r="Y20" s="2560"/>
      <c r="Z20" s="2560"/>
      <c r="AA20" s="2560"/>
      <c r="AB20" s="2560"/>
      <c r="AC20" s="2560"/>
      <c r="AD20" s="2560"/>
      <c r="AE20" s="2560"/>
      <c r="AF20" s="2560"/>
      <c r="AG20" s="2560"/>
      <c r="AH20" s="2589"/>
      <c r="AI20" s="2607"/>
      <c r="AJ20" s="1038"/>
      <c r="AK20" s="1313">
        <v>1</v>
      </c>
      <c r="AL20" s="1313">
        <v>2</v>
      </c>
      <c r="AM20" s="1313">
        <v>3</v>
      </c>
      <c r="AN20" s="1313">
        <v>4</v>
      </c>
      <c r="AO20" s="1313">
        <v>5</v>
      </c>
      <c r="AP20" s="1313">
        <v>6</v>
      </c>
      <c r="AQ20" s="1313">
        <v>7</v>
      </c>
      <c r="AR20" s="1313">
        <v>8</v>
      </c>
      <c r="AS20" s="1313">
        <v>9</v>
      </c>
      <c r="AT20" s="1313">
        <v>10</v>
      </c>
      <c r="AU20" s="1313">
        <v>11</v>
      </c>
      <c r="AV20" s="1313">
        <v>12</v>
      </c>
      <c r="AW20" s="1313">
        <v>13</v>
      </c>
    </row>
    <row r="21" spans="1:49" ht="126" customHeight="1" thickTop="1">
      <c r="A21" s="1038"/>
      <c r="B21" s="556" t="s">
        <v>1891</v>
      </c>
      <c r="C21" s="574" t="s">
        <v>12866</v>
      </c>
      <c r="D21" s="574" t="s">
        <v>12867</v>
      </c>
      <c r="E21" s="574" t="s">
        <v>12868</v>
      </c>
      <c r="F21" s="574" t="s">
        <v>12869</v>
      </c>
      <c r="G21" s="574" t="s">
        <v>12870</v>
      </c>
      <c r="H21" s="574" t="s">
        <v>12871</v>
      </c>
      <c r="I21" s="574" t="s">
        <v>12872</v>
      </c>
      <c r="J21" s="574" t="s">
        <v>12870</v>
      </c>
      <c r="K21" s="574" t="s">
        <v>12873</v>
      </c>
      <c r="L21" s="574" t="s">
        <v>12874</v>
      </c>
      <c r="M21" s="2434" t="s">
        <v>12875</v>
      </c>
      <c r="N21" s="2434" t="s">
        <v>12876</v>
      </c>
      <c r="O21" s="575" t="s">
        <v>12877</v>
      </c>
      <c r="P21" s="1306"/>
      <c r="Q21" s="1038"/>
      <c r="R21" s="1038"/>
      <c r="S21" s="1038"/>
      <c r="T21" s="1038"/>
      <c r="U21" s="2589"/>
      <c r="V21" s="2560"/>
      <c r="W21" s="2589"/>
      <c r="X21" s="2560"/>
      <c r="Y21" s="2560"/>
      <c r="Z21" s="2560"/>
      <c r="AA21" s="2560"/>
      <c r="AB21" s="2560"/>
      <c r="AC21" s="2560"/>
      <c r="AD21" s="2560"/>
      <c r="AE21" s="2560"/>
      <c r="AF21" s="2560"/>
      <c r="AG21" s="2560"/>
      <c r="AH21" s="2589"/>
      <c r="AI21" s="2607"/>
      <c r="AJ21" s="556" t="s">
        <v>1891</v>
      </c>
      <c r="AK21" s="574" t="s">
        <v>12866</v>
      </c>
      <c r="AL21" s="574" t="s">
        <v>12867</v>
      </c>
      <c r="AM21" s="574" t="s">
        <v>12868</v>
      </c>
      <c r="AN21" s="574" t="s">
        <v>12869</v>
      </c>
      <c r="AO21" s="574" t="s">
        <v>12870</v>
      </c>
      <c r="AP21" s="574" t="s">
        <v>12871</v>
      </c>
      <c r="AQ21" s="574" t="s">
        <v>12872</v>
      </c>
      <c r="AR21" s="574" t="s">
        <v>12870</v>
      </c>
      <c r="AS21" s="574" t="s">
        <v>12873</v>
      </c>
      <c r="AT21" s="574" t="s">
        <v>12878</v>
      </c>
      <c r="AU21" s="574" t="s">
        <v>12875</v>
      </c>
      <c r="AV21" s="574" t="s">
        <v>12876</v>
      </c>
      <c r="AW21" s="574" t="s">
        <v>12877</v>
      </c>
    </row>
    <row r="22" spans="1:49" ht="15.75" customHeight="1">
      <c r="A22" s="1038"/>
      <c r="B22" s="391" t="s">
        <v>1892</v>
      </c>
      <c r="C22" s="389" t="s">
        <v>137</v>
      </c>
      <c r="D22" s="389" t="s">
        <v>137</v>
      </c>
      <c r="E22" s="389" t="s">
        <v>137</v>
      </c>
      <c r="F22" s="389" t="s">
        <v>137</v>
      </c>
      <c r="G22" s="389" t="s">
        <v>137</v>
      </c>
      <c r="H22" s="389" t="s">
        <v>137</v>
      </c>
      <c r="I22" s="389" t="s">
        <v>137</v>
      </c>
      <c r="J22" s="389" t="s">
        <v>137</v>
      </c>
      <c r="K22" s="389" t="s">
        <v>137</v>
      </c>
      <c r="L22" s="389" t="s">
        <v>137</v>
      </c>
      <c r="M22" s="2435" t="s">
        <v>137</v>
      </c>
      <c r="N22" s="2435" t="s">
        <v>137</v>
      </c>
      <c r="O22" s="390" t="s">
        <v>137</v>
      </c>
      <c r="P22" s="1306"/>
      <c r="Q22" s="1038"/>
      <c r="R22" s="1038"/>
      <c r="S22" s="1038"/>
      <c r="T22" s="1038"/>
      <c r="U22" s="2589"/>
      <c r="V22" s="2560"/>
      <c r="W22" s="2589"/>
      <c r="X22" s="2560"/>
      <c r="Y22" s="2560"/>
      <c r="Z22" s="2560"/>
      <c r="AA22" s="2560"/>
      <c r="AB22" s="2560"/>
      <c r="AC22" s="2560"/>
      <c r="AD22" s="2560"/>
      <c r="AE22" s="2560"/>
      <c r="AF22" s="2560"/>
      <c r="AG22" s="2560"/>
      <c r="AH22" s="2589"/>
      <c r="AI22" s="2607"/>
      <c r="AJ22" s="391" t="s">
        <v>1892</v>
      </c>
      <c r="AK22" s="389" t="s">
        <v>137</v>
      </c>
      <c r="AL22" s="389" t="s">
        <v>137</v>
      </c>
      <c r="AM22" s="389" t="s">
        <v>137</v>
      </c>
      <c r="AN22" s="389" t="s">
        <v>137</v>
      </c>
      <c r="AO22" s="389" t="s">
        <v>137</v>
      </c>
      <c r="AP22" s="389" t="s">
        <v>137</v>
      </c>
      <c r="AQ22" s="389" t="s">
        <v>137</v>
      </c>
      <c r="AR22" s="389" t="s">
        <v>137</v>
      </c>
      <c r="AS22" s="389" t="s">
        <v>137</v>
      </c>
      <c r="AT22" s="389" t="s">
        <v>137</v>
      </c>
      <c r="AU22" s="389" t="s">
        <v>137</v>
      </c>
      <c r="AV22" s="389" t="s">
        <v>137</v>
      </c>
      <c r="AW22" s="389" t="s">
        <v>137</v>
      </c>
    </row>
    <row r="23" spans="1:49" ht="15.75" customHeight="1" thickBot="1">
      <c r="A23" s="1038"/>
      <c r="B23" s="392" t="s">
        <v>136</v>
      </c>
      <c r="C23" s="238">
        <v>3</v>
      </c>
      <c r="D23" s="238">
        <v>3</v>
      </c>
      <c r="E23" s="238">
        <v>3</v>
      </c>
      <c r="F23" s="238">
        <v>3</v>
      </c>
      <c r="G23" s="238">
        <v>3</v>
      </c>
      <c r="H23" s="238">
        <v>3</v>
      </c>
      <c r="I23" s="238">
        <v>3</v>
      </c>
      <c r="J23" s="238">
        <v>3</v>
      </c>
      <c r="K23" s="238">
        <v>3</v>
      </c>
      <c r="L23" s="238">
        <v>3</v>
      </c>
      <c r="M23" s="2436">
        <v>3</v>
      </c>
      <c r="N23" s="2436">
        <v>3</v>
      </c>
      <c r="O23" s="576">
        <v>3</v>
      </c>
      <c r="P23" s="1306"/>
      <c r="Q23" s="1038"/>
      <c r="R23" s="1038"/>
      <c r="S23" s="1038"/>
      <c r="T23" s="1038"/>
      <c r="U23" s="2589"/>
      <c r="V23" s="2560"/>
      <c r="W23" s="2589"/>
      <c r="X23" s="2560"/>
      <c r="Y23" s="2560"/>
      <c r="Z23" s="2560"/>
      <c r="AA23" s="2560"/>
      <c r="AB23" s="2560"/>
      <c r="AC23" s="2560"/>
      <c r="AD23" s="2560"/>
      <c r="AE23" s="2560"/>
      <c r="AF23" s="2560"/>
      <c r="AG23" s="2560"/>
      <c r="AH23" s="2589"/>
      <c r="AI23" s="2607"/>
      <c r="AJ23" s="392" t="s">
        <v>136</v>
      </c>
      <c r="AK23" s="238">
        <v>3</v>
      </c>
      <c r="AL23" s="238">
        <v>3</v>
      </c>
      <c r="AM23" s="238">
        <v>3</v>
      </c>
      <c r="AN23" s="238">
        <v>3</v>
      </c>
      <c r="AO23" s="238">
        <v>3</v>
      </c>
      <c r="AP23" s="238">
        <v>3</v>
      </c>
      <c r="AQ23" s="238">
        <v>3</v>
      </c>
      <c r="AR23" s="238">
        <v>3</v>
      </c>
      <c r="AS23" s="238">
        <v>3</v>
      </c>
      <c r="AT23" s="238">
        <v>3</v>
      </c>
      <c r="AU23" s="238">
        <v>3</v>
      </c>
      <c r="AV23" s="238">
        <v>3</v>
      </c>
      <c r="AW23" s="238">
        <v>3</v>
      </c>
    </row>
    <row r="24" spans="1:49" ht="15.75" customHeight="1" thickTop="1" thickBot="1">
      <c r="A24" s="1038"/>
      <c r="B24" s="1038"/>
      <c r="C24" s="1038"/>
      <c r="D24" s="1038"/>
      <c r="E24" s="1038"/>
      <c r="F24" s="1038"/>
      <c r="G24" s="1038"/>
      <c r="H24" s="1038"/>
      <c r="I24" s="1038"/>
      <c r="J24" s="1038"/>
      <c r="K24" s="1038"/>
      <c r="L24" s="1038"/>
      <c r="M24" s="1038"/>
      <c r="N24" s="1038"/>
      <c r="O24" s="1038"/>
      <c r="P24" s="2437"/>
      <c r="Q24" s="1038"/>
      <c r="R24" s="1038"/>
      <c r="S24" s="1038"/>
      <c r="T24" s="1038"/>
      <c r="U24" s="2589"/>
      <c r="V24" s="2560"/>
      <c r="W24" s="2589"/>
      <c r="X24" s="2560"/>
      <c r="Y24" s="2560"/>
      <c r="Z24" s="2560"/>
      <c r="AA24" s="2560"/>
      <c r="AB24" s="2560"/>
      <c r="AC24" s="2560"/>
      <c r="AD24" s="2560"/>
      <c r="AE24" s="2560"/>
      <c r="AF24" s="2560"/>
      <c r="AG24" s="2560"/>
      <c r="AH24" s="2589"/>
      <c r="AI24" s="2607"/>
      <c r="AJ24" s="1038"/>
      <c r="AK24" s="1038"/>
      <c r="AL24" s="1038"/>
      <c r="AM24" s="1038"/>
      <c r="AN24" s="1038"/>
      <c r="AO24" s="1038"/>
      <c r="AP24" s="1038"/>
      <c r="AQ24" s="1038"/>
      <c r="AR24" s="1038"/>
      <c r="AS24" s="1038"/>
      <c r="AT24" s="1038"/>
      <c r="AU24" s="1038"/>
      <c r="AV24" s="1038"/>
      <c r="AW24" s="1038"/>
    </row>
    <row r="25" spans="1:49" ht="15.75" customHeight="1" thickTop="1">
      <c r="A25" s="1038"/>
      <c r="B25" s="413" t="s">
        <v>12879</v>
      </c>
      <c r="C25" s="598">
        <v>0.17399999999999999</v>
      </c>
      <c r="D25" s="598">
        <v>0</v>
      </c>
      <c r="E25" s="598">
        <v>0.16500000000000001</v>
      </c>
      <c r="F25" s="598">
        <v>0.16500000000000001</v>
      </c>
      <c r="G25" s="1479">
        <f t="shared" ref="G25:G39" si="0">IFERROR(F25-E25,0)</f>
        <v>0</v>
      </c>
      <c r="H25" s="598">
        <v>0.23</v>
      </c>
      <c r="I25" s="598">
        <v>0.2</v>
      </c>
      <c r="J25" s="1479">
        <f t="shared" ref="J25:J39" si="1">IFERROR(I25-H25,0)</f>
        <v>-0.03</v>
      </c>
      <c r="K25" s="598">
        <v>0</v>
      </c>
      <c r="L25" s="598">
        <v>0</v>
      </c>
      <c r="M25" s="2438">
        <v>0</v>
      </c>
      <c r="N25" s="2438">
        <v>0</v>
      </c>
      <c r="O25" s="599">
        <v>0</v>
      </c>
      <c r="P25" s="1306"/>
      <c r="Q25" s="248" t="s">
        <v>12880</v>
      </c>
      <c r="R25" s="1038"/>
      <c r="S25" s="250"/>
      <c r="T25" s="1038"/>
      <c r="U25" s="2589"/>
      <c r="V25" s="1121"/>
      <c r="W25" s="2589"/>
      <c r="X25" s="252">
        <f t="shared" ref="X25:X39" si="2" xml:space="preserve"> IF( ISNUMBER(C25 ), 0, 1 )</f>
        <v>0</v>
      </c>
      <c r="Y25" s="252">
        <f t="shared" ref="Y25:Y39" si="3" xml:space="preserve"> IF( ISNUMBER(E25 ), 0, 1 )</f>
        <v>0</v>
      </c>
      <c r="Z25" s="252">
        <f t="shared" ref="Z25:Z39" si="4" xml:space="preserve"> IF( ISNUMBER(F25 ), 0, 1 )</f>
        <v>0</v>
      </c>
      <c r="AA25" s="2560"/>
      <c r="AB25" s="252">
        <f t="shared" ref="AB25:AB39" si="5" xml:space="preserve"> IF( ISNUMBER(H25 ), 0, 1 )</f>
        <v>0</v>
      </c>
      <c r="AC25" s="252">
        <f t="shared" ref="AC25:AC39" si="6" xml:space="preserve"> IF( ISNUMBER(I25 ), 0, 1 )</f>
        <v>0</v>
      </c>
      <c r="AD25" s="2560"/>
      <c r="AE25" s="252">
        <f t="shared" ref="AE25:AE39" si="7" xml:space="preserve"> IF( ISNUMBER(K25 ), 0, 1 )</f>
        <v>0</v>
      </c>
      <c r="AF25" s="252">
        <f t="shared" ref="AF25:AF39" si="8" xml:space="preserve"> IF( ISNUMBER(L25 ), 0, 1 )</f>
        <v>0</v>
      </c>
      <c r="AG25" s="252">
        <f t="shared" ref="AG25" si="9" xml:space="preserve"> IF( ISNUMBER(N25 ), 0, 1 )</f>
        <v>0</v>
      </c>
      <c r="AH25" s="2589"/>
      <c r="AI25" s="2607"/>
      <c r="AJ25" s="413" t="s">
        <v>12881</v>
      </c>
      <c r="AK25" s="598" t="s">
        <v>1406</v>
      </c>
      <c r="AL25" s="598" t="s">
        <v>1407</v>
      </c>
      <c r="AM25" s="598" t="s">
        <v>1408</v>
      </c>
      <c r="AN25" s="598" t="s">
        <v>1409</v>
      </c>
      <c r="AO25" s="1479" t="s">
        <v>1410</v>
      </c>
      <c r="AP25" s="598" t="s">
        <v>1411</v>
      </c>
      <c r="AQ25" s="598" t="s">
        <v>1412</v>
      </c>
      <c r="AR25" s="1479" t="s">
        <v>1413</v>
      </c>
      <c r="AS25" s="598" t="s">
        <v>1414</v>
      </c>
      <c r="AT25" s="598" t="s">
        <v>1415</v>
      </c>
      <c r="AU25" s="598" t="s">
        <v>1416</v>
      </c>
      <c r="AV25" s="599" t="s">
        <v>1417</v>
      </c>
      <c r="AW25" s="599" t="s">
        <v>1418</v>
      </c>
    </row>
    <row r="26" spans="1:49" ht="15.75" customHeight="1">
      <c r="A26" s="1038"/>
      <c r="B26" s="422" t="s">
        <v>12882</v>
      </c>
      <c r="C26" s="601"/>
      <c r="D26" s="601"/>
      <c r="E26" s="601"/>
      <c r="F26" s="601"/>
      <c r="G26" s="1481">
        <f t="shared" si="0"/>
        <v>0</v>
      </c>
      <c r="H26" s="601"/>
      <c r="I26" s="601"/>
      <c r="J26" s="1481">
        <f t="shared" si="1"/>
        <v>0</v>
      </c>
      <c r="K26" s="601"/>
      <c r="L26" s="601"/>
      <c r="M26" s="2439"/>
      <c r="N26" s="2439"/>
      <c r="O26" s="602"/>
      <c r="P26" s="1306"/>
      <c r="Q26" s="257" t="s">
        <v>12883</v>
      </c>
      <c r="R26" s="1038"/>
      <c r="S26" s="258"/>
      <c r="T26" s="1038"/>
      <c r="U26" s="2589"/>
      <c r="V26" s="1121"/>
      <c r="W26" s="2589"/>
      <c r="X26" s="252">
        <f t="shared" si="2"/>
        <v>1</v>
      </c>
      <c r="Y26" s="252">
        <f t="shared" si="3"/>
        <v>1</v>
      </c>
      <c r="Z26" s="252">
        <f t="shared" si="4"/>
        <v>1</v>
      </c>
      <c r="AA26" s="2560"/>
      <c r="AB26" s="252">
        <f t="shared" si="5"/>
        <v>1</v>
      </c>
      <c r="AC26" s="252">
        <f t="shared" si="6"/>
        <v>1</v>
      </c>
      <c r="AD26" s="2560"/>
      <c r="AE26" s="252">
        <f t="shared" si="7"/>
        <v>1</v>
      </c>
      <c r="AF26" s="252">
        <f t="shared" si="8"/>
        <v>1</v>
      </c>
      <c r="AG26" s="252">
        <f t="shared" ref="AG26:AG39" si="10" xml:space="preserve"> IF( ISNUMBER(N26 ), 0, 1 )</f>
        <v>1</v>
      </c>
      <c r="AH26" s="2589"/>
      <c r="AI26" s="2607"/>
      <c r="AJ26" s="422" t="s">
        <v>12882</v>
      </c>
      <c r="AK26" s="601" t="s">
        <v>1419</v>
      </c>
      <c r="AL26" s="601" t="s">
        <v>1420</v>
      </c>
      <c r="AM26" s="601" t="s">
        <v>1421</v>
      </c>
      <c r="AN26" s="601" t="s">
        <v>1422</v>
      </c>
      <c r="AO26" s="1481" t="s">
        <v>1423</v>
      </c>
      <c r="AP26" s="601" t="s">
        <v>1424</v>
      </c>
      <c r="AQ26" s="601" t="s">
        <v>1425</v>
      </c>
      <c r="AR26" s="1481" t="s">
        <v>1426</v>
      </c>
      <c r="AS26" s="601" t="s">
        <v>1427</v>
      </c>
      <c r="AT26" s="601" t="s">
        <v>1428</v>
      </c>
      <c r="AU26" s="601" t="s">
        <v>1429</v>
      </c>
      <c r="AV26" s="602" t="s">
        <v>1430</v>
      </c>
      <c r="AW26" s="602" t="s">
        <v>1431</v>
      </c>
    </row>
    <row r="27" spans="1:49" ht="15.75" customHeight="1">
      <c r="A27" s="1038"/>
      <c r="B27" s="422" t="s">
        <v>12884</v>
      </c>
      <c r="C27" s="601"/>
      <c r="D27" s="601"/>
      <c r="E27" s="601"/>
      <c r="F27" s="601"/>
      <c r="G27" s="1481">
        <f t="shared" si="0"/>
        <v>0</v>
      </c>
      <c r="H27" s="601"/>
      <c r="I27" s="601"/>
      <c r="J27" s="1481">
        <f t="shared" si="1"/>
        <v>0</v>
      </c>
      <c r="K27" s="601"/>
      <c r="L27" s="601"/>
      <c r="M27" s="2439"/>
      <c r="N27" s="2439"/>
      <c r="O27" s="602"/>
      <c r="P27" s="1306"/>
      <c r="Q27" s="257" t="s">
        <v>12885</v>
      </c>
      <c r="R27" s="1038"/>
      <c r="S27" s="258"/>
      <c r="T27" s="1038"/>
      <c r="U27" s="2589"/>
      <c r="V27" s="1121"/>
      <c r="W27" s="2589"/>
      <c r="X27" s="252">
        <f t="shared" si="2"/>
        <v>1</v>
      </c>
      <c r="Y27" s="252">
        <f t="shared" si="3"/>
        <v>1</v>
      </c>
      <c r="Z27" s="252">
        <f t="shared" si="4"/>
        <v>1</v>
      </c>
      <c r="AA27" s="2560"/>
      <c r="AB27" s="252">
        <f t="shared" si="5"/>
        <v>1</v>
      </c>
      <c r="AC27" s="252">
        <f t="shared" si="6"/>
        <v>1</v>
      </c>
      <c r="AD27" s="2560"/>
      <c r="AE27" s="252">
        <f t="shared" si="7"/>
        <v>1</v>
      </c>
      <c r="AF27" s="252">
        <f t="shared" si="8"/>
        <v>1</v>
      </c>
      <c r="AG27" s="252">
        <f t="shared" si="10"/>
        <v>1</v>
      </c>
      <c r="AH27" s="2589"/>
      <c r="AI27" s="2607"/>
      <c r="AJ27" s="422" t="s">
        <v>12884</v>
      </c>
      <c r="AK27" s="601" t="s">
        <v>1432</v>
      </c>
      <c r="AL27" s="601" t="s">
        <v>1433</v>
      </c>
      <c r="AM27" s="601" t="s">
        <v>1434</v>
      </c>
      <c r="AN27" s="601" t="s">
        <v>1435</v>
      </c>
      <c r="AO27" s="1481" t="s">
        <v>1436</v>
      </c>
      <c r="AP27" s="601" t="s">
        <v>1437</v>
      </c>
      <c r="AQ27" s="601" t="s">
        <v>1438</v>
      </c>
      <c r="AR27" s="1481" t="s">
        <v>1439</v>
      </c>
      <c r="AS27" s="601" t="s">
        <v>1440</v>
      </c>
      <c r="AT27" s="601" t="s">
        <v>1441</v>
      </c>
      <c r="AU27" s="601" t="s">
        <v>1442</v>
      </c>
      <c r="AV27" s="602" t="s">
        <v>1443</v>
      </c>
      <c r="AW27" s="602" t="s">
        <v>1444</v>
      </c>
    </row>
    <row r="28" spans="1:49" ht="15.75" customHeight="1">
      <c r="A28" s="1038"/>
      <c r="B28" s="422" t="s">
        <v>12886</v>
      </c>
      <c r="C28" s="601"/>
      <c r="D28" s="601"/>
      <c r="E28" s="601"/>
      <c r="F28" s="601"/>
      <c r="G28" s="1481">
        <f t="shared" si="0"/>
        <v>0</v>
      </c>
      <c r="H28" s="601"/>
      <c r="I28" s="601"/>
      <c r="J28" s="1481">
        <f t="shared" si="1"/>
        <v>0</v>
      </c>
      <c r="K28" s="601"/>
      <c r="L28" s="601"/>
      <c r="M28" s="2439"/>
      <c r="N28" s="2439"/>
      <c r="O28" s="602"/>
      <c r="P28" s="1306"/>
      <c r="Q28" s="257" t="s">
        <v>12887</v>
      </c>
      <c r="R28" s="1038"/>
      <c r="S28" s="258"/>
      <c r="T28" s="1038"/>
      <c r="U28" s="2589"/>
      <c r="V28" s="1121"/>
      <c r="W28" s="2589"/>
      <c r="X28" s="252">
        <f t="shared" si="2"/>
        <v>1</v>
      </c>
      <c r="Y28" s="252">
        <f t="shared" si="3"/>
        <v>1</v>
      </c>
      <c r="Z28" s="252">
        <f t="shared" si="4"/>
        <v>1</v>
      </c>
      <c r="AA28" s="2560"/>
      <c r="AB28" s="252">
        <f t="shared" si="5"/>
        <v>1</v>
      </c>
      <c r="AC28" s="252">
        <f t="shared" si="6"/>
        <v>1</v>
      </c>
      <c r="AD28" s="2560"/>
      <c r="AE28" s="252">
        <f t="shared" si="7"/>
        <v>1</v>
      </c>
      <c r="AF28" s="252">
        <f t="shared" si="8"/>
        <v>1</v>
      </c>
      <c r="AG28" s="252">
        <f t="shared" si="10"/>
        <v>1</v>
      </c>
      <c r="AH28" s="2589"/>
      <c r="AI28" s="2607"/>
      <c r="AJ28" s="422" t="s">
        <v>12886</v>
      </c>
      <c r="AK28" s="601" t="s">
        <v>1445</v>
      </c>
      <c r="AL28" s="601" t="s">
        <v>1446</v>
      </c>
      <c r="AM28" s="601" t="s">
        <v>1447</v>
      </c>
      <c r="AN28" s="601" t="s">
        <v>1448</v>
      </c>
      <c r="AO28" s="1481" t="s">
        <v>1449</v>
      </c>
      <c r="AP28" s="601" t="s">
        <v>1450</v>
      </c>
      <c r="AQ28" s="601" t="s">
        <v>1451</v>
      </c>
      <c r="AR28" s="1481" t="s">
        <v>1452</v>
      </c>
      <c r="AS28" s="601" t="s">
        <v>1453</v>
      </c>
      <c r="AT28" s="601" t="s">
        <v>1454</v>
      </c>
      <c r="AU28" s="601" t="s">
        <v>1455</v>
      </c>
      <c r="AV28" s="602" t="s">
        <v>1456</v>
      </c>
      <c r="AW28" s="602" t="s">
        <v>1457</v>
      </c>
    </row>
    <row r="29" spans="1:49" ht="15.75" customHeight="1">
      <c r="A29" s="1038"/>
      <c r="B29" s="422" t="s">
        <v>12888</v>
      </c>
      <c r="C29" s="601"/>
      <c r="D29" s="601"/>
      <c r="E29" s="601"/>
      <c r="F29" s="601"/>
      <c r="G29" s="1481">
        <f t="shared" si="0"/>
        <v>0</v>
      </c>
      <c r="H29" s="601"/>
      <c r="I29" s="601"/>
      <c r="J29" s="1481">
        <f t="shared" si="1"/>
        <v>0</v>
      </c>
      <c r="K29" s="601"/>
      <c r="L29" s="601"/>
      <c r="M29" s="2439"/>
      <c r="N29" s="2439"/>
      <c r="O29" s="602"/>
      <c r="P29" s="1306"/>
      <c r="Q29" s="257" t="s">
        <v>12889</v>
      </c>
      <c r="R29" s="1038"/>
      <c r="S29" s="258"/>
      <c r="T29" s="1038"/>
      <c r="U29" s="2589"/>
      <c r="V29" s="1121"/>
      <c r="W29" s="2589"/>
      <c r="X29" s="252">
        <f t="shared" si="2"/>
        <v>1</v>
      </c>
      <c r="Y29" s="252">
        <f t="shared" si="3"/>
        <v>1</v>
      </c>
      <c r="Z29" s="252">
        <f t="shared" si="4"/>
        <v>1</v>
      </c>
      <c r="AA29" s="2560"/>
      <c r="AB29" s="252">
        <f t="shared" si="5"/>
        <v>1</v>
      </c>
      <c r="AC29" s="252">
        <f t="shared" si="6"/>
        <v>1</v>
      </c>
      <c r="AD29" s="2560"/>
      <c r="AE29" s="252">
        <f t="shared" si="7"/>
        <v>1</v>
      </c>
      <c r="AF29" s="252">
        <f t="shared" si="8"/>
        <v>1</v>
      </c>
      <c r="AG29" s="252">
        <f t="shared" si="10"/>
        <v>1</v>
      </c>
      <c r="AH29" s="2589"/>
      <c r="AI29" s="2607"/>
      <c r="AJ29" s="422" t="s">
        <v>12888</v>
      </c>
      <c r="AK29" s="601" t="s">
        <v>1458</v>
      </c>
      <c r="AL29" s="601" t="s">
        <v>1459</v>
      </c>
      <c r="AM29" s="601" t="s">
        <v>1460</v>
      </c>
      <c r="AN29" s="601" t="s">
        <v>1461</v>
      </c>
      <c r="AO29" s="1481" t="s">
        <v>1462</v>
      </c>
      <c r="AP29" s="601" t="s">
        <v>1463</v>
      </c>
      <c r="AQ29" s="601" t="s">
        <v>1464</v>
      </c>
      <c r="AR29" s="1481" t="s">
        <v>1465</v>
      </c>
      <c r="AS29" s="601" t="s">
        <v>1466</v>
      </c>
      <c r="AT29" s="601" t="s">
        <v>1467</v>
      </c>
      <c r="AU29" s="601" t="s">
        <v>1468</v>
      </c>
      <c r="AV29" s="602" t="s">
        <v>1469</v>
      </c>
      <c r="AW29" s="602" t="s">
        <v>1470</v>
      </c>
    </row>
    <row r="30" spans="1:49" ht="15.75" customHeight="1">
      <c r="A30" s="1038"/>
      <c r="B30" s="422" t="s">
        <v>12890</v>
      </c>
      <c r="C30" s="601"/>
      <c r="D30" s="601"/>
      <c r="E30" s="601"/>
      <c r="F30" s="601"/>
      <c r="G30" s="1481">
        <f t="shared" si="0"/>
        <v>0</v>
      </c>
      <c r="H30" s="601"/>
      <c r="I30" s="601"/>
      <c r="J30" s="1481">
        <f t="shared" si="1"/>
        <v>0</v>
      </c>
      <c r="K30" s="601"/>
      <c r="L30" s="601"/>
      <c r="M30" s="2439"/>
      <c r="N30" s="2439"/>
      <c r="O30" s="602"/>
      <c r="P30" s="1306"/>
      <c r="Q30" s="257" t="s">
        <v>12891</v>
      </c>
      <c r="R30" s="1038"/>
      <c r="S30" s="258"/>
      <c r="T30" s="1038"/>
      <c r="U30" s="2589"/>
      <c r="V30" s="1121"/>
      <c r="W30" s="2589"/>
      <c r="X30" s="252">
        <f t="shared" si="2"/>
        <v>1</v>
      </c>
      <c r="Y30" s="252">
        <f t="shared" si="3"/>
        <v>1</v>
      </c>
      <c r="Z30" s="252">
        <f t="shared" si="4"/>
        <v>1</v>
      </c>
      <c r="AA30" s="2560"/>
      <c r="AB30" s="252">
        <f t="shared" si="5"/>
        <v>1</v>
      </c>
      <c r="AC30" s="252">
        <f t="shared" si="6"/>
        <v>1</v>
      </c>
      <c r="AD30" s="2560"/>
      <c r="AE30" s="252">
        <f t="shared" si="7"/>
        <v>1</v>
      </c>
      <c r="AF30" s="252">
        <f t="shared" si="8"/>
        <v>1</v>
      </c>
      <c r="AG30" s="252">
        <f t="shared" si="10"/>
        <v>1</v>
      </c>
      <c r="AH30" s="2589"/>
      <c r="AI30" s="2607"/>
      <c r="AJ30" s="422" t="s">
        <v>12890</v>
      </c>
      <c r="AK30" s="601" t="s">
        <v>1471</v>
      </c>
      <c r="AL30" s="601" t="s">
        <v>1472</v>
      </c>
      <c r="AM30" s="601" t="s">
        <v>1473</v>
      </c>
      <c r="AN30" s="601" t="s">
        <v>1474</v>
      </c>
      <c r="AO30" s="1481" t="s">
        <v>1475</v>
      </c>
      <c r="AP30" s="601" t="s">
        <v>1476</v>
      </c>
      <c r="AQ30" s="601" t="s">
        <v>1477</v>
      </c>
      <c r="AR30" s="1481" t="s">
        <v>1478</v>
      </c>
      <c r="AS30" s="601" t="s">
        <v>1479</v>
      </c>
      <c r="AT30" s="601" t="s">
        <v>1480</v>
      </c>
      <c r="AU30" s="601" t="s">
        <v>1481</v>
      </c>
      <c r="AV30" s="602" t="s">
        <v>1482</v>
      </c>
      <c r="AW30" s="602" t="s">
        <v>1483</v>
      </c>
    </row>
    <row r="31" spans="1:49" ht="15.75" customHeight="1">
      <c r="A31" s="1038"/>
      <c r="B31" s="422" t="s">
        <v>12892</v>
      </c>
      <c r="C31" s="601"/>
      <c r="D31" s="601"/>
      <c r="E31" s="601"/>
      <c r="F31" s="601"/>
      <c r="G31" s="1481">
        <f t="shared" si="0"/>
        <v>0</v>
      </c>
      <c r="H31" s="601"/>
      <c r="I31" s="601"/>
      <c r="J31" s="1481">
        <f t="shared" si="1"/>
        <v>0</v>
      </c>
      <c r="K31" s="601"/>
      <c r="L31" s="601"/>
      <c r="M31" s="2439"/>
      <c r="N31" s="2439"/>
      <c r="O31" s="602"/>
      <c r="P31" s="1306"/>
      <c r="Q31" s="257" t="s">
        <v>12893</v>
      </c>
      <c r="R31" s="1038"/>
      <c r="S31" s="258"/>
      <c r="T31" s="1038"/>
      <c r="U31" s="2589"/>
      <c r="V31" s="1121"/>
      <c r="W31" s="2589"/>
      <c r="X31" s="252">
        <f t="shared" si="2"/>
        <v>1</v>
      </c>
      <c r="Y31" s="252">
        <f t="shared" si="3"/>
        <v>1</v>
      </c>
      <c r="Z31" s="252">
        <f t="shared" si="4"/>
        <v>1</v>
      </c>
      <c r="AA31" s="2560"/>
      <c r="AB31" s="252">
        <f t="shared" si="5"/>
        <v>1</v>
      </c>
      <c r="AC31" s="252">
        <f t="shared" si="6"/>
        <v>1</v>
      </c>
      <c r="AD31" s="2560"/>
      <c r="AE31" s="252">
        <f t="shared" si="7"/>
        <v>1</v>
      </c>
      <c r="AF31" s="252">
        <f t="shared" si="8"/>
        <v>1</v>
      </c>
      <c r="AG31" s="252">
        <f t="shared" si="10"/>
        <v>1</v>
      </c>
      <c r="AH31" s="2589"/>
      <c r="AI31" s="2607"/>
      <c r="AJ31" s="422" t="s">
        <v>12892</v>
      </c>
      <c r="AK31" s="601" t="s">
        <v>1484</v>
      </c>
      <c r="AL31" s="601" t="s">
        <v>1485</v>
      </c>
      <c r="AM31" s="601" t="s">
        <v>1486</v>
      </c>
      <c r="AN31" s="601" t="s">
        <v>1487</v>
      </c>
      <c r="AO31" s="1481" t="s">
        <v>1488</v>
      </c>
      <c r="AP31" s="601" t="s">
        <v>1489</v>
      </c>
      <c r="AQ31" s="601" t="s">
        <v>1490</v>
      </c>
      <c r="AR31" s="1481" t="s">
        <v>1491</v>
      </c>
      <c r="AS31" s="601" t="s">
        <v>1492</v>
      </c>
      <c r="AT31" s="601" t="s">
        <v>1493</v>
      </c>
      <c r="AU31" s="601" t="s">
        <v>1494</v>
      </c>
      <c r="AV31" s="602" t="s">
        <v>1495</v>
      </c>
      <c r="AW31" s="602" t="s">
        <v>1496</v>
      </c>
    </row>
    <row r="32" spans="1:49" ht="15.75" customHeight="1">
      <c r="A32" s="1038"/>
      <c r="B32" s="422" t="s">
        <v>12894</v>
      </c>
      <c r="C32" s="601"/>
      <c r="D32" s="601"/>
      <c r="E32" s="601"/>
      <c r="F32" s="601"/>
      <c r="G32" s="1481">
        <f t="shared" si="0"/>
        <v>0</v>
      </c>
      <c r="H32" s="601"/>
      <c r="I32" s="601"/>
      <c r="J32" s="1481">
        <f t="shared" si="1"/>
        <v>0</v>
      </c>
      <c r="K32" s="601"/>
      <c r="L32" s="601"/>
      <c r="M32" s="2439"/>
      <c r="N32" s="2439"/>
      <c r="O32" s="602"/>
      <c r="P32" s="1306"/>
      <c r="Q32" s="257" t="s">
        <v>12895</v>
      </c>
      <c r="R32" s="1038"/>
      <c r="S32" s="258"/>
      <c r="T32" s="1038"/>
      <c r="U32" s="2589"/>
      <c r="V32" s="1121"/>
      <c r="W32" s="2589"/>
      <c r="X32" s="252">
        <f t="shared" si="2"/>
        <v>1</v>
      </c>
      <c r="Y32" s="252">
        <f t="shared" si="3"/>
        <v>1</v>
      </c>
      <c r="Z32" s="252">
        <f t="shared" si="4"/>
        <v>1</v>
      </c>
      <c r="AA32" s="2560"/>
      <c r="AB32" s="252">
        <f t="shared" si="5"/>
        <v>1</v>
      </c>
      <c r="AC32" s="252">
        <f t="shared" si="6"/>
        <v>1</v>
      </c>
      <c r="AD32" s="2560"/>
      <c r="AE32" s="252">
        <f t="shared" si="7"/>
        <v>1</v>
      </c>
      <c r="AF32" s="252">
        <f t="shared" si="8"/>
        <v>1</v>
      </c>
      <c r="AG32" s="252">
        <f t="shared" si="10"/>
        <v>1</v>
      </c>
      <c r="AH32" s="2589"/>
      <c r="AI32" s="2607"/>
      <c r="AJ32" s="422" t="s">
        <v>12894</v>
      </c>
      <c r="AK32" s="601" t="s">
        <v>1497</v>
      </c>
      <c r="AL32" s="601" t="s">
        <v>1498</v>
      </c>
      <c r="AM32" s="601" t="s">
        <v>1499</v>
      </c>
      <c r="AN32" s="601" t="s">
        <v>1500</v>
      </c>
      <c r="AO32" s="1481" t="s">
        <v>1501</v>
      </c>
      <c r="AP32" s="601" t="s">
        <v>1502</v>
      </c>
      <c r="AQ32" s="601" t="s">
        <v>1503</v>
      </c>
      <c r="AR32" s="1481" t="s">
        <v>1504</v>
      </c>
      <c r="AS32" s="601" t="s">
        <v>1505</v>
      </c>
      <c r="AT32" s="601" t="s">
        <v>1506</v>
      </c>
      <c r="AU32" s="601" t="s">
        <v>1507</v>
      </c>
      <c r="AV32" s="602" t="s">
        <v>1508</v>
      </c>
      <c r="AW32" s="602" t="s">
        <v>1509</v>
      </c>
    </row>
    <row r="33" spans="1:49" ht="15.75" customHeight="1">
      <c r="A33" s="1038"/>
      <c r="B33" s="422" t="s">
        <v>12896</v>
      </c>
      <c r="C33" s="601"/>
      <c r="D33" s="601"/>
      <c r="E33" s="601"/>
      <c r="F33" s="601"/>
      <c r="G33" s="1481">
        <f t="shared" si="0"/>
        <v>0</v>
      </c>
      <c r="H33" s="601"/>
      <c r="I33" s="601"/>
      <c r="J33" s="1481">
        <f t="shared" si="1"/>
        <v>0</v>
      </c>
      <c r="K33" s="601"/>
      <c r="L33" s="601"/>
      <c r="M33" s="2439"/>
      <c r="N33" s="2439"/>
      <c r="O33" s="602"/>
      <c r="P33" s="1306"/>
      <c r="Q33" s="257" t="s">
        <v>12897</v>
      </c>
      <c r="R33" s="1038"/>
      <c r="S33" s="258"/>
      <c r="T33" s="1038"/>
      <c r="U33" s="2589"/>
      <c r="V33" s="1121"/>
      <c r="W33" s="2589"/>
      <c r="X33" s="252">
        <f t="shared" si="2"/>
        <v>1</v>
      </c>
      <c r="Y33" s="252">
        <f t="shared" si="3"/>
        <v>1</v>
      </c>
      <c r="Z33" s="252">
        <f t="shared" si="4"/>
        <v>1</v>
      </c>
      <c r="AA33" s="2560"/>
      <c r="AB33" s="252">
        <f t="shared" si="5"/>
        <v>1</v>
      </c>
      <c r="AC33" s="252">
        <f t="shared" si="6"/>
        <v>1</v>
      </c>
      <c r="AD33" s="2560"/>
      <c r="AE33" s="252">
        <f t="shared" si="7"/>
        <v>1</v>
      </c>
      <c r="AF33" s="252">
        <f t="shared" si="8"/>
        <v>1</v>
      </c>
      <c r="AG33" s="252">
        <f t="shared" si="10"/>
        <v>1</v>
      </c>
      <c r="AH33" s="2589"/>
      <c r="AI33" s="2607"/>
      <c r="AJ33" s="422" t="s">
        <v>12896</v>
      </c>
      <c r="AK33" s="601" t="s">
        <v>1510</v>
      </c>
      <c r="AL33" s="601" t="s">
        <v>1511</v>
      </c>
      <c r="AM33" s="601" t="s">
        <v>1512</v>
      </c>
      <c r="AN33" s="601" t="s">
        <v>1513</v>
      </c>
      <c r="AO33" s="1481" t="s">
        <v>1514</v>
      </c>
      <c r="AP33" s="601" t="s">
        <v>1515</v>
      </c>
      <c r="AQ33" s="601" t="s">
        <v>1516</v>
      </c>
      <c r="AR33" s="1481" t="s">
        <v>1517</v>
      </c>
      <c r="AS33" s="601" t="s">
        <v>1518</v>
      </c>
      <c r="AT33" s="601" t="s">
        <v>1519</v>
      </c>
      <c r="AU33" s="601" t="s">
        <v>1520</v>
      </c>
      <c r="AV33" s="602" t="s">
        <v>1521</v>
      </c>
      <c r="AW33" s="602" t="s">
        <v>1522</v>
      </c>
    </row>
    <row r="34" spans="1:49" ht="15.75" customHeight="1">
      <c r="A34" s="1038"/>
      <c r="B34" s="422" t="s">
        <v>12898</v>
      </c>
      <c r="C34" s="601"/>
      <c r="D34" s="601"/>
      <c r="E34" s="601"/>
      <c r="F34" s="601"/>
      <c r="G34" s="1481">
        <f t="shared" si="0"/>
        <v>0</v>
      </c>
      <c r="H34" s="601"/>
      <c r="I34" s="601"/>
      <c r="J34" s="1481">
        <f t="shared" si="1"/>
        <v>0</v>
      </c>
      <c r="K34" s="601"/>
      <c r="L34" s="601"/>
      <c r="M34" s="2439"/>
      <c r="N34" s="2439"/>
      <c r="O34" s="602"/>
      <c r="P34" s="1306"/>
      <c r="Q34" s="257" t="s">
        <v>12899</v>
      </c>
      <c r="R34" s="1038"/>
      <c r="S34" s="258"/>
      <c r="T34" s="1038"/>
      <c r="U34" s="2589"/>
      <c r="V34" s="1121"/>
      <c r="W34" s="2589"/>
      <c r="X34" s="252">
        <f t="shared" si="2"/>
        <v>1</v>
      </c>
      <c r="Y34" s="252">
        <f t="shared" si="3"/>
        <v>1</v>
      </c>
      <c r="Z34" s="252">
        <f t="shared" si="4"/>
        <v>1</v>
      </c>
      <c r="AA34" s="2560"/>
      <c r="AB34" s="252">
        <f t="shared" si="5"/>
        <v>1</v>
      </c>
      <c r="AC34" s="252">
        <f t="shared" si="6"/>
        <v>1</v>
      </c>
      <c r="AD34" s="2560"/>
      <c r="AE34" s="252">
        <f t="shared" si="7"/>
        <v>1</v>
      </c>
      <c r="AF34" s="252">
        <f t="shared" si="8"/>
        <v>1</v>
      </c>
      <c r="AG34" s="252">
        <f t="shared" si="10"/>
        <v>1</v>
      </c>
      <c r="AH34" s="2589"/>
      <c r="AI34" s="2607"/>
      <c r="AJ34" s="422" t="s">
        <v>12898</v>
      </c>
      <c r="AK34" s="601" t="s">
        <v>1523</v>
      </c>
      <c r="AL34" s="601" t="s">
        <v>1524</v>
      </c>
      <c r="AM34" s="601" t="s">
        <v>1525</v>
      </c>
      <c r="AN34" s="601" t="s">
        <v>1526</v>
      </c>
      <c r="AO34" s="1481" t="s">
        <v>1527</v>
      </c>
      <c r="AP34" s="601" t="s">
        <v>1528</v>
      </c>
      <c r="AQ34" s="601" t="s">
        <v>1529</v>
      </c>
      <c r="AR34" s="1481" t="s">
        <v>1530</v>
      </c>
      <c r="AS34" s="601" t="s">
        <v>1531</v>
      </c>
      <c r="AT34" s="601" t="s">
        <v>1532</v>
      </c>
      <c r="AU34" s="601" t="s">
        <v>1533</v>
      </c>
      <c r="AV34" s="602" t="s">
        <v>1534</v>
      </c>
      <c r="AW34" s="602" t="s">
        <v>1535</v>
      </c>
    </row>
    <row r="35" spans="1:49" ht="15.75" customHeight="1">
      <c r="A35" s="1038"/>
      <c r="B35" s="422" t="s">
        <v>12900</v>
      </c>
      <c r="C35" s="601"/>
      <c r="D35" s="601"/>
      <c r="E35" s="601"/>
      <c r="F35" s="601"/>
      <c r="G35" s="1481">
        <f t="shared" si="0"/>
        <v>0</v>
      </c>
      <c r="H35" s="601"/>
      <c r="I35" s="601"/>
      <c r="J35" s="1481">
        <f t="shared" si="1"/>
        <v>0</v>
      </c>
      <c r="K35" s="601"/>
      <c r="L35" s="601"/>
      <c r="M35" s="2439"/>
      <c r="N35" s="2439"/>
      <c r="O35" s="602"/>
      <c r="P35" s="1306"/>
      <c r="Q35" s="257" t="s">
        <v>12901</v>
      </c>
      <c r="R35" s="1038"/>
      <c r="S35" s="258"/>
      <c r="T35" s="1038"/>
      <c r="U35" s="2589"/>
      <c r="V35" s="1121"/>
      <c r="W35" s="2589"/>
      <c r="X35" s="252">
        <f t="shared" si="2"/>
        <v>1</v>
      </c>
      <c r="Y35" s="252">
        <f t="shared" si="3"/>
        <v>1</v>
      </c>
      <c r="Z35" s="252">
        <f t="shared" si="4"/>
        <v>1</v>
      </c>
      <c r="AA35" s="2560"/>
      <c r="AB35" s="252">
        <f t="shared" si="5"/>
        <v>1</v>
      </c>
      <c r="AC35" s="252">
        <f t="shared" si="6"/>
        <v>1</v>
      </c>
      <c r="AD35" s="2560"/>
      <c r="AE35" s="252">
        <f t="shared" si="7"/>
        <v>1</v>
      </c>
      <c r="AF35" s="252">
        <f t="shared" si="8"/>
        <v>1</v>
      </c>
      <c r="AG35" s="252">
        <f t="shared" si="10"/>
        <v>1</v>
      </c>
      <c r="AH35" s="2589"/>
      <c r="AI35" s="2607"/>
      <c r="AJ35" s="422" t="s">
        <v>12900</v>
      </c>
      <c r="AK35" s="601" t="s">
        <v>1536</v>
      </c>
      <c r="AL35" s="601" t="s">
        <v>1537</v>
      </c>
      <c r="AM35" s="601" t="s">
        <v>1538</v>
      </c>
      <c r="AN35" s="601" t="s">
        <v>1539</v>
      </c>
      <c r="AO35" s="1481" t="s">
        <v>1540</v>
      </c>
      <c r="AP35" s="601" t="s">
        <v>1541</v>
      </c>
      <c r="AQ35" s="601" t="s">
        <v>1542</v>
      </c>
      <c r="AR35" s="1481" t="s">
        <v>1543</v>
      </c>
      <c r="AS35" s="601" t="s">
        <v>1544</v>
      </c>
      <c r="AT35" s="601" t="s">
        <v>1545</v>
      </c>
      <c r="AU35" s="601" t="s">
        <v>1546</v>
      </c>
      <c r="AV35" s="602" t="s">
        <v>1547</v>
      </c>
      <c r="AW35" s="602" t="s">
        <v>1548</v>
      </c>
    </row>
    <row r="36" spans="1:49" ht="15.75" customHeight="1">
      <c r="A36" s="1038"/>
      <c r="B36" s="422" t="s">
        <v>12902</v>
      </c>
      <c r="C36" s="601"/>
      <c r="D36" s="601"/>
      <c r="E36" s="601"/>
      <c r="F36" s="601"/>
      <c r="G36" s="1481">
        <f t="shared" si="0"/>
        <v>0</v>
      </c>
      <c r="H36" s="601"/>
      <c r="I36" s="601"/>
      <c r="J36" s="1481">
        <f t="shared" si="1"/>
        <v>0</v>
      </c>
      <c r="K36" s="601"/>
      <c r="L36" s="601"/>
      <c r="M36" s="2439"/>
      <c r="N36" s="2439"/>
      <c r="O36" s="602"/>
      <c r="P36" s="1306"/>
      <c r="Q36" s="257" t="s">
        <v>12903</v>
      </c>
      <c r="R36" s="1038"/>
      <c r="S36" s="258"/>
      <c r="T36" s="1038"/>
      <c r="U36" s="2589"/>
      <c r="V36" s="1121"/>
      <c r="W36" s="2589"/>
      <c r="X36" s="252">
        <f t="shared" si="2"/>
        <v>1</v>
      </c>
      <c r="Y36" s="252">
        <f t="shared" si="3"/>
        <v>1</v>
      </c>
      <c r="Z36" s="252">
        <f t="shared" si="4"/>
        <v>1</v>
      </c>
      <c r="AA36" s="2560"/>
      <c r="AB36" s="252">
        <f t="shared" si="5"/>
        <v>1</v>
      </c>
      <c r="AC36" s="252">
        <f t="shared" si="6"/>
        <v>1</v>
      </c>
      <c r="AD36" s="2560"/>
      <c r="AE36" s="252">
        <f t="shared" si="7"/>
        <v>1</v>
      </c>
      <c r="AF36" s="252">
        <f t="shared" si="8"/>
        <v>1</v>
      </c>
      <c r="AG36" s="252">
        <f t="shared" si="10"/>
        <v>1</v>
      </c>
      <c r="AH36" s="2589"/>
      <c r="AI36" s="2607"/>
      <c r="AJ36" s="422" t="s">
        <v>12902</v>
      </c>
      <c r="AK36" s="601" t="s">
        <v>1549</v>
      </c>
      <c r="AL36" s="601" t="s">
        <v>1550</v>
      </c>
      <c r="AM36" s="601" t="s">
        <v>1551</v>
      </c>
      <c r="AN36" s="601" t="s">
        <v>1552</v>
      </c>
      <c r="AO36" s="1481" t="s">
        <v>1553</v>
      </c>
      <c r="AP36" s="601" t="s">
        <v>1554</v>
      </c>
      <c r="AQ36" s="601" t="s">
        <v>1555</v>
      </c>
      <c r="AR36" s="1481" t="s">
        <v>1556</v>
      </c>
      <c r="AS36" s="601" t="s">
        <v>1557</v>
      </c>
      <c r="AT36" s="601" t="s">
        <v>1558</v>
      </c>
      <c r="AU36" s="601" t="s">
        <v>1559</v>
      </c>
      <c r="AV36" s="602" t="s">
        <v>1560</v>
      </c>
      <c r="AW36" s="602" t="s">
        <v>1561</v>
      </c>
    </row>
    <row r="37" spans="1:49" ht="15.75" customHeight="1">
      <c r="A37" s="1038"/>
      <c r="B37" s="422" t="s">
        <v>12904</v>
      </c>
      <c r="C37" s="601"/>
      <c r="D37" s="601"/>
      <c r="E37" s="601"/>
      <c r="F37" s="601"/>
      <c r="G37" s="1481">
        <f t="shared" si="0"/>
        <v>0</v>
      </c>
      <c r="H37" s="601"/>
      <c r="I37" s="601"/>
      <c r="J37" s="1481">
        <f t="shared" si="1"/>
        <v>0</v>
      </c>
      <c r="K37" s="601"/>
      <c r="L37" s="601"/>
      <c r="M37" s="2439"/>
      <c r="N37" s="2439"/>
      <c r="O37" s="602"/>
      <c r="P37" s="1306"/>
      <c r="Q37" s="257" t="s">
        <v>12905</v>
      </c>
      <c r="R37" s="1038"/>
      <c r="S37" s="258"/>
      <c r="T37" s="1038"/>
      <c r="U37" s="2589"/>
      <c r="V37" s="1121"/>
      <c r="W37" s="2589"/>
      <c r="X37" s="252">
        <f t="shared" si="2"/>
        <v>1</v>
      </c>
      <c r="Y37" s="252">
        <f t="shared" si="3"/>
        <v>1</v>
      </c>
      <c r="Z37" s="252">
        <f t="shared" si="4"/>
        <v>1</v>
      </c>
      <c r="AA37" s="2560"/>
      <c r="AB37" s="252">
        <f t="shared" si="5"/>
        <v>1</v>
      </c>
      <c r="AC37" s="252">
        <f t="shared" si="6"/>
        <v>1</v>
      </c>
      <c r="AD37" s="2560"/>
      <c r="AE37" s="252">
        <f t="shared" si="7"/>
        <v>1</v>
      </c>
      <c r="AF37" s="252">
        <f t="shared" si="8"/>
        <v>1</v>
      </c>
      <c r="AG37" s="252">
        <f t="shared" si="10"/>
        <v>1</v>
      </c>
      <c r="AH37" s="2589"/>
      <c r="AI37" s="2607"/>
      <c r="AJ37" s="422" t="s">
        <v>12904</v>
      </c>
      <c r="AK37" s="601" t="s">
        <v>1562</v>
      </c>
      <c r="AL37" s="601" t="s">
        <v>1563</v>
      </c>
      <c r="AM37" s="601" t="s">
        <v>1564</v>
      </c>
      <c r="AN37" s="601" t="s">
        <v>1565</v>
      </c>
      <c r="AO37" s="1481" t="s">
        <v>1566</v>
      </c>
      <c r="AP37" s="601" t="s">
        <v>1567</v>
      </c>
      <c r="AQ37" s="601" t="s">
        <v>1568</v>
      </c>
      <c r="AR37" s="1481" t="s">
        <v>1569</v>
      </c>
      <c r="AS37" s="601" t="s">
        <v>1570</v>
      </c>
      <c r="AT37" s="601" t="s">
        <v>1571</v>
      </c>
      <c r="AU37" s="601" t="s">
        <v>1572</v>
      </c>
      <c r="AV37" s="602" t="s">
        <v>1573</v>
      </c>
      <c r="AW37" s="602" t="s">
        <v>1574</v>
      </c>
    </row>
    <row r="38" spans="1:49" ht="15.75" customHeight="1">
      <c r="A38" s="1038"/>
      <c r="B38" s="422" t="s">
        <v>12906</v>
      </c>
      <c r="C38" s="601"/>
      <c r="D38" s="601"/>
      <c r="E38" s="601"/>
      <c r="F38" s="601"/>
      <c r="G38" s="1481">
        <f t="shared" si="0"/>
        <v>0</v>
      </c>
      <c r="H38" s="601"/>
      <c r="I38" s="601"/>
      <c r="J38" s="1481">
        <f t="shared" si="1"/>
        <v>0</v>
      </c>
      <c r="K38" s="601"/>
      <c r="L38" s="601"/>
      <c r="M38" s="2439"/>
      <c r="N38" s="2439"/>
      <c r="O38" s="602"/>
      <c r="P38" s="1306"/>
      <c r="Q38" s="257" t="s">
        <v>12907</v>
      </c>
      <c r="R38" s="1038"/>
      <c r="S38" s="258"/>
      <c r="T38" s="1038"/>
      <c r="U38" s="2589"/>
      <c r="V38" s="1121"/>
      <c r="W38" s="2589"/>
      <c r="X38" s="252">
        <f t="shared" si="2"/>
        <v>1</v>
      </c>
      <c r="Y38" s="252">
        <f t="shared" si="3"/>
        <v>1</v>
      </c>
      <c r="Z38" s="252">
        <f t="shared" si="4"/>
        <v>1</v>
      </c>
      <c r="AA38" s="2560"/>
      <c r="AB38" s="252">
        <f t="shared" si="5"/>
        <v>1</v>
      </c>
      <c r="AC38" s="252">
        <f t="shared" si="6"/>
        <v>1</v>
      </c>
      <c r="AD38" s="2560"/>
      <c r="AE38" s="252">
        <f t="shared" si="7"/>
        <v>1</v>
      </c>
      <c r="AF38" s="252">
        <f t="shared" si="8"/>
        <v>1</v>
      </c>
      <c r="AG38" s="252">
        <f t="shared" si="10"/>
        <v>1</v>
      </c>
      <c r="AH38" s="2589"/>
      <c r="AI38" s="2607"/>
      <c r="AJ38" s="422" t="s">
        <v>12906</v>
      </c>
      <c r="AK38" s="601" t="s">
        <v>1575</v>
      </c>
      <c r="AL38" s="601" t="s">
        <v>1576</v>
      </c>
      <c r="AM38" s="601" t="s">
        <v>1577</v>
      </c>
      <c r="AN38" s="601" t="s">
        <v>1578</v>
      </c>
      <c r="AO38" s="1481" t="s">
        <v>1579</v>
      </c>
      <c r="AP38" s="601" t="s">
        <v>1580</v>
      </c>
      <c r="AQ38" s="601" t="s">
        <v>1581</v>
      </c>
      <c r="AR38" s="1481" t="s">
        <v>1582</v>
      </c>
      <c r="AS38" s="601" t="s">
        <v>1583</v>
      </c>
      <c r="AT38" s="601" t="s">
        <v>1584</v>
      </c>
      <c r="AU38" s="601" t="s">
        <v>1585</v>
      </c>
      <c r="AV38" s="602" t="s">
        <v>1586</v>
      </c>
      <c r="AW38" s="602" t="s">
        <v>1587</v>
      </c>
    </row>
    <row r="39" spans="1:49" ht="15.75" customHeight="1">
      <c r="A39" s="1038"/>
      <c r="B39" s="422" t="s">
        <v>12908</v>
      </c>
      <c r="C39" s="601"/>
      <c r="D39" s="601"/>
      <c r="E39" s="601"/>
      <c r="F39" s="601"/>
      <c r="G39" s="1481">
        <f t="shared" si="0"/>
        <v>0</v>
      </c>
      <c r="H39" s="601"/>
      <c r="I39" s="601"/>
      <c r="J39" s="1481">
        <f t="shared" si="1"/>
        <v>0</v>
      </c>
      <c r="K39" s="601"/>
      <c r="L39" s="601"/>
      <c r="M39" s="2439"/>
      <c r="N39" s="2439"/>
      <c r="O39" s="602"/>
      <c r="P39" s="1306"/>
      <c r="Q39" s="257" t="s">
        <v>12909</v>
      </c>
      <c r="R39" s="1038"/>
      <c r="S39" s="258"/>
      <c r="T39" s="1038"/>
      <c r="U39" s="2589"/>
      <c r="V39" s="1121"/>
      <c r="W39" s="2589"/>
      <c r="X39" s="252">
        <f t="shared" si="2"/>
        <v>1</v>
      </c>
      <c r="Y39" s="252">
        <f t="shared" si="3"/>
        <v>1</v>
      </c>
      <c r="Z39" s="252">
        <f t="shared" si="4"/>
        <v>1</v>
      </c>
      <c r="AA39" s="2560"/>
      <c r="AB39" s="252">
        <f t="shared" si="5"/>
        <v>1</v>
      </c>
      <c r="AC39" s="252">
        <f t="shared" si="6"/>
        <v>1</v>
      </c>
      <c r="AD39" s="2560"/>
      <c r="AE39" s="252">
        <f t="shared" si="7"/>
        <v>1</v>
      </c>
      <c r="AF39" s="252">
        <f t="shared" si="8"/>
        <v>1</v>
      </c>
      <c r="AG39" s="252">
        <f t="shared" si="10"/>
        <v>1</v>
      </c>
      <c r="AH39" s="2589"/>
      <c r="AI39" s="2607"/>
      <c r="AJ39" s="422" t="s">
        <v>12908</v>
      </c>
      <c r="AK39" s="601" t="s">
        <v>1588</v>
      </c>
      <c r="AL39" s="601" t="s">
        <v>1589</v>
      </c>
      <c r="AM39" s="601" t="s">
        <v>1590</v>
      </c>
      <c r="AN39" s="601" t="s">
        <v>1591</v>
      </c>
      <c r="AO39" s="1481" t="s">
        <v>1592</v>
      </c>
      <c r="AP39" s="601" t="s">
        <v>1593</v>
      </c>
      <c r="AQ39" s="601" t="s">
        <v>1594</v>
      </c>
      <c r="AR39" s="1481" t="s">
        <v>1595</v>
      </c>
      <c r="AS39" s="601" t="s">
        <v>1596</v>
      </c>
      <c r="AT39" s="601" t="s">
        <v>1597</v>
      </c>
      <c r="AU39" s="601" t="s">
        <v>1598</v>
      </c>
      <c r="AV39" s="602" t="s">
        <v>1599</v>
      </c>
      <c r="AW39" s="602" t="s">
        <v>1600</v>
      </c>
    </row>
    <row r="40" spans="1:49" ht="15.75" customHeight="1" thickBot="1">
      <c r="A40" s="1038"/>
      <c r="B40" s="425" t="s">
        <v>2112</v>
      </c>
      <c r="C40" s="1473">
        <f t="shared" ref="C40:N40" si="11">IFERROR(SUM(C25:C39),0)</f>
        <v>0.17399999999999999</v>
      </c>
      <c r="D40" s="1473">
        <f>IFERROR(SUM(D25:D39),0)</f>
        <v>0</v>
      </c>
      <c r="E40" s="1473">
        <f t="shared" si="11"/>
        <v>0.16500000000000001</v>
      </c>
      <c r="F40" s="1473">
        <f t="shared" si="11"/>
        <v>0.16500000000000001</v>
      </c>
      <c r="G40" s="1473">
        <f t="shared" si="11"/>
        <v>0</v>
      </c>
      <c r="H40" s="1473">
        <f t="shared" si="11"/>
        <v>0.23</v>
      </c>
      <c r="I40" s="1473">
        <f t="shared" si="11"/>
        <v>0.2</v>
      </c>
      <c r="J40" s="1473">
        <f t="shared" si="11"/>
        <v>-0.03</v>
      </c>
      <c r="K40" s="1473">
        <f t="shared" si="11"/>
        <v>0</v>
      </c>
      <c r="L40" s="1473">
        <f t="shared" si="11"/>
        <v>0</v>
      </c>
      <c r="M40" s="1473">
        <f>IFERROR(SUM(M25:M39),0)</f>
        <v>0</v>
      </c>
      <c r="N40" s="1473">
        <f t="shared" si="11"/>
        <v>0</v>
      </c>
      <c r="O40" s="1483">
        <f>IFERROR(SUM(O25:O39),0)</f>
        <v>0</v>
      </c>
      <c r="P40" s="1306"/>
      <c r="Q40" s="320" t="s">
        <v>12910</v>
      </c>
      <c r="R40" s="1038"/>
      <c r="S40" s="269"/>
      <c r="T40" s="1038"/>
      <c r="U40" s="2589"/>
      <c r="V40" s="2560"/>
      <c r="W40" s="2589"/>
      <c r="X40" s="2560"/>
      <c r="Y40" s="2560"/>
      <c r="Z40" s="2560"/>
      <c r="AA40" s="2560"/>
      <c r="AB40" s="2560"/>
      <c r="AC40" s="2560"/>
      <c r="AD40" s="2560"/>
      <c r="AE40" s="2560"/>
      <c r="AF40" s="2560"/>
      <c r="AG40" s="2560"/>
      <c r="AH40" s="2589"/>
      <c r="AI40" s="2607"/>
      <c r="AJ40" s="425" t="s">
        <v>2112</v>
      </c>
      <c r="AK40" s="1473" t="s">
        <v>1601</v>
      </c>
      <c r="AL40" s="1473" t="s">
        <v>1602</v>
      </c>
      <c r="AM40" s="1473" t="s">
        <v>1603</v>
      </c>
      <c r="AN40" s="1473" t="s">
        <v>1604</v>
      </c>
      <c r="AO40" s="1473" t="s">
        <v>1605</v>
      </c>
      <c r="AP40" s="1473" t="s">
        <v>1606</v>
      </c>
      <c r="AQ40" s="1473" t="s">
        <v>1607</v>
      </c>
      <c r="AR40" s="1473" t="s">
        <v>1608</v>
      </c>
      <c r="AS40" s="1473" t="s">
        <v>1609</v>
      </c>
      <c r="AT40" s="1473" t="s">
        <v>1610</v>
      </c>
      <c r="AU40" s="1473" t="s">
        <v>1611</v>
      </c>
      <c r="AV40" s="1483" t="s">
        <v>1612</v>
      </c>
      <c r="AW40" s="1483" t="s">
        <v>1613</v>
      </c>
    </row>
    <row r="41" spans="1:49" ht="16" thickTop="1">
      <c r="A41" s="1038"/>
      <c r="B41" s="1038"/>
      <c r="C41" s="1315"/>
      <c r="D41" s="1315"/>
      <c r="E41" s="1315"/>
      <c r="F41" s="1038"/>
      <c r="G41" s="1038"/>
      <c r="H41" s="1038"/>
      <c r="I41" s="1038"/>
      <c r="J41" s="1038"/>
      <c r="K41" s="1038"/>
      <c r="L41" s="1038"/>
      <c r="M41" s="1038"/>
      <c r="N41" s="1038"/>
      <c r="O41" s="1038"/>
      <c r="P41" s="1306"/>
      <c r="Q41" s="1038"/>
      <c r="R41" s="1038"/>
      <c r="S41" s="1038"/>
      <c r="T41" s="1038"/>
      <c r="U41" s="2560"/>
      <c r="V41" s="2560"/>
      <c r="W41" s="2560"/>
      <c r="X41" s="2560"/>
      <c r="Y41" s="2560"/>
      <c r="Z41" s="2560"/>
      <c r="AA41" s="2560"/>
      <c r="AB41" s="2560"/>
      <c r="AC41" s="2560"/>
      <c r="AD41" s="2560"/>
      <c r="AE41" s="2560"/>
      <c r="AF41" s="2560"/>
      <c r="AG41" s="2560"/>
      <c r="AH41" s="2560"/>
      <c r="AI41" s="2607"/>
      <c r="AJ41" s="2560"/>
      <c r="AK41" s="2560"/>
      <c r="AL41" s="2560"/>
      <c r="AM41" s="2560"/>
      <c r="AN41" s="2560"/>
      <c r="AO41" s="2560"/>
      <c r="AP41" s="2560"/>
      <c r="AQ41" s="2560"/>
      <c r="AR41" s="2560"/>
      <c r="AS41" s="2560"/>
      <c r="AT41" s="2560"/>
      <c r="AU41" s="2560"/>
      <c r="AV41" s="2560"/>
      <c r="AW41" s="2607"/>
    </row>
    <row r="42" spans="1:49" ht="15.5">
      <c r="A42" s="1038"/>
      <c r="B42" s="1038"/>
      <c r="C42" s="1315"/>
      <c r="D42" s="1315"/>
      <c r="E42" s="1315"/>
      <c r="F42" s="1038"/>
      <c r="G42" s="1038"/>
      <c r="H42" s="1038"/>
      <c r="I42" s="1038"/>
      <c r="J42" s="1038"/>
      <c r="K42" s="1038"/>
      <c r="L42" s="1038"/>
      <c r="M42" s="1038"/>
      <c r="N42" s="1038"/>
      <c r="O42" s="1038"/>
      <c r="P42" s="1306"/>
      <c r="Q42" s="1038"/>
      <c r="R42" s="1038"/>
      <c r="S42" s="1038"/>
      <c r="T42" s="1038"/>
      <c r="U42" s="2560"/>
      <c r="V42" s="2560"/>
      <c r="W42" s="2560"/>
      <c r="X42" s="2560"/>
      <c r="Y42" s="2560"/>
      <c r="Z42" s="2560"/>
      <c r="AA42" s="2560"/>
      <c r="AB42" s="2560"/>
      <c r="AC42" s="2560"/>
      <c r="AD42" s="2560"/>
      <c r="AE42" s="2560"/>
      <c r="AF42" s="2560"/>
      <c r="AG42" s="2560"/>
      <c r="AH42" s="2560"/>
      <c r="AI42" s="2607"/>
      <c r="AJ42" s="2560"/>
      <c r="AK42" s="2560"/>
      <c r="AL42" s="2560"/>
      <c r="AM42" s="2560"/>
      <c r="AN42" s="2560"/>
      <c r="AO42" s="2560"/>
      <c r="AP42" s="2560"/>
      <c r="AQ42" s="2560"/>
      <c r="AR42" s="2560"/>
      <c r="AS42" s="2560"/>
      <c r="AT42" s="2560"/>
      <c r="AU42" s="2560"/>
      <c r="AV42" s="2560"/>
      <c r="AW42" s="2607"/>
    </row>
    <row r="43" spans="1:49" ht="15.5">
      <c r="A43" s="1038"/>
      <c r="B43" s="1038"/>
      <c r="C43" s="1315"/>
      <c r="D43" s="1315"/>
      <c r="E43" s="1315"/>
      <c r="F43" s="1038"/>
      <c r="G43" s="1038"/>
      <c r="H43" s="1038"/>
      <c r="I43" s="1038"/>
      <c r="J43" s="1038"/>
      <c r="K43" s="1038"/>
      <c r="L43" s="1038"/>
      <c r="M43" s="1038"/>
      <c r="N43" s="1038"/>
      <c r="O43" s="1038"/>
      <c r="P43" s="1306"/>
      <c r="Q43" s="1038"/>
      <c r="R43" s="1038"/>
      <c r="S43" s="1038"/>
      <c r="T43" s="1038"/>
      <c r="U43" s="2560"/>
      <c r="V43" s="2560"/>
      <c r="W43" s="2560"/>
      <c r="X43" s="2560"/>
      <c r="Y43" s="2560"/>
      <c r="Z43" s="2560"/>
      <c r="AA43" s="2560"/>
      <c r="AB43" s="2560"/>
      <c r="AC43" s="2560"/>
      <c r="AD43" s="2560"/>
      <c r="AE43" s="2560"/>
      <c r="AF43" s="2560"/>
      <c r="AG43" s="2560"/>
      <c r="AH43" s="2560"/>
      <c r="AI43" s="2607"/>
      <c r="AJ43" s="2560"/>
      <c r="AK43" s="2560"/>
      <c r="AL43" s="2560"/>
      <c r="AM43" s="2560"/>
      <c r="AN43" s="2560"/>
      <c r="AO43" s="2560"/>
      <c r="AP43" s="2560"/>
      <c r="AQ43" s="2560"/>
      <c r="AR43" s="2560"/>
      <c r="AS43" s="2560"/>
      <c r="AT43" s="2560"/>
      <c r="AU43" s="2560"/>
      <c r="AV43" s="2560"/>
      <c r="AW43" s="2607"/>
    </row>
    <row r="44" spans="1:49" ht="15.5">
      <c r="A44" s="1038"/>
      <c r="B44" s="1038"/>
      <c r="C44" s="1315"/>
      <c r="D44" s="1315"/>
      <c r="E44" s="1315"/>
      <c r="F44" s="1038"/>
      <c r="G44" s="1038"/>
      <c r="H44" s="1038"/>
      <c r="I44" s="1038"/>
      <c r="J44" s="1038"/>
      <c r="K44" s="1038"/>
      <c r="L44" s="1038"/>
      <c r="M44" s="1038"/>
      <c r="N44" s="1038"/>
      <c r="O44" s="1038"/>
      <c r="P44" s="1306"/>
      <c r="Q44" s="1038"/>
      <c r="R44" s="1038"/>
      <c r="S44" s="1038"/>
      <c r="T44" s="1038"/>
      <c r="U44" s="2560"/>
      <c r="V44" s="2560"/>
      <c r="W44" s="2560"/>
      <c r="X44" s="2560"/>
      <c r="Y44" s="2560"/>
      <c r="Z44" s="2560"/>
      <c r="AA44" s="2560"/>
      <c r="AB44" s="2560"/>
      <c r="AC44" s="2560"/>
      <c r="AD44" s="2560"/>
      <c r="AE44" s="2560"/>
      <c r="AF44" s="2560"/>
      <c r="AG44" s="2560"/>
      <c r="AH44" s="2560"/>
      <c r="AI44" s="2607"/>
      <c r="AJ44" s="2560"/>
      <c r="AK44" s="2560"/>
      <c r="AL44" s="2560"/>
      <c r="AM44" s="2560"/>
      <c r="AN44" s="2560"/>
      <c r="AO44" s="2560"/>
      <c r="AP44" s="2560"/>
      <c r="AQ44" s="2560"/>
      <c r="AR44" s="2560"/>
      <c r="AS44" s="2560"/>
      <c r="AT44" s="2560"/>
      <c r="AU44" s="2560"/>
      <c r="AV44" s="2560"/>
      <c r="AW44" s="2607"/>
    </row>
    <row r="45" spans="1:49" ht="15.5">
      <c r="A45" s="1038"/>
      <c r="B45" s="1038"/>
      <c r="C45" s="1315"/>
      <c r="D45" s="1315"/>
      <c r="E45" s="1315"/>
      <c r="F45" s="1038"/>
      <c r="G45" s="1038"/>
      <c r="H45" s="1038"/>
      <c r="I45" s="1038"/>
      <c r="J45" s="1038"/>
      <c r="K45" s="1038"/>
      <c r="L45" s="1038"/>
      <c r="M45" s="1038"/>
      <c r="N45" s="1038"/>
      <c r="O45" s="1038"/>
      <c r="P45" s="1038"/>
      <c r="Q45" s="1038"/>
      <c r="R45" s="1038"/>
      <c r="S45" s="1038"/>
      <c r="T45" s="1038"/>
      <c r="U45" s="2560"/>
      <c r="V45" s="2560"/>
      <c r="W45" s="2560"/>
      <c r="X45" s="2560"/>
      <c r="Y45" s="2560"/>
      <c r="Z45" s="2560"/>
      <c r="AA45" s="2560"/>
      <c r="AB45" s="2560"/>
      <c r="AC45" s="2560"/>
      <c r="AD45" s="2560"/>
      <c r="AE45" s="2560"/>
      <c r="AF45" s="2560"/>
      <c r="AG45" s="2560"/>
      <c r="AH45" s="2560"/>
      <c r="AI45" s="2607"/>
      <c r="AJ45" s="2560"/>
      <c r="AK45" s="2560"/>
      <c r="AL45" s="2560"/>
      <c r="AM45" s="2560"/>
      <c r="AN45" s="2560"/>
      <c r="AO45" s="2560"/>
      <c r="AP45" s="2560"/>
      <c r="AQ45" s="2560"/>
      <c r="AR45" s="2560"/>
      <c r="AS45" s="2560"/>
      <c r="AT45" s="2560"/>
      <c r="AU45" s="2560"/>
      <c r="AV45" s="2560"/>
      <c r="AW45" s="2607"/>
    </row>
  </sheetData>
  <sheetProtection formatColumns="0" formatRows="0"/>
  <mergeCells count="3">
    <mergeCell ref="B3:S3"/>
    <mergeCell ref="AJ3:AQ3"/>
    <mergeCell ref="X4:AG4"/>
  </mergeCells>
  <phoneticPr fontId="38" type="noConversion"/>
  <conditionalFormatting sqref="V8">
    <cfRule type="cellIs" dxfId="23" priority="10" operator="equal">
      <formula>0</formula>
    </cfRule>
  </conditionalFormatting>
  <conditionalFormatting sqref="V11:V19">
    <cfRule type="cellIs" dxfId="22" priority="1" operator="equal">
      <formula>0</formula>
    </cfRule>
  </conditionalFormatting>
  <conditionalFormatting sqref="V25:V39">
    <cfRule type="cellIs" dxfId="21" priority="4"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rgb="FF808080"/>
    <pageSetUpPr fitToPage="1"/>
  </sheetPr>
  <dimension ref="B1:AE54"/>
  <sheetViews>
    <sheetView showGridLines="0" zoomScaleNormal="100" zoomScaleSheetLayoutView="100" workbookViewId="0"/>
  </sheetViews>
  <sheetFormatPr defaultColWidth="9" defaultRowHeight="14"/>
  <cols>
    <col min="1" max="1" width="6" style="1318" customWidth="1"/>
    <col min="2" max="2" width="83.08203125" style="1318" bestFit="1" customWidth="1"/>
    <col min="3" max="3" width="5.5" style="1318" bestFit="1" customWidth="1"/>
    <col min="4" max="4" width="3.58203125" style="1318" bestFit="1" customWidth="1"/>
    <col min="5" max="5" width="11.08203125" style="1318" bestFit="1" customWidth="1"/>
    <col min="6" max="6" width="10.58203125" style="1318" bestFit="1" customWidth="1"/>
    <col min="7" max="7" width="10" style="1318" bestFit="1" customWidth="1"/>
    <col min="8" max="8" width="1.58203125" style="1318" customWidth="1"/>
    <col min="9" max="9" width="9.5" style="1318" bestFit="1" customWidth="1"/>
    <col min="10" max="10" width="1.58203125" style="1318" customWidth="1"/>
    <col min="11" max="11" width="10.08203125" style="1318" customWidth="1"/>
    <col min="12" max="12" width="3.5" style="1318" customWidth="1"/>
    <col min="13" max="13" width="1.58203125" style="219" customWidth="1"/>
    <col min="14" max="14" width="20.58203125" style="219" customWidth="1"/>
    <col min="15" max="15" width="1.58203125" style="219" customWidth="1"/>
    <col min="16" max="16" width="7.08203125" style="219" hidden="1" customWidth="1"/>
    <col min="17" max="17" width="8.08203125" style="219" hidden="1" customWidth="1"/>
    <col min="18" max="18" width="10.58203125" style="219" hidden="1" customWidth="1"/>
    <col min="19" max="19" width="1.58203125" style="219" hidden="1" customWidth="1"/>
    <col min="20" max="20" width="2" style="1318" customWidth="1"/>
    <col min="21" max="21" width="98.58203125" style="1318" customWidth="1"/>
    <col min="22" max="22" width="18.58203125" style="1318" bestFit="1" customWidth="1"/>
    <col min="23" max="23" width="17" style="1318" bestFit="1" customWidth="1"/>
    <col min="24" max="24" width="19.58203125" style="1318" bestFit="1" customWidth="1"/>
    <col min="25" max="16384" width="9" style="1318"/>
  </cols>
  <sheetData>
    <row r="1" spans="2:24" ht="35.25" customHeight="1">
      <c r="B1" s="1119" t="s">
        <v>12911</v>
      </c>
      <c r="C1" s="1317"/>
      <c r="D1" s="1317"/>
      <c r="E1" s="1317"/>
      <c r="F1" s="1317"/>
      <c r="G1" s="1317"/>
      <c r="H1" s="1317"/>
      <c r="I1" s="1317"/>
      <c r="J1" s="2608"/>
      <c r="K1" s="2608"/>
      <c r="L1" s="2608"/>
      <c r="M1" s="2589"/>
      <c r="N1" s="2560"/>
      <c r="O1" s="2589"/>
      <c r="P1" s="2560"/>
      <c r="Q1" s="2560"/>
      <c r="R1" s="2560"/>
      <c r="S1" s="2589"/>
      <c r="T1" s="2608"/>
      <c r="U1" s="1119" t="s">
        <v>1887</v>
      </c>
      <c r="V1" s="2608"/>
      <c r="W1" s="2608"/>
      <c r="X1" s="2608"/>
    </row>
    <row r="2" spans="2:24" ht="35.25" customHeight="1">
      <c r="B2" s="1119" t="str">
        <f>SelectCompany!B4</f>
        <v>Yorkshire Water</v>
      </c>
      <c r="C2" s="1317"/>
      <c r="D2" s="1317"/>
      <c r="E2" s="1317"/>
      <c r="F2" s="1317"/>
      <c r="G2" s="1317"/>
      <c r="H2" s="1317"/>
      <c r="I2" s="1317"/>
      <c r="J2" s="2608"/>
      <c r="K2" s="2608"/>
      <c r="L2" s="2608"/>
      <c r="M2" s="2589"/>
      <c r="N2" s="2560"/>
      <c r="O2" s="2589"/>
      <c r="P2" s="2560"/>
      <c r="Q2" s="2560"/>
      <c r="R2" s="2560"/>
      <c r="S2" s="2589"/>
      <c r="T2" s="2608"/>
      <c r="U2" s="1317"/>
      <c r="V2" s="2608"/>
      <c r="W2" s="2608"/>
      <c r="X2" s="2608"/>
    </row>
    <row r="3" spans="2:24" ht="48.75" customHeight="1">
      <c r="B3" s="2781" t="s">
        <v>12912</v>
      </c>
      <c r="C3" s="2781"/>
      <c r="D3" s="2781"/>
      <c r="E3" s="2781"/>
      <c r="F3" s="2781"/>
      <c r="G3" s="2781"/>
      <c r="H3" s="2608"/>
      <c r="I3" s="2608"/>
      <c r="J3" s="2608"/>
      <c r="K3" s="2608"/>
      <c r="L3" s="2608"/>
      <c r="M3" s="2589"/>
      <c r="N3" s="1129" t="s">
        <v>1889</v>
      </c>
      <c r="O3" s="2589"/>
      <c r="P3" s="2560"/>
      <c r="Q3" s="2560"/>
      <c r="R3" s="2560"/>
      <c r="S3" s="2589"/>
      <c r="T3" s="2608"/>
      <c r="U3" s="2781" t="s">
        <v>12912</v>
      </c>
      <c r="V3" s="2781"/>
      <c r="W3" s="2781"/>
      <c r="X3" s="2781"/>
    </row>
    <row r="4" spans="2:24" ht="18.75" customHeight="1">
      <c r="B4" s="2608"/>
      <c r="C4" s="2608"/>
      <c r="D4" s="2608"/>
      <c r="E4" s="2608"/>
      <c r="F4" s="2608"/>
      <c r="G4" s="2608"/>
      <c r="H4" s="1319"/>
      <c r="I4" s="105"/>
      <c r="J4" s="105"/>
      <c r="K4" s="105"/>
      <c r="L4" s="2608"/>
      <c r="M4" s="2589"/>
      <c r="N4" s="2560"/>
      <c r="O4" s="2589"/>
      <c r="P4" s="2869" t="s">
        <v>1890</v>
      </c>
      <c r="Q4" s="2869"/>
      <c r="R4" s="2869"/>
      <c r="S4" s="2589"/>
      <c r="T4" s="2608"/>
      <c r="U4" s="2608"/>
      <c r="V4" s="2608"/>
      <c r="W4" s="2608"/>
      <c r="X4" s="2608"/>
    </row>
    <row r="5" spans="2:24" ht="34.5" customHeight="1" thickBot="1">
      <c r="B5" s="2895" t="s">
        <v>12913</v>
      </c>
      <c r="C5" s="2895"/>
      <c r="D5" s="2895"/>
      <c r="E5" s="2895"/>
      <c r="F5" s="2895"/>
      <c r="G5" s="2895"/>
      <c r="H5" s="1319"/>
      <c r="I5" s="105"/>
      <c r="J5" s="105"/>
      <c r="K5" s="105"/>
      <c r="L5" s="2608"/>
      <c r="M5" s="2589"/>
      <c r="N5" s="2560"/>
      <c r="O5" s="2589"/>
      <c r="P5" s="2560" t="s">
        <v>1898</v>
      </c>
      <c r="Q5" s="2560"/>
      <c r="R5" s="2560"/>
      <c r="S5" s="2589"/>
      <c r="T5" s="2608"/>
      <c r="U5" s="2895" t="s">
        <v>12913</v>
      </c>
      <c r="V5" s="2895"/>
      <c r="W5" s="2895"/>
      <c r="X5" s="2895"/>
    </row>
    <row r="6" spans="2:24" ht="47.5" thickTop="1" thickBot="1">
      <c r="B6" s="1320"/>
      <c r="C6" s="1320"/>
      <c r="D6" s="1320"/>
      <c r="E6" s="1320"/>
      <c r="F6" s="1320"/>
      <c r="G6" s="1320"/>
      <c r="H6" s="1319"/>
      <c r="I6" s="145" t="s">
        <v>1896</v>
      </c>
      <c r="J6" s="105"/>
      <c r="K6" s="145" t="s">
        <v>12914</v>
      </c>
      <c r="L6" s="2608"/>
      <c r="M6" s="2589"/>
      <c r="N6" s="2560"/>
      <c r="O6" s="2589"/>
      <c r="P6" s="2560"/>
      <c r="Q6" s="2560"/>
      <c r="R6" s="2560"/>
      <c r="S6" s="2589"/>
      <c r="T6" s="2608"/>
      <c r="U6" s="1320"/>
      <c r="V6" s="1320"/>
      <c r="W6" s="1320"/>
      <c r="X6" s="1320"/>
    </row>
    <row r="7" spans="2:24" ht="15.75" customHeight="1" thickTop="1" thickBot="1">
      <c r="B7" s="212" t="s">
        <v>12915</v>
      </c>
      <c r="C7" s="2608"/>
      <c r="D7" s="2608"/>
      <c r="E7" s="2608"/>
      <c r="F7" s="2608"/>
      <c r="G7" s="2608"/>
      <c r="H7" s="2608"/>
      <c r="I7" s="2608"/>
      <c r="J7" s="105"/>
      <c r="K7" s="105"/>
      <c r="L7" s="2608"/>
      <c r="M7" s="2589"/>
      <c r="N7" s="2560"/>
      <c r="O7" s="2589"/>
      <c r="P7" s="2560"/>
      <c r="Q7" s="2560"/>
      <c r="R7" s="2560"/>
      <c r="S7" s="2589"/>
      <c r="T7" s="2608"/>
      <c r="U7" s="212" t="s">
        <v>12915</v>
      </c>
      <c r="V7" s="2608"/>
      <c r="W7" s="2608"/>
      <c r="X7" s="2608"/>
    </row>
    <row r="8" spans="2:24" ht="15.75" customHeight="1" thickTop="1" thickBot="1">
      <c r="B8" s="215" t="s">
        <v>2410</v>
      </c>
      <c r="C8" s="216" t="s">
        <v>12916</v>
      </c>
      <c r="D8" s="216" t="s">
        <v>12917</v>
      </c>
      <c r="E8" s="217" t="s">
        <v>10262</v>
      </c>
      <c r="F8" s="103"/>
      <c r="G8" s="108"/>
      <c r="H8" s="108"/>
      <c r="I8" s="108"/>
      <c r="J8" s="108"/>
      <c r="K8" s="108"/>
      <c r="L8" s="2608"/>
      <c r="M8" s="2589"/>
      <c r="N8" s="2560"/>
      <c r="O8" s="2589"/>
      <c r="P8" s="2560"/>
      <c r="Q8" s="2560"/>
      <c r="R8" s="2560"/>
      <c r="S8" s="2589"/>
      <c r="T8" s="2608"/>
      <c r="U8" s="215" t="s">
        <v>2410</v>
      </c>
      <c r="V8" s="217" t="s">
        <v>10262</v>
      </c>
      <c r="W8" s="103"/>
      <c r="X8" s="2608"/>
    </row>
    <row r="9" spans="2:24" ht="15.75" customHeight="1" thickTop="1">
      <c r="B9" s="115" t="s">
        <v>10839</v>
      </c>
      <c r="C9" s="116" t="s">
        <v>1385</v>
      </c>
      <c r="D9" s="116">
        <v>1</v>
      </c>
      <c r="E9" s="1983"/>
      <c r="F9" s="104"/>
      <c r="G9" s="108"/>
      <c r="H9" s="108"/>
      <c r="I9" s="43" t="s">
        <v>12918</v>
      </c>
      <c r="J9" s="105"/>
      <c r="K9" s="43" t="s">
        <v>10840</v>
      </c>
      <c r="L9" s="2608"/>
      <c r="M9" s="2589"/>
      <c r="N9" s="1121" t="str">
        <f>IF( SUM( P9:R9 ) = 0, 0, $P$5 )</f>
        <v>Please complete all cells in row</v>
      </c>
      <c r="O9" s="2589"/>
      <c r="P9" s="2564">
        <f xml:space="preserve"> IF( ISNUMBER(E9 ), 0, 1 )</f>
        <v>1</v>
      </c>
      <c r="Q9" s="2560"/>
      <c r="R9" s="2560"/>
      <c r="S9" s="2589"/>
      <c r="T9" s="2608"/>
      <c r="U9" s="115" t="s">
        <v>10839</v>
      </c>
      <c r="V9" s="117" t="s">
        <v>12919</v>
      </c>
      <c r="W9" s="104"/>
      <c r="X9" s="2608"/>
    </row>
    <row r="10" spans="2:24" ht="15.75" customHeight="1" thickBot="1">
      <c r="B10" s="100" t="s">
        <v>12920</v>
      </c>
      <c r="C10" s="101" t="s">
        <v>138</v>
      </c>
      <c r="D10" s="101">
        <v>0</v>
      </c>
      <c r="E10" s="1984"/>
      <c r="F10" s="106"/>
      <c r="G10" s="108"/>
      <c r="H10" s="108"/>
      <c r="I10" s="54" t="s">
        <v>12921</v>
      </c>
      <c r="J10" s="105"/>
      <c r="K10" s="54" t="s">
        <v>10897</v>
      </c>
      <c r="L10" s="2608"/>
      <c r="M10" s="2589"/>
      <c r="N10" s="1121" t="str">
        <f>IF( SUM( P10:R10 ) = 0, 0, $P$5 )</f>
        <v>Please complete all cells in row</v>
      </c>
      <c r="O10" s="2589"/>
      <c r="P10" s="2564">
        <f xml:space="preserve"> IF( ISNUMBER(E10 ), 0, 1 )</f>
        <v>1</v>
      </c>
      <c r="Q10" s="2560"/>
      <c r="R10" s="2560"/>
      <c r="S10" s="2589"/>
      <c r="T10" s="2608"/>
      <c r="U10" s="100" t="s">
        <v>12920</v>
      </c>
      <c r="V10" s="99" t="s">
        <v>12922</v>
      </c>
      <c r="W10" s="106"/>
      <c r="X10" s="2608"/>
    </row>
    <row r="11" spans="2:24" ht="15.75" customHeight="1" thickTop="1">
      <c r="B11" s="108"/>
      <c r="C11" s="108"/>
      <c r="D11" s="108"/>
      <c r="E11" s="108"/>
      <c r="F11" s="108"/>
      <c r="G11" s="108"/>
      <c r="H11" s="108"/>
      <c r="I11" s="108"/>
      <c r="J11" s="108"/>
      <c r="K11" s="108"/>
      <c r="L11" s="2608"/>
      <c r="M11" s="2589"/>
      <c r="N11" s="2560"/>
      <c r="O11" s="2589"/>
      <c r="P11" s="2560"/>
      <c r="Q11" s="2560"/>
      <c r="R11" s="2560"/>
      <c r="S11" s="2589"/>
      <c r="T11" s="2608"/>
      <c r="U11" s="108"/>
      <c r="V11" s="2608"/>
      <c r="W11" s="2608"/>
      <c r="X11" s="2608"/>
    </row>
    <row r="12" spans="2:24" ht="15.75" customHeight="1" thickBot="1">
      <c r="B12" s="212" t="s">
        <v>12923</v>
      </c>
      <c r="C12" s="108"/>
      <c r="D12" s="108"/>
      <c r="E12" s="108"/>
      <c r="F12" s="108"/>
      <c r="G12" s="108"/>
      <c r="H12" s="108"/>
      <c r="I12" s="108"/>
      <c r="J12" s="108"/>
      <c r="K12" s="108"/>
      <c r="L12" s="2608"/>
      <c r="M12" s="2589"/>
      <c r="N12" s="2560"/>
      <c r="O12" s="2589"/>
      <c r="P12" s="2560"/>
      <c r="Q12" s="2560"/>
      <c r="R12" s="2560"/>
      <c r="S12" s="2589"/>
      <c r="T12" s="2608"/>
      <c r="U12" s="212" t="s">
        <v>12923</v>
      </c>
      <c r="V12" s="2608"/>
      <c r="W12" s="2608"/>
      <c r="X12" s="2608"/>
    </row>
    <row r="13" spans="2:24" ht="32" thickTop="1" thickBot="1">
      <c r="B13" s="118"/>
      <c r="C13" s="119" t="s">
        <v>1892</v>
      </c>
      <c r="D13" s="120" t="s">
        <v>12917</v>
      </c>
      <c r="E13" s="119" t="s">
        <v>9383</v>
      </c>
      <c r="F13" s="120" t="s">
        <v>9384</v>
      </c>
      <c r="G13" s="121" t="s">
        <v>10914</v>
      </c>
      <c r="H13" s="105"/>
      <c r="I13" s="108"/>
      <c r="J13" s="108"/>
      <c r="K13" s="108"/>
      <c r="L13" s="2608"/>
      <c r="M13" s="2589"/>
      <c r="N13" s="2560"/>
      <c r="O13" s="2589"/>
      <c r="P13" s="2560"/>
      <c r="Q13" s="2560"/>
      <c r="R13" s="2560"/>
      <c r="S13" s="2589"/>
      <c r="T13" s="2608"/>
      <c r="U13" s="118"/>
      <c r="V13" s="119" t="s">
        <v>9383</v>
      </c>
      <c r="W13" s="120" t="s">
        <v>9384</v>
      </c>
      <c r="X13" s="121" t="s">
        <v>10914</v>
      </c>
    </row>
    <row r="14" spans="2:24" ht="15.75" customHeight="1" thickTop="1" thickBot="1">
      <c r="B14" s="107"/>
      <c r="C14" s="107"/>
      <c r="D14" s="107"/>
      <c r="E14" s="107"/>
      <c r="F14" s="108"/>
      <c r="G14" s="108"/>
      <c r="H14" s="105"/>
      <c r="I14" s="108"/>
      <c r="J14" s="105"/>
      <c r="K14" s="105"/>
      <c r="L14" s="2608"/>
      <c r="M14" s="2589"/>
      <c r="N14" s="2560"/>
      <c r="O14" s="2589"/>
      <c r="P14" s="2560"/>
      <c r="Q14" s="2560"/>
      <c r="R14" s="2560"/>
      <c r="S14" s="2589"/>
      <c r="T14" s="2608"/>
      <c r="U14" s="107"/>
      <c r="V14" s="107"/>
      <c r="W14" s="108"/>
      <c r="X14" s="108"/>
    </row>
    <row r="15" spans="2:24" ht="15.75" customHeight="1" thickTop="1" thickBot="1">
      <c r="B15" s="122" t="s">
        <v>10915</v>
      </c>
      <c r="C15" s="123"/>
      <c r="D15" s="123"/>
      <c r="E15" s="109"/>
      <c r="F15" s="109"/>
      <c r="G15" s="109"/>
      <c r="H15" s="105"/>
      <c r="I15" s="108"/>
      <c r="J15" s="105"/>
      <c r="K15" s="105"/>
      <c r="L15" s="2608"/>
      <c r="M15" s="2589"/>
      <c r="N15" s="2560"/>
      <c r="O15" s="2589"/>
      <c r="P15" s="2560"/>
      <c r="Q15" s="2560"/>
      <c r="R15" s="2560"/>
      <c r="S15" s="2589"/>
      <c r="T15" s="2608"/>
      <c r="U15" s="122" t="s">
        <v>10915</v>
      </c>
      <c r="V15" s="109"/>
      <c r="W15" s="109"/>
      <c r="X15" s="109"/>
    </row>
    <row r="16" spans="2:24" ht="15.75" customHeight="1" thickTop="1">
      <c r="B16" s="124" t="s">
        <v>10921</v>
      </c>
      <c r="C16" s="125" t="s">
        <v>137</v>
      </c>
      <c r="D16" s="125">
        <v>3</v>
      </c>
      <c r="E16" s="126"/>
      <c r="F16" s="126"/>
      <c r="G16" s="1969"/>
      <c r="H16" s="105"/>
      <c r="I16" s="128" t="s">
        <v>12924</v>
      </c>
      <c r="J16" s="105"/>
      <c r="K16" s="128" t="s">
        <v>10922</v>
      </c>
      <c r="L16" s="2608"/>
      <c r="M16" s="2589"/>
      <c r="N16" s="1121" t="str">
        <f t="shared" ref="N16:N19" si="0">IF( SUM( P16:R16 ) = 0, 0, $P$5 )</f>
        <v>Please complete all cells in row</v>
      </c>
      <c r="O16" s="2589"/>
      <c r="P16" s="2560"/>
      <c r="Q16" s="2560"/>
      <c r="R16" s="2564">
        <f t="shared" ref="R16:R19" si="1" xml:space="preserve"> IF( ISNUMBER(G16 ), 0, 1 )</f>
        <v>1</v>
      </c>
      <c r="S16" s="2589"/>
      <c r="T16" s="2608"/>
      <c r="U16" s="124" t="s">
        <v>12925</v>
      </c>
      <c r="V16" s="126"/>
      <c r="W16" s="126"/>
      <c r="X16" s="127" t="s">
        <v>12926</v>
      </c>
    </row>
    <row r="17" spans="2:24" ht="15.75" customHeight="1">
      <c r="B17" s="129" t="s">
        <v>10926</v>
      </c>
      <c r="C17" s="130" t="s">
        <v>137</v>
      </c>
      <c r="D17" s="130">
        <v>3</v>
      </c>
      <c r="E17" s="131"/>
      <c r="F17" s="131"/>
      <c r="G17" s="1972"/>
      <c r="H17" s="105"/>
      <c r="I17" s="133" t="s">
        <v>12927</v>
      </c>
      <c r="J17" s="105"/>
      <c r="K17" s="133" t="s">
        <v>10927</v>
      </c>
      <c r="L17" s="2608"/>
      <c r="M17" s="2589"/>
      <c r="N17" s="1121" t="str">
        <f t="shared" si="0"/>
        <v>Please complete all cells in row</v>
      </c>
      <c r="O17" s="2589"/>
      <c r="P17" s="2560"/>
      <c r="Q17" s="2560"/>
      <c r="R17" s="2564">
        <f t="shared" si="1"/>
        <v>1</v>
      </c>
      <c r="S17" s="2589"/>
      <c r="T17" s="2608"/>
      <c r="U17" s="129" t="s">
        <v>12928</v>
      </c>
      <c r="V17" s="131"/>
      <c r="W17" s="131"/>
      <c r="X17" s="132" t="s">
        <v>12929</v>
      </c>
    </row>
    <row r="18" spans="2:24" ht="15.75" customHeight="1">
      <c r="B18" s="129" t="s">
        <v>10931</v>
      </c>
      <c r="C18" s="130" t="s">
        <v>137</v>
      </c>
      <c r="D18" s="130">
        <v>3</v>
      </c>
      <c r="E18" s="131"/>
      <c r="F18" s="131"/>
      <c r="G18" s="1972"/>
      <c r="H18" s="105"/>
      <c r="I18" s="133" t="s">
        <v>12930</v>
      </c>
      <c r="J18" s="105"/>
      <c r="K18" s="133" t="s">
        <v>10932</v>
      </c>
      <c r="L18" s="2608"/>
      <c r="M18" s="2589"/>
      <c r="N18" s="1121" t="str">
        <f t="shared" si="0"/>
        <v>Please complete all cells in row</v>
      </c>
      <c r="O18" s="2589"/>
      <c r="P18" s="2560"/>
      <c r="Q18" s="2560"/>
      <c r="R18" s="2564">
        <f t="shared" si="1"/>
        <v>1</v>
      </c>
      <c r="S18" s="2589"/>
      <c r="T18" s="2608"/>
      <c r="U18" s="129" t="s">
        <v>10931</v>
      </c>
      <c r="V18" s="131"/>
      <c r="W18" s="131"/>
      <c r="X18" s="132" t="s">
        <v>12931</v>
      </c>
    </row>
    <row r="19" spans="2:24" ht="15.75" customHeight="1" thickBot="1">
      <c r="B19" s="134" t="s">
        <v>10936</v>
      </c>
      <c r="C19" s="135" t="s">
        <v>137</v>
      </c>
      <c r="D19" s="135">
        <v>3</v>
      </c>
      <c r="E19" s="136"/>
      <c r="F19" s="136"/>
      <c r="G19" s="1985"/>
      <c r="H19" s="105"/>
      <c r="I19" s="138" t="s">
        <v>12932</v>
      </c>
      <c r="J19" s="105"/>
      <c r="K19" s="138" t="s">
        <v>10937</v>
      </c>
      <c r="L19" s="2608"/>
      <c r="M19" s="2589"/>
      <c r="N19" s="1121" t="str">
        <f t="shared" si="0"/>
        <v>Please complete all cells in row</v>
      </c>
      <c r="O19" s="2589"/>
      <c r="P19" s="2560"/>
      <c r="Q19" s="2560"/>
      <c r="R19" s="2564">
        <f t="shared" si="1"/>
        <v>1</v>
      </c>
      <c r="S19" s="2589"/>
      <c r="T19" s="2608"/>
      <c r="U19" s="134" t="s">
        <v>10936</v>
      </c>
      <c r="V19" s="136"/>
      <c r="W19" s="136"/>
      <c r="X19" s="137" t="s">
        <v>12933</v>
      </c>
    </row>
    <row r="20" spans="2:24" ht="15.75" customHeight="1" thickTop="1" thickBot="1">
      <c r="B20" s="110"/>
      <c r="C20" s="111"/>
      <c r="D20" s="111"/>
      <c r="E20" s="112"/>
      <c r="F20" s="112"/>
      <c r="G20" s="1663"/>
      <c r="H20" s="105"/>
      <c r="I20" s="105"/>
      <c r="J20" s="105"/>
      <c r="K20" s="105"/>
      <c r="L20" s="2608"/>
      <c r="M20" s="2589"/>
      <c r="N20" s="2560"/>
      <c r="O20" s="2589"/>
      <c r="P20" s="2560"/>
      <c r="Q20" s="2560"/>
      <c r="R20" s="2560"/>
      <c r="S20" s="2589"/>
      <c r="T20" s="2608"/>
      <c r="U20" s="110"/>
      <c r="V20" s="112"/>
      <c r="W20" s="112"/>
      <c r="X20" s="112"/>
    </row>
    <row r="21" spans="2:24" ht="15.75" customHeight="1" thickTop="1" thickBot="1">
      <c r="B21" s="139" t="s">
        <v>10941</v>
      </c>
      <c r="C21" s="140" t="s">
        <v>1892</v>
      </c>
      <c r="D21" s="141" t="s">
        <v>12917</v>
      </c>
      <c r="E21" s="109"/>
      <c r="F21" s="109"/>
      <c r="G21" s="1664"/>
      <c r="H21" s="108"/>
      <c r="I21" s="108"/>
      <c r="J21" s="108"/>
      <c r="K21" s="108"/>
      <c r="L21" s="2608"/>
      <c r="M21" s="2589"/>
      <c r="N21" s="2560"/>
      <c r="O21" s="2589"/>
      <c r="P21" s="2560"/>
      <c r="Q21" s="2560"/>
      <c r="R21" s="2560"/>
      <c r="S21" s="2589"/>
      <c r="T21" s="2608"/>
      <c r="U21" s="139" t="s">
        <v>10941</v>
      </c>
      <c r="V21" s="109"/>
      <c r="W21" s="109"/>
      <c r="X21" s="109"/>
    </row>
    <row r="22" spans="2:24" ht="15.75" customHeight="1" thickTop="1">
      <c r="B22" s="124" t="s">
        <v>10947</v>
      </c>
      <c r="C22" s="125" t="s">
        <v>1387</v>
      </c>
      <c r="D22" s="125">
        <v>3</v>
      </c>
      <c r="E22" s="126"/>
      <c r="F22" s="126"/>
      <c r="G22" s="1969"/>
      <c r="H22" s="108"/>
      <c r="I22" s="128" t="s">
        <v>12934</v>
      </c>
      <c r="J22" s="113"/>
      <c r="K22" s="128" t="s">
        <v>10948</v>
      </c>
      <c r="L22" s="2608"/>
      <c r="M22" s="2589"/>
      <c r="N22" s="1121" t="str">
        <f t="shared" ref="N22:N35" si="2">IF( SUM( P22:R22 ) = 0, 0, $P$5 )</f>
        <v>Please complete all cells in row</v>
      </c>
      <c r="O22" s="2589"/>
      <c r="P22" s="2560"/>
      <c r="Q22" s="2560"/>
      <c r="R22" s="2564">
        <f t="shared" ref="R22:R35" si="3" xml:space="preserve"> IF( ISNUMBER(G22 ), 0, 1 )</f>
        <v>1</v>
      </c>
      <c r="S22" s="2589"/>
      <c r="T22" s="2608"/>
      <c r="U22" s="124" t="s">
        <v>10947</v>
      </c>
      <c r="V22" s="126"/>
      <c r="W22" s="126"/>
      <c r="X22" s="127" t="s">
        <v>12935</v>
      </c>
    </row>
    <row r="23" spans="2:24" ht="15.75" customHeight="1">
      <c r="B23" s="129" t="s">
        <v>10952</v>
      </c>
      <c r="C23" s="130" t="s">
        <v>1387</v>
      </c>
      <c r="D23" s="130">
        <v>3</v>
      </c>
      <c r="E23" s="131"/>
      <c r="F23" s="131"/>
      <c r="G23" s="1972"/>
      <c r="H23" s="108"/>
      <c r="I23" s="133" t="s">
        <v>12936</v>
      </c>
      <c r="J23" s="113"/>
      <c r="K23" s="133" t="s">
        <v>10953</v>
      </c>
      <c r="L23" s="2608"/>
      <c r="M23" s="2589"/>
      <c r="N23" s="1121" t="str">
        <f t="shared" si="2"/>
        <v>Please complete all cells in row</v>
      </c>
      <c r="O23" s="2589"/>
      <c r="P23" s="2560"/>
      <c r="Q23" s="2560"/>
      <c r="R23" s="2564">
        <f t="shared" si="3"/>
        <v>1</v>
      </c>
      <c r="S23" s="2589"/>
      <c r="T23" s="2608"/>
      <c r="U23" s="129" t="s">
        <v>10952</v>
      </c>
      <c r="V23" s="131"/>
      <c r="W23" s="131"/>
      <c r="X23" s="132" t="s">
        <v>12937</v>
      </c>
    </row>
    <row r="24" spans="2:24" ht="15.75" customHeight="1">
      <c r="B24" s="129" t="s">
        <v>10957</v>
      </c>
      <c r="C24" s="130" t="s">
        <v>1387</v>
      </c>
      <c r="D24" s="130">
        <v>3</v>
      </c>
      <c r="E24" s="131"/>
      <c r="F24" s="131"/>
      <c r="G24" s="1972"/>
      <c r="H24" s="108"/>
      <c r="I24" s="133" t="s">
        <v>12938</v>
      </c>
      <c r="J24" s="113"/>
      <c r="K24" s="133" t="s">
        <v>10958</v>
      </c>
      <c r="L24" s="2608"/>
      <c r="M24" s="2589"/>
      <c r="N24" s="1121" t="str">
        <f t="shared" si="2"/>
        <v>Please complete all cells in row</v>
      </c>
      <c r="O24" s="2589"/>
      <c r="P24" s="2560"/>
      <c r="Q24" s="2560"/>
      <c r="R24" s="2564">
        <f t="shared" si="3"/>
        <v>1</v>
      </c>
      <c r="S24" s="2589"/>
      <c r="T24" s="2608"/>
      <c r="U24" s="129" t="s">
        <v>10957</v>
      </c>
      <c r="V24" s="131"/>
      <c r="W24" s="131"/>
      <c r="X24" s="132" t="s">
        <v>12939</v>
      </c>
    </row>
    <row r="25" spans="2:24" ht="15.75" customHeight="1">
      <c r="B25" s="129" t="s">
        <v>10962</v>
      </c>
      <c r="C25" s="130" t="s">
        <v>1387</v>
      </c>
      <c r="D25" s="130">
        <v>3</v>
      </c>
      <c r="E25" s="131"/>
      <c r="F25" s="131"/>
      <c r="G25" s="1972"/>
      <c r="H25" s="108"/>
      <c r="I25" s="133" t="s">
        <v>12940</v>
      </c>
      <c r="J25" s="113"/>
      <c r="K25" s="133" t="s">
        <v>10963</v>
      </c>
      <c r="L25" s="2608"/>
      <c r="M25" s="2589"/>
      <c r="N25" s="1121" t="str">
        <f t="shared" si="2"/>
        <v>Please complete all cells in row</v>
      </c>
      <c r="O25" s="2589"/>
      <c r="P25" s="2560"/>
      <c r="Q25" s="2560"/>
      <c r="R25" s="2564">
        <f t="shared" si="3"/>
        <v>1</v>
      </c>
      <c r="S25" s="2589"/>
      <c r="T25" s="2608"/>
      <c r="U25" s="129" t="s">
        <v>10962</v>
      </c>
      <c r="V25" s="131"/>
      <c r="W25" s="131"/>
      <c r="X25" s="132" t="s">
        <v>12941</v>
      </c>
    </row>
    <row r="26" spans="2:24" ht="15.75" customHeight="1">
      <c r="B26" s="2297" t="s">
        <v>10967</v>
      </c>
      <c r="C26" s="253" t="s">
        <v>1387</v>
      </c>
      <c r="D26" s="253">
        <v>3</v>
      </c>
      <c r="E26" s="131"/>
      <c r="F26" s="789"/>
      <c r="G26" s="1155"/>
      <c r="H26" s="108"/>
      <c r="I26" s="133" t="s">
        <v>12942</v>
      </c>
      <c r="J26" s="113"/>
      <c r="K26" s="936" t="s">
        <v>10968</v>
      </c>
      <c r="L26" s="2608"/>
      <c r="M26" s="2589"/>
      <c r="N26" s="1121" t="str">
        <f>IF( SUM( P26:R26 ) = 0, 0, $P$5 )</f>
        <v>Please complete all cells in row</v>
      </c>
      <c r="O26" s="2589"/>
      <c r="P26" s="2560"/>
      <c r="Q26" s="2564">
        <f xml:space="preserve"> IF( ISNUMBER(F26 ), 0, 1 )</f>
        <v>1</v>
      </c>
      <c r="R26" s="2564">
        <f xml:space="preserve"> IF( ISNUMBER(G26 ), 0, 1 )</f>
        <v>1</v>
      </c>
      <c r="S26" s="2589"/>
      <c r="T26" s="2608"/>
      <c r="U26" s="129" t="s">
        <v>10967</v>
      </c>
      <c r="V26" s="131"/>
      <c r="W26" s="789" t="s">
        <v>1671</v>
      </c>
      <c r="X26" s="132" t="s">
        <v>1672</v>
      </c>
    </row>
    <row r="27" spans="2:24" ht="15.75" customHeight="1">
      <c r="B27" s="2297" t="s">
        <v>10970</v>
      </c>
      <c r="C27" s="253" t="s">
        <v>1387</v>
      </c>
      <c r="D27" s="253">
        <v>3</v>
      </c>
      <c r="E27" s="131"/>
      <c r="F27" s="1172"/>
      <c r="G27" s="1155"/>
      <c r="H27" s="108"/>
      <c r="I27" s="133" t="s">
        <v>12943</v>
      </c>
      <c r="J27" s="113"/>
      <c r="K27" s="936" t="s">
        <v>10971</v>
      </c>
      <c r="L27" s="2608"/>
      <c r="M27" s="2589"/>
      <c r="N27" s="1121" t="str">
        <f>IF( SUM( P27:R27 ) = 0, 0, $P$5 )</f>
        <v>Please complete all cells in row</v>
      </c>
      <c r="O27" s="2589"/>
      <c r="P27" s="2560"/>
      <c r="Q27" s="2560"/>
      <c r="R27" s="2564">
        <f xml:space="preserve"> IF( ISNUMBER(G27 ), 0, 1 )</f>
        <v>1</v>
      </c>
      <c r="S27" s="2589"/>
      <c r="T27" s="2608"/>
      <c r="U27" s="129" t="s">
        <v>10970</v>
      </c>
      <c r="V27" s="131"/>
      <c r="W27" s="1172"/>
      <c r="X27" s="132" t="s">
        <v>1673</v>
      </c>
    </row>
    <row r="28" spans="2:24" ht="15.75" customHeight="1">
      <c r="B28" s="2297" t="s">
        <v>10973</v>
      </c>
      <c r="C28" s="253" t="s">
        <v>1387</v>
      </c>
      <c r="D28" s="253">
        <v>3</v>
      </c>
      <c r="E28" s="131"/>
      <c r="F28" s="789"/>
      <c r="G28" s="1972"/>
      <c r="H28" s="108"/>
      <c r="I28" s="133" t="s">
        <v>12944</v>
      </c>
      <c r="J28" s="113"/>
      <c r="K28" s="936" t="s">
        <v>10974</v>
      </c>
      <c r="L28" s="2608"/>
      <c r="M28" s="2589"/>
      <c r="N28" s="1121" t="str">
        <f>IF( SUM( P28:R28 ) = 0, 0, $P$5 )</f>
        <v>Please complete all cells in row</v>
      </c>
      <c r="O28" s="2589"/>
      <c r="P28" s="2560"/>
      <c r="Q28" s="2564">
        <f xml:space="preserve"> IF( ISNUMBER(F28 ), 0, 1 )</f>
        <v>1</v>
      </c>
      <c r="R28" s="2564">
        <f xml:space="preserve"> IF( ISNUMBER(G28 ), 0, 1 )</f>
        <v>1</v>
      </c>
      <c r="S28" s="2589"/>
      <c r="T28" s="2608"/>
      <c r="U28" s="129" t="s">
        <v>10973</v>
      </c>
      <c r="V28" s="131"/>
      <c r="W28" s="789" t="s">
        <v>1674</v>
      </c>
      <c r="X28" s="132" t="s">
        <v>1675</v>
      </c>
    </row>
    <row r="29" spans="2:24" ht="15.75" customHeight="1">
      <c r="B29" s="2297" t="s">
        <v>10975</v>
      </c>
      <c r="C29" s="253" t="s">
        <v>1387</v>
      </c>
      <c r="D29" s="253">
        <v>3</v>
      </c>
      <c r="E29" s="131"/>
      <c r="F29" s="131"/>
      <c r="G29" s="1972"/>
      <c r="H29" s="108"/>
      <c r="I29" s="133" t="s">
        <v>12945</v>
      </c>
      <c r="J29" s="113"/>
      <c r="K29" s="936" t="s">
        <v>10976</v>
      </c>
      <c r="L29" s="2608"/>
      <c r="M29" s="2589"/>
      <c r="N29" s="1121" t="str">
        <f>IF( SUM( P29:R29 ) = 0, 0, $P$5 )</f>
        <v>Please complete all cells in row</v>
      </c>
      <c r="O29" s="2589"/>
      <c r="P29" s="2560"/>
      <c r="Q29" s="2560"/>
      <c r="R29" s="2564">
        <f xml:space="preserve"> IF( ISNUMBER(G29 ), 0, 1 )</f>
        <v>1</v>
      </c>
      <c r="S29" s="2589"/>
      <c r="T29" s="2608"/>
      <c r="U29" s="129" t="s">
        <v>10975</v>
      </c>
      <c r="V29" s="131"/>
      <c r="W29" s="131"/>
      <c r="X29" s="132" t="s">
        <v>1676</v>
      </c>
    </row>
    <row r="30" spans="2:24" ht="15.75" customHeight="1">
      <c r="B30" s="129" t="s">
        <v>12946</v>
      </c>
      <c r="C30" s="130" t="s">
        <v>1341</v>
      </c>
      <c r="D30" s="130">
        <v>2</v>
      </c>
      <c r="E30" s="131"/>
      <c r="F30" s="131"/>
      <c r="G30" s="1986"/>
      <c r="H30" s="108"/>
      <c r="I30" s="133" t="s">
        <v>12947</v>
      </c>
      <c r="J30" s="113"/>
      <c r="K30" s="936" t="s">
        <v>10978</v>
      </c>
      <c r="L30" s="2608"/>
      <c r="M30" s="2589"/>
      <c r="N30" s="1121" t="str">
        <f t="shared" si="2"/>
        <v>Please complete all cells in row</v>
      </c>
      <c r="O30" s="2589"/>
      <c r="P30" s="2560"/>
      <c r="Q30" s="2560"/>
      <c r="R30" s="2564">
        <f t="shared" si="3"/>
        <v>1</v>
      </c>
      <c r="S30" s="2589"/>
      <c r="T30" s="2608"/>
      <c r="U30" s="129" t="s">
        <v>12946</v>
      </c>
      <c r="V30" s="131"/>
      <c r="W30" s="131"/>
      <c r="X30" s="132" t="s">
        <v>12948</v>
      </c>
    </row>
    <row r="31" spans="2:24" ht="15.75" customHeight="1">
      <c r="B31" s="129" t="s">
        <v>12949</v>
      </c>
      <c r="C31" s="130" t="s">
        <v>1341</v>
      </c>
      <c r="D31" s="130">
        <v>2</v>
      </c>
      <c r="E31" s="131"/>
      <c r="F31" s="131"/>
      <c r="G31" s="1986"/>
      <c r="H31" s="108"/>
      <c r="I31" s="133" t="s">
        <v>12950</v>
      </c>
      <c r="J31" s="113"/>
      <c r="K31" s="936" t="s">
        <v>10983</v>
      </c>
      <c r="L31" s="2608"/>
      <c r="M31" s="2589"/>
      <c r="N31" s="1121" t="str">
        <f t="shared" si="2"/>
        <v>Please complete all cells in row</v>
      </c>
      <c r="O31" s="2589"/>
      <c r="P31" s="2560"/>
      <c r="Q31" s="2560"/>
      <c r="R31" s="2564">
        <f t="shared" si="3"/>
        <v>1</v>
      </c>
      <c r="S31" s="2589"/>
      <c r="T31" s="2608"/>
      <c r="U31" s="129" t="s">
        <v>12949</v>
      </c>
      <c r="V31" s="131"/>
      <c r="W31" s="131"/>
      <c r="X31" s="132" t="s">
        <v>12951</v>
      </c>
    </row>
    <row r="32" spans="2:24" ht="31">
      <c r="B32" s="2297" t="s">
        <v>10987</v>
      </c>
      <c r="C32" s="130" t="s">
        <v>1341</v>
      </c>
      <c r="D32" s="130">
        <v>2</v>
      </c>
      <c r="E32" s="131"/>
      <c r="F32" s="789"/>
      <c r="G32" s="1123"/>
      <c r="H32" s="108"/>
      <c r="I32" s="133" t="s">
        <v>12952</v>
      </c>
      <c r="J32" s="113"/>
      <c r="K32" s="936" t="s">
        <v>10988</v>
      </c>
      <c r="L32" s="2608"/>
      <c r="M32" s="2589"/>
      <c r="N32" s="1121" t="str">
        <f>IF( SUM( P32:R32 ) = 0, 0, $P$5 )</f>
        <v>Please complete all cells in row</v>
      </c>
      <c r="O32" s="2589"/>
      <c r="P32" s="2560"/>
      <c r="Q32" s="2564">
        <f xml:space="preserve"> IF( ISNUMBER(F32 ), 0, 1 )</f>
        <v>1</v>
      </c>
      <c r="R32" s="2564">
        <f xml:space="preserve"> IF( ISNUMBER(G32 ), 0, 1 )</f>
        <v>1</v>
      </c>
      <c r="S32" s="2589"/>
      <c r="T32" s="2608"/>
      <c r="U32" s="129" t="s">
        <v>10987</v>
      </c>
      <c r="V32" s="131"/>
      <c r="W32" s="789" t="s">
        <v>1677</v>
      </c>
      <c r="X32" s="132" t="s">
        <v>1678</v>
      </c>
    </row>
    <row r="33" spans="2:31" ht="31">
      <c r="B33" s="2297" t="s">
        <v>10990</v>
      </c>
      <c r="C33" s="130" t="s">
        <v>1341</v>
      </c>
      <c r="D33" s="130">
        <v>2</v>
      </c>
      <c r="E33" s="131"/>
      <c r="F33" s="1172"/>
      <c r="G33" s="1123"/>
      <c r="H33" s="108"/>
      <c r="I33" s="133" t="s">
        <v>12953</v>
      </c>
      <c r="J33" s="113"/>
      <c r="K33" s="936" t="s">
        <v>10991</v>
      </c>
      <c r="L33" s="2608"/>
      <c r="M33" s="2589"/>
      <c r="N33" s="1121" t="str">
        <f>IF( SUM( P33:R33 ) = 0, 0, $P$5 )</f>
        <v>Please complete all cells in row</v>
      </c>
      <c r="O33" s="2589"/>
      <c r="P33" s="2560"/>
      <c r="Q33" s="2560"/>
      <c r="R33" s="2564">
        <f xml:space="preserve"> IF( ISNUMBER(G33 ), 0, 1 )</f>
        <v>1</v>
      </c>
      <c r="S33" s="2589"/>
      <c r="T33" s="2608"/>
      <c r="U33" s="129" t="s">
        <v>10990</v>
      </c>
      <c r="V33" s="131"/>
      <c r="W33" s="1172"/>
      <c r="X33" s="132" t="s">
        <v>1679</v>
      </c>
      <c r="Y33" s="2608"/>
      <c r="Z33" s="2608"/>
      <c r="AA33" s="2608"/>
      <c r="AB33" s="2608"/>
      <c r="AC33" s="2608"/>
      <c r="AD33" s="2608"/>
      <c r="AE33" s="2608"/>
    </row>
    <row r="34" spans="2:31" ht="31">
      <c r="B34" s="2297" t="s">
        <v>10993</v>
      </c>
      <c r="C34" s="130" t="s">
        <v>1341</v>
      </c>
      <c r="D34" s="130">
        <v>2</v>
      </c>
      <c r="E34" s="131"/>
      <c r="F34" s="789"/>
      <c r="G34" s="1123"/>
      <c r="H34" s="108"/>
      <c r="I34" s="133" t="s">
        <v>12954</v>
      </c>
      <c r="J34" s="113"/>
      <c r="K34" s="936" t="s">
        <v>10994</v>
      </c>
      <c r="L34" s="2608"/>
      <c r="M34" s="2589"/>
      <c r="N34" s="1121" t="str">
        <f t="shared" si="2"/>
        <v>Please complete all cells in row</v>
      </c>
      <c r="O34" s="2589"/>
      <c r="P34" s="2560"/>
      <c r="Q34" s="2564">
        <f xml:space="preserve"> IF( ISNUMBER(F34 ), 0, 1 )</f>
        <v>1</v>
      </c>
      <c r="R34" s="2564">
        <f t="shared" si="3"/>
        <v>1</v>
      </c>
      <c r="S34" s="2589"/>
      <c r="T34" s="2608"/>
      <c r="U34" s="129" t="s">
        <v>10993</v>
      </c>
      <c r="V34" s="131"/>
      <c r="W34" s="789" t="s">
        <v>1680</v>
      </c>
      <c r="X34" s="132" t="s">
        <v>1681</v>
      </c>
      <c r="Y34" s="2608"/>
      <c r="Z34" s="2608"/>
      <c r="AA34" s="2608"/>
      <c r="AB34" s="2608"/>
      <c r="AC34" s="2608"/>
      <c r="AD34" s="2608"/>
      <c r="AE34" s="2608"/>
    </row>
    <row r="35" spans="2:31" ht="31.5" thickBot="1">
      <c r="B35" s="134" t="s">
        <v>10995</v>
      </c>
      <c r="C35" s="135" t="s">
        <v>1341</v>
      </c>
      <c r="D35" s="135">
        <v>2</v>
      </c>
      <c r="E35" s="136"/>
      <c r="F35" s="136"/>
      <c r="G35" s="1985"/>
      <c r="H35" s="108"/>
      <c r="I35" s="138" t="s">
        <v>12955</v>
      </c>
      <c r="J35" s="113"/>
      <c r="K35" s="138" t="s">
        <v>10996</v>
      </c>
      <c r="L35" s="2608"/>
      <c r="M35" s="2589"/>
      <c r="N35" s="1121" t="str">
        <f t="shared" si="2"/>
        <v>Please complete all cells in row</v>
      </c>
      <c r="O35" s="2589"/>
      <c r="P35" s="2560"/>
      <c r="Q35" s="2560"/>
      <c r="R35" s="2564">
        <f t="shared" si="3"/>
        <v>1</v>
      </c>
      <c r="S35" s="2589"/>
      <c r="T35" s="2608"/>
      <c r="U35" s="134" t="s">
        <v>10995</v>
      </c>
      <c r="V35" s="136"/>
      <c r="W35" s="136"/>
      <c r="X35" s="137" t="s">
        <v>1682</v>
      </c>
      <c r="Y35" s="2608"/>
      <c r="Z35" s="2608"/>
      <c r="AA35" s="2608"/>
      <c r="AB35" s="2608"/>
      <c r="AC35" s="2608"/>
      <c r="AD35" s="2608"/>
      <c r="AE35" s="2608"/>
    </row>
    <row r="36" spans="2:31" ht="15.75" customHeight="1" thickTop="1" thickBot="1">
      <c r="B36" s="110"/>
      <c r="C36" s="111"/>
      <c r="D36" s="111"/>
      <c r="E36" s="112"/>
      <c r="F36" s="112"/>
      <c r="G36" s="112"/>
      <c r="H36" s="108"/>
      <c r="I36" s="113"/>
      <c r="J36" s="113"/>
      <c r="K36" s="113"/>
      <c r="L36" s="2608"/>
      <c r="M36" s="2589"/>
      <c r="N36" s="2560"/>
      <c r="O36" s="2589"/>
      <c r="P36" s="2560"/>
      <c r="Q36" s="2560"/>
      <c r="R36" s="2560"/>
      <c r="S36" s="2589"/>
      <c r="T36" s="2608"/>
      <c r="U36" s="110"/>
      <c r="V36" s="112"/>
      <c r="W36" s="112"/>
      <c r="X36" s="112"/>
      <c r="Y36" s="2608"/>
      <c r="Z36" s="2608"/>
      <c r="AA36" s="2608"/>
      <c r="AB36" s="2608"/>
      <c r="AC36" s="2608"/>
      <c r="AD36" s="2608"/>
      <c r="AE36" s="2608"/>
    </row>
    <row r="37" spans="2:31" ht="15.75" customHeight="1" thickTop="1" thickBot="1">
      <c r="B37" s="139" t="s">
        <v>11002</v>
      </c>
      <c r="C37" s="140" t="s">
        <v>1892</v>
      </c>
      <c r="D37" s="141" t="s">
        <v>12917</v>
      </c>
      <c r="E37" s="112"/>
      <c r="F37" s="112"/>
      <c r="G37" s="112"/>
      <c r="H37" s="108"/>
      <c r="I37" s="113"/>
      <c r="J37" s="113"/>
      <c r="K37" s="113"/>
      <c r="L37" s="2608"/>
      <c r="M37" s="2589"/>
      <c r="N37" s="2560"/>
      <c r="O37" s="2589"/>
      <c r="P37" s="2560"/>
      <c r="Q37" s="2560"/>
      <c r="R37" s="2560"/>
      <c r="S37" s="2589"/>
      <c r="T37" s="2608"/>
      <c r="U37" s="139" t="s">
        <v>11002</v>
      </c>
      <c r="V37" s="112"/>
      <c r="W37" s="112"/>
      <c r="X37" s="112"/>
      <c r="Y37" s="2608"/>
      <c r="Z37" s="2608"/>
      <c r="AA37" s="2608"/>
      <c r="AB37" s="2608"/>
      <c r="AC37" s="2608"/>
      <c r="AD37" s="2608"/>
      <c r="AE37" s="2608"/>
    </row>
    <row r="38" spans="2:31" ht="15.75" customHeight="1" thickTop="1" thickBot="1">
      <c r="B38" s="142" t="s">
        <v>11013</v>
      </c>
      <c r="C38" s="143" t="s">
        <v>1341</v>
      </c>
      <c r="D38" s="143">
        <v>2</v>
      </c>
      <c r="E38" s="1987"/>
      <c r="F38" s="104"/>
      <c r="G38" s="108"/>
      <c r="H38" s="108"/>
      <c r="I38" s="2432" t="s">
        <v>12956</v>
      </c>
      <c r="J38" s="105"/>
      <c r="K38" s="2432" t="s">
        <v>11014</v>
      </c>
      <c r="L38" s="2608"/>
      <c r="M38" s="2589"/>
      <c r="N38" s="1121" t="str">
        <f t="shared" ref="N38" si="4">IF( SUM( P38:R38 ) = 0, 0, $P$5 )</f>
        <v>Please complete all cells in row</v>
      </c>
      <c r="O38" s="2589"/>
      <c r="P38" s="2564">
        <f t="shared" ref="P38" si="5" xml:space="preserve"> IF( ISNUMBER(E38 ), 0, 1 )</f>
        <v>1</v>
      </c>
      <c r="Q38" s="2560"/>
      <c r="R38" s="2560"/>
      <c r="S38" s="2589"/>
      <c r="T38" s="2608"/>
      <c r="U38" s="142" t="s">
        <v>11013</v>
      </c>
      <c r="V38" s="144" t="s">
        <v>12957</v>
      </c>
      <c r="W38" s="104"/>
      <c r="X38" s="2608"/>
      <c r="Y38" s="2608"/>
      <c r="Z38" s="2608"/>
      <c r="AA38" s="2608"/>
      <c r="AB38" s="2608"/>
      <c r="AC38" s="2608"/>
      <c r="AD38" s="2608"/>
      <c r="AE38" s="2608"/>
    </row>
    <row r="39" spans="2:31" ht="15.75" customHeight="1" thickTop="1">
      <c r="B39" s="112"/>
      <c r="C39" s="112"/>
      <c r="D39" s="112"/>
      <c r="E39" s="112"/>
      <c r="F39" s="112"/>
      <c r="G39" s="112"/>
      <c r="H39" s="108"/>
      <c r="I39" s="113"/>
      <c r="J39" s="113"/>
      <c r="K39" s="113"/>
      <c r="L39" s="2608"/>
      <c r="M39" s="2589"/>
      <c r="N39" s="2560"/>
      <c r="O39" s="2589"/>
      <c r="P39" s="2560"/>
      <c r="Q39" s="2560"/>
      <c r="R39" s="2560"/>
      <c r="S39" s="2589"/>
      <c r="T39" s="2608"/>
      <c r="U39" s="112"/>
      <c r="V39" s="112"/>
      <c r="W39" s="112"/>
      <c r="X39" s="112"/>
      <c r="Y39" s="2608"/>
      <c r="Z39" s="2608"/>
      <c r="AA39" s="2608"/>
      <c r="AB39" s="2608"/>
      <c r="AC39" s="2608"/>
      <c r="AD39" s="2608"/>
      <c r="AE39" s="2608"/>
    </row>
    <row r="40" spans="2:31" ht="21" customHeight="1">
      <c r="B40" s="2896" t="s">
        <v>12958</v>
      </c>
      <c r="C40" s="2896"/>
      <c r="D40" s="2896"/>
      <c r="E40" s="2896"/>
      <c r="F40" s="2896"/>
      <c r="G40" s="112"/>
      <c r="H40" s="108"/>
      <c r="I40" s="108"/>
      <c r="J40" s="108"/>
      <c r="K40" s="108"/>
      <c r="L40" s="2608"/>
      <c r="M40" s="2589"/>
      <c r="N40" s="2560"/>
      <c r="O40" s="2589"/>
      <c r="P40" s="2560"/>
      <c r="Q40" s="2560"/>
      <c r="R40" s="2560"/>
      <c r="S40" s="2589"/>
      <c r="T40" s="2608"/>
      <c r="U40" s="2896" t="s">
        <v>12958</v>
      </c>
      <c r="V40" s="2896"/>
      <c r="W40" s="2896"/>
      <c r="X40" s="112"/>
      <c r="Y40" s="2608"/>
      <c r="Z40" s="2608"/>
      <c r="AA40" s="2608"/>
      <c r="AB40" s="2608"/>
      <c r="AC40" s="2608"/>
      <c r="AD40" s="2608"/>
      <c r="AE40" s="2608"/>
    </row>
    <row r="41" spans="2:31" ht="16" thickBot="1">
      <c r="B41" s="212" t="s">
        <v>12959</v>
      </c>
      <c r="C41" s="108"/>
      <c r="D41" s="108"/>
      <c r="E41" s="108"/>
      <c r="F41" s="108"/>
      <c r="G41" s="108"/>
      <c r="H41" s="108"/>
      <c r="I41" s="108"/>
      <c r="J41" s="108"/>
      <c r="K41" s="108"/>
      <c r="L41" s="2608"/>
      <c r="M41" s="2589"/>
      <c r="N41" s="2560"/>
      <c r="O41" s="2589"/>
      <c r="P41" s="2560"/>
      <c r="Q41" s="2560"/>
      <c r="R41" s="2560"/>
      <c r="S41" s="2589"/>
      <c r="T41" s="2608"/>
      <c r="U41" s="212" t="s">
        <v>12959</v>
      </c>
      <c r="V41" s="108"/>
      <c r="W41" s="108"/>
      <c r="X41" s="2608"/>
      <c r="Y41" s="2608"/>
      <c r="Z41" s="2608"/>
      <c r="AA41" s="2608"/>
      <c r="AB41" s="2608"/>
      <c r="AC41" s="2608"/>
      <c r="AD41" s="2608"/>
      <c r="AE41" s="2608"/>
    </row>
    <row r="42" spans="2:31" ht="15.75" customHeight="1" thickTop="1" thickBot="1">
      <c r="B42" s="139"/>
      <c r="C42" s="140" t="s">
        <v>1892</v>
      </c>
      <c r="D42" s="141" t="s">
        <v>12917</v>
      </c>
      <c r="E42" s="108"/>
      <c r="F42" s="108"/>
      <c r="G42" s="108"/>
      <c r="H42" s="108"/>
      <c r="I42" s="108"/>
      <c r="J42" s="108"/>
      <c r="K42" s="108"/>
      <c r="L42" s="2608"/>
      <c r="M42" s="2589"/>
      <c r="N42" s="2560"/>
      <c r="O42" s="2589"/>
      <c r="P42" s="2560"/>
      <c r="Q42" s="2560"/>
      <c r="R42" s="2560"/>
      <c r="S42" s="2589"/>
      <c r="T42" s="2608"/>
      <c r="U42" s="122"/>
      <c r="V42" s="2608"/>
      <c r="W42" s="2608"/>
      <c r="X42" s="2608"/>
      <c r="Y42" s="2608"/>
      <c r="Z42" s="2608"/>
      <c r="AA42" s="2608"/>
      <c r="AB42" s="2608"/>
      <c r="AC42" s="2608"/>
      <c r="AD42" s="2608"/>
      <c r="AE42" s="2608"/>
    </row>
    <row r="43" spans="2:31" ht="15.75" customHeight="1" thickTop="1">
      <c r="B43" s="124" t="s">
        <v>1684</v>
      </c>
      <c r="C43" s="125" t="s">
        <v>1685</v>
      </c>
      <c r="D43" s="125">
        <v>3</v>
      </c>
      <c r="E43" s="2460"/>
      <c r="F43" s="108"/>
      <c r="G43" s="114"/>
      <c r="H43" s="114"/>
      <c r="I43" s="128" t="s">
        <v>12960</v>
      </c>
      <c r="J43" s="114"/>
      <c r="K43" s="128" t="s">
        <v>11788</v>
      </c>
      <c r="L43" s="114"/>
      <c r="M43" s="2589"/>
      <c r="N43" s="2189" t="str">
        <f>IF( SUM( P43:R43 ) = 0, 0, $P$5 )</f>
        <v>Please complete all cells in row</v>
      </c>
      <c r="O43" s="2589"/>
      <c r="P43" s="2564">
        <f xml:space="preserve"> IF( ISNUMBER(E43 ), 0, 1 )</f>
        <v>1</v>
      </c>
      <c r="Q43" s="2560"/>
      <c r="R43" s="2560"/>
      <c r="S43" s="2589"/>
      <c r="T43" s="114"/>
      <c r="U43" s="124" t="s">
        <v>1684</v>
      </c>
      <c r="V43" s="127" t="s">
        <v>1683</v>
      </c>
      <c r="W43" s="2608"/>
      <c r="X43" s="114"/>
      <c r="Y43" s="114"/>
      <c r="Z43" s="114"/>
      <c r="AA43" s="114"/>
      <c r="AB43" s="114"/>
      <c r="AC43" s="114"/>
      <c r="AD43" s="114"/>
      <c r="AE43" s="197"/>
    </row>
    <row r="44" spans="2:31" ht="41.15" customHeight="1">
      <c r="B44" s="129" t="s">
        <v>1687</v>
      </c>
      <c r="C44" s="253" t="s">
        <v>1685</v>
      </c>
      <c r="D44" s="253">
        <v>3</v>
      </c>
      <c r="E44" s="1123"/>
      <c r="F44" s="108"/>
      <c r="G44" s="108"/>
      <c r="H44" s="108"/>
      <c r="I44" s="133" t="s">
        <v>12961</v>
      </c>
      <c r="J44" s="108"/>
      <c r="K44" s="133" t="s">
        <v>11791</v>
      </c>
      <c r="L44" s="2608"/>
      <c r="M44" s="2589"/>
      <c r="N44" s="2189" t="str">
        <f>IF( SUM( P44:R44 ) = 0, 0, $P$5 )</f>
        <v>Please complete all cells in row</v>
      </c>
      <c r="O44" s="2589"/>
      <c r="P44" s="2564">
        <f xml:space="preserve"> IF( ISNUMBER(E44 ), 0, 1 )</f>
        <v>1</v>
      </c>
      <c r="Q44" s="2560"/>
      <c r="R44" s="2560"/>
      <c r="S44" s="2589"/>
      <c r="T44" s="2608"/>
      <c r="U44" s="129" t="s">
        <v>1687</v>
      </c>
      <c r="V44" s="132" t="s">
        <v>1686</v>
      </c>
      <c r="W44" s="2608"/>
      <c r="X44" s="2608"/>
      <c r="Y44" s="2608"/>
      <c r="Z44" s="2608"/>
      <c r="AA44" s="2608"/>
      <c r="AB44" s="2608"/>
      <c r="AC44" s="2608"/>
      <c r="AD44" s="2608"/>
      <c r="AE44" s="2608"/>
    </row>
    <row r="45" spans="2:31" ht="31">
      <c r="B45" s="129" t="s">
        <v>1689</v>
      </c>
      <c r="C45" s="253" t="s">
        <v>1685</v>
      </c>
      <c r="D45" s="253">
        <v>3</v>
      </c>
      <c r="E45" s="1123"/>
      <c r="F45" s="108"/>
      <c r="G45" s="114"/>
      <c r="H45" s="114"/>
      <c r="I45" s="133" t="s">
        <v>12962</v>
      </c>
      <c r="J45" s="114"/>
      <c r="K45" s="133" t="s">
        <v>11794</v>
      </c>
      <c r="L45" s="114"/>
      <c r="M45" s="2589"/>
      <c r="N45" s="1121" t="str">
        <f t="shared" ref="N45:N46" si="6">IF( SUM( P45:R45 ) = 0, 0, $P$5 )</f>
        <v>Please complete all cells in row</v>
      </c>
      <c r="O45" s="2589"/>
      <c r="P45" s="2564">
        <f t="shared" ref="P45:P46" si="7" xml:space="preserve"> IF( ISNUMBER(E45 ), 0, 1 )</f>
        <v>1</v>
      </c>
      <c r="Q45" s="2560"/>
      <c r="R45" s="2560"/>
      <c r="S45" s="2589"/>
      <c r="T45" s="114"/>
      <c r="U45" s="129" t="s">
        <v>1689</v>
      </c>
      <c r="V45" s="132" t="s">
        <v>1688</v>
      </c>
      <c r="W45" s="2608"/>
      <c r="X45" s="114"/>
      <c r="Y45" s="114"/>
      <c r="Z45" s="114"/>
      <c r="AA45" s="114"/>
      <c r="AB45" s="114"/>
      <c r="AC45" s="114"/>
      <c r="AD45" s="114"/>
      <c r="AE45" s="197"/>
    </row>
    <row r="46" spans="2:31" ht="16" thickBot="1">
      <c r="B46" s="134" t="s">
        <v>12963</v>
      </c>
      <c r="C46" s="135" t="s">
        <v>1685</v>
      </c>
      <c r="D46" s="135">
        <v>3</v>
      </c>
      <c r="E46" s="1985"/>
      <c r="F46" s="108"/>
      <c r="G46" s="108"/>
      <c r="H46" s="108"/>
      <c r="I46" s="138" t="s">
        <v>12964</v>
      </c>
      <c r="J46" s="108"/>
      <c r="K46" s="138" t="s">
        <v>11796</v>
      </c>
      <c r="L46" s="2608"/>
      <c r="M46" s="2589"/>
      <c r="N46" s="1121" t="str">
        <f t="shared" si="6"/>
        <v>Please complete all cells in row</v>
      </c>
      <c r="O46" s="2589"/>
      <c r="P46" s="2564">
        <f t="shared" si="7"/>
        <v>1</v>
      </c>
      <c r="Q46" s="2560"/>
      <c r="R46" s="2560"/>
      <c r="S46" s="2589"/>
      <c r="T46" s="2608"/>
      <c r="U46" s="134" t="s">
        <v>12963</v>
      </c>
      <c r="V46" s="137" t="s">
        <v>1690</v>
      </c>
      <c r="W46" s="2608"/>
      <c r="X46" s="2608"/>
      <c r="Y46" s="2608"/>
      <c r="Z46" s="2608"/>
      <c r="AA46" s="2608"/>
      <c r="AB46" s="2608"/>
      <c r="AC46" s="2608"/>
      <c r="AD46" s="2608"/>
      <c r="AE46" s="2608"/>
    </row>
    <row r="47" spans="2:31" ht="16" thickTop="1">
      <c r="B47" s="108"/>
      <c r="C47" s="108"/>
      <c r="D47" s="108"/>
      <c r="E47" s="108"/>
      <c r="F47" s="108"/>
      <c r="G47" s="108"/>
      <c r="H47" s="108"/>
      <c r="I47" s="108"/>
      <c r="J47" s="108"/>
      <c r="K47" s="108"/>
      <c r="L47" s="2608"/>
      <c r="M47" s="2560"/>
      <c r="N47" s="2560"/>
      <c r="O47" s="2560"/>
      <c r="P47" s="2560"/>
      <c r="Q47" s="2560"/>
      <c r="R47" s="2560"/>
      <c r="S47" s="2560"/>
      <c r="T47" s="2608"/>
      <c r="U47" s="2608"/>
      <c r="V47" s="2608"/>
      <c r="W47" s="2608"/>
      <c r="X47" s="2608"/>
      <c r="Y47" s="2608"/>
      <c r="Z47" s="2608"/>
      <c r="AA47" s="2608"/>
      <c r="AB47" s="2608"/>
      <c r="AC47" s="2608"/>
      <c r="AD47" s="2608"/>
      <c r="AE47" s="2608"/>
    </row>
    <row r="48" spans="2:31" ht="15.5">
      <c r="B48" s="108"/>
      <c r="C48" s="108"/>
      <c r="D48" s="108"/>
      <c r="E48" s="108"/>
      <c r="F48" s="108"/>
      <c r="G48" s="108"/>
      <c r="H48" s="108"/>
      <c r="I48" s="108"/>
      <c r="J48" s="108"/>
      <c r="K48" s="108"/>
      <c r="L48" s="2608"/>
      <c r="M48" s="2560"/>
      <c r="N48" s="2560"/>
      <c r="O48" s="2560"/>
      <c r="P48" s="2560"/>
      <c r="Q48" s="2560"/>
      <c r="R48" s="2560"/>
      <c r="S48" s="2560"/>
      <c r="T48" s="2608"/>
      <c r="U48" s="2608"/>
      <c r="V48" s="2608"/>
      <c r="W48" s="2608"/>
      <c r="X48" s="2608"/>
      <c r="Y48" s="2608"/>
      <c r="Z48" s="2608"/>
      <c r="AA48" s="2608"/>
      <c r="AB48" s="2608"/>
      <c r="AC48" s="2608"/>
      <c r="AD48" s="2608"/>
      <c r="AE48" s="2608"/>
    </row>
    <row r="49" spans="2:14" ht="15.5">
      <c r="B49" s="108"/>
      <c r="C49" s="108"/>
      <c r="D49" s="108"/>
      <c r="E49" s="108"/>
      <c r="F49" s="108"/>
      <c r="G49" s="108"/>
      <c r="H49" s="108"/>
      <c r="I49" s="108"/>
      <c r="J49" s="108"/>
      <c r="K49" s="108"/>
      <c r="L49" s="2608"/>
      <c r="M49" s="2560"/>
      <c r="N49" s="1257"/>
    </row>
    <row r="50" spans="2:14" ht="15.5">
      <c r="B50" s="108"/>
      <c r="C50" s="108"/>
      <c r="D50" s="108"/>
      <c r="E50" s="108"/>
      <c r="F50" s="108"/>
      <c r="G50" s="108"/>
      <c r="H50" s="108"/>
      <c r="I50" s="108"/>
      <c r="J50" s="108"/>
      <c r="K50" s="108"/>
      <c r="L50" s="2608"/>
      <c r="M50" s="2560"/>
      <c r="N50" s="1257"/>
    </row>
    <row r="51" spans="2:14" ht="15.5">
      <c r="B51" s="108"/>
      <c r="C51" s="108"/>
      <c r="D51" s="108"/>
      <c r="E51" s="108"/>
      <c r="F51" s="108"/>
      <c r="G51" s="108"/>
      <c r="H51" s="108"/>
      <c r="I51" s="108"/>
      <c r="J51" s="108"/>
      <c r="K51" s="108"/>
      <c r="L51" s="2608"/>
      <c r="M51" s="2560"/>
      <c r="N51" s="1257"/>
    </row>
    <row r="52" spans="2:14" ht="15.5">
      <c r="B52" s="108"/>
      <c r="C52" s="108"/>
      <c r="D52" s="108"/>
      <c r="E52" s="108"/>
      <c r="F52" s="108"/>
      <c r="G52" s="108"/>
      <c r="H52" s="108"/>
      <c r="I52" s="108"/>
      <c r="J52" s="108"/>
      <c r="K52" s="108"/>
      <c r="L52" s="2608"/>
      <c r="M52" s="2560"/>
      <c r="N52" s="2560"/>
    </row>
    <row r="53" spans="2:14" ht="15.5">
      <c r="B53" s="108"/>
      <c r="C53" s="108"/>
      <c r="D53" s="108"/>
      <c r="E53" s="108"/>
      <c r="F53" s="108"/>
      <c r="G53" s="108"/>
      <c r="H53" s="108"/>
      <c r="I53" s="108"/>
      <c r="J53" s="108"/>
      <c r="K53" s="108"/>
      <c r="L53" s="2608"/>
      <c r="M53" s="2560"/>
      <c r="N53" s="2560"/>
    </row>
    <row r="54" spans="2:14" ht="15.5">
      <c r="B54" s="108"/>
      <c r="C54" s="108"/>
      <c r="D54" s="108"/>
      <c r="E54" s="108"/>
      <c r="F54" s="108"/>
      <c r="G54" s="108"/>
      <c r="H54" s="108"/>
      <c r="I54" s="108"/>
      <c r="J54" s="108"/>
      <c r="K54" s="108"/>
      <c r="L54" s="2608"/>
      <c r="M54" s="2560"/>
      <c r="N54" s="2560"/>
    </row>
  </sheetData>
  <sheetProtection formatColumns="0" formatRows="0"/>
  <mergeCells count="7">
    <mergeCell ref="B3:G3"/>
    <mergeCell ref="B5:G5"/>
    <mergeCell ref="B40:F40"/>
    <mergeCell ref="U3:X3"/>
    <mergeCell ref="U5:X5"/>
    <mergeCell ref="U40:W40"/>
    <mergeCell ref="P4:R4"/>
  </mergeCells>
  <phoneticPr fontId="38" type="noConversion"/>
  <conditionalFormatting sqref="N9:N10">
    <cfRule type="cellIs" dxfId="20" priority="5" operator="equal">
      <formula>0</formula>
    </cfRule>
  </conditionalFormatting>
  <conditionalFormatting sqref="N16:N19">
    <cfRule type="cellIs" dxfId="19" priority="4" operator="equal">
      <formula>0</formula>
    </cfRule>
  </conditionalFormatting>
  <conditionalFormatting sqref="N22:N35">
    <cfRule type="cellIs" dxfId="18" priority="3" operator="equal">
      <formula>0</formula>
    </cfRule>
  </conditionalFormatting>
  <conditionalFormatting sqref="N38">
    <cfRule type="cellIs" dxfId="17" priority="2" operator="equal">
      <formula>0</formula>
    </cfRule>
  </conditionalFormatting>
  <conditionalFormatting sqref="N43:N46">
    <cfRule type="cellIs" dxfId="16" priority="1" operator="equal">
      <formula>0</formula>
    </cfRule>
  </conditionalFormatting>
  <conditionalFormatting sqref="N49:N51">
    <cfRule type="cellIs" dxfId="15" priority="9"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tabColor rgb="FF808080"/>
    <pageSetUpPr fitToPage="1"/>
  </sheetPr>
  <dimension ref="B1:AY59"/>
  <sheetViews>
    <sheetView showGridLines="0" zoomScaleNormal="100" zoomScaleSheetLayoutView="70" workbookViewId="0"/>
  </sheetViews>
  <sheetFormatPr defaultColWidth="24" defaultRowHeight="14" zeroHeight="1"/>
  <cols>
    <col min="1" max="1" width="4.08203125" style="1323" customWidth="1"/>
    <col min="2" max="2" width="83.08203125" style="1323" customWidth="1"/>
    <col min="3" max="3" width="15.08203125" style="1323" customWidth="1"/>
    <col min="4" max="4" width="4.58203125" style="1323" bestFit="1" customWidth="1"/>
    <col min="5" max="5" width="25.08203125" style="1323" customWidth="1"/>
    <col min="6" max="6" width="15.5" style="1323" customWidth="1"/>
    <col min="7" max="7" width="28.58203125" style="1323" customWidth="1"/>
    <col min="8" max="8" width="24.08203125" style="1323" customWidth="1"/>
    <col min="9" max="9" width="15.08203125" style="1323" customWidth="1"/>
    <col min="10" max="15" width="9.5" style="1323" customWidth="1"/>
    <col min="16" max="16" width="2.08203125" style="1323" customWidth="1"/>
    <col min="17" max="17" width="10.58203125" style="1323" customWidth="1"/>
    <col min="18" max="18" width="1.5" style="1323" customWidth="1"/>
    <col min="19" max="19" width="11.58203125" style="1323" customWidth="1"/>
    <col min="20" max="20" width="1.08203125" style="1323" customWidth="1"/>
    <col min="21" max="21" width="1.58203125" style="219" customWidth="1"/>
    <col min="22" max="22" width="20.58203125" style="219" customWidth="1"/>
    <col min="23" max="23" width="1.58203125" style="219" customWidth="1"/>
    <col min="24" max="35" width="8" style="219" hidden="1" customWidth="1"/>
    <col min="36" max="36" width="3.08203125" style="1323" customWidth="1"/>
    <col min="37" max="37" width="90.5" style="1323" bestFit="1" customWidth="1"/>
    <col min="38" max="44" width="26" style="1323" customWidth="1"/>
    <col min="45" max="51" width="9.08203125" style="1323" customWidth="1"/>
    <col min="52" max="16384" width="24" style="1323"/>
  </cols>
  <sheetData>
    <row r="1" spans="2:50" s="104" customFormat="1" ht="22.5">
      <c r="B1" s="1119" t="s">
        <v>12965</v>
      </c>
      <c r="C1" s="1322"/>
      <c r="D1" s="1322"/>
      <c r="E1" s="1322"/>
      <c r="F1" s="1322"/>
      <c r="G1" s="1322"/>
      <c r="H1" s="1322"/>
      <c r="I1" s="1322"/>
      <c r="J1" s="1322"/>
      <c r="K1" s="1322"/>
      <c r="L1" s="1323"/>
      <c r="M1" s="1323"/>
      <c r="N1" s="1323"/>
      <c r="O1" s="1323"/>
      <c r="P1" s="1323"/>
      <c r="Q1" s="1323"/>
      <c r="R1" s="1323"/>
      <c r="U1" s="2589"/>
      <c r="V1" s="2560"/>
      <c r="W1" s="2589"/>
      <c r="X1" s="2560"/>
      <c r="Y1" s="2560"/>
      <c r="Z1" s="2560"/>
      <c r="AA1" s="2560"/>
      <c r="AB1" s="2560"/>
      <c r="AC1" s="2560"/>
      <c r="AD1" s="2560"/>
      <c r="AE1" s="2560"/>
      <c r="AF1" s="2560"/>
      <c r="AG1" s="2560"/>
      <c r="AH1" s="2560"/>
      <c r="AI1" s="2589"/>
      <c r="AK1" s="1119" t="s">
        <v>1887</v>
      </c>
    </row>
    <row r="2" spans="2:50" s="104" customFormat="1" ht="22.5">
      <c r="B2" s="1119" t="str">
        <f>SelectCompany!B4</f>
        <v>Yorkshire Water</v>
      </c>
      <c r="C2" s="1322"/>
      <c r="D2" s="1322"/>
      <c r="E2" s="1322"/>
      <c r="F2" s="1322"/>
      <c r="G2" s="1322"/>
      <c r="H2" s="1322"/>
      <c r="I2" s="1322"/>
      <c r="J2" s="1322"/>
      <c r="K2" s="1322"/>
      <c r="L2" s="1323"/>
      <c r="M2" s="1323"/>
      <c r="N2" s="1323"/>
      <c r="O2" s="1323"/>
      <c r="P2" s="1323"/>
      <c r="Q2" s="1323"/>
      <c r="R2" s="1323"/>
      <c r="U2" s="2589"/>
      <c r="V2" s="2560"/>
      <c r="W2" s="2589"/>
      <c r="X2" s="2560"/>
      <c r="Y2" s="2560"/>
      <c r="Z2" s="2560"/>
      <c r="AA2" s="2560"/>
      <c r="AB2" s="2560"/>
      <c r="AC2" s="2560"/>
      <c r="AD2" s="2560"/>
      <c r="AE2" s="2560"/>
      <c r="AF2" s="2560"/>
      <c r="AG2" s="2560"/>
      <c r="AH2" s="2560"/>
      <c r="AI2" s="2589"/>
      <c r="AK2" s="1321"/>
    </row>
    <row r="3" spans="2:50" ht="26.25" customHeight="1">
      <c r="B3" s="2781" t="s">
        <v>12966</v>
      </c>
      <c r="C3" s="2781"/>
      <c r="D3" s="2781"/>
      <c r="E3" s="2781"/>
      <c r="F3" s="2781"/>
      <c r="G3" s="2781"/>
      <c r="H3" s="2781"/>
      <c r="I3" s="2781"/>
      <c r="J3" s="2781"/>
      <c r="K3" s="2781"/>
      <c r="L3" s="2781"/>
      <c r="M3" s="2781"/>
      <c r="N3" s="2781"/>
      <c r="O3" s="2781"/>
      <c r="U3" s="2589"/>
      <c r="V3" s="1129" t="s">
        <v>1889</v>
      </c>
      <c r="W3" s="2589"/>
      <c r="X3" s="2560"/>
      <c r="Y3" s="2560"/>
      <c r="Z3" s="2560"/>
      <c r="AA3" s="2560"/>
      <c r="AB3" s="2560"/>
      <c r="AC3" s="2560"/>
      <c r="AD3" s="2560"/>
      <c r="AE3" s="2560"/>
      <c r="AF3" s="2560"/>
      <c r="AG3" s="2560"/>
      <c r="AH3" s="2560"/>
      <c r="AI3" s="2589"/>
      <c r="AK3" s="2781" t="s">
        <v>12966</v>
      </c>
      <c r="AL3" s="2781"/>
      <c r="AM3" s="2781"/>
      <c r="AN3" s="2781"/>
      <c r="AO3" s="2781"/>
      <c r="AP3" s="2781"/>
      <c r="AQ3" s="2781"/>
      <c r="AR3" s="2781"/>
      <c r="AS3" s="2781"/>
      <c r="AT3" s="2781"/>
      <c r="AU3" s="2781"/>
      <c r="AV3" s="2781"/>
      <c r="AW3" s="2781"/>
      <c r="AX3" s="2781"/>
    </row>
    <row r="4" spans="2:50" ht="28.5" customHeight="1">
      <c r="U4" s="2589"/>
      <c r="V4" s="2560"/>
      <c r="W4" s="2589"/>
      <c r="X4" s="2869" t="s">
        <v>1890</v>
      </c>
      <c r="Y4" s="2869"/>
      <c r="Z4" s="2869"/>
      <c r="AA4" s="2869"/>
      <c r="AB4" s="2869"/>
      <c r="AC4" s="2869"/>
      <c r="AD4" s="2869"/>
      <c r="AE4" s="2869"/>
      <c r="AF4" s="2869"/>
      <c r="AG4" s="2869"/>
      <c r="AH4" s="2869"/>
      <c r="AI4" s="2589"/>
    </row>
    <row r="5" spans="2:50" ht="26.25" customHeight="1">
      <c r="B5" s="2781" t="s">
        <v>12967</v>
      </c>
      <c r="C5" s="2781"/>
      <c r="D5" s="2781"/>
      <c r="E5" s="2781"/>
      <c r="F5" s="2781"/>
      <c r="G5" s="2781"/>
      <c r="H5" s="2781"/>
      <c r="I5" s="2781"/>
      <c r="J5" s="2781"/>
      <c r="K5" s="2781"/>
      <c r="L5" s="2781"/>
      <c r="M5" s="2781"/>
      <c r="N5" s="2781"/>
      <c r="O5" s="2781"/>
      <c r="U5" s="2589"/>
      <c r="V5" s="2560"/>
      <c r="W5" s="2589"/>
      <c r="X5" s="2560" t="s">
        <v>1898</v>
      </c>
      <c r="Y5" s="1323"/>
      <c r="Z5" s="1323"/>
      <c r="AA5" s="1323"/>
      <c r="AB5" s="1323"/>
      <c r="AC5" s="1323"/>
      <c r="AD5" s="1323"/>
      <c r="AE5" s="1323"/>
      <c r="AF5" s="1323"/>
      <c r="AG5" s="1323"/>
      <c r="AH5" s="1323"/>
      <c r="AI5" s="2589"/>
      <c r="AK5" s="2781" t="s">
        <v>12967</v>
      </c>
      <c r="AL5" s="2781"/>
      <c r="AM5" s="2781"/>
      <c r="AN5" s="2781"/>
      <c r="AO5" s="2781"/>
      <c r="AP5" s="2781"/>
      <c r="AQ5" s="2781"/>
      <c r="AR5" s="2781"/>
      <c r="AS5" s="2781"/>
      <c r="AT5" s="2781"/>
      <c r="AU5" s="2781"/>
      <c r="AV5" s="2781"/>
      <c r="AW5" s="2781"/>
      <c r="AX5" s="2781"/>
    </row>
    <row r="6" spans="2:50" ht="12" customHeight="1" thickBot="1">
      <c r="C6" s="1324"/>
      <c r="D6" s="1324"/>
      <c r="E6" s="1324"/>
      <c r="F6" s="1324"/>
      <c r="G6" s="1324"/>
      <c r="H6" s="1324"/>
      <c r="I6" s="1324"/>
      <c r="K6" s="1325"/>
      <c r="L6" s="1325"/>
      <c r="M6" s="1325"/>
      <c r="N6" s="1325"/>
      <c r="O6" s="1325"/>
      <c r="P6" s="1325"/>
      <c r="U6" s="2589"/>
      <c r="V6" s="2560"/>
      <c r="W6" s="2589"/>
      <c r="X6" s="1323"/>
      <c r="Y6" s="2560"/>
      <c r="Z6" s="2560"/>
      <c r="AA6" s="2560"/>
      <c r="AB6" s="2560"/>
      <c r="AC6" s="2560"/>
      <c r="AD6" s="2560"/>
      <c r="AE6" s="2560"/>
      <c r="AF6" s="2560"/>
      <c r="AG6" s="2560"/>
      <c r="AH6" s="2560"/>
      <c r="AI6" s="2589"/>
      <c r="AL6" s="1324"/>
      <c r="AM6" s="1324"/>
      <c r="AN6" s="1324"/>
      <c r="AO6" s="1324"/>
      <c r="AP6" s="1324"/>
      <c r="AQ6" s="1324"/>
      <c r="AR6" s="1324"/>
      <c r="AT6" s="1325"/>
      <c r="AU6" s="1325"/>
      <c r="AV6" s="1325"/>
      <c r="AW6" s="1325"/>
      <c r="AX6" s="1325"/>
    </row>
    <row r="7" spans="2:50" ht="137.15" customHeight="1" thickTop="1" thickBot="1">
      <c r="B7" s="147" t="s">
        <v>1891</v>
      </c>
      <c r="C7" s="148" t="s">
        <v>12968</v>
      </c>
      <c r="D7" s="148" t="s">
        <v>135</v>
      </c>
      <c r="E7" s="148" t="s">
        <v>12969</v>
      </c>
      <c r="F7" s="148" t="s">
        <v>12970</v>
      </c>
      <c r="G7" s="148" t="s">
        <v>12971</v>
      </c>
      <c r="H7" s="149" t="s">
        <v>12972</v>
      </c>
      <c r="I7" s="150"/>
      <c r="J7" s="150"/>
      <c r="K7" s="150"/>
      <c r="L7" s="150"/>
      <c r="M7" s="74"/>
      <c r="N7" s="151"/>
      <c r="O7" s="151"/>
      <c r="P7" s="151"/>
      <c r="Q7" s="145" t="s">
        <v>1896</v>
      </c>
      <c r="R7" s="105"/>
      <c r="S7" s="145" t="s">
        <v>12914</v>
      </c>
      <c r="U7" s="2589"/>
      <c r="V7" s="2560"/>
      <c r="W7" s="2589"/>
      <c r="X7" s="2560"/>
      <c r="Y7" s="2560"/>
      <c r="Z7" s="2560"/>
      <c r="AA7" s="2560"/>
      <c r="AB7" s="2560"/>
      <c r="AC7" s="2560"/>
      <c r="AD7" s="2560"/>
      <c r="AE7" s="2560"/>
      <c r="AF7" s="2560"/>
      <c r="AG7" s="2560"/>
      <c r="AH7" s="2560"/>
      <c r="AI7" s="2589"/>
      <c r="AK7" s="147" t="s">
        <v>1891</v>
      </c>
      <c r="AL7" s="148" t="s">
        <v>12968</v>
      </c>
      <c r="AM7" s="148" t="s">
        <v>135</v>
      </c>
      <c r="AN7" s="148" t="s">
        <v>12969</v>
      </c>
      <c r="AO7" s="148" t="s">
        <v>12970</v>
      </c>
      <c r="AP7" s="148" t="s">
        <v>12971</v>
      </c>
      <c r="AQ7" s="149" t="s">
        <v>12972</v>
      </c>
      <c r="AR7" s="150"/>
      <c r="AS7" s="1325"/>
      <c r="AT7" s="1325"/>
      <c r="AU7" s="1325"/>
      <c r="AV7" s="1184"/>
    </row>
    <row r="8" spans="2:50" ht="16.5" thickTop="1" thickBot="1">
      <c r="B8" s="146"/>
      <c r="C8" s="146"/>
      <c r="D8" s="146"/>
      <c r="E8" s="146"/>
      <c r="F8" s="146"/>
      <c r="G8" s="146"/>
      <c r="H8" s="146"/>
      <c r="I8" s="150"/>
      <c r="J8" s="150"/>
      <c r="K8" s="150"/>
      <c r="L8" s="150"/>
      <c r="M8" s="74"/>
      <c r="N8" s="151"/>
      <c r="O8" s="151"/>
      <c r="P8" s="151"/>
      <c r="Q8" s="151"/>
      <c r="R8" s="151"/>
      <c r="S8" s="151"/>
      <c r="U8" s="2589"/>
      <c r="V8" s="1121"/>
      <c r="W8" s="2589"/>
      <c r="X8" s="2560"/>
      <c r="Y8" s="2560"/>
      <c r="Z8" s="2560"/>
      <c r="AA8" s="2560"/>
      <c r="AB8" s="2560"/>
      <c r="AC8" s="2560"/>
      <c r="AD8" s="2560"/>
      <c r="AE8" s="2560"/>
      <c r="AF8" s="2560"/>
      <c r="AG8" s="2560"/>
      <c r="AH8" s="2560"/>
      <c r="AI8" s="2589"/>
      <c r="AK8" s="146"/>
      <c r="AL8" s="146"/>
      <c r="AM8" s="146"/>
      <c r="AN8" s="146"/>
      <c r="AO8" s="146"/>
      <c r="AP8" s="146"/>
      <c r="AQ8" s="146"/>
      <c r="AR8" s="150"/>
      <c r="AS8" s="1325"/>
      <c r="AT8" s="1325"/>
      <c r="AU8" s="1325"/>
      <c r="AV8" s="1184"/>
    </row>
    <row r="9" spans="2:50" s="1325" customFormat="1" ht="15.75" customHeight="1" thickTop="1" thickBot="1">
      <c r="B9" s="152" t="s">
        <v>12973</v>
      </c>
      <c r="C9" s="146"/>
      <c r="D9" s="146"/>
      <c r="E9" s="146"/>
      <c r="F9" s="146"/>
      <c r="G9" s="146"/>
      <c r="H9" s="146"/>
      <c r="I9" s="150"/>
      <c r="J9" s="150"/>
      <c r="K9" s="150"/>
      <c r="L9" s="150"/>
      <c r="M9" s="153"/>
      <c r="N9" s="150"/>
      <c r="O9" s="151"/>
      <c r="P9" s="151"/>
      <c r="Q9" s="151"/>
      <c r="R9" s="150"/>
      <c r="S9" s="150"/>
      <c r="U9" s="2589"/>
      <c r="W9" s="2589"/>
      <c r="X9" s="2560"/>
      <c r="Y9" s="2560"/>
      <c r="Z9" s="2560"/>
      <c r="AA9" s="2560"/>
      <c r="AB9" s="2560"/>
      <c r="AC9" s="2560"/>
      <c r="AD9" s="2560"/>
      <c r="AE9" s="2560"/>
      <c r="AF9" s="2560"/>
      <c r="AG9" s="2560"/>
      <c r="AH9" s="2560"/>
      <c r="AI9" s="2589"/>
      <c r="AK9" s="152" t="s">
        <v>12973</v>
      </c>
      <c r="AL9" s="146"/>
      <c r="AM9" s="146"/>
      <c r="AN9" s="146"/>
      <c r="AO9" s="146"/>
      <c r="AP9" s="146"/>
      <c r="AQ9" s="146"/>
      <c r="AR9" s="150"/>
      <c r="AV9" s="1328"/>
      <c r="AX9" s="1323"/>
    </row>
    <row r="10" spans="2:50" s="1325" customFormat="1" ht="45.65" customHeight="1" thickTop="1" thickBot="1">
      <c r="B10" s="154" t="s">
        <v>12974</v>
      </c>
      <c r="C10" s="2074"/>
      <c r="D10" s="155" t="s">
        <v>12975</v>
      </c>
      <c r="E10" s="155" t="s">
        <v>12976</v>
      </c>
      <c r="F10" s="156" t="s">
        <v>12977</v>
      </c>
      <c r="G10" s="1988"/>
      <c r="H10" s="2072">
        <f>IFERROR(G10/F10*1000,0)</f>
        <v>0</v>
      </c>
      <c r="I10" s="150"/>
      <c r="J10" s="153"/>
      <c r="K10" s="153"/>
      <c r="L10" s="153"/>
      <c r="M10" s="153"/>
      <c r="N10" s="150"/>
      <c r="O10" s="150"/>
      <c r="P10" s="150"/>
      <c r="Q10" s="1815" t="s">
        <v>12978</v>
      </c>
      <c r="R10" s="1816"/>
      <c r="S10" s="1815" t="s">
        <v>12979</v>
      </c>
      <c r="U10" s="2589"/>
      <c r="V10" s="1121" t="str">
        <f xml:space="preserve"> IF( SUM( X10:AH10 ) = 0, 0,$X$5 )</f>
        <v>Please complete all cells in row</v>
      </c>
      <c r="W10" s="2589"/>
      <c r="X10" s="2560"/>
      <c r="Y10" s="2560"/>
      <c r="Z10" s="2564">
        <f xml:space="preserve"> IF( ISNUMBER(G10 ), 0, 1 )</f>
        <v>1</v>
      </c>
      <c r="AA10" s="2560"/>
      <c r="AB10" s="2560"/>
      <c r="AC10" s="2560"/>
      <c r="AD10" s="2560"/>
      <c r="AE10" s="2560"/>
      <c r="AF10" s="2560"/>
      <c r="AG10" s="2560"/>
      <c r="AH10" s="2560"/>
      <c r="AI10" s="2589"/>
      <c r="AK10" s="154" t="s">
        <v>12974</v>
      </c>
      <c r="AL10" s="157" t="s">
        <v>12980</v>
      </c>
      <c r="AM10" s="155" t="s">
        <v>12975</v>
      </c>
      <c r="AN10" s="155" t="s">
        <v>12976</v>
      </c>
      <c r="AO10" s="156"/>
      <c r="AP10" s="157" t="s">
        <v>12981</v>
      </c>
      <c r="AQ10" s="158" t="s">
        <v>12982</v>
      </c>
      <c r="AR10" s="150"/>
      <c r="AS10" s="1328"/>
      <c r="AT10" s="1328"/>
      <c r="AU10" s="1328"/>
      <c r="AV10" s="1328"/>
    </row>
    <row r="11" spans="2:50" s="1325" customFormat="1" ht="15.75" customHeight="1" thickTop="1" thickBot="1">
      <c r="B11" s="159"/>
      <c r="C11" s="159"/>
      <c r="D11" s="159"/>
      <c r="E11" s="159"/>
      <c r="F11" s="160"/>
      <c r="G11" s="160"/>
      <c r="H11" s="160"/>
      <c r="I11" s="153"/>
      <c r="J11" s="153"/>
      <c r="K11" s="153"/>
      <c r="L11" s="150"/>
      <c r="M11" s="150"/>
      <c r="N11" s="150"/>
      <c r="O11" s="150"/>
      <c r="P11" s="150"/>
      <c r="Q11" s="1816"/>
      <c r="R11" s="1816"/>
      <c r="S11" s="1816"/>
      <c r="U11" s="2589"/>
      <c r="V11" s="2560"/>
      <c r="W11" s="2589"/>
      <c r="X11" s="2560"/>
      <c r="Y11" s="2560"/>
      <c r="Z11" s="2560"/>
      <c r="AA11" s="2560"/>
      <c r="AB11" s="2560"/>
      <c r="AC11" s="2560"/>
      <c r="AD11" s="2560"/>
      <c r="AE11" s="2560"/>
      <c r="AF11" s="2560"/>
      <c r="AG11" s="2560"/>
      <c r="AH11" s="2560"/>
      <c r="AI11" s="2589"/>
      <c r="AK11" s="159"/>
      <c r="AL11" s="159"/>
      <c r="AM11" s="159"/>
      <c r="AN11" s="159"/>
      <c r="AO11" s="160"/>
      <c r="AP11" s="160"/>
      <c r="AQ11" s="160"/>
      <c r="AR11" s="153"/>
      <c r="AS11" s="1328"/>
      <c r="AT11" s="1328"/>
    </row>
    <row r="12" spans="2:50" ht="47.5" thickTop="1" thickBot="1">
      <c r="B12" s="147" t="s">
        <v>1891</v>
      </c>
      <c r="C12" s="148" t="s">
        <v>12968</v>
      </c>
      <c r="D12" s="148" t="s">
        <v>135</v>
      </c>
      <c r="E12" s="148" t="s">
        <v>12983</v>
      </c>
      <c r="F12" s="148" t="s">
        <v>12984</v>
      </c>
      <c r="G12" s="148" t="s">
        <v>12985</v>
      </c>
      <c r="H12" s="148" t="s">
        <v>12986</v>
      </c>
      <c r="I12" s="149" t="s">
        <v>12987</v>
      </c>
      <c r="J12" s="161"/>
      <c r="K12" s="161"/>
      <c r="L12" s="161"/>
      <c r="M12" s="161"/>
      <c r="N12" s="161"/>
      <c r="O12" s="161"/>
      <c r="P12" s="151"/>
      <c r="Q12" s="1816"/>
      <c r="R12" s="1816"/>
      <c r="S12" s="1816"/>
      <c r="U12" s="2589"/>
      <c r="V12" s="2560"/>
      <c r="W12" s="2589"/>
      <c r="X12" s="2560"/>
      <c r="Y12" s="2560"/>
      <c r="Z12" s="2560"/>
      <c r="AA12" s="2560"/>
      <c r="AB12" s="2560"/>
      <c r="AC12" s="2560"/>
      <c r="AD12" s="2560"/>
      <c r="AE12" s="2560"/>
      <c r="AF12" s="2560"/>
      <c r="AG12" s="2560"/>
      <c r="AH12" s="2560"/>
      <c r="AI12" s="2589"/>
      <c r="AK12" s="147" t="s">
        <v>1891</v>
      </c>
      <c r="AL12" s="148" t="s">
        <v>12968</v>
      </c>
      <c r="AM12" s="148" t="s">
        <v>135</v>
      </c>
      <c r="AN12" s="148" t="s">
        <v>12983</v>
      </c>
      <c r="AO12" s="148" t="s">
        <v>12984</v>
      </c>
      <c r="AP12" s="148" t="s">
        <v>12985</v>
      </c>
      <c r="AQ12" s="148" t="s">
        <v>12986</v>
      </c>
      <c r="AR12" s="149" t="s">
        <v>12987</v>
      </c>
      <c r="AS12" s="1330"/>
      <c r="AT12" s="1330"/>
      <c r="AU12" s="1330"/>
      <c r="AV12" s="1330"/>
      <c r="AW12" s="1330"/>
      <c r="AX12" s="1330"/>
    </row>
    <row r="13" spans="2:50" ht="15.75" customHeight="1" thickTop="1" thickBot="1">
      <c r="B13" s="146"/>
      <c r="C13" s="146"/>
      <c r="D13" s="146"/>
      <c r="E13" s="146"/>
      <c r="F13" s="146"/>
      <c r="G13" s="146"/>
      <c r="H13" s="162"/>
      <c r="I13" s="162"/>
      <c r="J13" s="146"/>
      <c r="K13" s="146"/>
      <c r="L13" s="162"/>
      <c r="M13" s="162"/>
      <c r="N13" s="146"/>
      <c r="O13" s="146"/>
      <c r="P13" s="151"/>
      <c r="Q13" s="1816"/>
      <c r="R13" s="1816"/>
      <c r="S13" s="1816"/>
      <c r="U13" s="2589"/>
      <c r="V13" s="2560"/>
      <c r="W13" s="2589"/>
      <c r="X13" s="2560"/>
      <c r="Y13" s="2560"/>
      <c r="Z13" s="2560"/>
      <c r="AA13" s="2560"/>
      <c r="AB13" s="2560"/>
      <c r="AC13" s="2560"/>
      <c r="AD13" s="2560"/>
      <c r="AE13" s="2560"/>
      <c r="AF13" s="2560"/>
      <c r="AG13" s="2560"/>
      <c r="AH13" s="2560"/>
      <c r="AI13" s="2589"/>
      <c r="AK13" s="146"/>
      <c r="AL13" s="146"/>
      <c r="AM13" s="146"/>
      <c r="AN13" s="146"/>
      <c r="AO13" s="146"/>
      <c r="AP13" s="146"/>
      <c r="AQ13" s="162"/>
      <c r="AR13" s="162"/>
      <c r="AS13" s="146"/>
      <c r="AT13" s="146"/>
      <c r="AU13" s="1331"/>
      <c r="AV13" s="1331"/>
      <c r="AW13" s="146"/>
      <c r="AX13" s="146"/>
    </row>
    <row r="14" spans="2:50" s="1325" customFormat="1" ht="15.75" customHeight="1" thickTop="1" thickBot="1">
      <c r="B14" s="122" t="s">
        <v>12988</v>
      </c>
      <c r="C14" s="146"/>
      <c r="D14" s="146"/>
      <c r="E14" s="162"/>
      <c r="F14" s="162"/>
      <c r="G14" s="162"/>
      <c r="H14" s="150"/>
      <c r="I14" s="150"/>
      <c r="J14" s="162"/>
      <c r="K14" s="162"/>
      <c r="L14" s="150"/>
      <c r="M14" s="150"/>
      <c r="N14" s="150"/>
      <c r="O14" s="150"/>
      <c r="P14" s="150"/>
      <c r="Q14" s="1816"/>
      <c r="R14" s="1816"/>
      <c r="S14" s="1816"/>
      <c r="U14" s="2589"/>
      <c r="V14" s="2560"/>
      <c r="W14" s="2589"/>
      <c r="X14" s="2560"/>
      <c r="Y14" s="2560"/>
      <c r="Z14" s="2560"/>
      <c r="AA14" s="2560"/>
      <c r="AB14" s="2560"/>
      <c r="AC14" s="2560"/>
      <c r="AD14" s="2560"/>
      <c r="AE14" s="2560"/>
      <c r="AF14" s="2560"/>
      <c r="AG14" s="2560"/>
      <c r="AH14" s="2560"/>
      <c r="AI14" s="2589"/>
      <c r="AK14" s="122" t="s">
        <v>12988</v>
      </c>
      <c r="AL14" s="146"/>
      <c r="AM14" s="146"/>
      <c r="AN14" s="162"/>
      <c r="AO14" s="162"/>
      <c r="AP14" s="162"/>
      <c r="AQ14" s="150"/>
      <c r="AR14" s="150"/>
      <c r="AS14" s="1331"/>
      <c r="AT14" s="1331"/>
    </row>
    <row r="15" spans="2:50" s="1325" customFormat="1" ht="36.75" customHeight="1" thickTop="1">
      <c r="B15" s="164" t="s">
        <v>12989</v>
      </c>
      <c r="C15" s="2075"/>
      <c r="D15" s="166" t="s">
        <v>1341</v>
      </c>
      <c r="E15" s="1989"/>
      <c r="F15" s="1989"/>
      <c r="G15" s="2010"/>
      <c r="H15" s="2010"/>
      <c r="I15" s="2011"/>
      <c r="J15" s="163"/>
      <c r="K15" s="163"/>
      <c r="L15" s="163"/>
      <c r="M15" s="163"/>
      <c r="N15" s="163"/>
      <c r="O15" s="163"/>
      <c r="P15" s="150"/>
      <c r="Q15" s="815" t="s">
        <v>12990</v>
      </c>
      <c r="R15" s="1816"/>
      <c r="S15" s="815" t="s">
        <v>12991</v>
      </c>
      <c r="U15" s="2589"/>
      <c r="V15" s="1121" t="str">
        <f t="shared" ref="V15:V17" si="0" xml:space="preserve"> IF( SUM( X15:AH15 ) = 0, 0,$X$5 )</f>
        <v>Please complete all cells in row</v>
      </c>
      <c r="W15" s="2589"/>
      <c r="X15" s="2564">
        <f t="shared" ref="X15" si="1" xml:space="preserve"> IF( ISNUMBER(E15 ), 0, 1 )</f>
        <v>1</v>
      </c>
      <c r="Y15" s="2564">
        <f t="shared" ref="Y15" si="2" xml:space="preserve"> IF( ISNUMBER(F15 ), 0, 1 )</f>
        <v>1</v>
      </c>
      <c r="Z15" s="2560"/>
      <c r="AA15" s="2560"/>
      <c r="AB15" s="2560"/>
      <c r="AC15" s="2560"/>
      <c r="AD15" s="2560"/>
      <c r="AE15" s="2560"/>
      <c r="AF15" s="2560"/>
      <c r="AG15" s="2560"/>
      <c r="AH15" s="2560"/>
      <c r="AI15" s="2589"/>
      <c r="AK15" s="164" t="s">
        <v>12989</v>
      </c>
      <c r="AL15" s="167" t="s">
        <v>12992</v>
      </c>
      <c r="AM15" s="166" t="s">
        <v>1341</v>
      </c>
      <c r="AN15" s="167" t="s">
        <v>12993</v>
      </c>
      <c r="AO15" s="167"/>
      <c r="AP15" s="2016"/>
      <c r="AQ15" s="2016"/>
      <c r="AR15" s="2017"/>
      <c r="AS15" s="1332"/>
      <c r="AT15" s="1332"/>
      <c r="AU15" s="1332"/>
      <c r="AV15" s="1332"/>
      <c r="AW15" s="1332"/>
      <c r="AX15" s="1332"/>
    </row>
    <row r="16" spans="2:50" s="1325" customFormat="1" ht="36.75" customHeight="1">
      <c r="B16" s="183" t="s">
        <v>12994</v>
      </c>
      <c r="C16" s="2076"/>
      <c r="D16" s="185" t="s">
        <v>1341</v>
      </c>
      <c r="E16" s="1991"/>
      <c r="F16" s="1991"/>
      <c r="G16" s="2012"/>
      <c r="H16" s="2012"/>
      <c r="I16" s="2013"/>
      <c r="J16" s="163"/>
      <c r="K16" s="163"/>
      <c r="L16" s="163"/>
      <c r="M16" s="163"/>
      <c r="N16" s="163"/>
      <c r="O16" s="163"/>
      <c r="P16" s="150"/>
      <c r="Q16" s="822" t="s">
        <v>12990</v>
      </c>
      <c r="R16" s="1816"/>
      <c r="S16" s="822" t="s">
        <v>12991</v>
      </c>
      <c r="U16" s="2589"/>
      <c r="V16" s="1121" t="str">
        <f t="shared" si="0"/>
        <v>Please complete all cells in row</v>
      </c>
      <c r="W16" s="2589"/>
      <c r="X16" s="2564">
        <f t="shared" ref="X16:X17" si="3" xml:space="preserve"> IF( ISNUMBER(E16 ), 0, 1 )</f>
        <v>1</v>
      </c>
      <c r="Y16" s="2564">
        <f t="shared" ref="Y16:Y17" si="4" xml:space="preserve"> IF( ISNUMBER(F16 ), 0, 1 )</f>
        <v>1</v>
      </c>
      <c r="Z16" s="2560"/>
      <c r="AA16" s="2560"/>
      <c r="AB16" s="2560"/>
      <c r="AC16" s="2560"/>
      <c r="AD16" s="2560"/>
      <c r="AE16" s="2560"/>
      <c r="AF16" s="2560"/>
      <c r="AG16" s="2560"/>
      <c r="AH16" s="2560"/>
      <c r="AI16" s="2589"/>
      <c r="AK16" s="183" t="s">
        <v>12994</v>
      </c>
      <c r="AL16" s="187" t="s">
        <v>12995</v>
      </c>
      <c r="AM16" s="185" t="s">
        <v>1341</v>
      </c>
      <c r="AN16" s="187" t="s">
        <v>12996</v>
      </c>
      <c r="AO16" s="187"/>
      <c r="AP16" s="2018"/>
      <c r="AQ16" s="2018"/>
      <c r="AR16" s="2019"/>
      <c r="AS16" s="1332"/>
      <c r="AT16" s="1332"/>
      <c r="AU16" s="1332"/>
      <c r="AV16" s="1332"/>
      <c r="AW16" s="1332"/>
      <c r="AX16" s="1332"/>
    </row>
    <row r="17" spans="2:51" ht="36.75" customHeight="1" thickBot="1">
      <c r="B17" s="169" t="s">
        <v>12997</v>
      </c>
      <c r="C17" s="2077"/>
      <c r="D17" s="171" t="s">
        <v>12975</v>
      </c>
      <c r="E17" s="1993"/>
      <c r="F17" s="1993"/>
      <c r="G17" s="2014"/>
      <c r="H17" s="2014"/>
      <c r="I17" s="2015"/>
      <c r="J17" s="163"/>
      <c r="K17" s="163"/>
      <c r="L17" s="163"/>
      <c r="M17" s="163"/>
      <c r="N17" s="163"/>
      <c r="O17" s="174"/>
      <c r="P17" s="150"/>
      <c r="Q17" s="837" t="s">
        <v>12998</v>
      </c>
      <c r="R17" s="1816"/>
      <c r="S17" s="837" t="s">
        <v>12999</v>
      </c>
      <c r="U17" s="2589"/>
      <c r="V17" s="1121" t="str">
        <f t="shared" si="0"/>
        <v>Please complete all cells in row</v>
      </c>
      <c r="W17" s="2589"/>
      <c r="X17" s="2564">
        <f t="shared" si="3"/>
        <v>1</v>
      </c>
      <c r="Y17" s="2564">
        <f t="shared" si="4"/>
        <v>1</v>
      </c>
      <c r="Z17" s="2560"/>
      <c r="AA17" s="2560"/>
      <c r="AB17" s="2560"/>
      <c r="AC17" s="2560"/>
      <c r="AD17" s="2560"/>
      <c r="AE17" s="2560"/>
      <c r="AF17" s="2560"/>
      <c r="AG17" s="2560"/>
      <c r="AH17" s="2560"/>
      <c r="AI17" s="2589"/>
      <c r="AK17" s="169" t="s">
        <v>12997</v>
      </c>
      <c r="AL17" s="172" t="s">
        <v>13000</v>
      </c>
      <c r="AM17" s="171" t="s">
        <v>12975</v>
      </c>
      <c r="AN17" s="172" t="s">
        <v>13001</v>
      </c>
      <c r="AO17" s="172"/>
      <c r="AP17" s="2020"/>
      <c r="AQ17" s="2020"/>
      <c r="AR17" s="2021"/>
      <c r="AS17" s="1332"/>
      <c r="AT17" s="1332"/>
      <c r="AU17" s="1332"/>
      <c r="AV17" s="1332"/>
      <c r="AW17" s="1332"/>
      <c r="AX17" s="1335"/>
      <c r="AY17" s="1325"/>
    </row>
    <row r="18" spans="2:51" s="1325" customFormat="1" ht="16" thickTop="1">
      <c r="B18" s="175"/>
      <c r="C18" s="176"/>
      <c r="D18" s="176"/>
      <c r="E18" s="176"/>
      <c r="F18" s="176"/>
      <c r="G18" s="176"/>
      <c r="H18" s="176"/>
      <c r="I18" s="176"/>
      <c r="J18" s="176"/>
      <c r="K18" s="153"/>
      <c r="L18" s="153"/>
      <c r="M18" s="153"/>
      <c r="N18" s="153"/>
      <c r="O18" s="150"/>
      <c r="P18" s="150"/>
      <c r="Q18" s="150"/>
      <c r="R18" s="150"/>
      <c r="S18" s="150"/>
      <c r="U18" s="2560"/>
      <c r="V18" s="2560"/>
      <c r="W18" s="2560"/>
      <c r="X18" s="2560"/>
      <c r="Y18" s="2560"/>
      <c r="Z18" s="2560"/>
      <c r="AA18" s="2560"/>
      <c r="AB18" s="2560"/>
      <c r="AC18" s="2560"/>
      <c r="AD18" s="2560"/>
      <c r="AE18" s="2560"/>
      <c r="AF18" s="2560"/>
      <c r="AG18" s="2560"/>
      <c r="AH18" s="2560"/>
      <c r="AI18" s="2560"/>
    </row>
    <row r="19" spans="2:51" ht="15.5">
      <c r="B19" s="151"/>
      <c r="C19" s="151"/>
      <c r="D19" s="151"/>
      <c r="E19" s="151"/>
      <c r="F19" s="151"/>
      <c r="G19" s="151"/>
      <c r="H19" s="151"/>
      <c r="I19" s="151"/>
      <c r="J19" s="151"/>
      <c r="K19" s="151"/>
      <c r="L19" s="151"/>
      <c r="M19" s="151"/>
      <c r="N19" s="151"/>
      <c r="O19" s="151"/>
      <c r="P19" s="151"/>
      <c r="Q19" s="151"/>
      <c r="R19" s="151"/>
      <c r="S19" s="177"/>
      <c r="U19" s="2560"/>
      <c r="V19" s="2560"/>
      <c r="W19" s="2560"/>
      <c r="X19" s="2560"/>
      <c r="Y19" s="2560"/>
      <c r="Z19" s="2560"/>
      <c r="AA19" s="2560"/>
      <c r="AB19" s="2560"/>
      <c r="AC19" s="2560"/>
      <c r="AD19" s="2560"/>
      <c r="AE19" s="2560"/>
      <c r="AF19" s="2560"/>
      <c r="AG19" s="2560"/>
      <c r="AH19" s="2560"/>
      <c r="AI19" s="2560"/>
    </row>
    <row r="20" spans="2:51" ht="15.5">
      <c r="B20" s="151"/>
      <c r="C20" s="151"/>
      <c r="D20" s="151"/>
      <c r="E20" s="151"/>
      <c r="F20" s="151"/>
      <c r="G20" s="151"/>
      <c r="H20" s="151"/>
      <c r="I20" s="151"/>
      <c r="J20" s="151"/>
      <c r="K20" s="151"/>
      <c r="L20" s="151"/>
      <c r="M20" s="151"/>
      <c r="N20" s="151"/>
      <c r="O20" s="151"/>
      <c r="P20" s="151"/>
      <c r="Q20" s="151"/>
      <c r="R20" s="151"/>
      <c r="S20" s="151"/>
      <c r="U20" s="2560"/>
      <c r="V20" s="2560"/>
      <c r="W20" s="2560"/>
      <c r="X20" s="2560"/>
      <c r="Y20" s="2560"/>
      <c r="Z20" s="2560"/>
      <c r="AA20" s="2560"/>
      <c r="AB20" s="2560"/>
      <c r="AC20" s="2560"/>
      <c r="AD20" s="2560"/>
      <c r="AE20" s="2560"/>
      <c r="AF20" s="2560"/>
      <c r="AG20" s="2560"/>
      <c r="AH20" s="2560"/>
      <c r="AI20" s="2560"/>
    </row>
    <row r="21" spans="2:51" ht="15.5">
      <c r="B21" s="151"/>
      <c r="C21" s="151"/>
      <c r="D21" s="151"/>
      <c r="E21" s="151"/>
      <c r="F21" s="151"/>
      <c r="G21" s="151"/>
      <c r="H21" s="151"/>
      <c r="I21" s="151"/>
      <c r="J21" s="151"/>
      <c r="K21" s="151"/>
      <c r="L21" s="151"/>
      <c r="M21" s="151"/>
      <c r="N21" s="151"/>
      <c r="O21" s="151"/>
      <c r="P21" s="151"/>
      <c r="Q21" s="151"/>
      <c r="R21" s="151"/>
      <c r="S21" s="151"/>
      <c r="U21" s="2560"/>
      <c r="V21" s="2560"/>
      <c r="W21" s="2560"/>
      <c r="X21" s="2560"/>
      <c r="Y21" s="2560"/>
      <c r="Z21" s="2560"/>
      <c r="AA21" s="2560"/>
      <c r="AB21" s="2560"/>
      <c r="AC21" s="2560"/>
      <c r="AD21" s="2560"/>
      <c r="AE21" s="2560"/>
      <c r="AF21" s="2560"/>
      <c r="AG21" s="2560"/>
      <c r="AH21" s="2560"/>
      <c r="AI21" s="2560"/>
    </row>
    <row r="22" spans="2:51" ht="15.5">
      <c r="B22" s="151"/>
      <c r="C22" s="151"/>
      <c r="D22" s="151"/>
      <c r="E22" s="151"/>
      <c r="F22" s="151"/>
      <c r="G22" s="151"/>
      <c r="H22" s="151"/>
      <c r="I22" s="151"/>
      <c r="J22" s="151"/>
      <c r="K22" s="151"/>
      <c r="L22" s="151"/>
      <c r="M22" s="151"/>
      <c r="N22" s="151"/>
      <c r="O22" s="151"/>
      <c r="P22" s="151"/>
      <c r="Q22" s="151"/>
      <c r="R22" s="151"/>
      <c r="S22" s="151"/>
      <c r="U22" s="2560"/>
      <c r="V22" s="2560"/>
      <c r="W22" s="2560"/>
      <c r="X22" s="2560"/>
      <c r="Y22" s="2560"/>
      <c r="Z22" s="2560"/>
      <c r="AA22" s="2560"/>
      <c r="AB22" s="2560"/>
      <c r="AC22" s="2560"/>
      <c r="AD22" s="2560"/>
      <c r="AE22" s="2560"/>
      <c r="AF22" s="2560"/>
      <c r="AG22" s="2560"/>
      <c r="AH22" s="2560"/>
      <c r="AI22" s="2560"/>
    </row>
    <row r="23" spans="2:51" ht="15.5">
      <c r="B23" s="151"/>
      <c r="C23" s="151"/>
      <c r="D23" s="151"/>
      <c r="E23" s="151"/>
      <c r="F23" s="151"/>
      <c r="G23" s="151"/>
      <c r="H23" s="151"/>
      <c r="I23" s="151"/>
      <c r="J23" s="151"/>
      <c r="K23" s="151"/>
      <c r="L23" s="151"/>
      <c r="M23" s="151"/>
      <c r="N23" s="151"/>
      <c r="O23" s="151"/>
      <c r="P23" s="151"/>
      <c r="Q23" s="151"/>
      <c r="R23" s="151"/>
      <c r="S23" s="151"/>
      <c r="U23" s="2560"/>
      <c r="V23" s="2560"/>
      <c r="W23" s="2560"/>
      <c r="X23" s="2560"/>
      <c r="Y23" s="2560"/>
      <c r="Z23" s="2560"/>
      <c r="AA23" s="2560"/>
      <c r="AB23" s="2560"/>
      <c r="AC23" s="2560"/>
      <c r="AD23" s="2560"/>
      <c r="AE23" s="2560"/>
      <c r="AF23" s="2560"/>
      <c r="AG23" s="2560"/>
      <c r="AH23" s="2560"/>
      <c r="AI23" s="2560"/>
    </row>
    <row r="24" spans="2:51" ht="15.5">
      <c r="B24" s="151"/>
      <c r="C24" s="151"/>
      <c r="D24" s="151"/>
      <c r="E24" s="151"/>
      <c r="F24" s="151"/>
      <c r="G24" s="151"/>
      <c r="H24" s="151"/>
      <c r="I24" s="151"/>
      <c r="J24" s="151"/>
      <c r="K24" s="151"/>
      <c r="L24" s="151"/>
      <c r="M24" s="151"/>
      <c r="N24" s="151"/>
      <c r="O24" s="151"/>
      <c r="P24" s="151"/>
      <c r="Q24" s="151"/>
      <c r="R24" s="151"/>
      <c r="S24" s="151"/>
      <c r="U24" s="2560"/>
      <c r="V24" s="2560"/>
      <c r="W24" s="2560"/>
      <c r="X24" s="2560"/>
      <c r="Y24" s="2560"/>
      <c r="Z24" s="2560"/>
      <c r="AA24" s="2560"/>
      <c r="AB24" s="2560"/>
      <c r="AC24" s="2560"/>
      <c r="AD24" s="2560"/>
      <c r="AE24" s="2560"/>
      <c r="AF24" s="2560"/>
      <c r="AG24" s="2560"/>
      <c r="AH24" s="2560"/>
      <c r="AI24" s="2560"/>
    </row>
    <row r="25" spans="2:51" ht="15.5">
      <c r="B25" s="151"/>
      <c r="C25" s="151"/>
      <c r="D25" s="151"/>
      <c r="E25" s="151"/>
      <c r="F25" s="151"/>
      <c r="G25" s="151"/>
      <c r="H25" s="151"/>
      <c r="I25" s="151"/>
      <c r="J25" s="151"/>
      <c r="K25" s="151"/>
      <c r="L25" s="151"/>
      <c r="M25" s="151"/>
      <c r="N25" s="151"/>
      <c r="O25" s="151"/>
      <c r="P25" s="151"/>
      <c r="Q25" s="151"/>
      <c r="R25" s="151"/>
      <c r="S25" s="151"/>
      <c r="U25" s="2560"/>
      <c r="V25" s="2560"/>
      <c r="W25" s="2560"/>
      <c r="X25" s="2560"/>
      <c r="Y25" s="2560"/>
      <c r="Z25" s="2560"/>
      <c r="AA25" s="2560"/>
      <c r="AB25" s="2560"/>
      <c r="AC25" s="2560"/>
      <c r="AD25" s="2560"/>
      <c r="AE25" s="2560"/>
      <c r="AF25" s="2560"/>
      <c r="AG25" s="2560"/>
      <c r="AH25" s="2560"/>
      <c r="AI25" s="2560"/>
    </row>
    <row r="26" spans="2:51" ht="15.5" hidden="1">
      <c r="B26" s="151"/>
      <c r="C26" s="151"/>
      <c r="D26" s="151"/>
      <c r="E26" s="151"/>
      <c r="F26" s="151"/>
      <c r="G26" s="151"/>
      <c r="H26" s="151"/>
      <c r="I26" s="151"/>
      <c r="J26" s="151"/>
      <c r="K26" s="151"/>
      <c r="L26" s="151"/>
      <c r="M26" s="151"/>
      <c r="N26" s="151"/>
      <c r="O26" s="151"/>
      <c r="P26" s="151"/>
      <c r="Q26" s="151"/>
      <c r="R26" s="151"/>
      <c r="S26" s="151"/>
      <c r="U26" s="2560"/>
      <c r="V26" s="2560"/>
      <c r="W26" s="2560"/>
      <c r="X26" s="2560"/>
      <c r="Y26" s="2560"/>
      <c r="Z26" s="2560"/>
      <c r="AA26" s="2560"/>
      <c r="AB26" s="2560"/>
      <c r="AC26" s="2560"/>
      <c r="AD26" s="2560"/>
      <c r="AE26" s="2560"/>
      <c r="AF26" s="2560"/>
      <c r="AG26" s="2560"/>
      <c r="AH26" s="2560"/>
      <c r="AI26" s="2560"/>
    </row>
    <row r="27" spans="2:51" ht="15.5">
      <c r="B27" s="151"/>
      <c r="C27" s="151"/>
      <c r="D27" s="151"/>
      <c r="E27" s="151"/>
      <c r="F27" s="151"/>
      <c r="G27" s="151"/>
      <c r="H27" s="151"/>
      <c r="I27" s="151"/>
      <c r="J27" s="151"/>
      <c r="K27" s="151"/>
      <c r="L27" s="151"/>
      <c r="M27" s="151"/>
      <c r="N27" s="151"/>
      <c r="O27" s="151"/>
      <c r="P27" s="151"/>
      <c r="Q27" s="151"/>
      <c r="R27" s="151"/>
      <c r="S27" s="151"/>
      <c r="U27" s="2560"/>
      <c r="V27" s="2560"/>
      <c r="W27" s="2560"/>
      <c r="X27" s="2560"/>
      <c r="Y27" s="2560"/>
      <c r="Z27" s="2560"/>
      <c r="AA27" s="2560"/>
      <c r="AB27" s="2560"/>
      <c r="AC27" s="2560"/>
      <c r="AD27" s="2560"/>
      <c r="AE27" s="2560"/>
      <c r="AF27" s="2560"/>
      <c r="AG27" s="2560"/>
      <c r="AH27" s="2560"/>
      <c r="AI27" s="2560"/>
    </row>
    <row r="28" spans="2:51" ht="15.5">
      <c r="B28" s="151"/>
      <c r="C28" s="151"/>
      <c r="D28" s="151"/>
      <c r="E28" s="151"/>
      <c r="F28" s="151"/>
      <c r="G28" s="151"/>
      <c r="H28" s="151"/>
      <c r="I28" s="151"/>
      <c r="J28" s="151"/>
      <c r="K28" s="151"/>
      <c r="L28" s="151"/>
      <c r="M28" s="151"/>
      <c r="N28" s="151"/>
      <c r="O28" s="151"/>
      <c r="P28" s="151"/>
      <c r="Q28" s="151"/>
      <c r="R28" s="151"/>
      <c r="S28" s="151"/>
      <c r="U28" s="2560"/>
      <c r="V28" s="2560"/>
      <c r="W28" s="2560"/>
      <c r="X28" s="2560"/>
      <c r="Y28" s="2560"/>
      <c r="Z28" s="2560"/>
      <c r="AA28" s="2560"/>
      <c r="AB28" s="2560"/>
      <c r="AC28" s="2560"/>
      <c r="AD28" s="2560"/>
      <c r="AE28" s="2560"/>
      <c r="AF28" s="2560"/>
      <c r="AG28" s="2560"/>
      <c r="AH28" s="2560"/>
      <c r="AI28" s="2560"/>
    </row>
    <row r="29" spans="2:51" ht="15.5">
      <c r="B29" s="151"/>
      <c r="C29" s="151"/>
      <c r="D29" s="151"/>
      <c r="E29" s="151"/>
      <c r="F29" s="151"/>
      <c r="G29" s="151"/>
      <c r="H29" s="151"/>
      <c r="I29" s="151"/>
      <c r="J29" s="151"/>
      <c r="K29" s="151"/>
      <c r="L29" s="151"/>
      <c r="M29" s="151"/>
      <c r="N29" s="151"/>
      <c r="O29" s="151"/>
      <c r="P29" s="151"/>
      <c r="Q29" s="151"/>
      <c r="R29" s="151"/>
      <c r="S29" s="151"/>
      <c r="U29" s="2560"/>
      <c r="V29" s="2560"/>
      <c r="W29" s="2560"/>
      <c r="X29" s="2560"/>
      <c r="Y29" s="2560"/>
      <c r="Z29" s="2560"/>
      <c r="AA29" s="2560"/>
      <c r="AB29" s="2560"/>
      <c r="AC29" s="2560"/>
      <c r="AD29" s="2560"/>
      <c r="AE29" s="2560"/>
      <c r="AF29" s="2560"/>
      <c r="AG29" s="2560"/>
      <c r="AH29" s="2560"/>
      <c r="AI29" s="2560"/>
    </row>
    <row r="30" spans="2:51" ht="15.5">
      <c r="B30" s="151"/>
      <c r="C30" s="151"/>
      <c r="D30" s="151"/>
      <c r="E30" s="151"/>
      <c r="F30" s="151"/>
      <c r="G30" s="151"/>
      <c r="H30" s="151"/>
      <c r="I30" s="151"/>
      <c r="J30" s="151"/>
      <c r="K30" s="151"/>
      <c r="L30" s="151"/>
      <c r="M30" s="151"/>
      <c r="N30" s="151"/>
      <c r="O30" s="151"/>
      <c r="P30" s="151"/>
      <c r="Q30" s="151"/>
      <c r="R30" s="151"/>
      <c r="S30" s="151"/>
      <c r="U30" s="2560"/>
      <c r="V30" s="2560"/>
      <c r="W30" s="2560"/>
      <c r="X30" s="2560"/>
      <c r="Y30" s="2560"/>
      <c r="Z30" s="2560"/>
      <c r="AA30" s="2560"/>
      <c r="AB30" s="2560"/>
      <c r="AC30" s="2560"/>
      <c r="AD30" s="2560"/>
      <c r="AE30" s="2560"/>
      <c r="AF30" s="2560"/>
      <c r="AG30" s="2560"/>
      <c r="AH30" s="2560"/>
      <c r="AI30" s="2560"/>
    </row>
    <row r="31" spans="2:51" ht="15.5">
      <c r="B31" s="151"/>
      <c r="C31" s="151"/>
      <c r="D31" s="151"/>
      <c r="E31" s="151"/>
      <c r="F31" s="151"/>
      <c r="G31" s="151"/>
      <c r="H31" s="151"/>
      <c r="I31" s="151"/>
      <c r="J31" s="151"/>
      <c r="K31" s="151"/>
      <c r="L31" s="151"/>
      <c r="M31" s="151"/>
      <c r="N31" s="151"/>
      <c r="O31" s="151"/>
      <c r="P31" s="151"/>
      <c r="Q31" s="151"/>
      <c r="R31" s="151"/>
      <c r="S31" s="151"/>
      <c r="U31" s="2560"/>
      <c r="V31" s="2560"/>
      <c r="W31" s="2560"/>
      <c r="X31" s="2560"/>
      <c r="Y31" s="2560"/>
      <c r="Z31" s="2560"/>
      <c r="AA31" s="2560"/>
      <c r="AB31" s="2560"/>
      <c r="AC31" s="2560"/>
      <c r="AD31" s="2560"/>
      <c r="AE31" s="2560"/>
      <c r="AF31" s="2560"/>
      <c r="AG31" s="2560"/>
      <c r="AH31" s="2560"/>
      <c r="AI31" s="2560"/>
    </row>
    <row r="32" spans="2:51" ht="15.5">
      <c r="B32" s="151"/>
      <c r="C32" s="151"/>
      <c r="D32" s="151"/>
      <c r="E32" s="151"/>
      <c r="F32" s="151"/>
      <c r="G32" s="151"/>
      <c r="H32" s="151"/>
      <c r="I32" s="151"/>
      <c r="J32" s="151"/>
      <c r="K32" s="151"/>
      <c r="L32" s="151"/>
      <c r="M32" s="151"/>
      <c r="N32" s="151"/>
      <c r="O32" s="151"/>
      <c r="P32" s="151"/>
      <c r="Q32" s="151"/>
      <c r="R32" s="151"/>
      <c r="S32" s="151"/>
      <c r="U32" s="2560"/>
      <c r="V32" s="2560"/>
      <c r="W32" s="2560"/>
      <c r="X32" s="2560"/>
      <c r="Y32" s="2560"/>
      <c r="Z32" s="2560"/>
      <c r="AA32" s="2560"/>
      <c r="AB32" s="2560"/>
      <c r="AC32" s="2560"/>
      <c r="AD32" s="2560"/>
      <c r="AE32" s="2560"/>
      <c r="AF32" s="2560"/>
      <c r="AG32" s="2560"/>
      <c r="AH32" s="2560"/>
      <c r="AI32" s="2560"/>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4" priority="3" operator="equal">
      <formula>0</formula>
    </cfRule>
  </conditionalFormatting>
  <conditionalFormatting sqref="V15:V17">
    <cfRule type="cellIs" dxfId="13"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customProperties>
    <customPr name="_pios_id" r:id="rId2"/>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tabColor rgb="FF808080"/>
    <pageSetUpPr fitToPage="1"/>
  </sheetPr>
  <dimension ref="B1:AT36"/>
  <sheetViews>
    <sheetView showGridLines="0" topLeftCell="A12" zoomScaleNormal="100" zoomScaleSheetLayoutView="85" workbookViewId="0"/>
  </sheetViews>
  <sheetFormatPr defaultColWidth="9" defaultRowHeight="14"/>
  <cols>
    <col min="1" max="1" width="9" style="1184"/>
    <col min="2" max="2" width="38.08203125" style="1323" customWidth="1"/>
    <col min="3" max="3" width="17.08203125" style="1323" bestFit="1" customWidth="1"/>
    <col min="4" max="4" width="30.08203125" style="1323" bestFit="1" customWidth="1"/>
    <col min="5" max="5" width="42.58203125" style="1323" bestFit="1" customWidth="1"/>
    <col min="6" max="6" width="20" style="1323" customWidth="1"/>
    <col min="7" max="7" width="35.08203125" style="1323" customWidth="1"/>
    <col min="8" max="8" width="29.58203125" style="1323" bestFit="1" customWidth="1"/>
    <col min="9" max="9" width="17.08203125" style="1323" bestFit="1" customWidth="1"/>
    <col min="10" max="10" width="29.58203125" style="1323" bestFit="1" customWidth="1"/>
    <col min="11" max="13" width="13.08203125" style="1323" customWidth="1"/>
    <col min="14" max="14" width="1.58203125" style="1323" customWidth="1"/>
    <col min="15" max="15" width="12.5" style="1323" customWidth="1"/>
    <col min="16" max="16" width="1.58203125" style="1184" customWidth="1"/>
    <col min="17" max="17" width="14.58203125" style="1184" customWidth="1"/>
    <col min="18" max="18" width="2.58203125" style="1184" customWidth="1"/>
    <col min="19" max="19" width="1.58203125" style="219" customWidth="1"/>
    <col min="20" max="20" width="20.58203125" style="219" bestFit="1" customWidth="1"/>
    <col min="21" max="21" width="1.58203125" style="219" customWidth="1"/>
    <col min="22" max="22" width="28" style="1184" hidden="1" customWidth="1"/>
    <col min="23" max="24" width="9" style="1184" hidden="1" customWidth="1"/>
    <col min="25" max="26" width="2.08203125" style="1184" hidden="1" customWidth="1"/>
    <col min="27" max="27" width="9" style="1184" hidden="1" customWidth="1"/>
    <col min="28" max="28" width="2.08203125" style="1184" hidden="1" customWidth="1"/>
    <col min="29" max="29" width="9" style="1184" hidden="1" customWidth="1"/>
    <col min="30" max="32" width="2.08203125" style="1184" hidden="1" customWidth="1"/>
    <col min="33" max="33" width="4.58203125" style="1184" hidden="1" customWidth="1"/>
    <col min="34" max="34" width="9" style="1184"/>
    <col min="35" max="35" width="30.08203125" style="1184" bestFit="1" customWidth="1"/>
    <col min="36" max="36" width="14.08203125" style="1184" bestFit="1" customWidth="1"/>
    <col min="37" max="37" width="30.08203125" style="1184" bestFit="1" customWidth="1"/>
    <col min="38" max="38" width="42.58203125" style="1184" bestFit="1" customWidth="1"/>
    <col min="39" max="39" width="8.58203125" style="1184" bestFit="1" customWidth="1"/>
    <col min="40" max="40" width="17.08203125" style="1184" bestFit="1" customWidth="1"/>
    <col min="41" max="41" width="21.08203125" style="1184" customWidth="1"/>
    <col min="42" max="42" width="17.08203125" style="1184" bestFit="1" customWidth="1"/>
    <col min="43" max="43" width="29.58203125" style="1184" bestFit="1" customWidth="1"/>
    <col min="44" max="44" width="4.5" style="1184" bestFit="1" customWidth="1"/>
    <col min="45" max="45" width="8" style="1184" bestFit="1" customWidth="1"/>
    <col min="46" max="46" width="5.08203125" style="1184" bestFit="1" customWidth="1"/>
    <col min="47" max="51" width="9" style="1184"/>
    <col min="52" max="52" width="9" style="1184" customWidth="1"/>
    <col min="53" max="16384" width="9" style="1184"/>
  </cols>
  <sheetData>
    <row r="1" spans="2:46" s="104" customFormat="1" ht="22.5">
      <c r="B1" s="2853" t="s">
        <v>13002</v>
      </c>
      <c r="C1" s="2853"/>
      <c r="D1" s="2853"/>
      <c r="E1" s="2853"/>
      <c r="F1" s="1322"/>
      <c r="G1" s="1322"/>
      <c r="H1" s="1322"/>
      <c r="I1" s="1322"/>
      <c r="J1" s="1322"/>
      <c r="K1" s="1322"/>
      <c r="L1" s="1323"/>
      <c r="M1" s="1323"/>
      <c r="N1" s="1323"/>
      <c r="O1" s="1323"/>
      <c r="S1" s="2589"/>
      <c r="T1" s="2560"/>
      <c r="U1" s="2589"/>
      <c r="AG1" s="1336"/>
      <c r="AI1" s="1119" t="s">
        <v>1887</v>
      </c>
    </row>
    <row r="2" spans="2:46" s="104" customFormat="1" ht="22.5">
      <c r="B2" s="1119" t="str">
        <f>SelectCompany!B4</f>
        <v>Yorkshire Water</v>
      </c>
      <c r="C2" s="1322"/>
      <c r="D2" s="1322"/>
      <c r="E2" s="1322"/>
      <c r="F2" s="1322"/>
      <c r="G2" s="1322"/>
      <c r="H2" s="1322"/>
      <c r="I2" s="1322"/>
      <c r="J2" s="1322"/>
      <c r="K2" s="1322"/>
      <c r="L2" s="1323"/>
      <c r="M2" s="1323"/>
      <c r="N2" s="1323"/>
      <c r="O2" s="1323"/>
      <c r="S2" s="2589"/>
      <c r="T2" s="2560"/>
      <c r="U2" s="2589"/>
      <c r="AG2" s="1336"/>
      <c r="AI2" s="1321"/>
    </row>
    <row r="3" spans="2:46" s="1323" customFormat="1" ht="19.399999999999999" customHeight="1">
      <c r="B3" s="2781" t="s">
        <v>13003</v>
      </c>
      <c r="C3" s="2781"/>
      <c r="D3" s="2781"/>
      <c r="E3" s="2781"/>
      <c r="F3" s="2781"/>
      <c r="G3" s="2781"/>
      <c r="H3" s="2781"/>
      <c r="I3" s="2781"/>
      <c r="J3" s="2781"/>
      <c r="K3" s="2781"/>
      <c r="L3" s="2781"/>
      <c r="M3" s="2781"/>
      <c r="P3" s="104"/>
      <c r="Q3" s="104"/>
      <c r="R3" s="1184"/>
      <c r="S3" s="2589"/>
      <c r="T3" s="1129" t="s">
        <v>1889</v>
      </c>
      <c r="U3" s="2589"/>
      <c r="V3" s="1184"/>
      <c r="W3" s="1184"/>
      <c r="X3" s="1184"/>
      <c r="Y3" s="1184"/>
      <c r="Z3" s="1184"/>
      <c r="AA3" s="1184"/>
      <c r="AB3" s="1184"/>
      <c r="AC3" s="1184"/>
      <c r="AD3" s="1184"/>
      <c r="AE3" s="1184"/>
      <c r="AF3" s="1184"/>
      <c r="AG3" s="1337"/>
      <c r="AH3" s="1184"/>
      <c r="AI3" s="2781" t="s">
        <v>13004</v>
      </c>
      <c r="AJ3" s="2781"/>
      <c r="AK3" s="2781"/>
      <c r="AL3" s="2781"/>
      <c r="AM3" s="2781"/>
      <c r="AN3" s="2781"/>
      <c r="AO3" s="2781"/>
      <c r="AP3" s="2781"/>
      <c r="AQ3" s="2781"/>
      <c r="AR3" s="2781"/>
      <c r="AS3" s="2781"/>
      <c r="AT3" s="2781"/>
    </row>
    <row r="4" spans="2:46" s="1323" customFormat="1" ht="22.5">
      <c r="K4" s="1338"/>
      <c r="L4" s="1338"/>
      <c r="M4" s="1338"/>
      <c r="P4" s="104"/>
      <c r="Q4" s="104"/>
      <c r="R4" s="1184"/>
      <c r="S4" s="2589"/>
      <c r="T4" s="2560"/>
      <c r="U4" s="2589"/>
      <c r="V4" s="2869" t="s">
        <v>1890</v>
      </c>
      <c r="W4" s="2869"/>
      <c r="X4" s="2869"/>
      <c r="Y4" s="2869"/>
      <c r="Z4" s="2869"/>
      <c r="AA4" s="2869"/>
      <c r="AB4" s="2869"/>
      <c r="AC4" s="2869"/>
      <c r="AD4" s="2869"/>
      <c r="AE4" s="2869"/>
      <c r="AF4" s="2869"/>
      <c r="AG4" s="1337"/>
      <c r="AH4" s="1184"/>
      <c r="AI4" s="1184"/>
      <c r="AJ4" s="1184"/>
      <c r="AK4" s="1184"/>
      <c r="AL4" s="1184"/>
    </row>
    <row r="5" spans="2:46" s="1323" customFormat="1" ht="19.399999999999999" customHeight="1">
      <c r="B5" s="2781" t="s">
        <v>13005</v>
      </c>
      <c r="C5" s="2781"/>
      <c r="D5" s="2781"/>
      <c r="E5" s="2781"/>
      <c r="F5" s="2781"/>
      <c r="G5" s="2781"/>
      <c r="H5" s="2781"/>
      <c r="I5" s="2781"/>
      <c r="J5" s="2781"/>
      <c r="K5" s="2781"/>
      <c r="L5" s="2781"/>
      <c r="M5" s="2781"/>
      <c r="P5" s="104"/>
      <c r="Q5" s="104"/>
      <c r="R5" s="1184"/>
      <c r="S5" s="2589"/>
      <c r="T5" s="2560"/>
      <c r="U5" s="2589"/>
      <c r="V5" s="2560" t="s">
        <v>1898</v>
      </c>
      <c r="W5" s="1184"/>
      <c r="X5" s="1184"/>
      <c r="Y5" s="1184"/>
      <c r="Z5" s="1184"/>
      <c r="AA5" s="1184"/>
      <c r="AB5" s="1184"/>
      <c r="AC5" s="1184"/>
      <c r="AD5" s="1184"/>
      <c r="AE5" s="1184"/>
      <c r="AF5" s="1184"/>
      <c r="AG5" s="1337"/>
      <c r="AH5" s="1184"/>
      <c r="AI5" s="2781" t="s">
        <v>13005</v>
      </c>
      <c r="AJ5" s="2781"/>
      <c r="AK5" s="2781"/>
      <c r="AL5" s="2781"/>
      <c r="AM5" s="2781"/>
      <c r="AN5" s="2781"/>
      <c r="AO5" s="2781"/>
      <c r="AP5" s="2781"/>
      <c r="AQ5" s="2781"/>
      <c r="AR5" s="2781"/>
      <c r="AS5" s="2781"/>
      <c r="AT5" s="2781"/>
    </row>
    <row r="6" spans="2:46" ht="16" thickBot="1">
      <c r="C6" s="1324"/>
      <c r="D6" s="1324"/>
      <c r="E6" s="1324"/>
      <c r="F6" s="1324"/>
      <c r="G6" s="1324"/>
      <c r="H6" s="1324"/>
      <c r="I6" s="1324"/>
      <c r="J6" s="1324"/>
      <c r="P6" s="104"/>
      <c r="Q6" s="104"/>
      <c r="S6" s="2589"/>
      <c r="T6" s="2560"/>
      <c r="U6" s="2589"/>
      <c r="AG6" s="1337"/>
      <c r="AI6" s="1323"/>
      <c r="AJ6" s="1324"/>
      <c r="AK6" s="1324"/>
      <c r="AL6" s="1324"/>
      <c r="AM6" s="1324"/>
      <c r="AN6" s="1324"/>
      <c r="AO6" s="1324"/>
      <c r="AP6" s="1324"/>
      <c r="AQ6" s="1324"/>
      <c r="AR6" s="1323"/>
      <c r="AS6" s="1323"/>
      <c r="AT6" s="1323"/>
    </row>
    <row r="7" spans="2:46" ht="125" thickTop="1" thickBot="1">
      <c r="B7" s="179" t="s">
        <v>1891</v>
      </c>
      <c r="C7" s="148" t="s">
        <v>12968</v>
      </c>
      <c r="D7" s="148" t="s">
        <v>135</v>
      </c>
      <c r="E7" s="148" t="s">
        <v>12969</v>
      </c>
      <c r="F7" s="148" t="s">
        <v>13006</v>
      </c>
      <c r="G7" s="148" t="s">
        <v>12971</v>
      </c>
      <c r="H7" s="149" t="s">
        <v>12972</v>
      </c>
      <c r="I7" s="150"/>
      <c r="J7" s="151"/>
      <c r="K7" s="105"/>
      <c r="L7" s="151"/>
      <c r="M7" s="151"/>
      <c r="N7" s="151"/>
      <c r="O7" s="145" t="s">
        <v>1896</v>
      </c>
      <c r="P7" s="74"/>
      <c r="Q7" s="145" t="s">
        <v>12914</v>
      </c>
      <c r="S7" s="2589"/>
      <c r="T7" s="2560"/>
      <c r="U7" s="2589"/>
      <c r="AG7" s="1337"/>
      <c r="AI7" s="179" t="s">
        <v>1891</v>
      </c>
      <c r="AJ7" s="148" t="s">
        <v>12968</v>
      </c>
      <c r="AK7" s="148" t="s">
        <v>135</v>
      </c>
      <c r="AL7" s="148" t="s">
        <v>12969</v>
      </c>
      <c r="AM7" s="148" t="s">
        <v>13006</v>
      </c>
      <c r="AN7" s="148" t="s">
        <v>12971</v>
      </c>
      <c r="AO7" s="149" t="s">
        <v>12972</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589"/>
      <c r="T8" s="2560"/>
      <c r="U8" s="2589"/>
      <c r="AG8" s="1337"/>
      <c r="AI8" s="150"/>
      <c r="AJ8" s="150"/>
      <c r="AK8" s="150"/>
      <c r="AL8" s="150"/>
      <c r="AM8" s="150"/>
      <c r="AN8" s="150"/>
      <c r="AO8" s="150"/>
      <c r="AP8" s="150"/>
      <c r="AQ8" s="151"/>
      <c r="AR8" s="151"/>
      <c r="AS8" s="151"/>
      <c r="AT8" s="151"/>
    </row>
    <row r="9" spans="2:46" ht="32" thickTop="1" thickBot="1">
      <c r="B9" s="122" t="s">
        <v>13007</v>
      </c>
      <c r="C9" s="150"/>
      <c r="D9" s="150"/>
      <c r="E9" s="150"/>
      <c r="F9" s="150"/>
      <c r="G9" s="150"/>
      <c r="H9" s="150"/>
      <c r="I9" s="150"/>
      <c r="J9" s="151"/>
      <c r="K9" s="151"/>
      <c r="L9" s="151"/>
      <c r="M9" s="151"/>
      <c r="N9" s="151"/>
      <c r="O9" s="180"/>
      <c r="P9" s="74"/>
      <c r="Q9" s="180"/>
      <c r="S9" s="2589"/>
      <c r="T9" s="2560"/>
      <c r="U9" s="2589"/>
      <c r="AG9" s="1337"/>
      <c r="AI9" s="122" t="s">
        <v>13007</v>
      </c>
      <c r="AJ9" s="150"/>
      <c r="AK9" s="150"/>
      <c r="AL9" s="150"/>
      <c r="AM9" s="150"/>
      <c r="AN9" s="150"/>
      <c r="AO9" s="150"/>
      <c r="AP9" s="150"/>
      <c r="AQ9" s="151"/>
      <c r="AR9" s="151"/>
      <c r="AS9" s="151"/>
      <c r="AT9" s="151"/>
    </row>
    <row r="10" spans="2:46" ht="65.900000000000006" customHeight="1" thickTop="1">
      <c r="B10" s="164" t="s">
        <v>13008</v>
      </c>
      <c r="C10" s="1989"/>
      <c r="D10" s="166" t="s">
        <v>13009</v>
      </c>
      <c r="E10" s="166" t="s">
        <v>13010</v>
      </c>
      <c r="F10" s="181" t="s">
        <v>13011</v>
      </c>
      <c r="G10" s="1989"/>
      <c r="H10" s="182">
        <f>IFERROR(G10/(F10*1000)*10000,0)</f>
        <v>0</v>
      </c>
      <c r="I10" s="150"/>
      <c r="J10" s="151"/>
      <c r="K10" s="150"/>
      <c r="L10" s="151"/>
      <c r="M10" s="150"/>
      <c r="N10" s="151"/>
      <c r="O10" s="43" t="s">
        <v>13012</v>
      </c>
      <c r="P10" s="74"/>
      <c r="Q10" s="43" t="s">
        <v>13013</v>
      </c>
      <c r="S10" s="2589"/>
      <c r="T10" s="1121" t="str">
        <f xml:space="preserve"> IF( SUM( V10:AF10 ) = 0, 0,$V$5 )</f>
        <v>Please complete all cells in row</v>
      </c>
      <c r="U10" s="2589"/>
      <c r="Z10" s="1340">
        <f xml:space="preserve"> IF( ISNUMBER(G10 ), 0, 1 )</f>
        <v>1</v>
      </c>
      <c r="AG10" s="1337"/>
      <c r="AI10" s="164" t="s">
        <v>13008</v>
      </c>
      <c r="AJ10" s="167" t="s">
        <v>13014</v>
      </c>
      <c r="AK10" s="166" t="s">
        <v>13009</v>
      </c>
      <c r="AL10" s="166" t="s">
        <v>13010</v>
      </c>
      <c r="AM10" s="181"/>
      <c r="AN10" s="167" t="s">
        <v>13015</v>
      </c>
      <c r="AO10" s="182" t="s">
        <v>13016</v>
      </c>
      <c r="AP10" s="150"/>
      <c r="AQ10" s="151"/>
      <c r="AR10" s="150"/>
      <c r="AS10" s="151"/>
      <c r="AT10" s="150"/>
    </row>
    <row r="11" spans="2:46" ht="65.900000000000006" customHeight="1">
      <c r="B11" s="183" t="s">
        <v>13017</v>
      </c>
      <c r="C11" s="1991"/>
      <c r="D11" s="185" t="s">
        <v>13009</v>
      </c>
      <c r="E11" s="185" t="s">
        <v>13010</v>
      </c>
      <c r="F11" s="186" t="s">
        <v>13018</v>
      </c>
      <c r="G11" s="1991"/>
      <c r="H11" s="188">
        <f>IFERROR(G11/(F11*1000)*10000,0)</f>
        <v>0</v>
      </c>
      <c r="I11" s="150"/>
      <c r="J11" s="151"/>
      <c r="K11" s="150"/>
      <c r="L11" s="151"/>
      <c r="M11" s="150"/>
      <c r="N11" s="151"/>
      <c r="O11" s="52" t="s">
        <v>13019</v>
      </c>
      <c r="P11" s="74"/>
      <c r="Q11" s="52" t="s">
        <v>13020</v>
      </c>
      <c r="S11" s="2589"/>
      <c r="T11" s="1121" t="str">
        <f t="shared" ref="T11:T13" si="0" xml:space="preserve"> IF( SUM( V11:AF11 ) = 0, 0,$V$5 )</f>
        <v>Please complete all cells in row</v>
      </c>
      <c r="U11" s="2589"/>
      <c r="Z11" s="1340">
        <f t="shared" ref="Z11:Z13" si="1" xml:space="preserve"> IF( ISNUMBER(G11 ), 0, 1 )</f>
        <v>1</v>
      </c>
      <c r="AG11" s="1337"/>
      <c r="AI11" s="183" t="s">
        <v>13017</v>
      </c>
      <c r="AJ11" s="187" t="s">
        <v>13021</v>
      </c>
      <c r="AK11" s="185" t="s">
        <v>13009</v>
      </c>
      <c r="AL11" s="185" t="s">
        <v>13010</v>
      </c>
      <c r="AM11" s="186"/>
      <c r="AN11" s="187" t="s">
        <v>13022</v>
      </c>
      <c r="AO11" s="188" t="s">
        <v>13023</v>
      </c>
      <c r="AP11" s="150"/>
      <c r="AQ11" s="151"/>
      <c r="AR11" s="150"/>
      <c r="AS11" s="151"/>
      <c r="AT11" s="150"/>
    </row>
    <row r="12" spans="2:46" ht="65.900000000000006" customHeight="1">
      <c r="B12" s="183" t="s">
        <v>13024</v>
      </c>
      <c r="C12" s="1991"/>
      <c r="D12" s="185" t="s">
        <v>13009</v>
      </c>
      <c r="E12" s="185" t="s">
        <v>13010</v>
      </c>
      <c r="F12" s="186" t="s">
        <v>13025</v>
      </c>
      <c r="G12" s="1991"/>
      <c r="H12" s="188">
        <f>IFERROR(G12/(F12*1000)*10000,0)</f>
        <v>0</v>
      </c>
      <c r="I12" s="150"/>
      <c r="J12" s="151"/>
      <c r="K12" s="150"/>
      <c r="L12" s="151"/>
      <c r="M12" s="150"/>
      <c r="N12" s="151"/>
      <c r="O12" s="52" t="s">
        <v>13026</v>
      </c>
      <c r="P12" s="74"/>
      <c r="Q12" s="52" t="s">
        <v>13027</v>
      </c>
      <c r="S12" s="2589"/>
      <c r="T12" s="1121" t="str">
        <f t="shared" si="0"/>
        <v>Please complete all cells in row</v>
      </c>
      <c r="U12" s="2589"/>
      <c r="Z12" s="1340">
        <f t="shared" si="1"/>
        <v>1</v>
      </c>
      <c r="AG12" s="1337"/>
      <c r="AI12" s="183" t="s">
        <v>13024</v>
      </c>
      <c r="AJ12" s="187" t="s">
        <v>13028</v>
      </c>
      <c r="AK12" s="185" t="s">
        <v>13009</v>
      </c>
      <c r="AL12" s="185" t="s">
        <v>13010</v>
      </c>
      <c r="AM12" s="186"/>
      <c r="AN12" s="187" t="s">
        <v>13029</v>
      </c>
      <c r="AO12" s="188" t="s">
        <v>13030</v>
      </c>
      <c r="AP12" s="150"/>
      <c r="AQ12" s="151"/>
      <c r="AR12" s="150"/>
      <c r="AS12" s="151"/>
      <c r="AT12" s="150"/>
    </row>
    <row r="13" spans="2:46" ht="65.900000000000006" customHeight="1" thickBot="1">
      <c r="B13" s="169" t="s">
        <v>13031</v>
      </c>
      <c r="C13" s="1993"/>
      <c r="D13" s="171" t="s">
        <v>13032</v>
      </c>
      <c r="E13" s="171" t="s">
        <v>13033</v>
      </c>
      <c r="F13" s="189" t="s">
        <v>13034</v>
      </c>
      <c r="G13" s="1993"/>
      <c r="H13" s="190">
        <f>IFERROR(G13/F13*10000,0)</f>
        <v>0</v>
      </c>
      <c r="I13" s="150"/>
      <c r="J13" s="151"/>
      <c r="K13" s="150"/>
      <c r="L13" s="151"/>
      <c r="M13" s="150"/>
      <c r="N13" s="151"/>
      <c r="O13" s="54" t="s">
        <v>13035</v>
      </c>
      <c r="P13" s="74"/>
      <c r="Q13" s="54" t="s">
        <v>13036</v>
      </c>
      <c r="S13" s="2589"/>
      <c r="T13" s="1121" t="str">
        <f t="shared" si="0"/>
        <v>Please complete all cells in row</v>
      </c>
      <c r="U13" s="2589"/>
      <c r="Z13" s="1340">
        <f t="shared" si="1"/>
        <v>1</v>
      </c>
      <c r="AG13" s="1337"/>
      <c r="AI13" s="169" t="s">
        <v>13031</v>
      </c>
      <c r="AJ13" s="172" t="s">
        <v>13037</v>
      </c>
      <c r="AK13" s="171" t="s">
        <v>13032</v>
      </c>
      <c r="AL13" s="171" t="s">
        <v>13033</v>
      </c>
      <c r="AM13" s="189"/>
      <c r="AN13" s="172" t="s">
        <v>13038</v>
      </c>
      <c r="AO13" s="190" t="s">
        <v>13039</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589"/>
      <c r="T14" s="1184"/>
      <c r="U14" s="2589"/>
      <c r="AG14" s="1337"/>
      <c r="AI14" s="151"/>
      <c r="AJ14" s="151"/>
      <c r="AK14" s="151"/>
      <c r="AL14" s="151"/>
      <c r="AM14" s="151"/>
      <c r="AN14" s="151"/>
      <c r="AO14" s="151"/>
      <c r="AP14" s="151"/>
      <c r="AQ14" s="151"/>
      <c r="AR14" s="151"/>
      <c r="AS14" s="151"/>
      <c r="AT14" s="151"/>
    </row>
    <row r="15" spans="2:46" ht="107.25" customHeight="1" thickTop="1" thickBot="1">
      <c r="B15" s="191"/>
      <c r="C15" s="120" t="s">
        <v>12968</v>
      </c>
      <c r="D15" s="120" t="s">
        <v>135</v>
      </c>
      <c r="E15" s="120" t="s">
        <v>13040</v>
      </c>
      <c r="F15" s="149" t="s">
        <v>12971</v>
      </c>
      <c r="G15" s="161"/>
      <c r="H15" s="151"/>
      <c r="I15" s="151"/>
      <c r="J15" s="151"/>
      <c r="K15" s="151"/>
      <c r="L15" s="151"/>
      <c r="M15" s="151"/>
      <c r="N15" s="151"/>
      <c r="O15" s="151"/>
      <c r="P15" s="74"/>
      <c r="Q15" s="151"/>
      <c r="S15" s="2589"/>
      <c r="T15" s="1184"/>
      <c r="U15" s="2589"/>
      <c r="AG15" s="1337"/>
      <c r="AI15" s="191"/>
      <c r="AJ15" s="120" t="s">
        <v>12968</v>
      </c>
      <c r="AK15" s="120" t="s">
        <v>135</v>
      </c>
      <c r="AL15" s="120" t="s">
        <v>13040</v>
      </c>
      <c r="AM15" s="149" t="s">
        <v>12971</v>
      </c>
      <c r="AN15" s="161"/>
      <c r="AO15" s="151"/>
      <c r="AP15" s="151"/>
      <c r="AQ15" s="151"/>
      <c r="AR15" s="151"/>
      <c r="AS15" s="151"/>
      <c r="AT15" s="151"/>
    </row>
    <row r="16" spans="2:46" ht="32" thickTop="1" thickBot="1">
      <c r="B16" s="192" t="s">
        <v>13041</v>
      </c>
      <c r="C16" s="156" t="s">
        <v>13042</v>
      </c>
      <c r="D16" s="156" t="s">
        <v>13043</v>
      </c>
      <c r="E16" s="156" t="s">
        <v>13044</v>
      </c>
      <c r="F16" s="2002"/>
      <c r="G16" s="83"/>
      <c r="H16" s="178"/>
      <c r="I16" s="151"/>
      <c r="J16" s="151"/>
      <c r="K16" s="151"/>
      <c r="L16" s="151"/>
      <c r="M16" s="151"/>
      <c r="N16" s="151"/>
      <c r="O16" s="194" t="s">
        <v>13045</v>
      </c>
      <c r="P16" s="74"/>
      <c r="Q16" s="194" t="s">
        <v>13046</v>
      </c>
      <c r="S16" s="2589"/>
      <c r="T16" s="1121" t="str">
        <f xml:space="preserve"> IF( SUM( V16:AF16 ) = 0, 0,$V$5 )</f>
        <v>Please complete all cells in row</v>
      </c>
      <c r="U16" s="2589"/>
      <c r="Y16" s="1340">
        <f t="shared" ref="Y16" si="2" xml:space="preserve"> IF( ISNUMBER(F16 ), 0, 1 )</f>
        <v>1</v>
      </c>
      <c r="AG16" s="1337"/>
      <c r="AI16" s="192" t="s">
        <v>13041</v>
      </c>
      <c r="AJ16" s="156"/>
      <c r="AK16" s="156"/>
      <c r="AL16" s="156"/>
      <c r="AM16" s="193" t="s">
        <v>13047</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589"/>
      <c r="T17" s="1184"/>
      <c r="U17" s="2589"/>
      <c r="AG17" s="1337"/>
      <c r="AI17" s="151"/>
      <c r="AJ17" s="151"/>
      <c r="AK17" s="151"/>
      <c r="AL17" s="151"/>
      <c r="AM17" s="151"/>
      <c r="AN17" s="151"/>
      <c r="AO17" s="151"/>
      <c r="AP17" s="151"/>
      <c r="AQ17" s="151"/>
      <c r="AR17" s="151"/>
      <c r="AS17" s="151"/>
      <c r="AT17" s="151"/>
    </row>
    <row r="18" spans="2:46" ht="16.5" thickTop="1" thickBot="1">
      <c r="B18" s="195"/>
      <c r="C18" s="196"/>
      <c r="D18" s="196"/>
      <c r="E18" s="196"/>
      <c r="F18" s="197"/>
      <c r="G18" s="2900" t="s">
        <v>13048</v>
      </c>
      <c r="H18" s="2901"/>
      <c r="I18" s="2901"/>
      <c r="J18" s="2901"/>
      <c r="K18" s="2901"/>
      <c r="L18" s="2901"/>
      <c r="M18" s="2902"/>
      <c r="N18" s="74"/>
      <c r="O18" s="74"/>
      <c r="P18" s="74"/>
      <c r="Q18" s="197"/>
      <c r="S18" s="2589"/>
      <c r="T18" s="1184"/>
      <c r="U18" s="2589"/>
      <c r="AG18" s="1337"/>
      <c r="AI18" s="195"/>
      <c r="AJ18" s="196"/>
      <c r="AK18" s="196"/>
      <c r="AL18" s="196"/>
      <c r="AM18" s="197"/>
      <c r="AN18" s="2900" t="s">
        <v>13048</v>
      </c>
      <c r="AO18" s="2901"/>
      <c r="AP18" s="2901"/>
      <c r="AQ18" s="2901"/>
      <c r="AR18" s="2901"/>
      <c r="AS18" s="2901"/>
      <c r="AT18" s="2902"/>
    </row>
    <row r="19" spans="2:46" ht="16" thickTop="1">
      <c r="B19" s="2815"/>
      <c r="C19" s="2817" t="s">
        <v>13049</v>
      </c>
      <c r="D19" s="2817" t="s">
        <v>13050</v>
      </c>
      <c r="E19" s="2905" t="s">
        <v>13051</v>
      </c>
      <c r="F19" s="197"/>
      <c r="G19" s="2903" t="s">
        <v>13052</v>
      </c>
      <c r="H19" s="2897" t="s">
        <v>13053</v>
      </c>
      <c r="I19" s="2897" t="s">
        <v>13054</v>
      </c>
      <c r="J19" s="2897" t="s">
        <v>13055</v>
      </c>
      <c r="K19" s="2897" t="s">
        <v>13056</v>
      </c>
      <c r="L19" s="2897"/>
      <c r="M19" s="2898"/>
      <c r="N19" s="74"/>
      <c r="O19" s="74"/>
      <c r="P19" s="74"/>
      <c r="Q19" s="197"/>
      <c r="S19" s="2589"/>
      <c r="T19" s="1184"/>
      <c r="U19" s="2589"/>
      <c r="AG19" s="1337"/>
      <c r="AI19" s="2815"/>
      <c r="AJ19" s="2817" t="s">
        <v>13049</v>
      </c>
      <c r="AK19" s="2817" t="s">
        <v>13050</v>
      </c>
      <c r="AL19" s="2905" t="s">
        <v>13051</v>
      </c>
      <c r="AM19" s="197"/>
      <c r="AN19" s="2903" t="s">
        <v>13052</v>
      </c>
      <c r="AO19" s="2897" t="s">
        <v>13053</v>
      </c>
      <c r="AP19" s="2897" t="s">
        <v>13054</v>
      </c>
      <c r="AQ19" s="2897" t="s">
        <v>13055</v>
      </c>
      <c r="AR19" s="2897" t="s">
        <v>13056</v>
      </c>
      <c r="AS19" s="2897"/>
      <c r="AT19" s="2898"/>
    </row>
    <row r="20" spans="2:46" ht="15.5">
      <c r="B20" s="2903"/>
      <c r="C20" s="2897"/>
      <c r="D20" s="2897"/>
      <c r="E20" s="2898"/>
      <c r="F20" s="197"/>
      <c r="G20" s="2903"/>
      <c r="H20" s="2897"/>
      <c r="I20" s="2897"/>
      <c r="J20" s="2897"/>
      <c r="K20" s="213" t="s">
        <v>13057</v>
      </c>
      <c r="L20" s="213" t="s">
        <v>13058</v>
      </c>
      <c r="M20" s="214" t="s">
        <v>13059</v>
      </c>
      <c r="N20" s="74"/>
      <c r="O20" s="74"/>
      <c r="P20" s="74"/>
      <c r="Q20" s="197"/>
      <c r="S20" s="2589"/>
      <c r="T20" s="1184"/>
      <c r="U20" s="2589"/>
      <c r="AG20" s="1337"/>
      <c r="AI20" s="2903"/>
      <c r="AJ20" s="2897"/>
      <c r="AK20" s="2897"/>
      <c r="AL20" s="2898"/>
      <c r="AM20" s="197"/>
      <c r="AN20" s="2903"/>
      <c r="AO20" s="2897"/>
      <c r="AP20" s="2897"/>
      <c r="AQ20" s="2897"/>
      <c r="AR20" s="213" t="s">
        <v>13057</v>
      </c>
      <c r="AS20" s="213" t="s">
        <v>13058</v>
      </c>
      <c r="AT20" s="214" t="s">
        <v>13059</v>
      </c>
    </row>
    <row r="21" spans="2:46" ht="56.15" customHeight="1" thickBot="1">
      <c r="B21" s="2904"/>
      <c r="C21" s="2818"/>
      <c r="D21" s="2818"/>
      <c r="E21" s="2899"/>
      <c r="F21" s="197"/>
      <c r="G21" s="2904"/>
      <c r="H21" s="2818"/>
      <c r="I21" s="2818"/>
      <c r="J21" s="2818"/>
      <c r="K21" s="2818" t="s">
        <v>13060</v>
      </c>
      <c r="L21" s="2818"/>
      <c r="M21" s="2899"/>
      <c r="N21" s="74"/>
      <c r="O21" s="74"/>
      <c r="P21" s="74"/>
      <c r="Q21" s="197"/>
      <c r="S21" s="2589"/>
      <c r="T21" s="1184"/>
      <c r="U21" s="2589"/>
      <c r="AG21" s="1337"/>
      <c r="AI21" s="2904"/>
      <c r="AJ21" s="2818"/>
      <c r="AK21" s="2818"/>
      <c r="AL21" s="2899"/>
      <c r="AM21" s="197"/>
      <c r="AN21" s="2904"/>
      <c r="AO21" s="2818"/>
      <c r="AP21" s="2818"/>
      <c r="AQ21" s="2818"/>
      <c r="AR21" s="2818" t="s">
        <v>13060</v>
      </c>
      <c r="AS21" s="2818"/>
      <c r="AT21" s="2899"/>
    </row>
    <row r="22" spans="2:46" ht="16.5" thickTop="1" thickBot="1">
      <c r="B22" s="146"/>
      <c r="C22" s="146"/>
      <c r="D22" s="146"/>
      <c r="E22" s="146"/>
      <c r="F22" s="197"/>
      <c r="G22" s="151"/>
      <c r="H22" s="151"/>
      <c r="I22" s="74"/>
      <c r="J22" s="74"/>
      <c r="K22" s="74"/>
      <c r="L22" s="74"/>
      <c r="M22" s="74"/>
      <c r="N22" s="74"/>
      <c r="O22" s="74"/>
      <c r="P22" s="74"/>
      <c r="Q22" s="197"/>
      <c r="S22" s="2589"/>
      <c r="T22" s="1184"/>
      <c r="U22" s="2589"/>
      <c r="AG22" s="1337"/>
      <c r="AI22" s="146"/>
      <c r="AJ22" s="146"/>
      <c r="AK22" s="146"/>
      <c r="AL22" s="146"/>
      <c r="AM22" s="197"/>
      <c r="AN22" s="151"/>
      <c r="AO22" s="151"/>
      <c r="AP22" s="74"/>
      <c r="AQ22" s="74"/>
      <c r="AR22" s="74"/>
      <c r="AS22" s="74"/>
      <c r="AT22" s="74"/>
    </row>
    <row r="23" spans="2:46" ht="55.5" customHeight="1" thickTop="1" thickBot="1">
      <c r="B23" s="33" t="s">
        <v>13041</v>
      </c>
      <c r="C23" s="146"/>
      <c r="D23" s="146"/>
      <c r="E23" s="146"/>
      <c r="F23" s="197"/>
      <c r="G23" s="151"/>
      <c r="H23" s="151"/>
      <c r="I23" s="74"/>
      <c r="J23" s="74"/>
      <c r="K23" s="74"/>
      <c r="L23" s="74"/>
      <c r="M23" s="74"/>
      <c r="N23" s="74"/>
      <c r="O23" s="74"/>
      <c r="P23" s="74"/>
      <c r="Q23" s="197"/>
      <c r="S23" s="2589"/>
      <c r="T23" s="1184"/>
      <c r="U23" s="2589"/>
      <c r="AG23" s="1337"/>
      <c r="AI23" s="33" t="s">
        <v>13041</v>
      </c>
      <c r="AJ23" s="146"/>
      <c r="AK23" s="146"/>
      <c r="AL23" s="146"/>
      <c r="AM23" s="197"/>
      <c r="AN23" s="151"/>
      <c r="AO23" s="151"/>
      <c r="AP23" s="74"/>
      <c r="AQ23" s="74"/>
      <c r="AR23" s="74"/>
      <c r="AS23" s="74"/>
      <c r="AT23" s="74"/>
    </row>
    <row r="24" spans="2:46" ht="78.5" thickTop="1" thickBot="1">
      <c r="B24" s="198" t="s">
        <v>13041</v>
      </c>
      <c r="C24" s="156" t="s">
        <v>13061</v>
      </c>
      <c r="D24" s="156" t="s">
        <v>13062</v>
      </c>
      <c r="E24" s="199" t="s">
        <v>13063</v>
      </c>
      <c r="F24" s="200"/>
      <c r="G24" s="2003"/>
      <c r="H24" s="202">
        <f>IFERROR(G24/D24,0)</f>
        <v>0</v>
      </c>
      <c r="I24" s="915"/>
      <c r="J24" s="202">
        <f>IFERROR(I24/D24,0)</f>
        <v>0</v>
      </c>
      <c r="K24" s="2004"/>
      <c r="L24" s="2004"/>
      <c r="M24" s="2005"/>
      <c r="N24" s="74"/>
      <c r="O24" s="59" t="s">
        <v>13064</v>
      </c>
      <c r="P24" s="74"/>
      <c r="Q24" s="59" t="s">
        <v>13065</v>
      </c>
      <c r="S24" s="2589"/>
      <c r="T24" s="1121" t="str">
        <f xml:space="preserve"> IF( SUM( V24:AF24 ) = 0, 0,$V$5 )</f>
        <v>Please complete all cells in row</v>
      </c>
      <c r="U24" s="2589"/>
      <c r="Z24" s="1340">
        <f t="shared" ref="Z24" si="3" xml:space="preserve"> IF( ISNUMBER(G24 ), 0, 1 )</f>
        <v>1</v>
      </c>
      <c r="AB24" s="1340">
        <f t="shared" ref="AB24" si="4" xml:space="preserve"> IF( ISNUMBER(I24 ), 0, 1 )</f>
        <v>1</v>
      </c>
      <c r="AD24" s="1340">
        <f t="shared" ref="AD24" si="5" xml:space="preserve"> IF( ISNUMBER(K24 ), 0, 1 )</f>
        <v>1</v>
      </c>
      <c r="AE24" s="1340">
        <f t="shared" ref="AE24" si="6" xml:space="preserve"> IF( ISNUMBER(L24 ), 0, 1 )</f>
        <v>1</v>
      </c>
      <c r="AF24" s="1340">
        <f t="shared" ref="AF24" si="7" xml:space="preserve"> IF( ISNUMBER(M24 ), 0, 1 )</f>
        <v>1</v>
      </c>
      <c r="AG24" s="1337"/>
      <c r="AI24" s="198" t="s">
        <v>13041</v>
      </c>
      <c r="AJ24" s="156"/>
      <c r="AK24" s="156"/>
      <c r="AL24" s="199"/>
      <c r="AM24" s="200"/>
      <c r="AN24" s="201" t="s">
        <v>13066</v>
      </c>
      <c r="AO24" s="202" t="s">
        <v>13067</v>
      </c>
      <c r="AP24" s="203" t="s">
        <v>13068</v>
      </c>
      <c r="AQ24" s="202" t="s">
        <v>13069</v>
      </c>
      <c r="AR24" s="204" t="s">
        <v>13070</v>
      </c>
      <c r="AS24" s="204" t="s">
        <v>13071</v>
      </c>
      <c r="AT24" s="205" t="s">
        <v>13072</v>
      </c>
    </row>
    <row r="25" spans="2:46" ht="14.5" thickTop="1">
      <c r="S25" s="2560"/>
      <c r="T25" s="1184"/>
      <c r="U25" s="2560"/>
    </row>
    <row r="26" spans="2:46">
      <c r="S26" s="2560"/>
      <c r="T26" s="1184"/>
      <c r="U26" s="2560"/>
    </row>
    <row r="27" spans="2:46">
      <c r="S27" s="2560"/>
      <c r="T27" s="1184"/>
      <c r="U27" s="2560"/>
    </row>
    <row r="28" spans="2:46">
      <c r="S28" s="2560"/>
      <c r="T28" s="1184"/>
      <c r="U28" s="2560"/>
    </row>
    <row r="29" spans="2:46">
      <c r="S29" s="2560"/>
      <c r="T29" s="1184"/>
      <c r="U29" s="2560"/>
    </row>
    <row r="30" spans="2:46">
      <c r="S30" s="2560"/>
      <c r="T30" s="1184"/>
      <c r="U30" s="2560"/>
    </row>
    <row r="31" spans="2:46">
      <c r="S31" s="2560"/>
      <c r="T31" s="1184"/>
      <c r="U31" s="2560"/>
    </row>
    <row r="32" spans="2:46">
      <c r="S32" s="2560"/>
      <c r="T32" s="1184"/>
      <c r="U32" s="2560"/>
    </row>
    <row r="33" spans="20:20">
      <c r="T33" s="1184"/>
    </row>
    <row r="34" spans="20:20">
      <c r="T34" s="1184"/>
    </row>
    <row r="35" spans="20:20">
      <c r="T35" s="1184"/>
    </row>
    <row r="36" spans="20:20">
      <c r="T36" s="1184"/>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12" priority="8" operator="equal">
      <formula>0</formula>
    </cfRule>
  </conditionalFormatting>
  <conditionalFormatting sqref="T16">
    <cfRule type="cellIs" dxfId="11" priority="2" operator="equal">
      <formula>0</formula>
    </cfRule>
  </conditionalFormatting>
  <conditionalFormatting sqref="T24">
    <cfRule type="cellIs" dxfId="10"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tabColor rgb="FF808080"/>
    <pageSetUpPr fitToPage="1"/>
  </sheetPr>
  <dimension ref="B1:Z18"/>
  <sheetViews>
    <sheetView showGridLines="0" zoomScaleNormal="100" zoomScaleSheetLayoutView="85" workbookViewId="0"/>
  </sheetViews>
  <sheetFormatPr defaultColWidth="9" defaultRowHeight="14"/>
  <cols>
    <col min="1" max="1" width="9" style="219"/>
    <col min="2" max="2" width="31.5" style="219" bestFit="1" customWidth="1"/>
    <col min="3" max="3" width="16.08203125" style="219" bestFit="1" customWidth="1"/>
    <col min="4" max="4" width="9" style="219" customWidth="1"/>
    <col min="5" max="5" width="14.08203125" style="219" bestFit="1" customWidth="1"/>
    <col min="6" max="6" width="13.58203125" style="219" customWidth="1"/>
    <col min="7" max="7" width="56.5" style="219" customWidth="1"/>
    <col min="8" max="8" width="2.08203125" style="219" customWidth="1"/>
    <col min="9" max="9" width="15.58203125" style="219" bestFit="1" customWidth="1"/>
    <col min="10" max="10" width="1.58203125" style="219" customWidth="1"/>
    <col min="11" max="11" width="47.58203125" style="219" bestFit="1" customWidth="1"/>
    <col min="12" max="12" width="2.08203125" style="219" customWidth="1"/>
    <col min="13" max="13" width="1.58203125" style="219" customWidth="1"/>
    <col min="14" max="14" width="20.58203125" style="219" customWidth="1"/>
    <col min="15" max="15" width="1.58203125" style="219" customWidth="1"/>
    <col min="16" max="16" width="25.58203125" style="219" hidden="1" customWidth="1"/>
    <col min="17" max="19" width="1.58203125" style="219" hidden="1" customWidth="1"/>
    <col min="20" max="20" width="3.58203125" style="219" hidden="1" customWidth="1"/>
    <col min="21" max="21" width="31.5" style="219" bestFit="1" customWidth="1"/>
    <col min="22" max="22" width="18.08203125" style="219" bestFit="1" customWidth="1"/>
    <col min="23" max="23" width="4.5" style="219" bestFit="1" customWidth="1"/>
    <col min="24" max="24" width="14.08203125" style="219" bestFit="1" customWidth="1"/>
    <col min="25" max="25" width="8.58203125" style="219" bestFit="1" customWidth="1"/>
    <col min="26" max="26" width="16.08203125" style="219" bestFit="1" customWidth="1"/>
    <col min="27" max="16384" width="9" style="219"/>
  </cols>
  <sheetData>
    <row r="1" spans="2:26" ht="34.4" customHeight="1">
      <c r="B1" s="2853" t="s">
        <v>13073</v>
      </c>
      <c r="C1" s="2853"/>
      <c r="D1" s="2853"/>
      <c r="E1" s="2853"/>
      <c r="F1" s="2853"/>
      <c r="G1" s="2853"/>
      <c r="H1" s="2560"/>
      <c r="I1" s="2560"/>
      <c r="J1" s="2560"/>
      <c r="K1" s="2560"/>
      <c r="L1" s="2560"/>
      <c r="M1" s="2589"/>
      <c r="N1" s="2560"/>
      <c r="O1" s="2589"/>
      <c r="P1" s="2560"/>
      <c r="Q1" s="2560"/>
      <c r="R1" s="2560"/>
      <c r="S1" s="2560"/>
      <c r="T1" s="2589"/>
      <c r="U1" s="1119" t="s">
        <v>1887</v>
      </c>
      <c r="V1" s="2560"/>
      <c r="W1" s="2560"/>
      <c r="X1" s="2560"/>
      <c r="Y1" s="2560"/>
      <c r="Z1" s="2560"/>
    </row>
    <row r="2" spans="2:26" ht="22.5">
      <c r="B2" s="1119" t="str">
        <f>SelectCompany!B4</f>
        <v>Yorkshire Water</v>
      </c>
      <c r="C2" s="2560"/>
      <c r="D2" s="2560"/>
      <c r="E2" s="2560"/>
      <c r="F2" s="2560"/>
      <c r="G2" s="2560"/>
      <c r="H2" s="2560"/>
      <c r="I2" s="2560"/>
      <c r="J2" s="2560"/>
      <c r="K2" s="2560"/>
      <c r="L2" s="2560"/>
      <c r="M2" s="2589"/>
      <c r="N2" s="2560"/>
      <c r="O2" s="2589"/>
      <c r="P2" s="2560"/>
      <c r="Q2" s="2560"/>
      <c r="R2" s="2560"/>
      <c r="S2" s="2560"/>
      <c r="T2" s="2589"/>
      <c r="U2" s="1342"/>
      <c r="V2" s="2560"/>
      <c r="W2" s="2560"/>
      <c r="X2" s="2560"/>
      <c r="Y2" s="2560"/>
      <c r="Z2" s="2560"/>
    </row>
    <row r="3" spans="2:26" ht="19.399999999999999" customHeight="1">
      <c r="B3" s="2781" t="s">
        <v>12966</v>
      </c>
      <c r="C3" s="2781"/>
      <c r="D3" s="2781"/>
      <c r="E3" s="2781"/>
      <c r="F3" s="2781"/>
      <c r="G3" s="2781"/>
      <c r="H3" s="2560"/>
      <c r="I3" s="2560"/>
      <c r="J3" s="2560"/>
      <c r="K3" s="2560"/>
      <c r="L3" s="2560"/>
      <c r="M3" s="2589"/>
      <c r="N3" s="1129" t="s">
        <v>1889</v>
      </c>
      <c r="O3" s="2589"/>
      <c r="P3" s="2560"/>
      <c r="Q3" s="2560"/>
      <c r="R3" s="2560"/>
      <c r="S3" s="2560"/>
      <c r="T3" s="2589"/>
      <c r="U3" s="2781" t="s">
        <v>13074</v>
      </c>
      <c r="V3" s="2781"/>
      <c r="W3" s="2781"/>
      <c r="X3" s="2781"/>
      <c r="Y3" s="2781"/>
      <c r="Z3" s="2781"/>
    </row>
    <row r="4" spans="2:26" ht="22.5">
      <c r="B4" s="1342"/>
      <c r="C4" s="2560"/>
      <c r="D4" s="2560"/>
      <c r="E4" s="2560"/>
      <c r="F4" s="2560"/>
      <c r="G4" s="2560"/>
      <c r="H4" s="2560"/>
      <c r="I4" s="2560"/>
      <c r="J4" s="2560"/>
      <c r="K4" s="2560"/>
      <c r="L4" s="2560"/>
      <c r="M4" s="2589"/>
      <c r="N4" s="2560"/>
      <c r="O4" s="2589"/>
      <c r="P4" s="2869" t="s">
        <v>1890</v>
      </c>
      <c r="Q4" s="2869"/>
      <c r="R4" s="2869"/>
      <c r="S4" s="2869"/>
      <c r="T4" s="2589"/>
      <c r="U4" s="1342"/>
      <c r="V4" s="2560"/>
      <c r="W4" s="2560"/>
      <c r="X4" s="2560"/>
      <c r="Y4" s="2560"/>
      <c r="Z4" s="2560"/>
    </row>
    <row r="5" spans="2:26" ht="19.399999999999999" customHeight="1">
      <c r="B5" s="2781" t="s">
        <v>13075</v>
      </c>
      <c r="C5" s="2781"/>
      <c r="D5" s="2781"/>
      <c r="E5" s="2781"/>
      <c r="F5" s="2781"/>
      <c r="G5" s="2781"/>
      <c r="H5" s="2560"/>
      <c r="I5" s="2560"/>
      <c r="J5" s="2560"/>
      <c r="K5" s="2560"/>
      <c r="L5" s="2560"/>
      <c r="M5" s="2589"/>
      <c r="N5" s="2560"/>
      <c r="O5" s="2589"/>
      <c r="P5" s="2560" t="s">
        <v>1898</v>
      </c>
      <c r="Q5" s="2560"/>
      <c r="R5" s="2560"/>
      <c r="S5" s="2560"/>
      <c r="T5" s="2589"/>
      <c r="U5" s="2781" t="s">
        <v>13075</v>
      </c>
      <c r="V5" s="2781"/>
      <c r="W5" s="2781"/>
      <c r="X5" s="2781"/>
      <c r="Y5" s="2781"/>
      <c r="Z5" s="2781"/>
    </row>
    <row r="6" spans="2:26" ht="19.5" thickBot="1">
      <c r="B6" s="1343"/>
      <c r="C6" s="1343"/>
      <c r="D6" s="1343"/>
      <c r="E6" s="1343"/>
      <c r="F6" s="1343"/>
      <c r="G6" s="1343"/>
      <c r="H6" s="1343"/>
      <c r="I6" s="1343"/>
      <c r="J6" s="1343"/>
      <c r="K6" s="1323"/>
      <c r="L6" s="1323"/>
      <c r="M6" s="2589"/>
      <c r="N6" s="2560"/>
      <c r="O6" s="2589"/>
      <c r="P6" s="2560"/>
      <c r="Q6" s="2560"/>
      <c r="R6" s="2560"/>
      <c r="S6" s="2560"/>
      <c r="T6" s="2589"/>
      <c r="U6" s="1343"/>
      <c r="V6" s="1343"/>
      <c r="W6" s="1343"/>
      <c r="X6" s="1343"/>
      <c r="Y6" s="1343"/>
      <c r="Z6" s="1343"/>
    </row>
    <row r="7" spans="2:26" ht="16" thickTop="1">
      <c r="B7" s="2908"/>
      <c r="C7" s="2910" t="s">
        <v>12968</v>
      </c>
      <c r="D7" s="2910" t="s">
        <v>135</v>
      </c>
      <c r="E7" s="2910" t="s">
        <v>13040</v>
      </c>
      <c r="F7" s="2910" t="s">
        <v>13076</v>
      </c>
      <c r="G7" s="2912"/>
      <c r="H7" s="206"/>
      <c r="I7" s="2906" t="s">
        <v>1896</v>
      </c>
      <c r="J7" s="114"/>
      <c r="K7" s="2906" t="s">
        <v>13077</v>
      </c>
      <c r="L7" s="2560"/>
      <c r="M7" s="2589"/>
      <c r="N7" s="2560"/>
      <c r="O7" s="2589"/>
      <c r="P7" s="2560"/>
      <c r="Q7" s="2560"/>
      <c r="R7" s="2560"/>
      <c r="S7" s="2560"/>
      <c r="T7" s="2589"/>
      <c r="U7" s="2908"/>
      <c r="V7" s="2910" t="s">
        <v>12968</v>
      </c>
      <c r="W7" s="2910" t="s">
        <v>135</v>
      </c>
      <c r="X7" s="2910" t="s">
        <v>13040</v>
      </c>
      <c r="Y7" s="2910" t="s">
        <v>13076</v>
      </c>
      <c r="Z7" s="2912"/>
    </row>
    <row r="8" spans="2:26" ht="47" thickBot="1">
      <c r="B8" s="2909"/>
      <c r="C8" s="2911"/>
      <c r="D8" s="2911"/>
      <c r="E8" s="2911"/>
      <c r="F8" s="207" t="s">
        <v>13078</v>
      </c>
      <c r="G8" s="208" t="s">
        <v>13079</v>
      </c>
      <c r="H8" s="206"/>
      <c r="I8" s="2907"/>
      <c r="J8" s="114"/>
      <c r="K8" s="2907"/>
      <c r="L8" s="2560"/>
      <c r="M8" s="2589"/>
      <c r="N8" s="1121"/>
      <c r="O8" s="2589"/>
      <c r="P8" s="2560"/>
      <c r="Q8" s="2560"/>
      <c r="R8" s="2560"/>
      <c r="S8" s="2560"/>
      <c r="T8" s="2589"/>
      <c r="U8" s="2909"/>
      <c r="V8" s="2911"/>
      <c r="W8" s="2911"/>
      <c r="X8" s="2911"/>
      <c r="Y8" s="207" t="s">
        <v>13078</v>
      </c>
      <c r="Z8" s="208" t="s">
        <v>13079</v>
      </c>
    </row>
    <row r="9" spans="2:26" ht="15.75" customHeight="1" thickTop="1" thickBot="1">
      <c r="B9" s="151"/>
      <c r="C9" s="151"/>
      <c r="D9" s="151"/>
      <c r="E9" s="151"/>
      <c r="F9" s="151"/>
      <c r="G9" s="151"/>
      <c r="H9" s="151"/>
      <c r="I9" s="151"/>
      <c r="J9" s="151"/>
      <c r="K9" s="151"/>
      <c r="L9" s="2560"/>
      <c r="M9" s="2589"/>
      <c r="N9" s="1121"/>
      <c r="O9" s="2589"/>
      <c r="P9" s="2560"/>
      <c r="Q9" s="2560"/>
      <c r="R9" s="2560"/>
      <c r="S9" s="2560"/>
      <c r="T9" s="2589"/>
      <c r="U9" s="151"/>
      <c r="V9" s="151"/>
      <c r="W9" s="151"/>
      <c r="X9" s="151"/>
      <c r="Y9" s="151"/>
      <c r="Z9" s="151"/>
    </row>
    <row r="10" spans="2:26" ht="16" thickTop="1">
      <c r="B10" s="164" t="s">
        <v>13080</v>
      </c>
      <c r="C10" s="1989"/>
      <c r="D10" s="1989"/>
      <c r="E10" s="1989"/>
      <c r="F10" s="1989"/>
      <c r="G10" s="1990"/>
      <c r="H10" s="206"/>
      <c r="I10" s="43" t="s">
        <v>13081</v>
      </c>
      <c r="J10" s="206"/>
      <c r="K10" s="43" t="s">
        <v>13082</v>
      </c>
      <c r="L10" s="2560"/>
      <c r="M10" s="2589"/>
      <c r="N10" s="1121" t="str">
        <f xml:space="preserve"> IF( SUM( P10:S10 ) = 0, 0,$P$5 )</f>
        <v>Please complete all cells in row</v>
      </c>
      <c r="O10" s="2589"/>
      <c r="P10" s="1340"/>
      <c r="Q10" s="1340"/>
      <c r="R10" s="1340">
        <f t="shared" ref="R10:R17" si="0" xml:space="preserve"> IF( ISNUMBER(F10), 0, 1 )</f>
        <v>1</v>
      </c>
      <c r="S10" s="1340">
        <f t="shared" ref="S10:S17" si="1" xml:space="preserve"> IF( ISNUMBER(G10), 0, 1 )</f>
        <v>1</v>
      </c>
      <c r="T10" s="2589"/>
      <c r="U10" s="164" t="s">
        <v>13080</v>
      </c>
      <c r="V10" s="165" t="s">
        <v>13083</v>
      </c>
      <c r="W10" s="167" t="s">
        <v>13084</v>
      </c>
      <c r="X10" s="167" t="s">
        <v>13084</v>
      </c>
      <c r="Y10" s="167" t="s">
        <v>13084</v>
      </c>
      <c r="Z10" s="168" t="s">
        <v>13084</v>
      </c>
    </row>
    <row r="11" spans="2:26" ht="15.75" customHeight="1">
      <c r="B11" s="183" t="s">
        <v>13080</v>
      </c>
      <c r="C11" s="1991"/>
      <c r="D11" s="1991"/>
      <c r="E11" s="1991"/>
      <c r="F11" s="1991"/>
      <c r="G11" s="1992"/>
      <c r="H11" s="206"/>
      <c r="I11" s="52" t="s">
        <v>13085</v>
      </c>
      <c r="J11" s="206"/>
      <c r="K11" s="52" t="s">
        <v>13082</v>
      </c>
      <c r="L11" s="2560"/>
      <c r="M11" s="2589"/>
      <c r="N11" s="1121" t="str">
        <f t="shared" ref="N11:N17" si="2" xml:space="preserve"> IF( SUM( P11:S11 ) = 0, 0,$P$5 )</f>
        <v>Please complete all cells in row</v>
      </c>
      <c r="O11" s="2589"/>
      <c r="P11" s="1340"/>
      <c r="Q11" s="1340"/>
      <c r="R11" s="1340">
        <f t="shared" si="0"/>
        <v>1</v>
      </c>
      <c r="S11" s="1340">
        <f t="shared" si="1"/>
        <v>1</v>
      </c>
      <c r="T11" s="2589"/>
      <c r="U11" s="183" t="s">
        <v>13080</v>
      </c>
      <c r="V11" s="184" t="s">
        <v>13083</v>
      </c>
      <c r="W11" s="187" t="s">
        <v>13084</v>
      </c>
      <c r="X11" s="187" t="s">
        <v>13084</v>
      </c>
      <c r="Y11" s="187" t="s">
        <v>13084</v>
      </c>
      <c r="Z11" s="209" t="s">
        <v>13084</v>
      </c>
    </row>
    <row r="12" spans="2:26" ht="15.75" customHeight="1">
      <c r="B12" s="183" t="s">
        <v>13080</v>
      </c>
      <c r="C12" s="1991"/>
      <c r="D12" s="1991"/>
      <c r="E12" s="1991"/>
      <c r="F12" s="1991"/>
      <c r="G12" s="1992"/>
      <c r="H12" s="206"/>
      <c r="I12" s="52" t="s">
        <v>13086</v>
      </c>
      <c r="J12" s="206"/>
      <c r="K12" s="52" t="s">
        <v>13082</v>
      </c>
      <c r="L12" s="2560"/>
      <c r="M12" s="2589"/>
      <c r="N12" s="1121" t="str">
        <f t="shared" si="2"/>
        <v>Please complete all cells in row</v>
      </c>
      <c r="O12" s="2589"/>
      <c r="P12" s="1340"/>
      <c r="Q12" s="1340"/>
      <c r="R12" s="1340">
        <f t="shared" si="0"/>
        <v>1</v>
      </c>
      <c r="S12" s="1340">
        <f t="shared" si="1"/>
        <v>1</v>
      </c>
      <c r="T12" s="2589"/>
      <c r="U12" s="183" t="s">
        <v>13080</v>
      </c>
      <c r="V12" s="184" t="s">
        <v>13083</v>
      </c>
      <c r="W12" s="187" t="s">
        <v>13084</v>
      </c>
      <c r="X12" s="187" t="s">
        <v>13084</v>
      </c>
      <c r="Y12" s="187" t="s">
        <v>13084</v>
      </c>
      <c r="Z12" s="209" t="s">
        <v>13084</v>
      </c>
    </row>
    <row r="13" spans="2:26" ht="15.75" customHeight="1">
      <c r="B13" s="183" t="s">
        <v>13080</v>
      </c>
      <c r="C13" s="1991"/>
      <c r="D13" s="1991"/>
      <c r="E13" s="1991"/>
      <c r="F13" s="1991"/>
      <c r="G13" s="1992"/>
      <c r="H13" s="206"/>
      <c r="I13" s="52" t="s">
        <v>13087</v>
      </c>
      <c r="J13" s="206"/>
      <c r="K13" s="52" t="s">
        <v>13082</v>
      </c>
      <c r="L13" s="2560"/>
      <c r="M13" s="2589"/>
      <c r="N13" s="1121" t="str">
        <f t="shared" si="2"/>
        <v>Please complete all cells in row</v>
      </c>
      <c r="O13" s="2589"/>
      <c r="P13" s="1340"/>
      <c r="Q13" s="1340"/>
      <c r="R13" s="1340">
        <f t="shared" si="0"/>
        <v>1</v>
      </c>
      <c r="S13" s="1340">
        <f t="shared" si="1"/>
        <v>1</v>
      </c>
      <c r="T13" s="2589"/>
      <c r="U13" s="183" t="s">
        <v>13080</v>
      </c>
      <c r="V13" s="184" t="s">
        <v>13083</v>
      </c>
      <c r="W13" s="187" t="s">
        <v>13084</v>
      </c>
      <c r="X13" s="187" t="s">
        <v>13084</v>
      </c>
      <c r="Y13" s="187" t="s">
        <v>13084</v>
      </c>
      <c r="Z13" s="209" t="s">
        <v>13084</v>
      </c>
    </row>
    <row r="14" spans="2:26" ht="15.75" customHeight="1">
      <c r="B14" s="183" t="s">
        <v>13080</v>
      </c>
      <c r="C14" s="1991"/>
      <c r="D14" s="1991"/>
      <c r="E14" s="1991"/>
      <c r="F14" s="1991"/>
      <c r="G14" s="1992"/>
      <c r="H14" s="206"/>
      <c r="I14" s="52" t="s">
        <v>13088</v>
      </c>
      <c r="J14" s="206"/>
      <c r="K14" s="52" t="s">
        <v>13082</v>
      </c>
      <c r="L14" s="2560"/>
      <c r="M14" s="2589"/>
      <c r="N14" s="1121" t="str">
        <f t="shared" si="2"/>
        <v>Please complete all cells in row</v>
      </c>
      <c r="O14" s="2589"/>
      <c r="P14" s="1340"/>
      <c r="Q14" s="1340"/>
      <c r="R14" s="1340">
        <f t="shared" si="0"/>
        <v>1</v>
      </c>
      <c r="S14" s="1340">
        <f t="shared" si="1"/>
        <v>1</v>
      </c>
      <c r="T14" s="2589"/>
      <c r="U14" s="183" t="s">
        <v>13080</v>
      </c>
      <c r="V14" s="184" t="s">
        <v>13083</v>
      </c>
      <c r="W14" s="187" t="s">
        <v>13084</v>
      </c>
      <c r="X14" s="187" t="s">
        <v>13084</v>
      </c>
      <c r="Y14" s="187" t="s">
        <v>13084</v>
      </c>
      <c r="Z14" s="209" t="s">
        <v>13084</v>
      </c>
    </row>
    <row r="15" spans="2:26" ht="15.75" customHeight="1">
      <c r="B15" s="183" t="s">
        <v>13080</v>
      </c>
      <c r="C15" s="1991"/>
      <c r="D15" s="1991"/>
      <c r="E15" s="1991"/>
      <c r="F15" s="1991"/>
      <c r="G15" s="1992"/>
      <c r="H15" s="206"/>
      <c r="I15" s="52" t="s">
        <v>13089</v>
      </c>
      <c r="J15" s="206"/>
      <c r="K15" s="52" t="s">
        <v>13082</v>
      </c>
      <c r="L15" s="2560"/>
      <c r="M15" s="2589"/>
      <c r="N15" s="1121" t="str">
        <f t="shared" si="2"/>
        <v>Please complete all cells in row</v>
      </c>
      <c r="O15" s="2589"/>
      <c r="P15" s="1340"/>
      <c r="Q15" s="1340"/>
      <c r="R15" s="1340">
        <f t="shared" si="0"/>
        <v>1</v>
      </c>
      <c r="S15" s="1340">
        <f t="shared" si="1"/>
        <v>1</v>
      </c>
      <c r="T15" s="2589"/>
      <c r="U15" s="183" t="s">
        <v>13080</v>
      </c>
      <c r="V15" s="184" t="s">
        <v>13083</v>
      </c>
      <c r="W15" s="187" t="s">
        <v>13084</v>
      </c>
      <c r="X15" s="187" t="s">
        <v>13084</v>
      </c>
      <c r="Y15" s="187" t="s">
        <v>13084</v>
      </c>
      <c r="Z15" s="209" t="s">
        <v>13084</v>
      </c>
    </row>
    <row r="16" spans="2:26" ht="15.75" customHeight="1">
      <c r="B16" s="183" t="s">
        <v>13080</v>
      </c>
      <c r="C16" s="1991"/>
      <c r="D16" s="1991"/>
      <c r="E16" s="1991"/>
      <c r="F16" s="1991"/>
      <c r="G16" s="1992"/>
      <c r="H16" s="206"/>
      <c r="I16" s="52" t="s">
        <v>13090</v>
      </c>
      <c r="J16" s="206"/>
      <c r="K16" s="52" t="s">
        <v>13082</v>
      </c>
      <c r="L16" s="2560"/>
      <c r="M16" s="2589"/>
      <c r="N16" s="1121" t="str">
        <f t="shared" si="2"/>
        <v>Please complete all cells in row</v>
      </c>
      <c r="O16" s="2589"/>
      <c r="P16" s="1340"/>
      <c r="Q16" s="1340"/>
      <c r="R16" s="1340">
        <f t="shared" si="0"/>
        <v>1</v>
      </c>
      <c r="S16" s="1340">
        <f t="shared" si="1"/>
        <v>1</v>
      </c>
      <c r="T16" s="2589"/>
      <c r="U16" s="183" t="s">
        <v>13080</v>
      </c>
      <c r="V16" s="184" t="s">
        <v>13083</v>
      </c>
      <c r="W16" s="187" t="s">
        <v>13084</v>
      </c>
      <c r="X16" s="187" t="s">
        <v>13084</v>
      </c>
      <c r="Y16" s="187" t="s">
        <v>13084</v>
      </c>
      <c r="Z16" s="209" t="s">
        <v>13084</v>
      </c>
    </row>
    <row r="17" spans="2:26" ht="15.75" customHeight="1" thickBot="1">
      <c r="B17" s="169" t="s">
        <v>13080</v>
      </c>
      <c r="C17" s="1993"/>
      <c r="D17" s="1993"/>
      <c r="E17" s="1993"/>
      <c r="F17" s="1993"/>
      <c r="G17" s="1994"/>
      <c r="H17" s="206"/>
      <c r="I17" s="54" t="s">
        <v>13091</v>
      </c>
      <c r="J17" s="206"/>
      <c r="K17" s="54" t="s">
        <v>13082</v>
      </c>
      <c r="L17" s="2560"/>
      <c r="M17" s="2589"/>
      <c r="N17" s="1121" t="str">
        <f t="shared" si="2"/>
        <v>Please complete all cells in row</v>
      </c>
      <c r="O17" s="2589"/>
      <c r="P17" s="1340"/>
      <c r="Q17" s="1340"/>
      <c r="R17" s="1340">
        <f t="shared" si="0"/>
        <v>1</v>
      </c>
      <c r="S17" s="1340">
        <f t="shared" si="1"/>
        <v>1</v>
      </c>
      <c r="T17" s="2589"/>
      <c r="U17" s="169" t="s">
        <v>13080</v>
      </c>
      <c r="V17" s="170" t="s">
        <v>13083</v>
      </c>
      <c r="W17" s="172" t="s">
        <v>13084</v>
      </c>
      <c r="X17" s="172" t="s">
        <v>13084</v>
      </c>
      <c r="Y17" s="172" t="s">
        <v>13084</v>
      </c>
      <c r="Z17" s="173" t="s">
        <v>13084</v>
      </c>
    </row>
    <row r="18" spans="2:26" ht="14.5" thickTop="1">
      <c r="B18" s="2560"/>
      <c r="C18" s="2560"/>
      <c r="D18" s="2560"/>
      <c r="E18" s="2560"/>
      <c r="F18" s="2560"/>
      <c r="G18" s="2560"/>
      <c r="H18" s="2560"/>
      <c r="I18" s="2560"/>
      <c r="J18" s="2560"/>
      <c r="K18" s="2560"/>
      <c r="L18" s="2560"/>
      <c r="M18" s="2560"/>
      <c r="N18" s="2560"/>
      <c r="O18" s="2560"/>
      <c r="P18" s="2560"/>
      <c r="Q18" s="2560"/>
      <c r="R18" s="2560"/>
      <c r="S18" s="2560"/>
      <c r="T18" s="2560"/>
      <c r="U18" s="2560"/>
      <c r="V18" s="2560"/>
      <c r="W18" s="2560"/>
      <c r="X18" s="2560"/>
      <c r="Y18" s="2560"/>
      <c r="Z18" s="2560"/>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9" priority="3" operator="equal">
      <formula>0</formula>
    </cfRule>
  </conditionalFormatting>
  <pageMargins left="0.7" right="0.7" top="0.75" bottom="0.75" header="0.3" footer="0.3"/>
  <pageSetup paperSize="8" fitToHeight="0" orientation="portrait" r:id="rId1"/>
  <customProperties>
    <customPr name="_pios_id" r:id="rId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tabColor rgb="FF808080"/>
    <pageSetUpPr fitToPage="1"/>
  </sheetPr>
  <dimension ref="B1:AB186"/>
  <sheetViews>
    <sheetView showGridLines="0" zoomScaleNormal="100" zoomScaleSheetLayoutView="70" workbookViewId="0"/>
  </sheetViews>
  <sheetFormatPr defaultColWidth="9" defaultRowHeight="14"/>
  <cols>
    <col min="1" max="1" width="9" style="219"/>
    <col min="2" max="2" width="25.58203125" style="219" customWidth="1"/>
    <col min="3" max="3" width="20.5" style="219" customWidth="1"/>
    <col min="4" max="4" width="13.58203125" style="219" customWidth="1"/>
    <col min="5" max="6" width="9" style="219"/>
    <col min="7" max="7" width="11.08203125" style="219" bestFit="1" customWidth="1"/>
    <col min="8" max="8" width="2.08203125" style="219" customWidth="1"/>
    <col min="9" max="9" width="9" style="219"/>
    <col min="10" max="10" width="10.58203125" style="219" bestFit="1" customWidth="1"/>
    <col min="11" max="11" width="2.08203125" style="219" customWidth="1"/>
    <col min="12" max="13" width="9" style="219"/>
    <col min="14" max="14" width="2.08203125" style="219" customWidth="1"/>
    <col min="15" max="16" width="9" style="219"/>
    <col min="17" max="17" width="2.08203125" style="219" customWidth="1"/>
    <col min="18" max="19" width="9" style="219"/>
    <col min="20" max="20" width="2.08203125" style="219" customWidth="1"/>
    <col min="21" max="22" width="9" style="219"/>
    <col min="23" max="23" width="2.08203125" style="219" customWidth="1"/>
    <col min="24" max="24" width="9" style="219"/>
    <col min="25" max="25" width="1.5" style="219" customWidth="1"/>
    <col min="26" max="26" width="1.58203125" style="219" customWidth="1"/>
    <col min="27" max="27" width="20.58203125" style="219" customWidth="1"/>
    <col min="28" max="28" width="1.58203125" style="219" customWidth="1"/>
    <col min="29" max="16384" width="9" style="219"/>
  </cols>
  <sheetData>
    <row r="1" spans="2:28" ht="32.25" customHeight="1">
      <c r="B1" s="2853" t="s">
        <v>13092</v>
      </c>
      <c r="C1" s="2853"/>
      <c r="D1" s="2853"/>
      <c r="E1" s="2853"/>
      <c r="F1" s="2853"/>
      <c r="G1" s="2853"/>
      <c r="H1" s="2853"/>
      <c r="I1" s="2853"/>
      <c r="J1" s="2853"/>
      <c r="K1" s="2853"/>
      <c r="L1" s="2609"/>
      <c r="M1" s="2609"/>
      <c r="N1" s="2609"/>
      <c r="O1" s="2609"/>
      <c r="P1" s="2609"/>
      <c r="Q1" s="2609"/>
      <c r="R1" s="2609"/>
      <c r="S1" s="2609"/>
      <c r="T1" s="2609"/>
      <c r="U1" s="2609"/>
      <c r="V1" s="2609"/>
      <c r="W1" s="2609"/>
      <c r="X1" s="2560"/>
      <c r="Y1" s="2560"/>
      <c r="Z1" s="2589"/>
      <c r="AA1" s="2560"/>
      <c r="AB1" s="2589"/>
    </row>
    <row r="2" spans="2:28" ht="32.25" customHeight="1">
      <c r="B2" s="1119" t="str">
        <f>SelectCompany!B4</f>
        <v>Yorkshire Water</v>
      </c>
      <c r="C2" s="1342"/>
      <c r="D2" s="2560"/>
      <c r="E2" s="2560"/>
      <c r="F2" s="2560"/>
      <c r="G2" s="2560"/>
      <c r="H2" s="2560"/>
      <c r="I2" s="2560"/>
      <c r="J2" s="2560"/>
      <c r="K2" s="2560"/>
      <c r="L2" s="2609"/>
      <c r="M2" s="2609"/>
      <c r="N2" s="2609"/>
      <c r="O2" s="2609"/>
      <c r="P2" s="2609"/>
      <c r="Q2" s="2609"/>
      <c r="R2" s="2609"/>
      <c r="S2" s="2609"/>
      <c r="T2" s="2609"/>
      <c r="U2" s="2609"/>
      <c r="V2" s="2609"/>
      <c r="W2" s="2609"/>
      <c r="X2" s="2560"/>
      <c r="Y2" s="2560"/>
      <c r="Z2" s="2589"/>
      <c r="AA2" s="2560"/>
      <c r="AB2" s="2589"/>
    </row>
    <row r="3" spans="2:28" ht="13.5" customHeight="1">
      <c r="B3" s="1342"/>
      <c r="C3" s="1342"/>
      <c r="D3" s="2560"/>
      <c r="E3" s="2560"/>
      <c r="F3" s="2560"/>
      <c r="G3" s="2560"/>
      <c r="H3" s="2560"/>
      <c r="I3" s="2560"/>
      <c r="J3" s="2560"/>
      <c r="K3" s="2560"/>
      <c r="L3" s="2609"/>
      <c r="M3" s="2609"/>
      <c r="N3" s="2609"/>
      <c r="O3" s="2609"/>
      <c r="P3" s="2609"/>
      <c r="Q3" s="2609"/>
      <c r="R3" s="2609"/>
      <c r="S3" s="2609"/>
      <c r="T3" s="2609"/>
      <c r="U3" s="2609"/>
      <c r="V3" s="2609"/>
      <c r="W3" s="2609"/>
      <c r="X3" s="2560"/>
      <c r="Y3" s="2560"/>
      <c r="Z3" s="2589"/>
      <c r="AA3" s="2560"/>
      <c r="AB3" s="2589"/>
    </row>
    <row r="4" spans="2:28" ht="37.5" customHeight="1">
      <c r="B4" s="2781" t="s">
        <v>13093</v>
      </c>
      <c r="C4" s="2781"/>
      <c r="D4" s="2781"/>
      <c r="E4" s="2781"/>
      <c r="F4" s="2781"/>
      <c r="G4" s="2781"/>
      <c r="H4" s="2781"/>
      <c r="I4" s="2781"/>
      <c r="J4" s="2781"/>
      <c r="K4" s="2781"/>
      <c r="L4" s="2781"/>
      <c r="M4" s="2781"/>
      <c r="N4" s="2781"/>
      <c r="O4" s="2781"/>
      <c r="P4" s="2781"/>
      <c r="Q4" s="2781"/>
      <c r="R4" s="2781"/>
      <c r="S4" s="2781"/>
      <c r="T4" s="2781"/>
      <c r="U4" s="2781"/>
      <c r="V4" s="2781"/>
      <c r="W4" s="2609"/>
      <c r="X4" s="2560"/>
      <c r="Y4" s="2560"/>
      <c r="Z4" s="2589"/>
      <c r="AA4" s="1129" t="s">
        <v>1889</v>
      </c>
      <c r="AB4" s="2589"/>
    </row>
    <row r="5" spans="2:28" ht="16.5" customHeight="1">
      <c r="B5" s="1342"/>
      <c r="C5" s="1342"/>
      <c r="D5" s="2560"/>
      <c r="E5" s="2560"/>
      <c r="F5" s="2560"/>
      <c r="G5" s="2560"/>
      <c r="H5" s="2560"/>
      <c r="I5" s="2560"/>
      <c r="J5" s="2560"/>
      <c r="K5" s="2560"/>
      <c r="L5" s="2609"/>
      <c r="M5" s="2609"/>
      <c r="N5" s="2609"/>
      <c r="O5" s="2609"/>
      <c r="P5" s="2609"/>
      <c r="Q5" s="2609"/>
      <c r="R5" s="2609"/>
      <c r="S5" s="2609"/>
      <c r="T5" s="2609"/>
      <c r="U5" s="2609"/>
      <c r="V5" s="2609"/>
      <c r="W5" s="2609"/>
      <c r="X5" s="2560"/>
      <c r="Y5" s="2560"/>
      <c r="Z5" s="2589"/>
      <c r="AA5" s="2560"/>
      <c r="AB5" s="2589"/>
    </row>
    <row r="6" spans="2:28" ht="27" customHeight="1">
      <c r="B6" s="1348" t="s">
        <v>29</v>
      </c>
      <c r="C6" s="2560"/>
      <c r="D6" s="2560"/>
      <c r="E6" s="2560"/>
      <c r="F6" s="2560"/>
      <c r="G6" s="2560"/>
      <c r="H6" s="2560"/>
      <c r="I6" s="2560"/>
      <c r="J6" s="2560"/>
      <c r="K6" s="2560"/>
      <c r="L6" s="2609"/>
      <c r="M6" s="2609"/>
      <c r="N6" s="2609"/>
      <c r="O6" s="2609"/>
      <c r="P6" s="2609"/>
      <c r="Q6" s="2609"/>
      <c r="R6" s="2609"/>
      <c r="S6" s="2609"/>
      <c r="T6" s="2609"/>
      <c r="U6" s="2609"/>
      <c r="V6" s="2609"/>
      <c r="W6" s="2609"/>
      <c r="X6" s="2560"/>
      <c r="Y6" s="2560"/>
      <c r="Z6" s="2589"/>
      <c r="AA6" s="2560"/>
      <c r="AB6" s="2589"/>
    </row>
    <row r="7" spans="2:28" ht="10.5" customHeight="1" thickBot="1">
      <c r="B7" s="2560"/>
      <c r="C7" s="2560"/>
      <c r="D7" s="2560"/>
      <c r="E7" s="2560"/>
      <c r="F7" s="2560"/>
      <c r="G7" s="1343"/>
      <c r="H7" s="1343"/>
      <c r="I7" s="1343"/>
      <c r="J7" s="1343"/>
      <c r="K7" s="1343"/>
      <c r="L7" s="1349"/>
      <c r="M7" s="1349"/>
      <c r="N7" s="1349"/>
      <c r="O7" s="1349"/>
      <c r="P7" s="1349"/>
      <c r="Q7" s="1349"/>
      <c r="R7" s="1349"/>
      <c r="S7" s="1349"/>
      <c r="T7" s="1349"/>
      <c r="U7" s="1349"/>
      <c r="V7" s="1349"/>
      <c r="W7" s="1350"/>
      <c r="X7" s="1323"/>
      <c r="Y7" s="1323"/>
      <c r="Z7" s="2589"/>
      <c r="AA7" s="2560"/>
      <c r="AB7" s="2589"/>
    </row>
    <row r="8" spans="2:28" ht="42" customHeight="1" thickTop="1">
      <c r="B8" s="1351" t="s">
        <v>13094</v>
      </c>
      <c r="C8" s="1352" t="s">
        <v>13095</v>
      </c>
      <c r="D8" s="2560"/>
      <c r="E8" s="2560"/>
      <c r="F8" s="2560"/>
      <c r="G8" s="1343"/>
      <c r="H8" s="1343"/>
      <c r="I8" s="1343"/>
      <c r="J8" s="1343"/>
      <c r="K8" s="1343"/>
      <c r="L8" s="1349"/>
      <c r="M8" s="1349"/>
      <c r="N8" s="1349"/>
      <c r="O8" s="1349"/>
      <c r="P8" s="1349"/>
      <c r="Q8" s="1349"/>
      <c r="R8" s="1349"/>
      <c r="S8" s="1349"/>
      <c r="T8" s="1349"/>
      <c r="U8" s="1349"/>
      <c r="V8" s="1349"/>
      <c r="W8" s="1350"/>
      <c r="X8" s="1323"/>
      <c r="Y8" s="1323"/>
      <c r="Z8" s="2589"/>
      <c r="AA8" s="2560"/>
      <c r="AB8" s="2589"/>
    </row>
    <row r="9" spans="2:28" ht="25.5" thickBot="1">
      <c r="B9" s="1353" t="s">
        <v>13096</v>
      </c>
      <c r="C9" s="1354">
        <v>168.87200000000001</v>
      </c>
      <c r="D9" s="1355"/>
      <c r="E9" s="1355"/>
      <c r="F9" s="1355"/>
      <c r="G9" s="1343"/>
      <c r="H9" s="1343"/>
      <c r="I9" s="1343"/>
      <c r="J9" s="1343"/>
      <c r="K9" s="1343"/>
      <c r="L9" s="1349"/>
      <c r="M9" s="1349"/>
      <c r="N9" s="1349"/>
      <c r="O9" s="1349"/>
      <c r="P9" s="1349"/>
      <c r="Q9" s="1349"/>
      <c r="R9" s="1349"/>
      <c r="S9" s="1349"/>
      <c r="T9" s="1349"/>
      <c r="U9" s="1349"/>
      <c r="V9" s="1349"/>
      <c r="W9" s="2609"/>
      <c r="X9" s="2560"/>
      <c r="Y9" s="2560"/>
      <c r="Z9" s="2589"/>
      <c r="AA9" s="1121">
        <f>IF( SUM( AC9:AC9 ) = 0, 0, $S$6 )</f>
        <v>0</v>
      </c>
      <c r="AB9" s="2589"/>
    </row>
    <row r="10" spans="2:28" ht="8.25" customHeight="1" thickTop="1" thickBot="1">
      <c r="B10" s="1355"/>
      <c r="C10" s="2560"/>
      <c r="D10" s="1355"/>
      <c r="E10" s="1355"/>
      <c r="F10" s="1355"/>
      <c r="G10" s="1343"/>
      <c r="H10" s="1343"/>
      <c r="I10" s="1343"/>
      <c r="J10" s="1343"/>
      <c r="K10" s="1343"/>
      <c r="L10" s="1349"/>
      <c r="M10" s="1349"/>
      <c r="N10" s="1349"/>
      <c r="O10" s="1349"/>
      <c r="P10" s="1349"/>
      <c r="Q10" s="1349"/>
      <c r="R10" s="1349"/>
      <c r="S10" s="1349"/>
      <c r="T10" s="1349"/>
      <c r="U10" s="1349"/>
      <c r="V10" s="1349"/>
      <c r="W10" s="2609"/>
      <c r="X10" s="2560"/>
      <c r="Y10" s="2560"/>
      <c r="Z10" s="2589"/>
      <c r="AA10" s="1121">
        <f xml:space="preserve"> IF( SUM( AC10:AC10 ) = 0, 0,#REF! )</f>
        <v>0</v>
      </c>
      <c r="AB10" s="2589"/>
    </row>
    <row r="11" spans="2:28" ht="20.25" customHeight="1" thickTop="1" thickBot="1">
      <c r="B11" s="2560"/>
      <c r="C11" s="1343"/>
      <c r="D11" s="1343"/>
      <c r="E11" s="1343"/>
      <c r="F11" s="1343"/>
      <c r="G11" s="1343"/>
      <c r="H11" s="1343"/>
      <c r="I11" s="2917" t="s">
        <v>1696</v>
      </c>
      <c r="J11" s="2918"/>
      <c r="K11" s="1343"/>
      <c r="L11" s="2919" t="s">
        <v>1855</v>
      </c>
      <c r="M11" s="2920"/>
      <c r="N11" s="1349"/>
      <c r="O11" s="2919" t="s">
        <v>11035</v>
      </c>
      <c r="P11" s="2920"/>
      <c r="Q11" s="1349"/>
      <c r="R11" s="2919" t="s">
        <v>11036</v>
      </c>
      <c r="S11" s="2920"/>
      <c r="T11" s="1349"/>
      <c r="U11" s="2919" t="s">
        <v>13097</v>
      </c>
      <c r="V11" s="2920"/>
      <c r="W11" s="2609"/>
      <c r="X11" s="2560"/>
      <c r="Y11" s="2560"/>
      <c r="Z11" s="2589"/>
      <c r="AA11" s="1121">
        <f xml:space="preserve"> IF( SUM( AC11:AE11 ) = 0, 0,#REF! )</f>
        <v>0</v>
      </c>
      <c r="AB11" s="2589"/>
    </row>
    <row r="12" spans="2:28" ht="52.5" customHeight="1" thickTop="1" thickBot="1">
      <c r="B12" s="2560"/>
      <c r="C12" s="1356" t="s">
        <v>0</v>
      </c>
      <c r="D12" s="1357" t="s">
        <v>13098</v>
      </c>
      <c r="E12" s="1357" t="s">
        <v>135</v>
      </c>
      <c r="F12" s="1357" t="s">
        <v>13040</v>
      </c>
      <c r="G12" s="1358" t="s">
        <v>13099</v>
      </c>
      <c r="H12" s="1343"/>
      <c r="I12" s="1359" t="s">
        <v>13100</v>
      </c>
      <c r="J12" s="1360" t="s">
        <v>13101</v>
      </c>
      <c r="K12" s="1343"/>
      <c r="L12" s="1361" t="s">
        <v>13100</v>
      </c>
      <c r="M12" s="1362" t="s">
        <v>13101</v>
      </c>
      <c r="N12" s="1349"/>
      <c r="O12" s="1361" t="s">
        <v>13100</v>
      </c>
      <c r="P12" s="1362" t="s">
        <v>13101</v>
      </c>
      <c r="Q12" s="1349"/>
      <c r="R12" s="1361" t="s">
        <v>13100</v>
      </c>
      <c r="S12" s="1362" t="s">
        <v>13101</v>
      </c>
      <c r="T12" s="1349"/>
      <c r="U12" s="1361" t="s">
        <v>13100</v>
      </c>
      <c r="V12" s="1362" t="s">
        <v>13101</v>
      </c>
      <c r="W12" s="2609"/>
      <c r="X12" s="1363" t="s">
        <v>1896</v>
      </c>
      <c r="Y12" s="2560"/>
      <c r="Z12" s="2589"/>
      <c r="AA12" s="1121">
        <f>IF( SUM( AC12:AC12 ) = 0, 0, $S$6 )</f>
        <v>0</v>
      </c>
      <c r="AB12" s="2589"/>
    </row>
    <row r="13" spans="2:28" ht="25.5" thickTop="1">
      <c r="B13" s="1364" t="s">
        <v>13102</v>
      </c>
      <c r="C13" s="1365" t="s">
        <v>13103</v>
      </c>
      <c r="D13" s="1366">
        <f>150+5.874</f>
        <v>155.874</v>
      </c>
      <c r="E13" s="1365" t="s">
        <v>13104</v>
      </c>
      <c r="F13" s="1365">
        <v>0</v>
      </c>
      <c r="G13" s="1367">
        <v>48</v>
      </c>
      <c r="H13" s="1343"/>
      <c r="I13" s="2078">
        <v>0</v>
      </c>
      <c r="J13" s="1368">
        <f t="shared" ref="J13:J21" si="0">IFERROR(I13/$G13,0)</f>
        <v>0</v>
      </c>
      <c r="K13" s="1343"/>
      <c r="L13" s="1369">
        <v>0</v>
      </c>
      <c r="M13" s="1370">
        <f>L13/$G13</f>
        <v>0</v>
      </c>
      <c r="N13" s="1349"/>
      <c r="O13" s="1369">
        <v>0</v>
      </c>
      <c r="P13" s="1370">
        <f>O13/$G13</f>
        <v>0</v>
      </c>
      <c r="Q13" s="1349"/>
      <c r="R13" s="1369">
        <v>0</v>
      </c>
      <c r="S13" s="1370">
        <f>R13/$G13</f>
        <v>0</v>
      </c>
      <c r="T13" s="1349"/>
      <c r="U13" s="1369"/>
      <c r="V13" s="1370"/>
      <c r="W13" s="2609"/>
      <c r="X13" s="1371" t="s">
        <v>13105</v>
      </c>
      <c r="Y13" s="2560"/>
      <c r="Z13" s="2589"/>
      <c r="AA13" s="1121">
        <f>IF( SUM( AC13:AC13 ) = 0, 0, $S$6 )</f>
        <v>0</v>
      </c>
      <c r="AB13" s="2589"/>
    </row>
    <row r="14" spans="2:28" ht="25">
      <c r="B14" s="1372" t="s">
        <v>13106</v>
      </c>
      <c r="C14" s="1373" t="s">
        <v>13107</v>
      </c>
      <c r="D14" s="1374">
        <f>3188*220/1000000</f>
        <v>0.70135999999999998</v>
      </c>
      <c r="E14" s="1373" t="s">
        <v>13104</v>
      </c>
      <c r="F14" s="1373">
        <v>0</v>
      </c>
      <c r="G14" s="1375">
        <v>220</v>
      </c>
      <c r="H14" s="1343"/>
      <c r="I14" s="2079">
        <v>0</v>
      </c>
      <c r="J14" s="1376">
        <f t="shared" si="0"/>
        <v>0</v>
      </c>
      <c r="K14" s="1343"/>
      <c r="L14" s="1377">
        <v>0</v>
      </c>
      <c r="M14" s="1378">
        <f>L14/$G14</f>
        <v>0</v>
      </c>
      <c r="N14" s="1349"/>
      <c r="O14" s="1377">
        <v>0</v>
      </c>
      <c r="P14" s="1378">
        <f>O14/$G14</f>
        <v>0</v>
      </c>
      <c r="Q14" s="1349"/>
      <c r="R14" s="1377">
        <v>0</v>
      </c>
      <c r="S14" s="1378">
        <f>R14/$G14</f>
        <v>0</v>
      </c>
      <c r="T14" s="1349"/>
      <c r="U14" s="1377"/>
      <c r="V14" s="1378"/>
      <c r="W14" s="2609"/>
      <c r="X14" s="1379" t="s">
        <v>13108</v>
      </c>
      <c r="Y14" s="2560"/>
      <c r="Z14" s="2589"/>
      <c r="AA14" s="1121">
        <f>IF( SUM( AC14:AC14 ) = 0, 0, $S$6 )</f>
        <v>0</v>
      </c>
      <c r="AB14" s="2589"/>
    </row>
    <row r="15" spans="2:28" ht="25">
      <c r="B15" s="1372" t="s">
        <v>13109</v>
      </c>
      <c r="C15" s="1373" t="s">
        <v>13110</v>
      </c>
      <c r="D15" s="1374">
        <f>2978*120/1000000</f>
        <v>0.35736000000000001</v>
      </c>
      <c r="E15" s="1373" t="s">
        <v>13104</v>
      </c>
      <c r="F15" s="1373">
        <v>0</v>
      </c>
      <c r="G15" s="1375">
        <v>120</v>
      </c>
      <c r="H15" s="1343"/>
      <c r="I15" s="2079">
        <v>0</v>
      </c>
      <c r="J15" s="1376">
        <f t="shared" si="0"/>
        <v>0</v>
      </c>
      <c r="K15" s="1343"/>
      <c r="L15" s="1377">
        <v>0</v>
      </c>
      <c r="M15" s="1378">
        <f t="shared" ref="M15:M20" si="1">L15/$G15</f>
        <v>0</v>
      </c>
      <c r="N15" s="1349"/>
      <c r="O15" s="1377">
        <v>0</v>
      </c>
      <c r="P15" s="1378">
        <f t="shared" ref="P15:P20" si="2">O15/$G15</f>
        <v>0</v>
      </c>
      <c r="Q15" s="1349"/>
      <c r="R15" s="1377">
        <v>0</v>
      </c>
      <c r="S15" s="1378">
        <f t="shared" ref="S15:S20" si="3">R15/$G15</f>
        <v>0</v>
      </c>
      <c r="T15" s="1349"/>
      <c r="U15" s="1377"/>
      <c r="V15" s="1378"/>
      <c r="W15" s="2609"/>
      <c r="X15" s="1379" t="s">
        <v>13111</v>
      </c>
      <c r="Y15" s="2560"/>
      <c r="Z15" s="2589"/>
      <c r="AA15" s="1121">
        <f xml:space="preserve"> IF( SUM( AC15:AE15 ) = 0, 0,#REF! )</f>
        <v>0</v>
      </c>
      <c r="AB15" s="2589"/>
    </row>
    <row r="16" spans="2:28" ht="25">
      <c r="B16" s="1372" t="s">
        <v>13112</v>
      </c>
      <c r="C16" s="1373" t="s">
        <v>13113</v>
      </c>
      <c r="D16" s="1374">
        <f>8590*92/1000000</f>
        <v>0.79027999999999998</v>
      </c>
      <c r="E16" s="1373" t="s">
        <v>13104</v>
      </c>
      <c r="F16" s="1373">
        <v>0</v>
      </c>
      <c r="G16" s="1375">
        <v>92</v>
      </c>
      <c r="H16" s="1343"/>
      <c r="I16" s="2079">
        <v>0</v>
      </c>
      <c r="J16" s="1376">
        <f t="shared" si="0"/>
        <v>0</v>
      </c>
      <c r="K16" s="1343"/>
      <c r="L16" s="1377">
        <v>0</v>
      </c>
      <c r="M16" s="1378">
        <f t="shared" si="1"/>
        <v>0</v>
      </c>
      <c r="N16" s="1349"/>
      <c r="O16" s="1377">
        <v>0</v>
      </c>
      <c r="P16" s="1378">
        <f t="shared" si="2"/>
        <v>0</v>
      </c>
      <c r="Q16" s="1349"/>
      <c r="R16" s="1377">
        <v>0</v>
      </c>
      <c r="S16" s="1378">
        <f t="shared" si="3"/>
        <v>0</v>
      </c>
      <c r="T16" s="1349"/>
      <c r="U16" s="1377"/>
      <c r="V16" s="1378"/>
      <c r="W16" s="2609"/>
      <c r="X16" s="1379" t="s">
        <v>13114</v>
      </c>
      <c r="Y16" s="2560"/>
      <c r="Z16" s="2589"/>
      <c r="AA16" s="1121">
        <f xml:space="preserve"> IF( SUM( AC16:AE16 ) = 0, 0,#REF! )</f>
        <v>0</v>
      </c>
      <c r="AB16" s="2589"/>
    </row>
    <row r="17" spans="2:28" ht="25">
      <c r="B17" s="1372" t="s">
        <v>13115</v>
      </c>
      <c r="C17" s="1373" t="s">
        <v>13116</v>
      </c>
      <c r="D17" s="1374">
        <f>91590*30/1000000</f>
        <v>2.7477</v>
      </c>
      <c r="E17" s="1373" t="s">
        <v>13104</v>
      </c>
      <c r="F17" s="1373">
        <v>0</v>
      </c>
      <c r="G17" s="1375">
        <v>30</v>
      </c>
      <c r="H17" s="1343"/>
      <c r="I17" s="2079">
        <v>0</v>
      </c>
      <c r="J17" s="1376">
        <f t="shared" si="0"/>
        <v>0</v>
      </c>
      <c r="K17" s="1343"/>
      <c r="L17" s="1377">
        <v>0</v>
      </c>
      <c r="M17" s="1378">
        <f t="shared" si="1"/>
        <v>0</v>
      </c>
      <c r="N17" s="1349"/>
      <c r="O17" s="1377">
        <v>0</v>
      </c>
      <c r="P17" s="1378">
        <f t="shared" si="2"/>
        <v>0</v>
      </c>
      <c r="Q17" s="1349"/>
      <c r="R17" s="1377">
        <v>0</v>
      </c>
      <c r="S17" s="1378">
        <f t="shared" si="3"/>
        <v>0</v>
      </c>
      <c r="T17" s="1349"/>
      <c r="U17" s="1377"/>
      <c r="V17" s="1378"/>
      <c r="W17" s="2609"/>
      <c r="X17" s="1379" t="s">
        <v>13117</v>
      </c>
      <c r="Y17" s="2560"/>
      <c r="Z17" s="2589"/>
      <c r="AA17" s="1121"/>
      <c r="AB17" s="2589"/>
    </row>
    <row r="18" spans="2:28" ht="25">
      <c r="B18" s="1372" t="s">
        <v>13118</v>
      </c>
      <c r="C18" s="1373" t="s">
        <v>13119</v>
      </c>
      <c r="D18" s="1374">
        <f>0.05*100</f>
        <v>5</v>
      </c>
      <c r="E18" s="1373" t="s">
        <v>13104</v>
      </c>
      <c r="F18" s="1373">
        <v>0</v>
      </c>
      <c r="G18" s="1375">
        <v>100</v>
      </c>
      <c r="H18" s="1343"/>
      <c r="I18" s="2079">
        <v>0</v>
      </c>
      <c r="J18" s="1376">
        <f t="shared" si="0"/>
        <v>0</v>
      </c>
      <c r="K18" s="1343"/>
      <c r="L18" s="1377">
        <v>0</v>
      </c>
      <c r="M18" s="1378">
        <f t="shared" si="1"/>
        <v>0</v>
      </c>
      <c r="N18" s="1349"/>
      <c r="O18" s="1377">
        <v>0</v>
      </c>
      <c r="P18" s="1378">
        <f t="shared" si="2"/>
        <v>0</v>
      </c>
      <c r="Q18" s="1349"/>
      <c r="R18" s="1377">
        <v>0</v>
      </c>
      <c r="S18" s="1378">
        <f t="shared" si="3"/>
        <v>0</v>
      </c>
      <c r="T18" s="1349"/>
      <c r="U18" s="1377"/>
      <c r="V18" s="1378"/>
      <c r="W18" s="2609"/>
      <c r="X18" s="1379" t="s">
        <v>13120</v>
      </c>
      <c r="Y18" s="2560"/>
      <c r="Z18" s="2589"/>
      <c r="AA18" s="1121"/>
      <c r="AB18" s="2589"/>
    </row>
    <row r="19" spans="2:28" ht="25">
      <c r="B19" s="1372" t="s">
        <v>13121</v>
      </c>
      <c r="C19" s="1373" t="s">
        <v>13122</v>
      </c>
      <c r="D19" s="1374">
        <f>0.02*25</f>
        <v>0.5</v>
      </c>
      <c r="E19" s="1373" t="s">
        <v>13104</v>
      </c>
      <c r="F19" s="1373">
        <v>0</v>
      </c>
      <c r="G19" s="1375">
        <v>25</v>
      </c>
      <c r="H19" s="1343"/>
      <c r="I19" s="2079">
        <v>0</v>
      </c>
      <c r="J19" s="1376">
        <f t="shared" si="0"/>
        <v>0</v>
      </c>
      <c r="K19" s="1343"/>
      <c r="L19" s="1377">
        <v>0</v>
      </c>
      <c r="M19" s="1378">
        <f t="shared" si="1"/>
        <v>0</v>
      </c>
      <c r="N19" s="1349"/>
      <c r="O19" s="1377">
        <v>0</v>
      </c>
      <c r="P19" s="1378">
        <f t="shared" si="2"/>
        <v>0</v>
      </c>
      <c r="Q19" s="1349"/>
      <c r="R19" s="1377">
        <v>0</v>
      </c>
      <c r="S19" s="1378">
        <f t="shared" si="3"/>
        <v>0</v>
      </c>
      <c r="T19" s="1349"/>
      <c r="U19" s="1377"/>
      <c r="V19" s="1378"/>
      <c r="W19" s="2609"/>
      <c r="X19" s="1379" t="s">
        <v>13123</v>
      </c>
      <c r="Y19" s="2560"/>
      <c r="Z19" s="2589"/>
      <c r="AA19" s="1121"/>
      <c r="AB19" s="2589"/>
    </row>
    <row r="20" spans="2:28" ht="25">
      <c r="B20" s="1372" t="s">
        <v>13124</v>
      </c>
      <c r="C20" s="1373" t="s">
        <v>13125</v>
      </c>
      <c r="D20" s="1374">
        <f>1.25*2</f>
        <v>2.5</v>
      </c>
      <c r="E20" s="1373" t="s">
        <v>13104</v>
      </c>
      <c r="F20" s="1373">
        <v>0</v>
      </c>
      <c r="G20" s="1375">
        <v>2</v>
      </c>
      <c r="H20" s="1343"/>
      <c r="I20" s="2079">
        <v>0</v>
      </c>
      <c r="J20" s="1376">
        <f t="shared" si="0"/>
        <v>0</v>
      </c>
      <c r="K20" s="1343"/>
      <c r="L20" s="1377">
        <v>0</v>
      </c>
      <c r="M20" s="1378">
        <f t="shared" si="1"/>
        <v>0</v>
      </c>
      <c r="N20" s="1349"/>
      <c r="O20" s="1377">
        <v>0</v>
      </c>
      <c r="P20" s="1378">
        <f t="shared" si="2"/>
        <v>0</v>
      </c>
      <c r="Q20" s="1349"/>
      <c r="R20" s="1377">
        <v>0</v>
      </c>
      <c r="S20" s="1378">
        <f t="shared" si="3"/>
        <v>0</v>
      </c>
      <c r="T20" s="1349"/>
      <c r="U20" s="1377"/>
      <c r="V20" s="1378"/>
      <c r="W20" s="2609"/>
      <c r="X20" s="1379" t="s">
        <v>13126</v>
      </c>
      <c r="Y20" s="2560"/>
      <c r="Z20" s="2589"/>
      <c r="AA20" s="1121"/>
      <c r="AB20" s="2589"/>
    </row>
    <row r="21" spans="2:28" ht="19.5" thickBot="1">
      <c r="B21" s="1353" t="s">
        <v>13127</v>
      </c>
      <c r="C21" s="1380" t="s">
        <v>13128</v>
      </c>
      <c r="D21" s="1381">
        <v>0.4</v>
      </c>
      <c r="E21" s="1380" t="s">
        <v>13104</v>
      </c>
      <c r="F21" s="1380">
        <v>0</v>
      </c>
      <c r="G21" s="1354">
        <v>1</v>
      </c>
      <c r="H21" s="1343"/>
      <c r="I21" s="2080">
        <v>0</v>
      </c>
      <c r="J21" s="1382">
        <f t="shared" si="0"/>
        <v>0</v>
      </c>
      <c r="K21" s="1343"/>
      <c r="L21" s="1383">
        <v>0</v>
      </c>
      <c r="M21" s="1384">
        <f>L21/$G21</f>
        <v>0</v>
      </c>
      <c r="N21" s="1349"/>
      <c r="O21" s="1383">
        <v>0</v>
      </c>
      <c r="P21" s="1384">
        <f>O21/$G21</f>
        <v>0</v>
      </c>
      <c r="Q21" s="1349"/>
      <c r="R21" s="1383">
        <v>0</v>
      </c>
      <c r="S21" s="1384">
        <f>R21/$G21</f>
        <v>0</v>
      </c>
      <c r="T21" s="1349"/>
      <c r="U21" s="1383"/>
      <c r="V21" s="1384"/>
      <c r="W21" s="2609"/>
      <c r="X21" s="1385" t="s">
        <v>13129</v>
      </c>
      <c r="Y21" s="2560"/>
      <c r="Z21" s="2589"/>
      <c r="AA21" s="1257"/>
      <c r="AB21" s="2589"/>
    </row>
    <row r="22" spans="2:28" ht="19.5" thickTop="1">
      <c r="B22" s="2560"/>
      <c r="C22" s="2560"/>
      <c r="D22" s="2560"/>
      <c r="E22" s="2560"/>
      <c r="F22" s="2560"/>
      <c r="G22" s="2560"/>
      <c r="H22" s="1343"/>
      <c r="I22" s="2560"/>
      <c r="J22" s="2560"/>
      <c r="K22" s="1343"/>
      <c r="L22" s="2609"/>
      <c r="M22" s="2609"/>
      <c r="N22" s="1349"/>
      <c r="O22" s="2609"/>
      <c r="P22" s="2609"/>
      <c r="Q22" s="1349"/>
      <c r="R22" s="2609"/>
      <c r="S22" s="2609"/>
      <c r="T22" s="1349"/>
      <c r="U22" s="2609"/>
      <c r="V22" s="2609"/>
      <c r="W22" s="2609"/>
      <c r="X22" s="2560"/>
      <c r="Y22" s="2560"/>
      <c r="Z22" s="2589"/>
      <c r="AA22" s="1121">
        <f t="shared" ref="AA22:AA36" si="4">IF( SUM( AC22:AE22 ) = 0, 0, $S$6 )</f>
        <v>0</v>
      </c>
      <c r="AB22" s="2589"/>
    </row>
    <row r="23" spans="2:28" ht="5.25" customHeight="1" thickBot="1">
      <c r="B23" s="2560"/>
      <c r="C23" s="2560"/>
      <c r="D23" s="2610"/>
      <c r="E23" s="2560"/>
      <c r="F23" s="2560"/>
      <c r="G23" s="2560"/>
      <c r="H23" s="2560"/>
      <c r="I23" s="2560"/>
      <c r="J23" s="2560"/>
      <c r="K23" s="2560"/>
      <c r="L23" s="2609"/>
      <c r="M23" s="2609"/>
      <c r="N23" s="2609"/>
      <c r="O23" s="2609"/>
      <c r="P23" s="2609"/>
      <c r="Q23" s="2609"/>
      <c r="R23" s="2609"/>
      <c r="S23" s="2609"/>
      <c r="T23" s="2609"/>
      <c r="U23" s="2609"/>
      <c r="V23" s="2609"/>
      <c r="W23" s="2609"/>
      <c r="X23" s="2560"/>
      <c r="Y23" s="2560"/>
      <c r="Z23" s="2589"/>
      <c r="AA23" s="1121">
        <f t="shared" si="4"/>
        <v>0</v>
      </c>
      <c r="AB23" s="2589"/>
    </row>
    <row r="24" spans="2:28" ht="19.5" thickTop="1">
      <c r="B24" s="1386" t="s">
        <v>13130</v>
      </c>
      <c r="C24" s="1387" t="s">
        <v>13095</v>
      </c>
      <c r="D24" s="2560"/>
      <c r="E24" s="2560"/>
      <c r="F24" s="2560"/>
      <c r="G24" s="1343"/>
      <c r="H24" s="1343"/>
      <c r="I24" s="1343"/>
      <c r="J24" s="1343"/>
      <c r="K24" s="1343"/>
      <c r="L24" s="1349"/>
      <c r="M24" s="2609"/>
      <c r="N24" s="1349"/>
      <c r="O24" s="1349"/>
      <c r="P24" s="2609"/>
      <c r="Q24" s="1349"/>
      <c r="R24" s="1349"/>
      <c r="S24" s="2609"/>
      <c r="T24" s="1349"/>
      <c r="U24" s="1349"/>
      <c r="V24" s="2609"/>
      <c r="W24" s="2609"/>
      <c r="X24" s="2560"/>
      <c r="Y24" s="1343"/>
      <c r="Z24" s="2589"/>
      <c r="AA24" s="1121">
        <f t="shared" si="4"/>
        <v>0</v>
      </c>
      <c r="AB24" s="2589"/>
    </row>
    <row r="25" spans="2:28" ht="25.5" thickBot="1">
      <c r="B25" s="1388" t="s">
        <v>13131</v>
      </c>
      <c r="C25" s="1347">
        <v>75.674999999999997</v>
      </c>
      <c r="D25" s="1355"/>
      <c r="E25" s="1355"/>
      <c r="F25" s="1355"/>
      <c r="G25" s="1343"/>
      <c r="H25" s="1343"/>
      <c r="I25" s="1343"/>
      <c r="J25" s="1343"/>
      <c r="K25" s="1343"/>
      <c r="L25" s="1349"/>
      <c r="M25" s="2609"/>
      <c r="N25" s="1349"/>
      <c r="O25" s="1349"/>
      <c r="P25" s="2609"/>
      <c r="Q25" s="1349"/>
      <c r="R25" s="1349"/>
      <c r="S25" s="2609"/>
      <c r="T25" s="1349"/>
      <c r="U25" s="1349"/>
      <c r="V25" s="2609"/>
      <c r="W25" s="2609"/>
      <c r="X25" s="2560"/>
      <c r="Y25" s="1343"/>
      <c r="Z25" s="2589"/>
      <c r="AA25" s="1121">
        <f t="shared" si="4"/>
        <v>0</v>
      </c>
      <c r="AB25" s="2589"/>
    </row>
    <row r="26" spans="2:28" ht="20" thickTop="1" thickBot="1">
      <c r="B26" s="1355"/>
      <c r="C26" s="2560"/>
      <c r="D26" s="1355"/>
      <c r="E26" s="1355"/>
      <c r="F26" s="1355"/>
      <c r="G26" s="1343"/>
      <c r="H26" s="1343"/>
      <c r="I26" s="2913" t="s">
        <v>1696</v>
      </c>
      <c r="J26" s="2914"/>
      <c r="K26" s="1343"/>
      <c r="L26" s="2915" t="s">
        <v>1855</v>
      </c>
      <c r="M26" s="2916"/>
      <c r="N26" s="1349"/>
      <c r="O26" s="2915" t="s">
        <v>11035</v>
      </c>
      <c r="P26" s="2916"/>
      <c r="Q26" s="1349"/>
      <c r="R26" s="2915" t="s">
        <v>11036</v>
      </c>
      <c r="S26" s="2916"/>
      <c r="T26" s="1349"/>
      <c r="U26" s="2915" t="s">
        <v>13097</v>
      </c>
      <c r="V26" s="2916"/>
      <c r="W26" s="2609"/>
      <c r="X26" s="2560"/>
      <c r="Y26" s="1343"/>
      <c r="Z26" s="2589"/>
      <c r="AA26" s="1121">
        <f t="shared" si="4"/>
        <v>0</v>
      </c>
      <c r="AB26" s="2589"/>
    </row>
    <row r="27" spans="2:28" ht="38.5" thickTop="1" thickBot="1">
      <c r="B27" s="2560"/>
      <c r="C27" s="1339" t="s">
        <v>0</v>
      </c>
      <c r="D27" s="1326" t="s">
        <v>13098</v>
      </c>
      <c r="E27" s="1326" t="s">
        <v>135</v>
      </c>
      <c r="F27" s="1326" t="s">
        <v>13040</v>
      </c>
      <c r="G27" s="1327" t="s">
        <v>13099</v>
      </c>
      <c r="H27" s="1343"/>
      <c r="I27" s="1389" t="s">
        <v>13100</v>
      </c>
      <c r="J27" s="1344" t="s">
        <v>13101</v>
      </c>
      <c r="K27" s="1343"/>
      <c r="L27" s="1390" t="s">
        <v>13100</v>
      </c>
      <c r="M27" s="1391" t="s">
        <v>13101</v>
      </c>
      <c r="N27" s="1349"/>
      <c r="O27" s="1390" t="s">
        <v>13100</v>
      </c>
      <c r="P27" s="1391" t="s">
        <v>13101</v>
      </c>
      <c r="Q27" s="1349"/>
      <c r="R27" s="1390" t="s">
        <v>13100</v>
      </c>
      <c r="S27" s="1391" t="s">
        <v>13101</v>
      </c>
      <c r="T27" s="1349"/>
      <c r="U27" s="1390" t="s">
        <v>13100</v>
      </c>
      <c r="V27" s="1391" t="s">
        <v>13101</v>
      </c>
      <c r="W27" s="2609"/>
      <c r="X27" s="1392" t="s">
        <v>1896</v>
      </c>
      <c r="Y27" s="2560"/>
      <c r="Z27" s="2589"/>
      <c r="AA27" s="1121">
        <f t="shared" si="4"/>
        <v>0</v>
      </c>
      <c r="AB27" s="2589"/>
    </row>
    <row r="28" spans="2:28" ht="38.5" thickTop="1" thickBot="1">
      <c r="B28" s="1393" t="s">
        <v>13102</v>
      </c>
      <c r="C28" s="1329" t="s">
        <v>13132</v>
      </c>
      <c r="D28" s="1329">
        <v>75.674999999999997</v>
      </c>
      <c r="E28" s="1329" t="s">
        <v>13133</v>
      </c>
      <c r="F28" s="1329">
        <v>0</v>
      </c>
      <c r="G28" s="1394">
        <v>58000</v>
      </c>
      <c r="H28" s="1343"/>
      <c r="I28" s="2081">
        <v>0</v>
      </c>
      <c r="J28" s="1395">
        <f>IFERROR(I28/$G28,0)</f>
        <v>0</v>
      </c>
      <c r="K28" s="1343"/>
      <c r="L28" s="1396">
        <v>0</v>
      </c>
      <c r="M28" s="1397">
        <f>L28/$G28</f>
        <v>0</v>
      </c>
      <c r="N28" s="1349"/>
      <c r="O28" s="1396">
        <v>0</v>
      </c>
      <c r="P28" s="1397">
        <f>O28/$G28</f>
        <v>0</v>
      </c>
      <c r="Q28" s="1349"/>
      <c r="R28" s="1396">
        <v>0</v>
      </c>
      <c r="S28" s="1397">
        <f>R28/$G28</f>
        <v>0</v>
      </c>
      <c r="T28" s="1349"/>
      <c r="U28" s="1396"/>
      <c r="V28" s="1397"/>
      <c r="W28" s="2609"/>
      <c r="X28" s="1398" t="s">
        <v>13134</v>
      </c>
      <c r="Y28" s="2560"/>
      <c r="Z28" s="2589"/>
      <c r="AA28" s="1121">
        <f t="shared" si="4"/>
        <v>0</v>
      </c>
      <c r="AB28" s="2589"/>
    </row>
    <row r="29" spans="2:28" ht="14.5" thickTop="1">
      <c r="B29" s="2560"/>
      <c r="C29" s="2560"/>
      <c r="D29" s="2560"/>
      <c r="E29" s="2560"/>
      <c r="F29" s="2560"/>
      <c r="G29" s="2560"/>
      <c r="H29" s="2560"/>
      <c r="I29" s="2560"/>
      <c r="J29" s="2560"/>
      <c r="K29" s="2560"/>
      <c r="L29" s="2609"/>
      <c r="M29" s="2609"/>
      <c r="N29" s="2609"/>
      <c r="O29" s="2609"/>
      <c r="P29" s="2609"/>
      <c r="Q29" s="2609"/>
      <c r="R29" s="2609"/>
      <c r="S29" s="2609"/>
      <c r="T29" s="2609"/>
      <c r="U29" s="2609"/>
      <c r="V29" s="2609"/>
      <c r="W29" s="2609"/>
      <c r="X29" s="2560"/>
      <c r="Y29" s="2560"/>
      <c r="Z29" s="2589"/>
      <c r="AA29" s="1121">
        <f t="shared" si="4"/>
        <v>0</v>
      </c>
      <c r="AB29" s="2589"/>
    </row>
    <row r="30" spans="2:28">
      <c r="B30" s="2560"/>
      <c r="C30" s="2560"/>
      <c r="D30" s="2560"/>
      <c r="E30" s="2560"/>
      <c r="F30" s="2560"/>
      <c r="G30" s="2560"/>
      <c r="H30" s="2560"/>
      <c r="I30" s="2560"/>
      <c r="J30" s="2560"/>
      <c r="K30" s="2560"/>
      <c r="L30" s="2609"/>
      <c r="M30" s="2609"/>
      <c r="N30" s="2609"/>
      <c r="O30" s="2609"/>
      <c r="P30" s="2609"/>
      <c r="Q30" s="2609"/>
      <c r="R30" s="2609"/>
      <c r="S30" s="2609"/>
      <c r="T30" s="2609"/>
      <c r="U30" s="2609"/>
      <c r="V30" s="2609"/>
      <c r="W30" s="2609"/>
      <c r="X30" s="2560"/>
      <c r="Y30" s="2560"/>
      <c r="Z30" s="2589"/>
      <c r="AA30" s="1121">
        <f t="shared" si="4"/>
        <v>0</v>
      </c>
      <c r="AB30" s="2589"/>
    </row>
    <row r="31" spans="2:28">
      <c r="B31" s="2560"/>
      <c r="C31" s="2595"/>
      <c r="D31" s="2560"/>
      <c r="E31" s="2560"/>
      <c r="F31" s="2560"/>
      <c r="G31" s="2560"/>
      <c r="H31" s="2560"/>
      <c r="I31" s="2560"/>
      <c r="J31" s="2560"/>
      <c r="K31" s="2560"/>
      <c r="L31" s="2609"/>
      <c r="M31" s="2609"/>
      <c r="N31" s="2609"/>
      <c r="O31" s="2609"/>
      <c r="P31" s="2609"/>
      <c r="Q31" s="2609"/>
      <c r="R31" s="2609"/>
      <c r="S31" s="2609"/>
      <c r="T31" s="2609"/>
      <c r="U31" s="2609"/>
      <c r="V31" s="2609"/>
      <c r="W31" s="2609"/>
      <c r="X31" s="2560"/>
      <c r="Y31" s="2560"/>
      <c r="Z31" s="2589"/>
      <c r="AA31" s="1121">
        <f t="shared" si="4"/>
        <v>0</v>
      </c>
      <c r="AB31" s="2589"/>
    </row>
    <row r="32" spans="2:28" ht="14.5" thickBot="1">
      <c r="B32" s="2560"/>
      <c r="C32" s="2560"/>
      <c r="D32" s="2560"/>
      <c r="E32" s="2560"/>
      <c r="F32" s="2560"/>
      <c r="G32" s="2560"/>
      <c r="H32" s="2560"/>
      <c r="I32" s="2560"/>
      <c r="J32" s="2560"/>
      <c r="K32" s="2560"/>
      <c r="L32" s="2609"/>
      <c r="M32" s="2609"/>
      <c r="N32" s="2609"/>
      <c r="O32" s="2609"/>
      <c r="P32" s="2609"/>
      <c r="Q32" s="2609"/>
      <c r="R32" s="2609"/>
      <c r="S32" s="2609"/>
      <c r="T32" s="2609"/>
      <c r="U32" s="2609"/>
      <c r="V32" s="2609"/>
      <c r="W32" s="2609"/>
      <c r="X32" s="2560"/>
      <c r="Y32" s="2560"/>
      <c r="Z32" s="2589"/>
      <c r="AA32" s="1121">
        <f t="shared" si="4"/>
        <v>0</v>
      </c>
      <c r="AB32" s="2589"/>
    </row>
    <row r="33" spans="2:28" ht="19.5" thickTop="1">
      <c r="B33" s="1386" t="s">
        <v>13135</v>
      </c>
      <c r="C33" s="1387" t="s">
        <v>13095</v>
      </c>
      <c r="D33" s="2560"/>
      <c r="E33" s="2560"/>
      <c r="F33" s="2560"/>
      <c r="G33" s="1343"/>
      <c r="H33" s="1343"/>
      <c r="I33" s="1343"/>
      <c r="J33" s="1343"/>
      <c r="K33" s="1343"/>
      <c r="L33" s="1349"/>
      <c r="M33" s="2609"/>
      <c r="N33" s="1349"/>
      <c r="O33" s="1349"/>
      <c r="P33" s="2609"/>
      <c r="Q33" s="1349"/>
      <c r="R33" s="1349"/>
      <c r="S33" s="2609"/>
      <c r="T33" s="1349"/>
      <c r="U33" s="1349"/>
      <c r="V33" s="2609"/>
      <c r="W33" s="2609"/>
      <c r="X33" s="2560"/>
      <c r="Y33" s="2560"/>
      <c r="Z33" s="2589"/>
      <c r="AA33" s="1121">
        <f t="shared" si="4"/>
        <v>0</v>
      </c>
      <c r="AB33" s="2589"/>
    </row>
    <row r="34" spans="2:28" ht="19.5" thickBot="1">
      <c r="B34" s="1388" t="s">
        <v>13136</v>
      </c>
      <c r="C34" s="1347">
        <v>78.483999999999995</v>
      </c>
      <c r="D34" s="1355"/>
      <c r="E34" s="1355"/>
      <c r="F34" s="1355"/>
      <c r="G34" s="1343"/>
      <c r="H34" s="1343"/>
      <c r="I34" s="1343"/>
      <c r="J34" s="1343"/>
      <c r="K34" s="1343"/>
      <c r="L34" s="1349"/>
      <c r="M34" s="2609"/>
      <c r="N34" s="1349"/>
      <c r="O34" s="1349"/>
      <c r="P34" s="2609"/>
      <c r="Q34" s="1349"/>
      <c r="R34" s="1349"/>
      <c r="S34" s="2609"/>
      <c r="T34" s="1349"/>
      <c r="U34" s="1349"/>
      <c r="V34" s="2609"/>
      <c r="W34" s="2609"/>
      <c r="X34" s="2560"/>
      <c r="Y34" s="2560"/>
      <c r="Z34" s="2589"/>
      <c r="AA34" s="1121">
        <f t="shared" si="4"/>
        <v>0</v>
      </c>
      <c r="AB34" s="2589"/>
    </row>
    <row r="35" spans="2:28" ht="20" thickTop="1" thickBot="1">
      <c r="B35" s="1355"/>
      <c r="C35" s="2560"/>
      <c r="D35" s="1355"/>
      <c r="E35" s="1355"/>
      <c r="F35" s="1355"/>
      <c r="G35" s="1343"/>
      <c r="H35" s="1343"/>
      <c r="I35" s="2913" t="s">
        <v>1696</v>
      </c>
      <c r="J35" s="2914"/>
      <c r="K35" s="1343"/>
      <c r="L35" s="2915" t="s">
        <v>1855</v>
      </c>
      <c r="M35" s="2916"/>
      <c r="N35" s="1349"/>
      <c r="O35" s="2915" t="s">
        <v>11035</v>
      </c>
      <c r="P35" s="2916"/>
      <c r="Q35" s="1349"/>
      <c r="R35" s="2915" t="s">
        <v>11036</v>
      </c>
      <c r="S35" s="2916"/>
      <c r="T35" s="1349"/>
      <c r="U35" s="2915" t="s">
        <v>13097</v>
      </c>
      <c r="V35" s="2916"/>
      <c r="W35" s="2609"/>
      <c r="X35" s="2560"/>
      <c r="Y35" s="2560"/>
      <c r="Z35" s="2589"/>
      <c r="AA35" s="1121">
        <f t="shared" si="4"/>
        <v>0</v>
      </c>
      <c r="AB35" s="2589"/>
    </row>
    <row r="36" spans="2:28" ht="38.5" thickTop="1" thickBot="1">
      <c r="B36" s="2560"/>
      <c r="C36" s="1339" t="s">
        <v>0</v>
      </c>
      <c r="D36" s="1326" t="s">
        <v>13098</v>
      </c>
      <c r="E36" s="1326" t="s">
        <v>135</v>
      </c>
      <c r="F36" s="1326" t="s">
        <v>13040</v>
      </c>
      <c r="G36" s="1327" t="s">
        <v>13099</v>
      </c>
      <c r="H36" s="1343"/>
      <c r="I36" s="1389" t="s">
        <v>13100</v>
      </c>
      <c r="J36" s="1344" t="s">
        <v>13101</v>
      </c>
      <c r="K36" s="1343"/>
      <c r="L36" s="1390" t="s">
        <v>13100</v>
      </c>
      <c r="M36" s="1391" t="s">
        <v>13101</v>
      </c>
      <c r="N36" s="1349"/>
      <c r="O36" s="1390" t="s">
        <v>13100</v>
      </c>
      <c r="P36" s="1391" t="s">
        <v>13101</v>
      </c>
      <c r="Q36" s="1349"/>
      <c r="R36" s="1390" t="s">
        <v>13100</v>
      </c>
      <c r="S36" s="1391" t="s">
        <v>13101</v>
      </c>
      <c r="T36" s="1349"/>
      <c r="U36" s="1390" t="s">
        <v>13100</v>
      </c>
      <c r="V36" s="1391" t="s">
        <v>13101</v>
      </c>
      <c r="W36" s="2609"/>
      <c r="X36" s="1392" t="s">
        <v>1896</v>
      </c>
      <c r="Y36" s="2560"/>
      <c r="Z36" s="2589"/>
      <c r="AA36" s="1121">
        <f t="shared" si="4"/>
        <v>0</v>
      </c>
      <c r="AB36" s="2589"/>
    </row>
    <row r="37" spans="2:28" ht="25.5" thickTop="1">
      <c r="B37" s="1399" t="s">
        <v>13102</v>
      </c>
      <c r="C37" s="1333" t="s">
        <v>13137</v>
      </c>
      <c r="D37" s="1333">
        <v>17.184000000000001</v>
      </c>
      <c r="E37" s="1333" t="s">
        <v>13104</v>
      </c>
      <c r="F37" s="1333">
        <v>0</v>
      </c>
      <c r="G37" s="1345">
        <v>6</v>
      </c>
      <c r="H37" s="1343"/>
      <c r="I37" s="2082">
        <v>0</v>
      </c>
      <c r="J37" s="1400">
        <f t="shared" ref="J37:J48" si="5">IFERROR(I37/$G37,0)</f>
        <v>0</v>
      </c>
      <c r="K37" s="1401"/>
      <c r="L37" s="1402">
        <v>0</v>
      </c>
      <c r="M37" s="1403">
        <f>L37/$G37</f>
        <v>0</v>
      </c>
      <c r="N37" s="1404"/>
      <c r="O37" s="1402">
        <v>0</v>
      </c>
      <c r="P37" s="1403">
        <f>O37/$G37</f>
        <v>0</v>
      </c>
      <c r="Q37" s="1404"/>
      <c r="R37" s="1402">
        <v>0</v>
      </c>
      <c r="S37" s="1403">
        <f>R37/$G37</f>
        <v>0</v>
      </c>
      <c r="T37" s="1404"/>
      <c r="U37" s="1402"/>
      <c r="V37" s="1403"/>
      <c r="W37" s="2609"/>
      <c r="X37" s="1405" t="s">
        <v>13138</v>
      </c>
      <c r="Y37" s="2560"/>
      <c r="Z37" s="2589"/>
      <c r="AA37" s="1121">
        <f xml:space="preserve"> IF( SUM( AC37:AC37 ) = 0, 0,#REF! )</f>
        <v>0</v>
      </c>
      <c r="AB37" s="2589"/>
    </row>
    <row r="38" spans="2:28" ht="18.75" customHeight="1">
      <c r="B38" s="1406" t="s">
        <v>13106</v>
      </c>
      <c r="C38" s="1341" t="s">
        <v>13139</v>
      </c>
      <c r="D38" s="1341">
        <v>6.9930000000000003</v>
      </c>
      <c r="E38" s="1341" t="s">
        <v>13104</v>
      </c>
      <c r="F38" s="1341">
        <v>0</v>
      </c>
      <c r="G38" s="1346">
        <v>2</v>
      </c>
      <c r="H38" s="1343"/>
      <c r="I38" s="2083">
        <v>0</v>
      </c>
      <c r="J38" s="1407">
        <f t="shared" si="5"/>
        <v>0</v>
      </c>
      <c r="K38" s="1401"/>
      <c r="L38" s="1408">
        <v>0</v>
      </c>
      <c r="M38" s="1409">
        <f>L38/$G38</f>
        <v>0</v>
      </c>
      <c r="N38" s="1404"/>
      <c r="O38" s="1408">
        <v>0</v>
      </c>
      <c r="P38" s="1409">
        <f>O38/$G38</f>
        <v>0</v>
      </c>
      <c r="Q38" s="1404"/>
      <c r="R38" s="1408">
        <v>0</v>
      </c>
      <c r="S38" s="1409">
        <f>R38/$G38</f>
        <v>0</v>
      </c>
      <c r="T38" s="1404"/>
      <c r="U38" s="1408"/>
      <c r="V38" s="1409"/>
      <c r="W38" s="2609"/>
      <c r="X38" s="1410" t="s">
        <v>13140</v>
      </c>
      <c r="Y38" s="2560"/>
      <c r="Z38" s="2589"/>
      <c r="AA38" s="1121">
        <f xml:space="preserve"> IF( SUM( AC38:AC38 ) = 0, 0,#REF! )</f>
        <v>0</v>
      </c>
      <c r="AB38" s="2589"/>
    </row>
    <row r="39" spans="2:28" ht="25">
      <c r="B39" s="1406" t="s">
        <v>13109</v>
      </c>
      <c r="C39" s="1341" t="s">
        <v>13141</v>
      </c>
      <c r="D39" s="1341">
        <v>4.4710000000000001</v>
      </c>
      <c r="E39" s="1341" t="s">
        <v>13104</v>
      </c>
      <c r="F39" s="1341">
        <v>0</v>
      </c>
      <c r="G39" s="1346">
        <v>5</v>
      </c>
      <c r="H39" s="1343"/>
      <c r="I39" s="2083">
        <v>0</v>
      </c>
      <c r="J39" s="1407">
        <f t="shared" si="5"/>
        <v>0</v>
      </c>
      <c r="K39" s="1401"/>
      <c r="L39" s="1408">
        <v>0</v>
      </c>
      <c r="M39" s="1409">
        <f t="shared" ref="M39:M47" si="6">L39/$G39</f>
        <v>0</v>
      </c>
      <c r="N39" s="1404"/>
      <c r="O39" s="1408">
        <v>0</v>
      </c>
      <c r="P39" s="1409">
        <f t="shared" ref="P39:P47" si="7">O39/$G39</f>
        <v>0</v>
      </c>
      <c r="Q39" s="1404"/>
      <c r="R39" s="1408">
        <v>0</v>
      </c>
      <c r="S39" s="1409">
        <f t="shared" ref="S39:S47" si="8">R39/$G39</f>
        <v>0</v>
      </c>
      <c r="T39" s="1404"/>
      <c r="U39" s="1408"/>
      <c r="V39" s="1409"/>
      <c r="W39" s="2609"/>
      <c r="X39" s="1410" t="s">
        <v>13142</v>
      </c>
      <c r="Y39" s="2560"/>
      <c r="Z39" s="2589"/>
      <c r="AA39" s="1121">
        <f xml:space="preserve"> IF( SUM( AC39:AC39 ) = 0, 0,#REF! )</f>
        <v>0</v>
      </c>
      <c r="AB39" s="2589"/>
    </row>
    <row r="40" spans="2:28" ht="18.75" customHeight="1">
      <c r="B40" s="1406" t="s">
        <v>13112</v>
      </c>
      <c r="C40" s="1341" t="s">
        <v>13143</v>
      </c>
      <c r="D40" s="1341">
        <v>0.86899999999999999</v>
      </c>
      <c r="E40" s="1341" t="s">
        <v>13104</v>
      </c>
      <c r="F40" s="1341">
        <v>0</v>
      </c>
      <c r="G40" s="1346">
        <v>2</v>
      </c>
      <c r="H40" s="1343"/>
      <c r="I40" s="2083">
        <v>0</v>
      </c>
      <c r="J40" s="1407">
        <f t="shared" si="5"/>
        <v>0</v>
      </c>
      <c r="K40" s="1401"/>
      <c r="L40" s="1408">
        <v>0</v>
      </c>
      <c r="M40" s="1409">
        <f t="shared" si="6"/>
        <v>0</v>
      </c>
      <c r="N40" s="1404"/>
      <c r="O40" s="1408">
        <v>0</v>
      </c>
      <c r="P40" s="1409">
        <f t="shared" si="7"/>
        <v>0</v>
      </c>
      <c r="Q40" s="1404"/>
      <c r="R40" s="1408">
        <v>0</v>
      </c>
      <c r="S40" s="1409">
        <f t="shared" si="8"/>
        <v>0</v>
      </c>
      <c r="T40" s="1404"/>
      <c r="U40" s="1408"/>
      <c r="V40" s="1409"/>
      <c r="W40" s="2609"/>
      <c r="X40" s="1410" t="s">
        <v>13144</v>
      </c>
      <c r="Y40" s="2560"/>
      <c r="Z40" s="2589"/>
      <c r="AA40" s="1121">
        <f xml:space="preserve"> IF( SUM( AC40:AC40 ) = 0, 0,$S$6 )</f>
        <v>0</v>
      </c>
      <c r="AB40" s="2589"/>
    </row>
    <row r="41" spans="2:28" ht="25">
      <c r="B41" s="1406" t="s">
        <v>13115</v>
      </c>
      <c r="C41" s="1341" t="s">
        <v>13145</v>
      </c>
      <c r="D41" s="1411">
        <v>1.81</v>
      </c>
      <c r="E41" s="1341" t="s">
        <v>13104</v>
      </c>
      <c r="F41" s="1341">
        <v>0</v>
      </c>
      <c r="G41" s="1346">
        <v>5</v>
      </c>
      <c r="H41" s="1343"/>
      <c r="I41" s="2083">
        <v>0</v>
      </c>
      <c r="J41" s="1407">
        <f t="shared" si="5"/>
        <v>0</v>
      </c>
      <c r="K41" s="1401"/>
      <c r="L41" s="1408">
        <v>0</v>
      </c>
      <c r="M41" s="1409">
        <f t="shared" si="6"/>
        <v>0</v>
      </c>
      <c r="N41" s="1404"/>
      <c r="O41" s="1408">
        <v>0</v>
      </c>
      <c r="P41" s="1409">
        <f t="shared" si="7"/>
        <v>0</v>
      </c>
      <c r="Q41" s="1404"/>
      <c r="R41" s="1408">
        <v>0</v>
      </c>
      <c r="S41" s="1409">
        <f t="shared" si="8"/>
        <v>0</v>
      </c>
      <c r="T41" s="1404"/>
      <c r="U41" s="1408"/>
      <c r="V41" s="1409"/>
      <c r="W41" s="2609"/>
      <c r="X41" s="1410" t="s">
        <v>13146</v>
      </c>
      <c r="Y41" s="2560"/>
      <c r="Z41" s="2589"/>
      <c r="AA41" s="1121">
        <f xml:space="preserve"> IF( SUM( AC41:AC41 ) = 0, 0,#REF! )</f>
        <v>0</v>
      </c>
      <c r="AB41" s="2589"/>
    </row>
    <row r="42" spans="2:28" ht="25.5" customHeight="1">
      <c r="B42" s="1406" t="s">
        <v>13118</v>
      </c>
      <c r="C42" s="1341" t="s">
        <v>13147</v>
      </c>
      <c r="D42" s="1341">
        <v>1.1379999999999999</v>
      </c>
      <c r="E42" s="1341" t="s">
        <v>13104</v>
      </c>
      <c r="F42" s="1341">
        <v>0</v>
      </c>
      <c r="G42" s="1346">
        <v>1</v>
      </c>
      <c r="H42" s="1343"/>
      <c r="I42" s="2083">
        <v>0</v>
      </c>
      <c r="J42" s="1407">
        <f t="shared" si="5"/>
        <v>0</v>
      </c>
      <c r="K42" s="1401"/>
      <c r="L42" s="1408">
        <v>0</v>
      </c>
      <c r="M42" s="1409">
        <f t="shared" si="6"/>
        <v>0</v>
      </c>
      <c r="N42" s="1404"/>
      <c r="O42" s="1408">
        <v>0</v>
      </c>
      <c r="P42" s="1409">
        <f t="shared" si="7"/>
        <v>0</v>
      </c>
      <c r="Q42" s="1404"/>
      <c r="R42" s="1408">
        <v>0</v>
      </c>
      <c r="S42" s="1409">
        <f t="shared" si="8"/>
        <v>0</v>
      </c>
      <c r="T42" s="1404"/>
      <c r="U42" s="1408"/>
      <c r="V42" s="1409"/>
      <c r="W42" s="2609"/>
      <c r="X42" s="1410" t="s">
        <v>13148</v>
      </c>
      <c r="Y42" s="2560"/>
      <c r="Z42" s="2589"/>
      <c r="AA42" s="1121">
        <f xml:space="preserve"> IF( SUM( AC42:AC42 ) = 0, 0,#REF! )</f>
        <v>0</v>
      </c>
      <c r="AB42" s="2589"/>
    </row>
    <row r="43" spans="2:28" ht="25">
      <c r="B43" s="1406" t="s">
        <v>13121</v>
      </c>
      <c r="C43" s="1341" t="s">
        <v>13149</v>
      </c>
      <c r="D43" s="1341">
        <v>31.812999999999999</v>
      </c>
      <c r="E43" s="1341" t="s">
        <v>13104</v>
      </c>
      <c r="F43" s="1341">
        <v>0</v>
      </c>
      <c r="G43" s="1346">
        <v>1</v>
      </c>
      <c r="H43" s="1343"/>
      <c r="I43" s="2083">
        <v>0</v>
      </c>
      <c r="J43" s="1407">
        <f t="shared" si="5"/>
        <v>0</v>
      </c>
      <c r="K43" s="1401"/>
      <c r="L43" s="1408">
        <v>0</v>
      </c>
      <c r="M43" s="1409">
        <f t="shared" si="6"/>
        <v>0</v>
      </c>
      <c r="N43" s="1404"/>
      <c r="O43" s="1408">
        <v>0</v>
      </c>
      <c r="P43" s="1409">
        <f t="shared" si="7"/>
        <v>0</v>
      </c>
      <c r="Q43" s="1404"/>
      <c r="R43" s="1408">
        <v>0</v>
      </c>
      <c r="S43" s="1409">
        <f t="shared" si="8"/>
        <v>0</v>
      </c>
      <c r="T43" s="1404"/>
      <c r="U43" s="1408"/>
      <c r="V43" s="1409"/>
      <c r="W43" s="2609"/>
      <c r="X43" s="1410" t="s">
        <v>13150</v>
      </c>
      <c r="Y43" s="2560"/>
      <c r="Z43" s="2589"/>
      <c r="AA43" s="1121">
        <f xml:space="preserve"> IF( SUM( AC43:AC43 ) = 0, 0,#REF! )</f>
        <v>0</v>
      </c>
      <c r="AB43" s="2589"/>
    </row>
    <row r="44" spans="2:28" ht="25">
      <c r="B44" s="1406" t="s">
        <v>13124</v>
      </c>
      <c r="C44" s="1341" t="s">
        <v>13151</v>
      </c>
      <c r="D44" s="1411">
        <v>5.26</v>
      </c>
      <c r="E44" s="1341" t="s">
        <v>13104</v>
      </c>
      <c r="F44" s="1341">
        <v>0</v>
      </c>
      <c r="G44" s="1346">
        <v>1</v>
      </c>
      <c r="H44" s="1343"/>
      <c r="I44" s="2083">
        <v>0</v>
      </c>
      <c r="J44" s="1407">
        <f t="shared" si="5"/>
        <v>0</v>
      </c>
      <c r="K44" s="1401"/>
      <c r="L44" s="1408">
        <v>0</v>
      </c>
      <c r="M44" s="1409">
        <f t="shared" si="6"/>
        <v>0</v>
      </c>
      <c r="N44" s="1404"/>
      <c r="O44" s="1408">
        <v>0</v>
      </c>
      <c r="P44" s="1409">
        <f t="shared" si="7"/>
        <v>0</v>
      </c>
      <c r="Q44" s="1404"/>
      <c r="R44" s="1408">
        <v>0</v>
      </c>
      <c r="S44" s="1409">
        <f t="shared" si="8"/>
        <v>0</v>
      </c>
      <c r="T44" s="1404"/>
      <c r="U44" s="1408"/>
      <c r="V44" s="1409"/>
      <c r="W44" s="2609"/>
      <c r="X44" s="1410" t="s">
        <v>13152</v>
      </c>
      <c r="Y44" s="2560"/>
      <c r="Z44" s="2589"/>
      <c r="AA44" s="1121">
        <f xml:space="preserve"> IF( SUM( AC44:AC44 ) = 0, 0,#REF! )</f>
        <v>0</v>
      </c>
      <c r="AB44" s="2589"/>
    </row>
    <row r="45" spans="2:28" ht="37.5">
      <c r="B45" s="1406" t="s">
        <v>13127</v>
      </c>
      <c r="C45" s="1341" t="s">
        <v>13153</v>
      </c>
      <c r="D45" s="1341">
        <v>4.3520000000000003</v>
      </c>
      <c r="E45" s="1341" t="s">
        <v>13104</v>
      </c>
      <c r="F45" s="1341">
        <v>0</v>
      </c>
      <c r="G45" s="1346">
        <v>1</v>
      </c>
      <c r="H45" s="1343"/>
      <c r="I45" s="2083">
        <v>0</v>
      </c>
      <c r="J45" s="1407">
        <f t="shared" si="5"/>
        <v>0</v>
      </c>
      <c r="K45" s="1401"/>
      <c r="L45" s="1408">
        <v>0</v>
      </c>
      <c r="M45" s="1409">
        <f t="shared" si="6"/>
        <v>0</v>
      </c>
      <c r="N45" s="1404"/>
      <c r="O45" s="1408">
        <v>0</v>
      </c>
      <c r="P45" s="1409">
        <f t="shared" si="7"/>
        <v>0</v>
      </c>
      <c r="Q45" s="1404"/>
      <c r="R45" s="1408">
        <v>0</v>
      </c>
      <c r="S45" s="1409">
        <f t="shared" si="8"/>
        <v>0</v>
      </c>
      <c r="T45" s="1404"/>
      <c r="U45" s="1408"/>
      <c r="V45" s="1409"/>
      <c r="W45" s="2609"/>
      <c r="X45" s="1410" t="s">
        <v>13154</v>
      </c>
      <c r="Y45" s="2560"/>
      <c r="Z45" s="2589"/>
      <c r="AA45" s="1121">
        <f xml:space="preserve"> IF( SUM( AC45:AC45 ) = 0, 0,#REF! )</f>
        <v>0</v>
      </c>
      <c r="AB45" s="2589"/>
    </row>
    <row r="46" spans="2:28" ht="37.5">
      <c r="B46" s="1406" t="s">
        <v>13155</v>
      </c>
      <c r="C46" s="1412" t="s">
        <v>13156</v>
      </c>
      <c r="D46" s="1411">
        <v>1.29</v>
      </c>
      <c r="E46" s="1341" t="s">
        <v>13104</v>
      </c>
      <c r="F46" s="1341">
        <v>0</v>
      </c>
      <c r="G46" s="1346">
        <v>1</v>
      </c>
      <c r="H46" s="1343"/>
      <c r="I46" s="2083">
        <v>0</v>
      </c>
      <c r="J46" s="1407">
        <f t="shared" si="5"/>
        <v>0</v>
      </c>
      <c r="K46" s="1401"/>
      <c r="L46" s="1408">
        <v>0</v>
      </c>
      <c r="M46" s="1409">
        <f t="shared" si="6"/>
        <v>0</v>
      </c>
      <c r="N46" s="1404"/>
      <c r="O46" s="1408">
        <v>0</v>
      </c>
      <c r="P46" s="1409">
        <f t="shared" si="7"/>
        <v>0</v>
      </c>
      <c r="Q46" s="1404"/>
      <c r="R46" s="1408">
        <v>0</v>
      </c>
      <c r="S46" s="1409">
        <f t="shared" si="8"/>
        <v>0</v>
      </c>
      <c r="T46" s="1404"/>
      <c r="U46" s="1408"/>
      <c r="V46" s="1409"/>
      <c r="W46" s="2609"/>
      <c r="X46" s="1410" t="s">
        <v>13157</v>
      </c>
      <c r="Y46" s="2560"/>
      <c r="Z46" s="2589"/>
      <c r="AA46" s="1121">
        <f xml:space="preserve"> IF( SUM( AC46:AC46 ) = 0, 0,#REF! )</f>
        <v>0</v>
      </c>
      <c r="AB46" s="2589"/>
    </row>
    <row r="47" spans="2:28" ht="37.5">
      <c r="B47" s="1406" t="s">
        <v>13158</v>
      </c>
      <c r="C47" s="1412" t="s">
        <v>13159</v>
      </c>
      <c r="D47" s="1341">
        <v>1.306</v>
      </c>
      <c r="E47" s="1341" t="s">
        <v>13104</v>
      </c>
      <c r="F47" s="1341">
        <v>0</v>
      </c>
      <c r="G47" s="1346">
        <v>1</v>
      </c>
      <c r="H47" s="1343"/>
      <c r="I47" s="2083">
        <v>0</v>
      </c>
      <c r="J47" s="1407">
        <f t="shared" si="5"/>
        <v>0</v>
      </c>
      <c r="K47" s="1401"/>
      <c r="L47" s="1408">
        <v>0</v>
      </c>
      <c r="M47" s="1409">
        <f t="shared" si="6"/>
        <v>0</v>
      </c>
      <c r="N47" s="1404"/>
      <c r="O47" s="1408">
        <v>0</v>
      </c>
      <c r="P47" s="1409">
        <f t="shared" si="7"/>
        <v>0</v>
      </c>
      <c r="Q47" s="1404"/>
      <c r="R47" s="1408">
        <v>0</v>
      </c>
      <c r="S47" s="1409">
        <f t="shared" si="8"/>
        <v>0</v>
      </c>
      <c r="T47" s="1404"/>
      <c r="U47" s="1408"/>
      <c r="V47" s="1409"/>
      <c r="W47" s="2609"/>
      <c r="X47" s="1410" t="s">
        <v>13160</v>
      </c>
      <c r="Y47" s="2560"/>
      <c r="Z47" s="2589"/>
      <c r="AA47" s="1121">
        <f xml:space="preserve"> IF( SUM( AC47:AC47 ) = 0, 0,#REF! )</f>
        <v>0</v>
      </c>
      <c r="AB47" s="2589"/>
    </row>
    <row r="48" spans="2:28" ht="50.5" thickBot="1">
      <c r="B48" s="1388" t="s">
        <v>13161</v>
      </c>
      <c r="C48" s="1334" t="s">
        <v>13162</v>
      </c>
      <c r="D48" s="1413">
        <v>2</v>
      </c>
      <c r="E48" s="1334" t="s">
        <v>13104</v>
      </c>
      <c r="F48" s="1334">
        <v>0</v>
      </c>
      <c r="G48" s="1347">
        <v>1</v>
      </c>
      <c r="H48" s="1343"/>
      <c r="I48" s="2084">
        <v>0</v>
      </c>
      <c r="J48" s="1414">
        <f t="shared" si="5"/>
        <v>0</v>
      </c>
      <c r="K48" s="1401"/>
      <c r="L48" s="1415">
        <v>0</v>
      </c>
      <c r="M48" s="1416">
        <f>L48/$G48</f>
        <v>0</v>
      </c>
      <c r="N48" s="1404"/>
      <c r="O48" s="1415">
        <v>0</v>
      </c>
      <c r="P48" s="1416">
        <f>O48/$G48</f>
        <v>0</v>
      </c>
      <c r="Q48" s="1404"/>
      <c r="R48" s="1415">
        <v>0</v>
      </c>
      <c r="S48" s="1416">
        <f>R48/$G48</f>
        <v>0</v>
      </c>
      <c r="T48" s="1404"/>
      <c r="U48" s="1415"/>
      <c r="V48" s="1416"/>
      <c r="W48" s="2609"/>
      <c r="X48" s="1398" t="s">
        <v>13163</v>
      </c>
      <c r="Y48" s="2560"/>
      <c r="Z48" s="2589"/>
      <c r="AA48" s="1121">
        <f xml:space="preserve"> IF( SUM( AC48:AC48 ) = 0, 0,#REF! )</f>
        <v>0</v>
      </c>
      <c r="AB48" s="2589"/>
    </row>
    <row r="49" spans="2:28" ht="20" thickTop="1" thickBot="1">
      <c r="B49" s="2560"/>
      <c r="C49" s="2560"/>
      <c r="D49" s="2560"/>
      <c r="E49" s="2560"/>
      <c r="F49" s="2560"/>
      <c r="G49" s="2560"/>
      <c r="H49" s="1343"/>
      <c r="I49" s="2560"/>
      <c r="J49" s="2560"/>
      <c r="K49" s="2560"/>
      <c r="L49" s="2609"/>
      <c r="M49" s="2609"/>
      <c r="N49" s="2609"/>
      <c r="O49" s="2609"/>
      <c r="P49" s="2609"/>
      <c r="Q49" s="2609"/>
      <c r="R49" s="2609"/>
      <c r="S49" s="2609"/>
      <c r="T49" s="2609"/>
      <c r="U49" s="2609"/>
      <c r="V49" s="2609"/>
      <c r="W49" s="2609"/>
      <c r="X49" s="2560"/>
      <c r="Y49" s="2560"/>
      <c r="Z49" s="2589"/>
      <c r="AA49" s="1121">
        <f xml:space="preserve"> IF( SUM( AC49:AC49 ) = 0, 0,#REF! )</f>
        <v>0</v>
      </c>
      <c r="AB49" s="2589"/>
    </row>
    <row r="50" spans="2:28" ht="19.5" thickTop="1">
      <c r="B50" s="1386" t="s">
        <v>13164</v>
      </c>
      <c r="C50" s="1387" t="s">
        <v>13095</v>
      </c>
      <c r="D50" s="2560"/>
      <c r="E50" s="2560"/>
      <c r="F50" s="2560"/>
      <c r="G50" s="1343"/>
      <c r="H50" s="1343"/>
      <c r="I50" s="1343"/>
      <c r="J50" s="1343"/>
      <c r="K50" s="1343"/>
      <c r="L50" s="1349"/>
      <c r="M50" s="2609"/>
      <c r="N50" s="1349"/>
      <c r="O50" s="1349"/>
      <c r="P50" s="2609"/>
      <c r="Q50" s="1349"/>
      <c r="R50" s="1349"/>
      <c r="S50" s="2609"/>
      <c r="T50" s="1349"/>
      <c r="U50" s="1349"/>
      <c r="V50" s="2609"/>
      <c r="W50" s="2609"/>
      <c r="X50" s="2560"/>
      <c r="Y50" s="2560"/>
      <c r="Z50" s="2589"/>
      <c r="AA50" s="1121">
        <f xml:space="preserve"> IF( SUM( AC50:AC50 ) = 0, 0,#REF! )</f>
        <v>0</v>
      </c>
      <c r="AB50" s="2589"/>
    </row>
    <row r="51" spans="2:28" ht="19.5" thickBot="1">
      <c r="B51" s="1388" t="s">
        <v>13165</v>
      </c>
      <c r="C51" s="1347">
        <v>139.84100000000001</v>
      </c>
      <c r="D51" s="1355"/>
      <c r="E51" s="1355"/>
      <c r="F51" s="1355"/>
      <c r="G51" s="1343"/>
      <c r="H51" s="1343"/>
      <c r="I51" s="1343"/>
      <c r="J51" s="1343"/>
      <c r="K51" s="1343"/>
      <c r="L51" s="1349"/>
      <c r="M51" s="2609"/>
      <c r="N51" s="1349"/>
      <c r="O51" s="1349"/>
      <c r="P51" s="2609"/>
      <c r="Q51" s="1349"/>
      <c r="R51" s="1349"/>
      <c r="S51" s="2609"/>
      <c r="T51" s="1349"/>
      <c r="U51" s="1349"/>
      <c r="V51" s="2609"/>
      <c r="W51" s="2609"/>
      <c r="X51" s="2560"/>
      <c r="Y51" s="2560"/>
      <c r="Z51" s="2589"/>
      <c r="AA51" s="1121">
        <f xml:space="preserve"> IF( SUM( AC51:AC51 ) = 0, 0,#REF! )</f>
        <v>0</v>
      </c>
      <c r="AB51" s="2589"/>
    </row>
    <row r="52" spans="2:28" ht="20" thickTop="1" thickBot="1">
      <c r="B52" s="1355"/>
      <c r="C52" s="2560"/>
      <c r="D52" s="1355"/>
      <c r="E52" s="1355"/>
      <c r="F52" s="1355"/>
      <c r="G52" s="1343"/>
      <c r="H52" s="1343"/>
      <c r="I52" s="1343"/>
      <c r="J52" s="1343"/>
      <c r="K52" s="1343"/>
      <c r="L52" s="1349"/>
      <c r="M52" s="2609"/>
      <c r="N52" s="1349"/>
      <c r="O52" s="1349"/>
      <c r="P52" s="2609"/>
      <c r="Q52" s="1349"/>
      <c r="R52" s="1349"/>
      <c r="S52" s="2609"/>
      <c r="T52" s="1349"/>
      <c r="U52" s="1349"/>
      <c r="V52" s="2609"/>
      <c r="W52" s="2609"/>
      <c r="X52" s="2560"/>
      <c r="Y52" s="2560"/>
      <c r="Z52" s="2589"/>
      <c r="AA52" s="1121">
        <f xml:space="preserve"> IF( SUM( AC52:AC52 ) = 0, 0,#REF! )</f>
        <v>0</v>
      </c>
      <c r="AB52" s="2589"/>
    </row>
    <row r="53" spans="2:28" ht="21" customHeight="1" thickTop="1" thickBot="1">
      <c r="B53" s="2560"/>
      <c r="C53" s="2560"/>
      <c r="D53" s="1355"/>
      <c r="E53" s="1355"/>
      <c r="F53" s="1355"/>
      <c r="G53" s="1343"/>
      <c r="H53" s="1343"/>
      <c r="I53" s="2913" t="s">
        <v>1696</v>
      </c>
      <c r="J53" s="2914"/>
      <c r="K53" s="1343"/>
      <c r="L53" s="2915" t="s">
        <v>1855</v>
      </c>
      <c r="M53" s="2916"/>
      <c r="N53" s="1349"/>
      <c r="O53" s="2915" t="s">
        <v>11035</v>
      </c>
      <c r="P53" s="2916"/>
      <c r="Q53" s="1349"/>
      <c r="R53" s="2915" t="s">
        <v>11036</v>
      </c>
      <c r="S53" s="2916"/>
      <c r="T53" s="1349"/>
      <c r="U53" s="2915" t="s">
        <v>13097</v>
      </c>
      <c r="V53" s="2916"/>
      <c r="W53" s="2609"/>
      <c r="X53" s="2560"/>
      <c r="Y53" s="2560"/>
      <c r="Z53" s="2589"/>
      <c r="AA53" s="1121">
        <f xml:space="preserve"> IF( SUM( AC53:AC53 ) = 0, 0,#REF! )</f>
        <v>0</v>
      </c>
      <c r="AB53" s="2589"/>
    </row>
    <row r="54" spans="2:28" ht="38.5" thickTop="1" thickBot="1">
      <c r="B54" s="2560"/>
      <c r="C54" s="1339" t="s">
        <v>0</v>
      </c>
      <c r="D54" s="1326" t="s">
        <v>13098</v>
      </c>
      <c r="E54" s="1326" t="s">
        <v>135</v>
      </c>
      <c r="F54" s="1326" t="s">
        <v>13040</v>
      </c>
      <c r="G54" s="1327" t="s">
        <v>13099</v>
      </c>
      <c r="H54" s="1343"/>
      <c r="I54" s="1389" t="s">
        <v>13100</v>
      </c>
      <c r="J54" s="1344" t="s">
        <v>13101</v>
      </c>
      <c r="K54" s="1343"/>
      <c r="L54" s="1390" t="s">
        <v>13100</v>
      </c>
      <c r="M54" s="1391" t="s">
        <v>13101</v>
      </c>
      <c r="N54" s="1349"/>
      <c r="O54" s="1390" t="s">
        <v>13100</v>
      </c>
      <c r="P54" s="1391" t="s">
        <v>13101</v>
      </c>
      <c r="Q54" s="1349"/>
      <c r="R54" s="1390" t="s">
        <v>13100</v>
      </c>
      <c r="S54" s="1391" t="s">
        <v>13101</v>
      </c>
      <c r="T54" s="1349"/>
      <c r="U54" s="1390" t="s">
        <v>13100</v>
      </c>
      <c r="V54" s="1391" t="s">
        <v>13101</v>
      </c>
      <c r="W54" s="2609"/>
      <c r="X54" s="1392" t="s">
        <v>1896</v>
      </c>
      <c r="Y54" s="2560"/>
      <c r="Z54" s="2589"/>
      <c r="AA54" s="1121">
        <f xml:space="preserve"> IF( SUM( AC54:AC54 ) = 0, 0,#REF! )</f>
        <v>0</v>
      </c>
      <c r="AB54" s="2589"/>
    </row>
    <row r="55" spans="2:28" ht="25.5" thickTop="1">
      <c r="B55" s="1399" t="s">
        <v>13102</v>
      </c>
      <c r="C55" s="1333" t="s">
        <v>13165</v>
      </c>
      <c r="D55" s="1333">
        <f>1598*3000/1000000</f>
        <v>4.7939999999999996</v>
      </c>
      <c r="E55" s="1333" t="s">
        <v>13104</v>
      </c>
      <c r="F55" s="1333">
        <v>0</v>
      </c>
      <c r="G55" s="1345">
        <v>3000</v>
      </c>
      <c r="H55" s="1343"/>
      <c r="I55" s="2082">
        <v>0</v>
      </c>
      <c r="J55" s="1417">
        <f>IFERROR(I55/$G55,0)</f>
        <v>0</v>
      </c>
      <c r="K55" s="1401"/>
      <c r="L55" s="1402">
        <v>0</v>
      </c>
      <c r="M55" s="1403">
        <f>L55/$G55</f>
        <v>0</v>
      </c>
      <c r="N55" s="1404"/>
      <c r="O55" s="1402">
        <v>0</v>
      </c>
      <c r="P55" s="1403">
        <f>O55/$G55</f>
        <v>0</v>
      </c>
      <c r="Q55" s="1404"/>
      <c r="R55" s="1402">
        <v>0</v>
      </c>
      <c r="S55" s="1403">
        <f>R55/$G55</f>
        <v>0</v>
      </c>
      <c r="T55" s="1404"/>
      <c r="U55" s="1402"/>
      <c r="V55" s="1403"/>
      <c r="W55" s="2609"/>
      <c r="X55" s="1405" t="s">
        <v>13166</v>
      </c>
      <c r="Y55" s="2560"/>
      <c r="Z55" s="2589"/>
      <c r="AA55" s="1121">
        <f xml:space="preserve"> IF( SUM( AC55:AC55 ) = 0, 0,#REF! )</f>
        <v>0</v>
      </c>
      <c r="AB55" s="2589"/>
    </row>
    <row r="56" spans="2:28" ht="19">
      <c r="B56" s="1406" t="s">
        <v>13106</v>
      </c>
      <c r="C56" s="1341" t="s">
        <v>13167</v>
      </c>
      <c r="D56" s="1411">
        <f>135.046*0.64</f>
        <v>86.42944</v>
      </c>
      <c r="E56" s="1341" t="s">
        <v>1344</v>
      </c>
      <c r="F56" s="1341">
        <v>1</v>
      </c>
      <c r="G56" s="1418">
        <v>1</v>
      </c>
      <c r="H56" s="1343"/>
      <c r="I56" s="2085">
        <v>0</v>
      </c>
      <c r="J56" s="1407">
        <f>IFERROR(I56/$G56,0)</f>
        <v>0</v>
      </c>
      <c r="K56" s="1401"/>
      <c r="L56" s="1408">
        <v>0</v>
      </c>
      <c r="M56" s="1409">
        <f>L56/$G56</f>
        <v>0</v>
      </c>
      <c r="N56" s="1404"/>
      <c r="O56" s="1408">
        <v>0</v>
      </c>
      <c r="P56" s="1409">
        <f>O56/$G56</f>
        <v>0</v>
      </c>
      <c r="Q56" s="1404"/>
      <c r="R56" s="1408">
        <v>0</v>
      </c>
      <c r="S56" s="1409">
        <f>R56/$G56</f>
        <v>0</v>
      </c>
      <c r="T56" s="1404"/>
      <c r="U56" s="1408"/>
      <c r="V56" s="1409"/>
      <c r="W56" s="2609"/>
      <c r="X56" s="1410" t="s">
        <v>13168</v>
      </c>
      <c r="Y56" s="2560"/>
      <c r="Z56" s="2589"/>
      <c r="AA56" s="1121">
        <f xml:space="preserve"> IF( SUM( AC56:AC56 ) = 0, 0,#REF! )</f>
        <v>0</v>
      </c>
      <c r="AB56" s="2589"/>
    </row>
    <row r="57" spans="2:28" ht="19.5" thickBot="1">
      <c r="B57" s="1388" t="s">
        <v>13109</v>
      </c>
      <c r="C57" s="1334" t="s">
        <v>13169</v>
      </c>
      <c r="D57" s="1413">
        <f>135.046*0.36</f>
        <v>48.616559999999993</v>
      </c>
      <c r="E57" s="1334" t="s">
        <v>1344</v>
      </c>
      <c r="F57" s="1334">
        <v>1</v>
      </c>
      <c r="G57" s="1419">
        <v>1</v>
      </c>
      <c r="H57" s="1343"/>
      <c r="I57" s="2086">
        <v>0</v>
      </c>
      <c r="J57" s="1414">
        <f>IFERROR(I57/$G57,0)</f>
        <v>0</v>
      </c>
      <c r="K57" s="1401"/>
      <c r="L57" s="1415">
        <v>0</v>
      </c>
      <c r="M57" s="1416">
        <f>L57/$G57</f>
        <v>0</v>
      </c>
      <c r="N57" s="1404"/>
      <c r="O57" s="1415">
        <v>0</v>
      </c>
      <c r="P57" s="1416">
        <f>O57/$G57</f>
        <v>0</v>
      </c>
      <c r="Q57" s="1404"/>
      <c r="R57" s="1415">
        <v>0</v>
      </c>
      <c r="S57" s="1416">
        <f>R57/$G57</f>
        <v>0</v>
      </c>
      <c r="T57" s="1404"/>
      <c r="U57" s="1415"/>
      <c r="V57" s="1416"/>
      <c r="W57" s="2609"/>
      <c r="X57" s="1398" t="s">
        <v>13170</v>
      </c>
      <c r="Y57" s="2560"/>
      <c r="Z57" s="2589"/>
      <c r="AA57" s="1121">
        <f xml:space="preserve"> IF( SUM( AC57:AC57 ) = 0, 0,#REF! )</f>
        <v>0</v>
      </c>
      <c r="AB57" s="2589"/>
    </row>
    <row r="58" spans="2:28" ht="19.5" thickTop="1">
      <c r="B58" s="2560"/>
      <c r="C58" s="2560"/>
      <c r="D58" s="1420"/>
      <c r="E58" s="2560"/>
      <c r="F58" s="2560"/>
      <c r="G58" s="2560"/>
      <c r="H58" s="1343"/>
      <c r="I58" s="2560"/>
      <c r="J58" s="2560"/>
      <c r="K58" s="2560"/>
      <c r="L58" s="2609"/>
      <c r="M58" s="2609"/>
      <c r="N58" s="2609"/>
      <c r="O58" s="2609"/>
      <c r="P58" s="2609"/>
      <c r="Q58" s="2609"/>
      <c r="R58" s="2609"/>
      <c r="S58" s="2609"/>
      <c r="T58" s="2609"/>
      <c r="U58" s="2609"/>
      <c r="V58" s="2609"/>
      <c r="W58" s="2609"/>
      <c r="X58" s="2560"/>
      <c r="Y58" s="2560"/>
      <c r="Z58" s="2589"/>
      <c r="AA58" s="1121">
        <f xml:space="preserve"> IF( SUM( AC58:AC58 ) = 0, 0,#REF! )</f>
        <v>0</v>
      </c>
      <c r="AB58" s="2589"/>
    </row>
    <row r="59" spans="2:28" ht="14.5" thickBot="1">
      <c r="B59" s="2560"/>
      <c r="C59" s="2560"/>
      <c r="D59" s="2560"/>
      <c r="E59" s="2560"/>
      <c r="F59" s="2560"/>
      <c r="G59" s="2560"/>
      <c r="H59" s="2560"/>
      <c r="I59" s="2560"/>
      <c r="J59" s="2560"/>
      <c r="K59" s="2560"/>
      <c r="L59" s="2609"/>
      <c r="M59" s="2609"/>
      <c r="N59" s="2609"/>
      <c r="O59" s="2609"/>
      <c r="P59" s="2609"/>
      <c r="Q59" s="2609"/>
      <c r="R59" s="2609"/>
      <c r="S59" s="2609"/>
      <c r="T59" s="2609"/>
      <c r="U59" s="2609"/>
      <c r="V59" s="2609"/>
      <c r="W59" s="2609"/>
      <c r="X59" s="2560"/>
      <c r="Y59" s="2560"/>
      <c r="Z59" s="2589"/>
      <c r="AA59" s="1121">
        <f xml:space="preserve"> IF( SUM( AC59:AC59 ) = 0, 0,#REF! )</f>
        <v>0</v>
      </c>
      <c r="AB59" s="2589"/>
    </row>
    <row r="60" spans="2:28" ht="19.5" thickTop="1">
      <c r="B60" s="1386" t="s">
        <v>13171</v>
      </c>
      <c r="C60" s="1387" t="s">
        <v>13095</v>
      </c>
      <c r="D60" s="2560"/>
      <c r="E60" s="2560"/>
      <c r="F60" s="2560"/>
      <c r="G60" s="1343"/>
      <c r="H60" s="1343"/>
      <c r="I60" s="1343"/>
      <c r="J60" s="1343"/>
      <c r="K60" s="1343"/>
      <c r="L60" s="1349"/>
      <c r="M60" s="2609"/>
      <c r="N60" s="1349"/>
      <c r="O60" s="1349"/>
      <c r="P60" s="2609"/>
      <c r="Q60" s="1349"/>
      <c r="R60" s="1349"/>
      <c r="S60" s="2609"/>
      <c r="T60" s="1349"/>
      <c r="U60" s="1349"/>
      <c r="V60" s="2609"/>
      <c r="W60" s="2609"/>
      <c r="X60" s="2560"/>
      <c r="Y60" s="2560"/>
      <c r="Z60" s="2589"/>
      <c r="AA60" s="1121">
        <f xml:space="preserve"> IF( SUM( AC60:AC60 ) = 0, 0,#REF! )</f>
        <v>0</v>
      </c>
      <c r="AB60" s="2589"/>
    </row>
    <row r="61" spans="2:28" ht="19.5" thickBot="1">
      <c r="B61" s="1388" t="s">
        <v>13172</v>
      </c>
      <c r="C61" s="1421">
        <v>20.12</v>
      </c>
      <c r="D61" s="1355"/>
      <c r="E61" s="1355"/>
      <c r="F61" s="1355"/>
      <c r="G61" s="1343"/>
      <c r="H61" s="1343"/>
      <c r="I61" s="1343"/>
      <c r="J61" s="1343"/>
      <c r="K61" s="1343"/>
      <c r="L61" s="1349"/>
      <c r="M61" s="2609"/>
      <c r="N61" s="1349"/>
      <c r="O61" s="1349"/>
      <c r="P61" s="2609"/>
      <c r="Q61" s="1349"/>
      <c r="R61" s="1349"/>
      <c r="S61" s="2609"/>
      <c r="T61" s="1349"/>
      <c r="U61" s="1349"/>
      <c r="V61" s="2609"/>
      <c r="W61" s="2609"/>
      <c r="X61" s="2560"/>
      <c r="Y61" s="2560"/>
      <c r="Z61" s="2589"/>
      <c r="AA61" s="1121">
        <f xml:space="preserve"> IF( SUM( AC61:AC61 ) = 0, 0,#REF! )</f>
        <v>0</v>
      </c>
      <c r="AB61" s="2589"/>
    </row>
    <row r="62" spans="2:28" ht="21" customHeight="1" thickTop="1" thickBot="1">
      <c r="B62" s="2560"/>
      <c r="C62" s="1343"/>
      <c r="D62" s="1343"/>
      <c r="E62" s="1343"/>
      <c r="F62" s="1343"/>
      <c r="G62" s="1343"/>
      <c r="H62" s="1343"/>
      <c r="I62" s="2913" t="s">
        <v>1696</v>
      </c>
      <c r="J62" s="2914"/>
      <c r="K62" s="1343"/>
      <c r="L62" s="2915" t="s">
        <v>1855</v>
      </c>
      <c r="M62" s="2916"/>
      <c r="N62" s="1349"/>
      <c r="O62" s="2915" t="s">
        <v>11035</v>
      </c>
      <c r="P62" s="2916"/>
      <c r="Q62" s="1349"/>
      <c r="R62" s="2915" t="s">
        <v>11036</v>
      </c>
      <c r="S62" s="2916"/>
      <c r="T62" s="1349"/>
      <c r="U62" s="2915" t="s">
        <v>13097</v>
      </c>
      <c r="V62" s="2916"/>
      <c r="W62" s="2609"/>
      <c r="X62" s="2560"/>
      <c r="Y62" s="2560"/>
      <c r="Z62" s="2589"/>
      <c r="AA62" s="1121">
        <f xml:space="preserve"> IF( SUM( AC62:AC62 ) = 0, 0,#REF! )</f>
        <v>0</v>
      </c>
      <c r="AB62" s="2589"/>
    </row>
    <row r="63" spans="2:28" ht="38.5" thickTop="1" thickBot="1">
      <c r="B63" s="2560"/>
      <c r="C63" s="1339" t="s">
        <v>0</v>
      </c>
      <c r="D63" s="1326" t="s">
        <v>13098</v>
      </c>
      <c r="E63" s="1326" t="s">
        <v>135</v>
      </c>
      <c r="F63" s="1326" t="s">
        <v>13040</v>
      </c>
      <c r="G63" s="1327" t="s">
        <v>13099</v>
      </c>
      <c r="H63" s="1343"/>
      <c r="I63" s="1389" t="s">
        <v>13100</v>
      </c>
      <c r="J63" s="1344" t="s">
        <v>13101</v>
      </c>
      <c r="K63" s="1343"/>
      <c r="L63" s="1390" t="s">
        <v>13100</v>
      </c>
      <c r="M63" s="1391" t="s">
        <v>13101</v>
      </c>
      <c r="N63" s="1349"/>
      <c r="O63" s="1390" t="s">
        <v>13100</v>
      </c>
      <c r="P63" s="1391" t="s">
        <v>13101</v>
      </c>
      <c r="Q63" s="1349"/>
      <c r="R63" s="1390" t="s">
        <v>13100</v>
      </c>
      <c r="S63" s="1391" t="s">
        <v>13101</v>
      </c>
      <c r="T63" s="1349"/>
      <c r="U63" s="1390" t="s">
        <v>13100</v>
      </c>
      <c r="V63" s="1391" t="s">
        <v>13101</v>
      </c>
      <c r="W63" s="2609"/>
      <c r="X63" s="1392" t="s">
        <v>1896</v>
      </c>
      <c r="Y63" s="2560"/>
      <c r="Z63" s="2589"/>
      <c r="AA63" s="1121">
        <f xml:space="preserve"> IF( SUM( AC63:AC63 ) = 0, 0,#REF! )</f>
        <v>0</v>
      </c>
      <c r="AB63" s="2589"/>
    </row>
    <row r="64" spans="2:28" ht="25.5" thickTop="1">
      <c r="B64" s="1399" t="s">
        <v>13102</v>
      </c>
      <c r="C64" s="1333" t="s">
        <v>13173</v>
      </c>
      <c r="D64" s="1422">
        <v>15.47023313</v>
      </c>
      <c r="E64" s="1333" t="s">
        <v>1387</v>
      </c>
      <c r="F64" s="1333">
        <v>3</v>
      </c>
      <c r="G64" s="1345">
        <v>66.319000000000003</v>
      </c>
      <c r="H64" s="1343"/>
      <c r="I64" s="2087">
        <v>0</v>
      </c>
      <c r="J64" s="1417">
        <f>IFERROR(I64/$G64,0)</f>
        <v>0</v>
      </c>
      <c r="K64" s="1401"/>
      <c r="L64" s="1402">
        <v>0</v>
      </c>
      <c r="M64" s="1403">
        <f>L64/$G64</f>
        <v>0</v>
      </c>
      <c r="N64" s="1404"/>
      <c r="O64" s="1402">
        <v>0</v>
      </c>
      <c r="P64" s="1403">
        <f>O64/$G64</f>
        <v>0</v>
      </c>
      <c r="Q64" s="1404"/>
      <c r="R64" s="1402">
        <v>0</v>
      </c>
      <c r="S64" s="1403">
        <f>R64/$G64</f>
        <v>0</v>
      </c>
      <c r="T64" s="1404"/>
      <c r="U64" s="1402"/>
      <c r="V64" s="1403"/>
      <c r="W64" s="2609"/>
      <c r="X64" s="1405" t="s">
        <v>13174</v>
      </c>
      <c r="Y64" s="2560"/>
      <c r="Z64" s="2589"/>
      <c r="AA64" s="1121">
        <f xml:space="preserve"> IF( SUM( AC64:AC64 ) = 0, 0,#REF! )</f>
        <v>0</v>
      </c>
      <c r="AB64" s="2589"/>
    </row>
    <row r="65" spans="2:28" ht="54.75" customHeight="1" thickBot="1">
      <c r="B65" s="1388" t="s">
        <v>13106</v>
      </c>
      <c r="C65" s="1334" t="s">
        <v>13175</v>
      </c>
      <c r="D65" s="1413">
        <v>4.6497009</v>
      </c>
      <c r="E65" s="1334" t="s">
        <v>1387</v>
      </c>
      <c r="F65" s="1334">
        <v>3</v>
      </c>
      <c r="G65" s="1421">
        <v>91.01</v>
      </c>
      <c r="H65" s="1343"/>
      <c r="I65" s="2088">
        <v>0</v>
      </c>
      <c r="J65" s="1414">
        <f>IFERROR(I65/$G65,0)</f>
        <v>0</v>
      </c>
      <c r="K65" s="1401"/>
      <c r="L65" s="1415">
        <v>0</v>
      </c>
      <c r="M65" s="1416">
        <f>L65/$G65</f>
        <v>0</v>
      </c>
      <c r="N65" s="1404"/>
      <c r="O65" s="1415">
        <v>0</v>
      </c>
      <c r="P65" s="1416">
        <f>O65/$G65</f>
        <v>0</v>
      </c>
      <c r="Q65" s="1404"/>
      <c r="R65" s="1415">
        <v>0</v>
      </c>
      <c r="S65" s="1416">
        <f>R65/$G65</f>
        <v>0</v>
      </c>
      <c r="T65" s="1404"/>
      <c r="U65" s="1415"/>
      <c r="V65" s="1416"/>
      <c r="W65" s="2609"/>
      <c r="X65" s="1398" t="s">
        <v>13176</v>
      </c>
      <c r="Y65" s="2560"/>
      <c r="Z65" s="2589"/>
      <c r="AA65" s="1121">
        <f xml:space="preserve"> IF( SUM( AC65:AC65 ) = 0, 0,#REF! )</f>
        <v>0</v>
      </c>
      <c r="AB65" s="2589"/>
    </row>
    <row r="66" spans="2:28" ht="15" thickTop="1">
      <c r="B66" s="2560"/>
      <c r="C66" s="2560"/>
      <c r="D66" s="1423"/>
      <c r="E66" s="2560"/>
      <c r="F66" s="2560"/>
      <c r="G66" s="2560"/>
      <c r="H66" s="2560"/>
      <c r="I66" s="2560"/>
      <c r="J66" s="2560"/>
      <c r="K66" s="2560"/>
      <c r="L66" s="2609"/>
      <c r="M66" s="2609"/>
      <c r="N66" s="2609"/>
      <c r="O66" s="2609"/>
      <c r="P66" s="2609"/>
      <c r="Q66" s="2609"/>
      <c r="R66" s="2609"/>
      <c r="S66" s="2609"/>
      <c r="T66" s="2609"/>
      <c r="U66" s="2609"/>
      <c r="V66" s="2609"/>
      <c r="W66" s="2609"/>
      <c r="X66" s="2560"/>
      <c r="Y66" s="2560"/>
      <c r="Z66" s="2589"/>
      <c r="AA66" s="1121">
        <f xml:space="preserve"> IF( SUM( AC66:AC66 ) = 0, 0,#REF! )</f>
        <v>0</v>
      </c>
      <c r="AB66" s="2589"/>
    </row>
    <row r="67" spans="2:28" ht="19.5" thickBot="1">
      <c r="B67" s="2560"/>
      <c r="C67" s="2560"/>
      <c r="D67" s="2560"/>
      <c r="E67" s="2560"/>
      <c r="F67" s="2560"/>
      <c r="G67" s="2560"/>
      <c r="H67" s="1343"/>
      <c r="I67" s="2560"/>
      <c r="J67" s="2560"/>
      <c r="K67" s="2560"/>
      <c r="L67" s="2609"/>
      <c r="M67" s="2609"/>
      <c r="N67" s="2609"/>
      <c r="O67" s="2609"/>
      <c r="P67" s="2609"/>
      <c r="Q67" s="2609"/>
      <c r="R67" s="2609"/>
      <c r="S67" s="2609"/>
      <c r="T67" s="2609"/>
      <c r="U67" s="2609"/>
      <c r="V67" s="2609"/>
      <c r="W67" s="2609"/>
      <c r="X67" s="2560"/>
      <c r="Y67" s="2560"/>
      <c r="Z67" s="2589"/>
      <c r="AA67" s="1121">
        <f xml:space="preserve"> IF( SUM( AC67:AC67 ) = 0, 0,#REF! )</f>
        <v>0</v>
      </c>
      <c r="AB67" s="2589"/>
    </row>
    <row r="68" spans="2:28" ht="19.5" thickTop="1">
      <c r="B68" s="1386" t="s">
        <v>13177</v>
      </c>
      <c r="C68" s="1387" t="s">
        <v>13095</v>
      </c>
      <c r="D68" s="2560"/>
      <c r="E68" s="2560"/>
      <c r="F68" s="2560"/>
      <c r="G68" s="1343"/>
      <c r="H68" s="1343"/>
      <c r="I68" s="1343"/>
      <c r="J68" s="1343"/>
      <c r="K68" s="1343"/>
      <c r="L68" s="1349"/>
      <c r="M68" s="2609"/>
      <c r="N68" s="1349"/>
      <c r="O68" s="1349"/>
      <c r="P68" s="2609"/>
      <c r="Q68" s="1349"/>
      <c r="R68" s="1349"/>
      <c r="S68" s="2609"/>
      <c r="T68" s="1349"/>
      <c r="U68" s="1349"/>
      <c r="V68" s="2609"/>
      <c r="W68" s="2609"/>
      <c r="X68" s="2560"/>
      <c r="Y68" s="2560"/>
      <c r="Z68" s="2589"/>
      <c r="AA68" s="1121">
        <f xml:space="preserve"> IF( SUM( AC68:AC68 ) = 0, 0,#REF! )</f>
        <v>0</v>
      </c>
      <c r="AB68" s="2589"/>
    </row>
    <row r="69" spans="2:28" ht="19.5" thickBot="1">
      <c r="B69" s="1388" t="s">
        <v>13178</v>
      </c>
      <c r="C69" s="1421">
        <v>74.626000000000005</v>
      </c>
      <c r="D69" s="1355"/>
      <c r="E69" s="1355"/>
      <c r="F69" s="1355"/>
      <c r="G69" s="1343"/>
      <c r="H69" s="1343"/>
      <c r="I69" s="1343"/>
      <c r="J69" s="1343"/>
      <c r="K69" s="1343"/>
      <c r="L69" s="1349"/>
      <c r="M69" s="2609"/>
      <c r="N69" s="1349"/>
      <c r="O69" s="1349"/>
      <c r="P69" s="2609"/>
      <c r="Q69" s="1349"/>
      <c r="R69" s="1349"/>
      <c r="S69" s="2609"/>
      <c r="T69" s="1349"/>
      <c r="U69" s="1349"/>
      <c r="V69" s="2609"/>
      <c r="W69" s="2609"/>
      <c r="X69" s="2560"/>
      <c r="Y69" s="2560"/>
      <c r="Z69" s="2589"/>
      <c r="AA69" s="1121">
        <f xml:space="preserve"> IF( SUM( AC69:AC69 ) = 0, 0,#REF! )</f>
        <v>0</v>
      </c>
      <c r="AB69" s="2589"/>
    </row>
    <row r="70" spans="2:28" ht="20" thickTop="1" thickBot="1">
      <c r="B70" s="1355"/>
      <c r="C70" s="2560"/>
      <c r="D70" s="1355"/>
      <c r="E70" s="1355"/>
      <c r="F70" s="1355"/>
      <c r="G70" s="1343"/>
      <c r="H70" s="1343"/>
      <c r="I70" s="1343"/>
      <c r="J70" s="1343"/>
      <c r="K70" s="1343"/>
      <c r="L70" s="1349"/>
      <c r="M70" s="2609"/>
      <c r="N70" s="1349"/>
      <c r="O70" s="1349"/>
      <c r="P70" s="2609"/>
      <c r="Q70" s="1349"/>
      <c r="R70" s="1349"/>
      <c r="S70" s="2609"/>
      <c r="T70" s="1349"/>
      <c r="U70" s="1349"/>
      <c r="V70" s="2609"/>
      <c r="W70" s="2609"/>
      <c r="X70" s="2560"/>
      <c r="Y70" s="2560"/>
      <c r="Z70" s="2589"/>
      <c r="AA70" s="1121">
        <f xml:space="preserve"> IF( SUM( AC70:AC70 ) = 0, 0,#REF! )</f>
        <v>0</v>
      </c>
      <c r="AB70" s="2589"/>
    </row>
    <row r="71" spans="2:28" ht="21" customHeight="1" thickTop="1" thickBot="1">
      <c r="B71" s="2560"/>
      <c r="C71" s="2560"/>
      <c r="D71" s="2560"/>
      <c r="E71" s="2560"/>
      <c r="F71" s="2560"/>
      <c r="G71" s="2560"/>
      <c r="H71" s="1343"/>
      <c r="I71" s="2913" t="s">
        <v>1696</v>
      </c>
      <c r="J71" s="2914"/>
      <c r="K71" s="1343"/>
      <c r="L71" s="2915" t="s">
        <v>1855</v>
      </c>
      <c r="M71" s="2916"/>
      <c r="N71" s="1349"/>
      <c r="O71" s="2915" t="s">
        <v>11035</v>
      </c>
      <c r="P71" s="2916"/>
      <c r="Q71" s="1349"/>
      <c r="R71" s="2915" t="s">
        <v>11036</v>
      </c>
      <c r="S71" s="2916"/>
      <c r="T71" s="1349"/>
      <c r="U71" s="2915" t="s">
        <v>13097</v>
      </c>
      <c r="V71" s="2916"/>
      <c r="W71" s="2609"/>
      <c r="X71" s="2560"/>
      <c r="Y71" s="2560"/>
      <c r="Z71" s="2589"/>
      <c r="AA71" s="1121">
        <f xml:space="preserve"> IF( SUM( AC71:AC71 ) = 0, 0,#REF! )</f>
        <v>0</v>
      </c>
      <c r="AB71" s="2589"/>
    </row>
    <row r="72" spans="2:28" ht="38.5" thickTop="1" thickBot="1">
      <c r="B72" s="2560"/>
      <c r="C72" s="1339" t="s">
        <v>0</v>
      </c>
      <c r="D72" s="1326" t="s">
        <v>13098</v>
      </c>
      <c r="E72" s="1326" t="s">
        <v>135</v>
      </c>
      <c r="F72" s="1326" t="s">
        <v>13040</v>
      </c>
      <c r="G72" s="1327" t="s">
        <v>13099</v>
      </c>
      <c r="H72" s="1343"/>
      <c r="I72" s="1389" t="s">
        <v>13100</v>
      </c>
      <c r="J72" s="1344" t="s">
        <v>13101</v>
      </c>
      <c r="K72" s="1343"/>
      <c r="L72" s="1390" t="s">
        <v>13100</v>
      </c>
      <c r="M72" s="1391" t="s">
        <v>13101</v>
      </c>
      <c r="N72" s="1349"/>
      <c r="O72" s="1390" t="s">
        <v>13100</v>
      </c>
      <c r="P72" s="1391" t="s">
        <v>13101</v>
      </c>
      <c r="Q72" s="1349"/>
      <c r="R72" s="1390" t="s">
        <v>13100</v>
      </c>
      <c r="S72" s="1391" t="s">
        <v>13101</v>
      </c>
      <c r="T72" s="1349"/>
      <c r="U72" s="1390" t="s">
        <v>13100</v>
      </c>
      <c r="V72" s="1391" t="s">
        <v>13101</v>
      </c>
      <c r="W72" s="2609"/>
      <c r="X72" s="1392" t="s">
        <v>1896</v>
      </c>
      <c r="Y72" s="2560"/>
      <c r="Z72" s="2589"/>
      <c r="AA72" s="1121">
        <f xml:space="preserve"> IF( SUM( AC72:AC72 ) = 0, 0,#REF! )</f>
        <v>0</v>
      </c>
      <c r="AB72" s="2589"/>
    </row>
    <row r="73" spans="2:28" ht="88.5" thickTop="1" thickBot="1">
      <c r="B73" s="1393" t="s">
        <v>13102</v>
      </c>
      <c r="C73" s="1329" t="s">
        <v>13179</v>
      </c>
      <c r="D73" s="1424">
        <f>2870.23*G73/1000000</f>
        <v>74.625979999999998</v>
      </c>
      <c r="E73" s="1329" t="s">
        <v>13104</v>
      </c>
      <c r="F73" s="1329">
        <v>0</v>
      </c>
      <c r="G73" s="1394">
        <v>26000</v>
      </c>
      <c r="H73" s="1343"/>
      <c r="I73" s="2081">
        <v>0</v>
      </c>
      <c r="J73" s="1425">
        <f>IFERROR(I73/$G73,0)</f>
        <v>0</v>
      </c>
      <c r="K73" s="1343"/>
      <c r="L73" s="1396">
        <v>0</v>
      </c>
      <c r="M73" s="1397">
        <f>L73/$G73</f>
        <v>0</v>
      </c>
      <c r="N73" s="1349"/>
      <c r="O73" s="1396">
        <v>0</v>
      </c>
      <c r="P73" s="1397">
        <f>O73/$G73</f>
        <v>0</v>
      </c>
      <c r="Q73" s="1349"/>
      <c r="R73" s="1396">
        <v>0</v>
      </c>
      <c r="S73" s="1397">
        <f>R73/$G73</f>
        <v>0</v>
      </c>
      <c r="T73" s="1349"/>
      <c r="U73" s="1396"/>
      <c r="V73" s="1397"/>
      <c r="W73" s="2609"/>
      <c r="X73" s="1398" t="s">
        <v>13180</v>
      </c>
      <c r="Y73" s="2560"/>
      <c r="Z73" s="2589"/>
      <c r="AA73" s="1121">
        <f xml:space="preserve"> IF( SUM( AC73:AC73 ) = 0, 0,#REF! )</f>
        <v>0</v>
      </c>
      <c r="AB73" s="2589"/>
    </row>
    <row r="74" spans="2:28" ht="15" thickTop="1" thickBot="1">
      <c r="B74" s="2560"/>
      <c r="C74" s="2560"/>
      <c r="D74" s="2560"/>
      <c r="E74" s="2560"/>
      <c r="F74" s="2560"/>
      <c r="G74" s="2560"/>
      <c r="H74" s="2560"/>
      <c r="I74" s="2560"/>
      <c r="J74" s="2560"/>
      <c r="K74" s="2560"/>
      <c r="L74" s="2609"/>
      <c r="M74" s="2609"/>
      <c r="N74" s="2609"/>
      <c r="O74" s="2609"/>
      <c r="P74" s="2609"/>
      <c r="Q74" s="2609"/>
      <c r="R74" s="2609"/>
      <c r="S74" s="2609"/>
      <c r="T74" s="2609"/>
      <c r="U74" s="2609"/>
      <c r="V74" s="2609"/>
      <c r="W74" s="2609"/>
      <c r="X74" s="2560"/>
      <c r="Y74" s="2560"/>
      <c r="Z74" s="2589"/>
      <c r="AA74" s="1121">
        <f xml:space="preserve"> IF( SUM( AC74:AC74 ) = 0, 0,#REF! )</f>
        <v>0</v>
      </c>
      <c r="AB74" s="2589"/>
    </row>
    <row r="75" spans="2:28" ht="14.5" thickTop="1">
      <c r="B75" s="1386" t="s">
        <v>13181</v>
      </c>
      <c r="C75" s="1387" t="s">
        <v>13095</v>
      </c>
      <c r="D75" s="2560"/>
      <c r="E75" s="2560"/>
      <c r="F75" s="2560"/>
      <c r="G75" s="2560"/>
      <c r="H75" s="2560"/>
      <c r="I75" s="2560"/>
      <c r="J75" s="2560"/>
      <c r="K75" s="2560"/>
      <c r="L75" s="2609"/>
      <c r="M75" s="2609"/>
      <c r="N75" s="2609"/>
      <c r="O75" s="2609"/>
      <c r="P75" s="2609"/>
      <c r="Q75" s="2609"/>
      <c r="R75" s="2609"/>
      <c r="S75" s="2609"/>
      <c r="T75" s="2609"/>
      <c r="U75" s="2609"/>
      <c r="V75" s="2609"/>
      <c r="W75" s="2609"/>
      <c r="X75" s="2560"/>
      <c r="Y75" s="2560"/>
      <c r="Z75" s="2589"/>
      <c r="AA75" s="1121">
        <f xml:space="preserve"> IF( SUM( AC75:AC75 ) = 0, 0,#REF! )</f>
        <v>0</v>
      </c>
      <c r="AB75" s="2589"/>
    </row>
    <row r="76" spans="2:28" ht="25.5" thickBot="1">
      <c r="B76" s="1388" t="s">
        <v>13182</v>
      </c>
      <c r="C76" s="1421">
        <v>7.93</v>
      </c>
      <c r="D76" s="2560"/>
      <c r="E76" s="2560"/>
      <c r="F76" s="2560"/>
      <c r="G76" s="2560"/>
      <c r="H76" s="2560"/>
      <c r="I76" s="2560"/>
      <c r="J76" s="2560"/>
      <c r="K76" s="2560"/>
      <c r="L76" s="2609"/>
      <c r="M76" s="2609"/>
      <c r="N76" s="2609"/>
      <c r="O76" s="2609"/>
      <c r="P76" s="2609"/>
      <c r="Q76" s="2609"/>
      <c r="R76" s="2609"/>
      <c r="S76" s="2609"/>
      <c r="T76" s="2609"/>
      <c r="U76" s="2609"/>
      <c r="V76" s="2609"/>
      <c r="W76" s="2609"/>
      <c r="X76" s="2560"/>
      <c r="Y76" s="2560"/>
      <c r="Z76" s="2589"/>
      <c r="AA76" s="1121">
        <f xml:space="preserve"> IF( SUM( AC76:AC76 ) = 0, 0,#REF! )</f>
        <v>0</v>
      </c>
      <c r="AB76" s="2589"/>
    </row>
    <row r="77" spans="2:28" ht="14.5" thickTop="1">
      <c r="B77" s="2560"/>
      <c r="C77" s="2560"/>
      <c r="D77" s="2560"/>
      <c r="E77" s="2560"/>
      <c r="F77" s="2560"/>
      <c r="G77" s="2560"/>
      <c r="H77" s="2560"/>
      <c r="I77" s="2560"/>
      <c r="J77" s="2560"/>
      <c r="K77" s="2560"/>
      <c r="L77" s="2609"/>
      <c r="M77" s="2609"/>
      <c r="N77" s="2609"/>
      <c r="O77" s="2609"/>
      <c r="P77" s="2609"/>
      <c r="Q77" s="2609"/>
      <c r="R77" s="2609"/>
      <c r="S77" s="2609"/>
      <c r="T77" s="2609"/>
      <c r="U77" s="2609"/>
      <c r="V77" s="2609"/>
      <c r="W77" s="2609"/>
      <c r="X77" s="2560"/>
      <c r="Y77" s="2560"/>
      <c r="Z77" s="2589"/>
      <c r="AA77" s="1121">
        <f xml:space="preserve"> IF( SUM( AC77:AC77 ) = 0, 0,#REF! )</f>
        <v>0</v>
      </c>
      <c r="AB77" s="2589"/>
    </row>
    <row r="78" spans="2:28">
      <c r="B78" s="2560"/>
      <c r="C78" s="2560"/>
      <c r="D78" s="2560"/>
      <c r="E78" s="2560"/>
      <c r="F78" s="2560"/>
      <c r="G78" s="2560"/>
      <c r="H78" s="2560"/>
      <c r="I78" s="2560"/>
      <c r="J78" s="2560"/>
      <c r="K78" s="2560"/>
      <c r="L78" s="2609"/>
      <c r="M78" s="2609"/>
      <c r="N78" s="2609"/>
      <c r="O78" s="2609"/>
      <c r="P78" s="2609"/>
      <c r="Q78" s="2609"/>
      <c r="R78" s="2609"/>
      <c r="S78" s="2609"/>
      <c r="T78" s="2609"/>
      <c r="U78" s="2609"/>
      <c r="V78" s="2609"/>
      <c r="W78" s="2609"/>
      <c r="X78" s="2560"/>
      <c r="Y78" s="2560"/>
      <c r="Z78" s="2589"/>
      <c r="AA78" s="1121">
        <f xml:space="preserve"> IF( SUM( AC78:AC78 ) = 0, 0,#REF! )</f>
        <v>0</v>
      </c>
      <c r="AB78" s="2589"/>
    </row>
    <row r="79" spans="2:28">
      <c r="B79" s="2560"/>
      <c r="C79" s="2560"/>
      <c r="D79" s="2560"/>
      <c r="E79" s="2560"/>
      <c r="F79" s="2560"/>
      <c r="G79" s="2560"/>
      <c r="H79" s="2560"/>
      <c r="I79" s="2560"/>
      <c r="J79" s="2560"/>
      <c r="K79" s="2560"/>
      <c r="L79" s="2609"/>
      <c r="M79" s="2609"/>
      <c r="N79" s="2609"/>
      <c r="O79" s="2609"/>
      <c r="P79" s="2609"/>
      <c r="Q79" s="2609"/>
      <c r="R79" s="2609"/>
      <c r="S79" s="2609"/>
      <c r="T79" s="2609"/>
      <c r="U79" s="2609"/>
      <c r="V79" s="2609"/>
      <c r="W79" s="2609"/>
      <c r="X79" s="2560"/>
      <c r="Y79" s="2560"/>
      <c r="Z79" s="2589"/>
      <c r="AA79" s="1121">
        <f xml:space="preserve"> IF( SUM( AC79:AC79 ) = 0, 0,#REF! )</f>
        <v>0</v>
      </c>
      <c r="AB79" s="2589"/>
    </row>
    <row r="80" spans="2:28">
      <c r="B80" s="2560"/>
      <c r="C80" s="2560"/>
      <c r="D80" s="2560"/>
      <c r="E80" s="2560"/>
      <c r="F80" s="2560"/>
      <c r="G80" s="2560"/>
      <c r="H80" s="2560"/>
      <c r="I80" s="2560"/>
      <c r="J80" s="2560"/>
      <c r="K80" s="2560"/>
      <c r="L80" s="2609"/>
      <c r="M80" s="2609"/>
      <c r="N80" s="2609"/>
      <c r="O80" s="2609"/>
      <c r="P80" s="2609"/>
      <c r="Q80" s="2609"/>
      <c r="R80" s="2609"/>
      <c r="S80" s="2609"/>
      <c r="T80" s="2609"/>
      <c r="U80" s="2609"/>
      <c r="V80" s="2609"/>
      <c r="W80" s="2609"/>
      <c r="X80" s="2560"/>
      <c r="Y80" s="2560"/>
      <c r="Z80" s="2589"/>
      <c r="AA80" s="1121">
        <f xml:space="preserve"> IF( SUM( AC80:AC80 ) = 0, 0,#REF! )</f>
        <v>0</v>
      </c>
      <c r="AB80" s="2589"/>
    </row>
    <row r="81" spans="2:28" ht="25.5" thickBot="1">
      <c r="B81" s="1348" t="s">
        <v>13183</v>
      </c>
      <c r="C81" s="2560"/>
      <c r="D81" s="2560"/>
      <c r="E81" s="2560"/>
      <c r="F81" s="2560"/>
      <c r="G81" s="2560"/>
      <c r="H81" s="2560"/>
      <c r="I81" s="2560"/>
      <c r="J81" s="2560"/>
      <c r="K81" s="2560"/>
      <c r="L81" s="2609"/>
      <c r="M81" s="2609"/>
      <c r="N81" s="2609"/>
      <c r="O81" s="2609"/>
      <c r="P81" s="2609"/>
      <c r="Q81" s="2609"/>
      <c r="R81" s="2609"/>
      <c r="S81" s="2609"/>
      <c r="T81" s="2609"/>
      <c r="U81" s="2609"/>
      <c r="V81" s="2609"/>
      <c r="W81" s="2609"/>
      <c r="X81" s="2560"/>
      <c r="Y81" s="2560"/>
      <c r="Z81" s="2589"/>
      <c r="AA81" s="1121">
        <f xml:space="preserve"> IF( SUM( AC81:AC81 ) = 0, 0,#REF! )</f>
        <v>0</v>
      </c>
      <c r="AB81" s="2589"/>
    </row>
    <row r="82" spans="2:28" ht="14.5" thickTop="1">
      <c r="B82" s="1386" t="s">
        <v>13094</v>
      </c>
      <c r="C82" s="1387" t="s">
        <v>13095</v>
      </c>
      <c r="D82" s="2560"/>
      <c r="E82" s="2560"/>
      <c r="F82" s="2560"/>
      <c r="G82" s="2560"/>
      <c r="H82" s="2560"/>
      <c r="I82" s="2560"/>
      <c r="J82" s="2560"/>
      <c r="K82" s="2560"/>
      <c r="L82" s="2609"/>
      <c r="M82" s="2609"/>
      <c r="N82" s="2609"/>
      <c r="O82" s="2609"/>
      <c r="P82" s="2609"/>
      <c r="Q82" s="2609"/>
      <c r="R82" s="2609"/>
      <c r="S82" s="2609"/>
      <c r="T82" s="2609"/>
      <c r="U82" s="2609"/>
      <c r="V82" s="2609"/>
      <c r="W82" s="2609"/>
      <c r="X82" s="2560"/>
      <c r="Y82" s="2560"/>
      <c r="Z82" s="2589"/>
      <c r="AA82" s="1121">
        <f xml:space="preserve"> IF( SUM( AC82:AC82 ) = 0, 0,#REF! )</f>
        <v>0</v>
      </c>
      <c r="AB82" s="2589"/>
    </row>
    <row r="83" spans="2:28" ht="25.5" thickBot="1">
      <c r="B83" s="1388" t="s">
        <v>13182</v>
      </c>
      <c r="C83" s="1421">
        <v>9.6839999999999993</v>
      </c>
      <c r="D83" s="1355"/>
      <c r="E83" s="1355"/>
      <c r="F83" s="1355"/>
      <c r="G83" s="1343"/>
      <c r="H83" s="1343"/>
      <c r="I83" s="1343"/>
      <c r="J83" s="1343"/>
      <c r="K83" s="1343"/>
      <c r="L83" s="1349"/>
      <c r="M83" s="2609"/>
      <c r="N83" s="1349"/>
      <c r="O83" s="1349"/>
      <c r="P83" s="2609"/>
      <c r="Q83" s="1349"/>
      <c r="R83" s="1349"/>
      <c r="S83" s="2609"/>
      <c r="T83" s="1349"/>
      <c r="U83" s="1349"/>
      <c r="V83" s="2609"/>
      <c r="W83" s="2609"/>
      <c r="X83" s="2560"/>
      <c r="Y83" s="2560"/>
      <c r="Z83" s="2589"/>
      <c r="AA83" s="1121">
        <f xml:space="preserve"> IF( SUM( AC83:AC83 ) = 0, 0,#REF! )</f>
        <v>0</v>
      </c>
      <c r="AB83" s="2589"/>
    </row>
    <row r="84" spans="2:28" ht="20" thickTop="1" thickBot="1">
      <c r="B84" s="1355"/>
      <c r="C84" s="2560"/>
      <c r="D84" s="1355"/>
      <c r="E84" s="1355"/>
      <c r="F84" s="1355"/>
      <c r="G84" s="1343"/>
      <c r="H84" s="1343"/>
      <c r="I84" s="2913" t="s">
        <v>1696</v>
      </c>
      <c r="J84" s="2914"/>
      <c r="K84" s="1343"/>
      <c r="L84" s="2915" t="s">
        <v>1855</v>
      </c>
      <c r="M84" s="2916"/>
      <c r="N84" s="1349"/>
      <c r="O84" s="2915" t="s">
        <v>11035</v>
      </c>
      <c r="P84" s="2916"/>
      <c r="Q84" s="1349"/>
      <c r="R84" s="2915" t="s">
        <v>11036</v>
      </c>
      <c r="S84" s="2916"/>
      <c r="T84" s="1349"/>
      <c r="U84" s="2915" t="s">
        <v>13097</v>
      </c>
      <c r="V84" s="2916"/>
      <c r="W84" s="2609"/>
      <c r="X84" s="2560"/>
      <c r="Y84" s="2560"/>
      <c r="Z84" s="2589"/>
      <c r="AA84" s="1121">
        <f xml:space="preserve"> IF( SUM( AC84:AC84 ) = 0, 0,#REF! )</f>
        <v>0</v>
      </c>
      <c r="AB84" s="2589"/>
    </row>
    <row r="85" spans="2:28" ht="38.5" thickTop="1" thickBot="1">
      <c r="B85" s="2560"/>
      <c r="C85" s="1339" t="s">
        <v>0</v>
      </c>
      <c r="D85" s="1326" t="s">
        <v>13098</v>
      </c>
      <c r="E85" s="1326" t="s">
        <v>135</v>
      </c>
      <c r="F85" s="1326" t="s">
        <v>13040</v>
      </c>
      <c r="G85" s="1327" t="s">
        <v>13099</v>
      </c>
      <c r="H85" s="1343"/>
      <c r="I85" s="1389" t="s">
        <v>13100</v>
      </c>
      <c r="J85" s="1344" t="s">
        <v>13101</v>
      </c>
      <c r="K85" s="1343"/>
      <c r="L85" s="1390" t="s">
        <v>13100</v>
      </c>
      <c r="M85" s="1391" t="s">
        <v>13101</v>
      </c>
      <c r="N85" s="1349"/>
      <c r="O85" s="1390" t="s">
        <v>13100</v>
      </c>
      <c r="P85" s="1391" t="s">
        <v>13101</v>
      </c>
      <c r="Q85" s="1349"/>
      <c r="R85" s="1390" t="s">
        <v>13100</v>
      </c>
      <c r="S85" s="1391" t="s">
        <v>13101</v>
      </c>
      <c r="T85" s="1349"/>
      <c r="U85" s="1390" t="s">
        <v>13100</v>
      </c>
      <c r="V85" s="1391" t="s">
        <v>13101</v>
      </c>
      <c r="W85" s="2609"/>
      <c r="X85" s="1392" t="s">
        <v>1896</v>
      </c>
      <c r="Y85" s="2560"/>
      <c r="Z85" s="2589"/>
      <c r="AA85" s="1121">
        <f xml:space="preserve"> IF( SUM( AC85:AC85 ) = 0, 0,#REF! )</f>
        <v>0</v>
      </c>
      <c r="AB85" s="2589"/>
    </row>
    <row r="86" spans="2:28" ht="26" thickTop="1" thickBot="1">
      <c r="B86" s="1393" t="s">
        <v>13102</v>
      </c>
      <c r="C86" s="1329" t="s">
        <v>13182</v>
      </c>
      <c r="D86" s="1329">
        <v>9.6839999999999993</v>
      </c>
      <c r="E86" s="1329" t="s">
        <v>1344</v>
      </c>
      <c r="F86" s="1329">
        <v>0</v>
      </c>
      <c r="G86" s="1426">
        <v>1</v>
      </c>
      <c r="H86" s="1343"/>
      <c r="I86" s="2089">
        <v>0</v>
      </c>
      <c r="J86" s="1425">
        <f>IFERROR(I86/$G86,0)</f>
        <v>0</v>
      </c>
      <c r="K86" s="1343"/>
      <c r="L86" s="1427">
        <v>0</v>
      </c>
      <c r="M86" s="1397">
        <f>L86/$G86</f>
        <v>0</v>
      </c>
      <c r="N86" s="1349"/>
      <c r="O86" s="1427">
        <v>0</v>
      </c>
      <c r="P86" s="1397">
        <f>O86/$G86</f>
        <v>0</v>
      </c>
      <c r="Q86" s="1349"/>
      <c r="R86" s="1427">
        <v>0</v>
      </c>
      <c r="S86" s="1397">
        <f>R86/$G86</f>
        <v>0</v>
      </c>
      <c r="T86" s="1349"/>
      <c r="U86" s="1427"/>
      <c r="V86" s="1397"/>
      <c r="W86" s="2609"/>
      <c r="X86" s="1398" t="s">
        <v>13184</v>
      </c>
      <c r="Y86" s="2560"/>
      <c r="Z86" s="2589"/>
      <c r="AA86" s="1121">
        <f xml:space="preserve"> IF( SUM( AC86:AC86 ) = 0, 0,#REF! )</f>
        <v>0</v>
      </c>
      <c r="AB86" s="2589"/>
    </row>
    <row r="87" spans="2:28" ht="14.5" thickTop="1">
      <c r="B87" s="2560"/>
      <c r="C87" s="2560"/>
      <c r="D87" s="2560"/>
      <c r="E87" s="2560"/>
      <c r="F87" s="2560"/>
      <c r="G87" s="2560"/>
      <c r="H87" s="2560"/>
      <c r="I87" s="2560"/>
      <c r="J87" s="2560"/>
      <c r="K87" s="2560"/>
      <c r="L87" s="2609"/>
      <c r="M87" s="2609"/>
      <c r="N87" s="2609"/>
      <c r="O87" s="2609"/>
      <c r="P87" s="2609"/>
      <c r="Q87" s="2609"/>
      <c r="R87" s="2609"/>
      <c r="S87" s="2609"/>
      <c r="T87" s="2609"/>
      <c r="U87" s="2609"/>
      <c r="V87" s="2609"/>
      <c r="W87" s="2609"/>
      <c r="X87" s="2560"/>
      <c r="Y87" s="2560"/>
      <c r="Z87" s="2589"/>
      <c r="AA87" s="1121">
        <f xml:space="preserve"> IF( SUM( AC87:AC87 ) = 0, 0,#REF! )</f>
        <v>0</v>
      </c>
      <c r="AB87" s="2589"/>
    </row>
    <row r="88" spans="2:28">
      <c r="B88" s="2560"/>
      <c r="C88" s="2560"/>
      <c r="D88" s="2560"/>
      <c r="E88" s="2560"/>
      <c r="F88" s="2560"/>
      <c r="G88" s="2560"/>
      <c r="H88" s="2560"/>
      <c r="I88" s="2560"/>
      <c r="J88" s="2560"/>
      <c r="K88" s="2560"/>
      <c r="L88" s="2609"/>
      <c r="M88" s="2609"/>
      <c r="N88" s="2609"/>
      <c r="O88" s="2609"/>
      <c r="P88" s="2609"/>
      <c r="Q88" s="2609"/>
      <c r="R88" s="2609"/>
      <c r="S88" s="2609"/>
      <c r="T88" s="2609"/>
      <c r="U88" s="2609"/>
      <c r="V88" s="2609"/>
      <c r="W88" s="2609"/>
      <c r="X88" s="2560"/>
      <c r="Y88" s="2560"/>
      <c r="Z88" s="2589"/>
      <c r="AA88" s="1121">
        <f xml:space="preserve"> IF( SUM( AC88:AC88 ) = 0, 0,#REF! )</f>
        <v>0</v>
      </c>
      <c r="AB88" s="2589"/>
    </row>
    <row r="89" spans="2:28" ht="25.5" thickBot="1">
      <c r="B89" s="1348" t="s">
        <v>1</v>
      </c>
      <c r="C89" s="2560"/>
      <c r="D89" s="2560"/>
      <c r="E89" s="2560"/>
      <c r="F89" s="2560"/>
      <c r="G89" s="2560"/>
      <c r="H89" s="2560"/>
      <c r="I89" s="2560"/>
      <c r="J89" s="2560"/>
      <c r="K89" s="2560"/>
      <c r="L89" s="2609"/>
      <c r="M89" s="2609"/>
      <c r="N89" s="2609"/>
      <c r="O89" s="2609"/>
      <c r="P89" s="2609"/>
      <c r="Q89" s="2609"/>
      <c r="R89" s="2609"/>
      <c r="S89" s="2609"/>
      <c r="T89" s="2609"/>
      <c r="U89" s="2609"/>
      <c r="V89" s="2609"/>
      <c r="W89" s="2609"/>
      <c r="X89" s="2560"/>
      <c r="Y89" s="2560"/>
      <c r="Z89" s="2589"/>
      <c r="AA89" s="1121">
        <f xml:space="preserve"> IF( SUM( AC89:AC89 ) = 0, 0,#REF! )</f>
        <v>0</v>
      </c>
      <c r="AB89" s="2589"/>
    </row>
    <row r="90" spans="2:28" ht="14.5" thickTop="1">
      <c r="B90" s="1386" t="s">
        <v>13094</v>
      </c>
      <c r="C90" s="1387" t="s">
        <v>13095</v>
      </c>
      <c r="D90" s="2560"/>
      <c r="E90" s="2560"/>
      <c r="F90" s="2560"/>
      <c r="G90" s="2560"/>
      <c r="H90" s="2560"/>
      <c r="I90" s="2560"/>
      <c r="J90" s="2560"/>
      <c r="K90" s="2560"/>
      <c r="L90" s="2609"/>
      <c r="M90" s="2609"/>
      <c r="N90" s="2609"/>
      <c r="O90" s="2609"/>
      <c r="P90" s="2609"/>
      <c r="Q90" s="2609"/>
      <c r="R90" s="2609"/>
      <c r="S90" s="2609"/>
      <c r="T90" s="2609"/>
      <c r="U90" s="2609"/>
      <c r="V90" s="2609"/>
      <c r="W90" s="2609"/>
      <c r="X90" s="2560"/>
      <c r="Y90" s="2560"/>
      <c r="Z90" s="2589"/>
      <c r="AA90" s="1121">
        <f xml:space="preserve"> IF( SUM( AC90:AC90 ) = 0, 0,#REF! )</f>
        <v>0</v>
      </c>
      <c r="AB90" s="2589"/>
    </row>
    <row r="91" spans="2:28" ht="19.5" thickBot="1">
      <c r="B91" s="1388" t="s">
        <v>13185</v>
      </c>
      <c r="C91" s="1421">
        <v>9</v>
      </c>
      <c r="D91" s="1355"/>
      <c r="E91" s="1355"/>
      <c r="F91" s="1355"/>
      <c r="G91" s="1343"/>
      <c r="H91" s="1343"/>
      <c r="I91" s="1343"/>
      <c r="J91" s="1343"/>
      <c r="K91" s="1343"/>
      <c r="L91" s="1349"/>
      <c r="M91" s="2609"/>
      <c r="N91" s="1349"/>
      <c r="O91" s="1349"/>
      <c r="P91" s="2609"/>
      <c r="Q91" s="1349"/>
      <c r="R91" s="1349"/>
      <c r="S91" s="2609"/>
      <c r="T91" s="1349"/>
      <c r="U91" s="1349"/>
      <c r="V91" s="2609"/>
      <c r="W91" s="2609"/>
      <c r="X91" s="2560"/>
      <c r="Y91" s="2560"/>
      <c r="Z91" s="2589"/>
      <c r="AA91" s="1121">
        <f xml:space="preserve"> IF( SUM( AC91:AC91 ) = 0, 0,#REF! )</f>
        <v>0</v>
      </c>
      <c r="AB91" s="2589"/>
    </row>
    <row r="92" spans="2:28" ht="20" thickTop="1" thickBot="1">
      <c r="B92" s="1355"/>
      <c r="C92" s="2560"/>
      <c r="D92" s="1355"/>
      <c r="E92" s="1355"/>
      <c r="F92" s="1355"/>
      <c r="G92" s="1343"/>
      <c r="H92" s="1343"/>
      <c r="I92" s="2913" t="s">
        <v>1696</v>
      </c>
      <c r="J92" s="2914"/>
      <c r="K92" s="1343"/>
      <c r="L92" s="2915" t="s">
        <v>1855</v>
      </c>
      <c r="M92" s="2916"/>
      <c r="N92" s="1349"/>
      <c r="O92" s="2915" t="s">
        <v>11035</v>
      </c>
      <c r="P92" s="2916"/>
      <c r="Q92" s="1349"/>
      <c r="R92" s="2915" t="s">
        <v>11036</v>
      </c>
      <c r="S92" s="2916"/>
      <c r="T92" s="1349"/>
      <c r="U92" s="2915" t="s">
        <v>13097</v>
      </c>
      <c r="V92" s="2916"/>
      <c r="W92" s="2609"/>
      <c r="X92" s="2560"/>
      <c r="Y92" s="2560"/>
      <c r="Z92" s="2589"/>
      <c r="AA92" s="1121">
        <f xml:space="preserve"> IF( SUM( AC92:AC92 ) = 0, 0,#REF! )</f>
        <v>0</v>
      </c>
      <c r="AB92" s="2589"/>
    </row>
    <row r="93" spans="2:28" ht="38.5" thickTop="1" thickBot="1">
      <c r="B93" s="2560"/>
      <c r="C93" s="1339" t="s">
        <v>0</v>
      </c>
      <c r="D93" s="1326" t="s">
        <v>13098</v>
      </c>
      <c r="E93" s="1326" t="s">
        <v>135</v>
      </c>
      <c r="F93" s="1326" t="s">
        <v>13040</v>
      </c>
      <c r="G93" s="1327" t="s">
        <v>13099</v>
      </c>
      <c r="H93" s="1343"/>
      <c r="I93" s="1389" t="s">
        <v>13100</v>
      </c>
      <c r="J93" s="1344" t="s">
        <v>13101</v>
      </c>
      <c r="K93" s="1343"/>
      <c r="L93" s="1390" t="s">
        <v>13100</v>
      </c>
      <c r="M93" s="1391" t="s">
        <v>13101</v>
      </c>
      <c r="N93" s="1349"/>
      <c r="O93" s="1390" t="s">
        <v>13100</v>
      </c>
      <c r="P93" s="1391" t="s">
        <v>13101</v>
      </c>
      <c r="Q93" s="1349"/>
      <c r="R93" s="1390" t="s">
        <v>13100</v>
      </c>
      <c r="S93" s="1391" t="s">
        <v>13101</v>
      </c>
      <c r="T93" s="1349"/>
      <c r="U93" s="1390" t="s">
        <v>13100</v>
      </c>
      <c r="V93" s="1391" t="s">
        <v>13101</v>
      </c>
      <c r="W93" s="2609"/>
      <c r="X93" s="1392" t="s">
        <v>1896</v>
      </c>
      <c r="Y93" s="2560"/>
      <c r="Z93" s="2589"/>
      <c r="AA93" s="1121">
        <f xml:space="preserve"> IF( SUM( AC93:AC93 ) = 0, 0,#REF! )</f>
        <v>0</v>
      </c>
      <c r="AB93" s="2589"/>
    </row>
    <row r="94" spans="2:28" ht="38" thickTop="1">
      <c r="B94" s="1399" t="s">
        <v>13102</v>
      </c>
      <c r="C94" s="1428" t="s">
        <v>13186</v>
      </c>
      <c r="D94" s="1422">
        <f>6300*1000/1000000</f>
        <v>6.3</v>
      </c>
      <c r="E94" s="1333" t="s">
        <v>13187</v>
      </c>
      <c r="F94" s="1333">
        <v>0</v>
      </c>
      <c r="G94" s="1429">
        <v>1000</v>
      </c>
      <c r="H94" s="1343"/>
      <c r="I94" s="2082">
        <v>0</v>
      </c>
      <c r="J94" s="1417">
        <f>IFERROR(I94/$G94,0)</f>
        <v>0</v>
      </c>
      <c r="K94" s="1401"/>
      <c r="L94" s="1402">
        <v>0</v>
      </c>
      <c r="M94" s="1403">
        <f>L94/$G94</f>
        <v>0</v>
      </c>
      <c r="N94" s="1404"/>
      <c r="O94" s="1402">
        <v>0</v>
      </c>
      <c r="P94" s="1403">
        <f>O94/$G94</f>
        <v>0</v>
      </c>
      <c r="Q94" s="1404"/>
      <c r="R94" s="1402">
        <v>0</v>
      </c>
      <c r="S94" s="1403">
        <f>R94/$G94</f>
        <v>0</v>
      </c>
      <c r="T94" s="1404"/>
      <c r="U94" s="1402"/>
      <c r="V94" s="1403"/>
      <c r="W94" s="2609"/>
      <c r="X94" s="1405" t="s">
        <v>13188</v>
      </c>
      <c r="Y94" s="2560"/>
      <c r="Z94" s="2589"/>
      <c r="AA94" s="1121">
        <f xml:space="preserve"> IF( SUM( AC94:AC94 ) = 0, 0,#REF! )</f>
        <v>0</v>
      </c>
      <c r="AB94" s="2589"/>
    </row>
    <row r="95" spans="2:28" ht="38" thickBot="1">
      <c r="B95" s="1388" t="s">
        <v>13106</v>
      </c>
      <c r="C95" s="1334" t="s">
        <v>13189</v>
      </c>
      <c r="D95" s="1413">
        <f>300*9000/1000000</f>
        <v>2.7</v>
      </c>
      <c r="E95" s="1334" t="s">
        <v>13187</v>
      </c>
      <c r="F95" s="1334">
        <v>0</v>
      </c>
      <c r="G95" s="1430">
        <v>9000</v>
      </c>
      <c r="H95" s="1343"/>
      <c r="I95" s="2084">
        <v>0</v>
      </c>
      <c r="J95" s="1414">
        <f>IFERROR(I95/$G95,0)</f>
        <v>0</v>
      </c>
      <c r="K95" s="1401"/>
      <c r="L95" s="1415">
        <v>0</v>
      </c>
      <c r="M95" s="1416">
        <f>L95/$G95</f>
        <v>0</v>
      </c>
      <c r="N95" s="1404"/>
      <c r="O95" s="1415">
        <v>0</v>
      </c>
      <c r="P95" s="1416">
        <f>O95/$G95</f>
        <v>0</v>
      </c>
      <c r="Q95" s="1404"/>
      <c r="R95" s="1415">
        <v>0</v>
      </c>
      <c r="S95" s="1416">
        <f>R95/$G95</f>
        <v>0</v>
      </c>
      <c r="T95" s="1404"/>
      <c r="U95" s="1415"/>
      <c r="V95" s="1416"/>
      <c r="W95" s="2609"/>
      <c r="X95" s="1398" t="s">
        <v>13190</v>
      </c>
      <c r="Y95" s="2560"/>
      <c r="Z95" s="2589"/>
      <c r="AA95" s="1121">
        <f xml:space="preserve"> IF( SUM( AC95:AC95 ) = 0, 0,#REF! )</f>
        <v>0</v>
      </c>
      <c r="AB95" s="2589"/>
    </row>
    <row r="96" spans="2:28" ht="15" thickTop="1" thickBot="1">
      <c r="B96" s="2560"/>
      <c r="C96" s="2560"/>
      <c r="D96" s="2560"/>
      <c r="E96" s="2560"/>
      <c r="F96" s="2560"/>
      <c r="G96" s="2560"/>
      <c r="H96" s="2560"/>
      <c r="I96" s="2560"/>
      <c r="J96" s="2560"/>
      <c r="K96" s="2560"/>
      <c r="L96" s="2609"/>
      <c r="M96" s="2609"/>
      <c r="N96" s="2609"/>
      <c r="O96" s="2609"/>
      <c r="P96" s="2609"/>
      <c r="Q96" s="2609"/>
      <c r="R96" s="2609"/>
      <c r="S96" s="2609"/>
      <c r="T96" s="2609"/>
      <c r="U96" s="2609"/>
      <c r="V96" s="2609"/>
      <c r="W96" s="2609"/>
      <c r="X96" s="2560"/>
      <c r="Y96" s="2560"/>
      <c r="Z96" s="2589"/>
      <c r="AA96" s="1121">
        <f xml:space="preserve"> IF( SUM( AC96:AC96 ) = 0, 0,#REF! )</f>
        <v>0</v>
      </c>
      <c r="AB96" s="2589"/>
    </row>
    <row r="97" spans="2:28" ht="14.5" thickTop="1">
      <c r="B97" s="1386" t="s">
        <v>13130</v>
      </c>
      <c r="C97" s="1387" t="s">
        <v>13095</v>
      </c>
      <c r="D97" s="2560"/>
      <c r="E97" s="2560"/>
      <c r="F97" s="2560"/>
      <c r="G97" s="2560"/>
      <c r="H97" s="2560"/>
      <c r="I97" s="2560"/>
      <c r="J97" s="2560"/>
      <c r="K97" s="2560"/>
      <c r="L97" s="2609"/>
      <c r="M97" s="2609"/>
      <c r="N97" s="2609"/>
      <c r="O97" s="2609"/>
      <c r="P97" s="2609"/>
      <c r="Q97" s="2609"/>
      <c r="R97" s="2609"/>
      <c r="S97" s="2609"/>
      <c r="T97" s="2609"/>
      <c r="U97" s="2609"/>
      <c r="V97" s="2609"/>
      <c r="W97" s="2609"/>
      <c r="X97" s="2560"/>
      <c r="Y97" s="2560"/>
      <c r="Z97" s="2589"/>
      <c r="AA97" s="1121">
        <f xml:space="preserve"> IF( SUM( AC97:AC97 ) = 0, 0,#REF! )</f>
        <v>0</v>
      </c>
      <c r="AB97" s="2589"/>
    </row>
    <row r="98" spans="2:28" ht="25.5" thickBot="1">
      <c r="B98" s="1388" t="s">
        <v>13191</v>
      </c>
      <c r="C98" s="1421">
        <v>24.876999999999999</v>
      </c>
      <c r="D98" s="1355"/>
      <c r="E98" s="1355"/>
      <c r="F98" s="1355"/>
      <c r="G98" s="1343"/>
      <c r="H98" s="1343"/>
      <c r="I98" s="1343"/>
      <c r="J98" s="1343"/>
      <c r="K98" s="1343"/>
      <c r="L98" s="1349"/>
      <c r="M98" s="2609"/>
      <c r="N98" s="1349"/>
      <c r="O98" s="1349"/>
      <c r="P98" s="2609"/>
      <c r="Q98" s="1349"/>
      <c r="R98" s="1349"/>
      <c r="S98" s="2609"/>
      <c r="T98" s="1349"/>
      <c r="U98" s="1349"/>
      <c r="V98" s="2609"/>
      <c r="W98" s="2609"/>
      <c r="X98" s="2560"/>
      <c r="Y98" s="2560"/>
      <c r="Z98" s="2589"/>
      <c r="AA98" s="1121">
        <f xml:space="preserve"> IF( SUM( AC98:AC98 ) = 0, 0,#REF! )</f>
        <v>0</v>
      </c>
      <c r="AB98" s="2589"/>
    </row>
    <row r="99" spans="2:28" ht="20" thickTop="1" thickBot="1">
      <c r="B99" s="1355"/>
      <c r="C99" s="2560"/>
      <c r="D99" s="1355"/>
      <c r="E99" s="1355"/>
      <c r="F99" s="1355"/>
      <c r="G99" s="1343"/>
      <c r="H99" s="1343"/>
      <c r="I99" s="2913" t="s">
        <v>1696</v>
      </c>
      <c r="J99" s="2914"/>
      <c r="K99" s="1343"/>
      <c r="L99" s="2915" t="s">
        <v>1855</v>
      </c>
      <c r="M99" s="2916"/>
      <c r="N99" s="1349"/>
      <c r="O99" s="2915" t="s">
        <v>11035</v>
      </c>
      <c r="P99" s="2916"/>
      <c r="Q99" s="1349"/>
      <c r="R99" s="2915" t="s">
        <v>11036</v>
      </c>
      <c r="S99" s="2916"/>
      <c r="T99" s="1349"/>
      <c r="U99" s="2915" t="s">
        <v>13097</v>
      </c>
      <c r="V99" s="2916"/>
      <c r="W99" s="2609"/>
      <c r="X99" s="2560"/>
      <c r="Y99" s="2560"/>
      <c r="Z99" s="2589"/>
      <c r="AA99" s="1121">
        <f xml:space="preserve"> IF( SUM( AC99:AC99 ) = 0, 0,#REF! )</f>
        <v>0</v>
      </c>
      <c r="AB99" s="2589"/>
    </row>
    <row r="100" spans="2:28" ht="38.5" thickTop="1" thickBot="1">
      <c r="B100" s="2560"/>
      <c r="C100" s="1339" t="s">
        <v>0</v>
      </c>
      <c r="D100" s="1326" t="s">
        <v>13098</v>
      </c>
      <c r="E100" s="1326" t="s">
        <v>135</v>
      </c>
      <c r="F100" s="1326" t="s">
        <v>13040</v>
      </c>
      <c r="G100" s="1327" t="s">
        <v>13099</v>
      </c>
      <c r="H100" s="1343"/>
      <c r="I100" s="1389" t="s">
        <v>13100</v>
      </c>
      <c r="J100" s="1344" t="s">
        <v>13101</v>
      </c>
      <c r="K100" s="1343"/>
      <c r="L100" s="1390" t="s">
        <v>13100</v>
      </c>
      <c r="M100" s="1391" t="s">
        <v>13101</v>
      </c>
      <c r="N100" s="1349"/>
      <c r="O100" s="1390" t="s">
        <v>13100</v>
      </c>
      <c r="P100" s="1391" t="s">
        <v>13101</v>
      </c>
      <c r="Q100" s="1349"/>
      <c r="R100" s="1390" t="s">
        <v>13100</v>
      </c>
      <c r="S100" s="1391" t="s">
        <v>13101</v>
      </c>
      <c r="T100" s="1349"/>
      <c r="U100" s="1390" t="s">
        <v>13100</v>
      </c>
      <c r="V100" s="1391" t="s">
        <v>13101</v>
      </c>
      <c r="W100" s="2609"/>
      <c r="X100" s="1392" t="s">
        <v>1896</v>
      </c>
      <c r="Y100" s="2560"/>
      <c r="Z100" s="2589"/>
      <c r="AA100" s="1121">
        <f xml:space="preserve"> IF( SUM( AC100:AC100 ) = 0, 0,#REF! )</f>
        <v>0</v>
      </c>
      <c r="AB100" s="2589"/>
    </row>
    <row r="101" spans="2:28" ht="101" thickTop="1" thickBot="1">
      <c r="B101" s="1393" t="s">
        <v>13102</v>
      </c>
      <c r="C101" s="1329" t="s">
        <v>13192</v>
      </c>
      <c r="D101" s="1329">
        <v>24.876999999999999</v>
      </c>
      <c r="E101" s="1329" t="s">
        <v>1344</v>
      </c>
      <c r="F101" s="1329">
        <v>0</v>
      </c>
      <c r="G101" s="1426">
        <v>1</v>
      </c>
      <c r="H101" s="1343"/>
      <c r="I101" s="2089">
        <v>0</v>
      </c>
      <c r="J101" s="1425">
        <f>IFERROR(I101/$G101,0)</f>
        <v>0</v>
      </c>
      <c r="K101" s="1343"/>
      <c r="L101" s="1427">
        <v>0</v>
      </c>
      <c r="M101" s="1397">
        <f>L101/$G101</f>
        <v>0</v>
      </c>
      <c r="N101" s="1349"/>
      <c r="O101" s="1427">
        <v>0</v>
      </c>
      <c r="P101" s="1397">
        <f>O101/$G101</f>
        <v>0</v>
      </c>
      <c r="Q101" s="1349"/>
      <c r="R101" s="1427">
        <v>0</v>
      </c>
      <c r="S101" s="1397">
        <f>R101/$G101</f>
        <v>0</v>
      </c>
      <c r="T101" s="1349"/>
      <c r="U101" s="1427">
        <v>0</v>
      </c>
      <c r="V101" s="1397">
        <f>U101/$G101</f>
        <v>0</v>
      </c>
      <c r="W101" s="2609"/>
      <c r="X101" s="1398" t="s">
        <v>13193</v>
      </c>
      <c r="Y101" s="2560"/>
      <c r="Z101" s="2589"/>
      <c r="AA101" s="1121">
        <f xml:space="preserve"> IF( SUM( AC101:AC101 ) = 0, 0,#REF! )</f>
        <v>0</v>
      </c>
      <c r="AB101" s="2589"/>
    </row>
    <row r="102" spans="2:28" ht="15" thickTop="1" thickBot="1">
      <c r="B102" s="2560"/>
      <c r="C102" s="2560"/>
      <c r="D102" s="2560"/>
      <c r="E102" s="2560"/>
      <c r="F102" s="2560"/>
      <c r="G102" s="2560"/>
      <c r="H102" s="2560"/>
      <c r="I102" s="2560"/>
      <c r="J102" s="2560"/>
      <c r="K102" s="2560"/>
      <c r="L102" s="2609"/>
      <c r="M102" s="2609"/>
      <c r="N102" s="2609"/>
      <c r="O102" s="2609"/>
      <c r="P102" s="2609"/>
      <c r="Q102" s="2609"/>
      <c r="R102" s="2609"/>
      <c r="S102" s="2609"/>
      <c r="T102" s="2609"/>
      <c r="U102" s="2609"/>
      <c r="V102" s="2609"/>
      <c r="W102" s="2609"/>
      <c r="X102" s="2560"/>
      <c r="Y102" s="2560"/>
      <c r="Z102" s="2589"/>
      <c r="AA102" s="1121">
        <f xml:space="preserve"> IF( SUM( AC102:AC102 ) = 0, 0,#REF! )</f>
        <v>0</v>
      </c>
      <c r="AB102" s="2589"/>
    </row>
    <row r="103" spans="2:28" ht="19.5" thickTop="1">
      <c r="B103" s="1386" t="s">
        <v>13135</v>
      </c>
      <c r="C103" s="1387" t="s">
        <v>13095</v>
      </c>
      <c r="D103" s="2560"/>
      <c r="E103" s="2560"/>
      <c r="F103" s="2560"/>
      <c r="G103" s="1343"/>
      <c r="H103" s="1343"/>
      <c r="I103" s="1343"/>
      <c r="J103" s="1343"/>
      <c r="K103" s="1343"/>
      <c r="L103" s="1349"/>
      <c r="M103" s="2609"/>
      <c r="N103" s="1349"/>
      <c r="O103" s="1349"/>
      <c r="P103" s="2609"/>
      <c r="Q103" s="1349"/>
      <c r="R103" s="1349"/>
      <c r="S103" s="2609"/>
      <c r="T103" s="1349"/>
      <c r="U103" s="1349"/>
      <c r="V103" s="2609"/>
      <c r="W103" s="2609"/>
      <c r="X103" s="2560"/>
      <c r="Y103" s="2560"/>
      <c r="Z103" s="2589"/>
      <c r="AA103" s="1121">
        <f xml:space="preserve"> IF( SUM( AC103:AC103 ) = 0, 0,#REF! )</f>
        <v>0</v>
      </c>
      <c r="AB103" s="2589"/>
    </row>
    <row r="104" spans="2:28" ht="19.5" thickBot="1">
      <c r="B104" s="1388" t="s">
        <v>13194</v>
      </c>
      <c r="C104" s="1347">
        <v>17.401</v>
      </c>
      <c r="D104" s="1355"/>
      <c r="E104" s="1355"/>
      <c r="F104" s="1355"/>
      <c r="G104" s="1343"/>
      <c r="H104" s="1343"/>
      <c r="I104" s="1343"/>
      <c r="J104" s="1343"/>
      <c r="K104" s="1343"/>
      <c r="L104" s="1349"/>
      <c r="M104" s="2609"/>
      <c r="N104" s="1349"/>
      <c r="O104" s="1349"/>
      <c r="P104" s="2609"/>
      <c r="Q104" s="1349"/>
      <c r="R104" s="1349"/>
      <c r="S104" s="2609"/>
      <c r="T104" s="1349"/>
      <c r="U104" s="1349"/>
      <c r="V104" s="2609"/>
      <c r="W104" s="2609"/>
      <c r="X104" s="2560"/>
      <c r="Y104" s="2560"/>
      <c r="Z104" s="2589"/>
      <c r="AA104" s="1121">
        <f xml:space="preserve"> IF( SUM( AC104:AC104 ) = 0, 0,#REF! )</f>
        <v>0</v>
      </c>
      <c r="AB104" s="2589"/>
    </row>
    <row r="105" spans="2:28" ht="20" thickTop="1" thickBot="1">
      <c r="B105" s="1355"/>
      <c r="C105" s="2560"/>
      <c r="D105" s="1355"/>
      <c r="E105" s="1355"/>
      <c r="F105" s="1355"/>
      <c r="G105" s="1343"/>
      <c r="H105" s="1343"/>
      <c r="I105" s="2913" t="s">
        <v>1696</v>
      </c>
      <c r="J105" s="2914"/>
      <c r="K105" s="1343"/>
      <c r="L105" s="2915" t="s">
        <v>1855</v>
      </c>
      <c r="M105" s="2916"/>
      <c r="N105" s="1349"/>
      <c r="O105" s="2915" t="s">
        <v>11035</v>
      </c>
      <c r="P105" s="2916"/>
      <c r="Q105" s="1349"/>
      <c r="R105" s="2915" t="s">
        <v>11036</v>
      </c>
      <c r="S105" s="2916"/>
      <c r="T105" s="1349"/>
      <c r="U105" s="2915" t="s">
        <v>13097</v>
      </c>
      <c r="V105" s="2916"/>
      <c r="W105" s="2609"/>
      <c r="X105" s="2560"/>
      <c r="Y105" s="2560"/>
      <c r="Z105" s="2589"/>
      <c r="AA105" s="1121">
        <f xml:space="preserve"> IF( SUM( AC105:AC105 ) = 0, 0,#REF! )</f>
        <v>0</v>
      </c>
      <c r="AB105" s="2589"/>
    </row>
    <row r="106" spans="2:28" ht="38.5" thickTop="1" thickBot="1">
      <c r="B106" s="2560"/>
      <c r="C106" s="1339" t="s">
        <v>0</v>
      </c>
      <c r="D106" s="1326" t="s">
        <v>13098</v>
      </c>
      <c r="E106" s="1326" t="s">
        <v>135</v>
      </c>
      <c r="F106" s="1326" t="s">
        <v>13040</v>
      </c>
      <c r="G106" s="1327" t="s">
        <v>13099</v>
      </c>
      <c r="H106" s="1343"/>
      <c r="I106" s="1389" t="s">
        <v>13100</v>
      </c>
      <c r="J106" s="1344" t="s">
        <v>13101</v>
      </c>
      <c r="K106" s="1343"/>
      <c r="L106" s="1390" t="s">
        <v>13100</v>
      </c>
      <c r="M106" s="1391" t="s">
        <v>13101</v>
      </c>
      <c r="N106" s="1349"/>
      <c r="O106" s="1390" t="s">
        <v>13100</v>
      </c>
      <c r="P106" s="1391" t="s">
        <v>13101</v>
      </c>
      <c r="Q106" s="1349"/>
      <c r="R106" s="1390" t="s">
        <v>13100</v>
      </c>
      <c r="S106" s="1391" t="s">
        <v>13101</v>
      </c>
      <c r="T106" s="1349"/>
      <c r="U106" s="1390" t="s">
        <v>13100</v>
      </c>
      <c r="V106" s="1391" t="s">
        <v>13101</v>
      </c>
      <c r="W106" s="2609"/>
      <c r="X106" s="1392" t="s">
        <v>1896</v>
      </c>
      <c r="Y106" s="2560"/>
      <c r="Z106" s="2589"/>
      <c r="AA106" s="1121">
        <f xml:space="preserve"> IF( SUM( AC106:AC106 ) = 0, 0,#REF! )</f>
        <v>0</v>
      </c>
      <c r="AB106" s="2589"/>
    </row>
    <row r="107" spans="2:28" ht="25.5" thickTop="1">
      <c r="B107" s="1399" t="s">
        <v>13102</v>
      </c>
      <c r="C107" s="1333" t="s">
        <v>13195</v>
      </c>
      <c r="D107" s="1422">
        <f>23.5*44800/1000000</f>
        <v>1.0528</v>
      </c>
      <c r="E107" s="1333" t="s">
        <v>1387</v>
      </c>
      <c r="F107" s="1333">
        <v>3</v>
      </c>
      <c r="G107" s="1431">
        <v>44.8</v>
      </c>
      <c r="H107" s="1343"/>
      <c r="I107" s="2087">
        <v>0</v>
      </c>
      <c r="J107" s="1417">
        <f t="shared" ref="J107:J112" si="9">IFERROR(I107/$G107,0)</f>
        <v>0</v>
      </c>
      <c r="K107" s="1401"/>
      <c r="L107" s="1402">
        <v>0</v>
      </c>
      <c r="M107" s="1403">
        <f>L107/$G107</f>
        <v>0</v>
      </c>
      <c r="N107" s="1404"/>
      <c r="O107" s="1402">
        <v>0</v>
      </c>
      <c r="P107" s="1403">
        <f>O107/$G107</f>
        <v>0</v>
      </c>
      <c r="Q107" s="1404"/>
      <c r="R107" s="1402">
        <v>0</v>
      </c>
      <c r="S107" s="1403">
        <f>R107/$G107</f>
        <v>0</v>
      </c>
      <c r="T107" s="1404"/>
      <c r="U107" s="1402"/>
      <c r="V107" s="1403"/>
      <c r="W107" s="2609"/>
      <c r="X107" s="1405" t="s">
        <v>13196</v>
      </c>
      <c r="Y107" s="2560"/>
      <c r="Z107" s="2589"/>
      <c r="AA107" s="1121">
        <f xml:space="preserve"> IF( SUM( AC107:AC107 ) = 0, 0,#REF! )</f>
        <v>0</v>
      </c>
      <c r="AB107" s="2589"/>
    </row>
    <row r="108" spans="2:28" ht="37.5">
      <c r="B108" s="1406" t="s">
        <v>13106</v>
      </c>
      <c r="C108" s="1341" t="s">
        <v>13197</v>
      </c>
      <c r="D108" s="1411">
        <f>66.36*76072/1000000</f>
        <v>5.0481379200000003</v>
      </c>
      <c r="E108" s="1341" t="s">
        <v>1387</v>
      </c>
      <c r="F108" s="1341">
        <v>3</v>
      </c>
      <c r="G108" s="1432">
        <v>76.072000000000003</v>
      </c>
      <c r="H108" s="1343"/>
      <c r="I108" s="2090">
        <v>0</v>
      </c>
      <c r="J108" s="1407">
        <f t="shared" si="9"/>
        <v>0</v>
      </c>
      <c r="K108" s="1401"/>
      <c r="L108" s="1408">
        <v>0</v>
      </c>
      <c r="M108" s="1409">
        <f>L108/$G108</f>
        <v>0</v>
      </c>
      <c r="N108" s="1404"/>
      <c r="O108" s="1408">
        <v>0</v>
      </c>
      <c r="P108" s="1409">
        <f>O108/$G108</f>
        <v>0</v>
      </c>
      <c r="Q108" s="1404"/>
      <c r="R108" s="1408">
        <v>0</v>
      </c>
      <c r="S108" s="1409">
        <f>R108/$G108</f>
        <v>0</v>
      </c>
      <c r="T108" s="1404"/>
      <c r="U108" s="1408"/>
      <c r="V108" s="1409"/>
      <c r="W108" s="2609"/>
      <c r="X108" s="1410" t="s">
        <v>13198</v>
      </c>
      <c r="Y108" s="2560"/>
      <c r="Z108" s="2589"/>
      <c r="AA108" s="1121">
        <f xml:space="preserve"> IF( SUM( AC108:AC108 ) = 0, 0,#REF! )</f>
        <v>0</v>
      </c>
      <c r="AB108" s="2589"/>
    </row>
    <row r="109" spans="2:28" ht="62.5">
      <c r="B109" s="1406" t="s">
        <v>13109</v>
      </c>
      <c r="C109" s="1341" t="s">
        <v>13199</v>
      </c>
      <c r="D109" s="1411">
        <v>7.2729999999999997</v>
      </c>
      <c r="E109" s="1341" t="s">
        <v>1387</v>
      </c>
      <c r="F109" s="1341">
        <v>3</v>
      </c>
      <c r="G109" s="1433">
        <v>5.0999999999999996</v>
      </c>
      <c r="H109" s="1343"/>
      <c r="I109" s="2090">
        <v>0</v>
      </c>
      <c r="J109" s="1407">
        <f t="shared" si="9"/>
        <v>0</v>
      </c>
      <c r="K109" s="1401"/>
      <c r="L109" s="1408">
        <v>0</v>
      </c>
      <c r="M109" s="1409">
        <f t="shared" ref="M109:M112" si="10">L109/$G109</f>
        <v>0</v>
      </c>
      <c r="N109" s="1404"/>
      <c r="O109" s="1408">
        <v>0</v>
      </c>
      <c r="P109" s="1409">
        <f t="shared" ref="P109:P112" si="11">O109/$G109</f>
        <v>0</v>
      </c>
      <c r="Q109" s="1404"/>
      <c r="R109" s="1408">
        <v>0</v>
      </c>
      <c r="S109" s="1409">
        <f t="shared" ref="S109:S112" si="12">R109/$G109</f>
        <v>0</v>
      </c>
      <c r="T109" s="1404"/>
      <c r="U109" s="1408"/>
      <c r="V109" s="1409"/>
      <c r="W109" s="2609"/>
      <c r="X109" s="1410" t="s">
        <v>13200</v>
      </c>
      <c r="Y109" s="2560"/>
      <c r="Z109" s="2589"/>
      <c r="AA109" s="1121">
        <f xml:space="preserve"> IF( SUM( AC109:AC109 ) = 0, 0,#REF! )</f>
        <v>0</v>
      </c>
      <c r="AB109" s="2589"/>
    </row>
    <row r="110" spans="2:28" ht="75">
      <c r="B110" s="1406" t="s">
        <v>13112</v>
      </c>
      <c r="C110" s="1341" t="s">
        <v>13201</v>
      </c>
      <c r="D110" s="1411">
        <v>2.6120000000000001</v>
      </c>
      <c r="E110" s="1341" t="s">
        <v>1387</v>
      </c>
      <c r="F110" s="1341">
        <v>3</v>
      </c>
      <c r="G110" s="1346">
        <v>1.913</v>
      </c>
      <c r="H110" s="1343"/>
      <c r="I110" s="2090">
        <v>0</v>
      </c>
      <c r="J110" s="1407">
        <f t="shared" si="9"/>
        <v>0</v>
      </c>
      <c r="K110" s="1401"/>
      <c r="L110" s="1408">
        <v>0</v>
      </c>
      <c r="M110" s="1409">
        <f t="shared" si="10"/>
        <v>0</v>
      </c>
      <c r="N110" s="1404"/>
      <c r="O110" s="1408">
        <v>0</v>
      </c>
      <c r="P110" s="1409">
        <f t="shared" si="11"/>
        <v>0</v>
      </c>
      <c r="Q110" s="1404"/>
      <c r="R110" s="1408">
        <v>0</v>
      </c>
      <c r="S110" s="1409">
        <f t="shared" si="12"/>
        <v>0</v>
      </c>
      <c r="T110" s="1404"/>
      <c r="U110" s="1408"/>
      <c r="V110" s="1409"/>
      <c r="W110" s="2609"/>
      <c r="X110" s="1410" t="s">
        <v>13202</v>
      </c>
      <c r="Y110" s="2560"/>
      <c r="Z110" s="2589"/>
      <c r="AA110" s="1121">
        <f xml:space="preserve"> IF( SUM( AC110:AC110 ) = 0, 0,#REF! )</f>
        <v>0</v>
      </c>
      <c r="AB110" s="2589"/>
    </row>
    <row r="111" spans="2:28" ht="37.5">
      <c r="B111" s="1406" t="s">
        <v>13115</v>
      </c>
      <c r="C111" s="1341" t="s">
        <v>13203</v>
      </c>
      <c r="D111" s="1411">
        <v>0.57099999999999995</v>
      </c>
      <c r="E111" s="1341" t="s">
        <v>1387</v>
      </c>
      <c r="F111" s="1341">
        <v>3</v>
      </c>
      <c r="G111" s="1346">
        <v>0.752</v>
      </c>
      <c r="H111" s="1343"/>
      <c r="I111" s="2090">
        <v>0</v>
      </c>
      <c r="J111" s="1407">
        <f t="shared" si="9"/>
        <v>0</v>
      </c>
      <c r="K111" s="1401"/>
      <c r="L111" s="1408">
        <v>0</v>
      </c>
      <c r="M111" s="1409">
        <f t="shared" si="10"/>
        <v>0</v>
      </c>
      <c r="N111" s="1404"/>
      <c r="O111" s="1408">
        <v>0</v>
      </c>
      <c r="P111" s="1409">
        <f t="shared" si="11"/>
        <v>0</v>
      </c>
      <c r="Q111" s="1404"/>
      <c r="R111" s="1408">
        <v>0</v>
      </c>
      <c r="S111" s="1409">
        <f t="shared" si="12"/>
        <v>0</v>
      </c>
      <c r="T111" s="1404"/>
      <c r="U111" s="1408"/>
      <c r="V111" s="1409"/>
      <c r="W111" s="2609"/>
      <c r="X111" s="1410" t="s">
        <v>13204</v>
      </c>
      <c r="Y111" s="2560"/>
      <c r="Z111" s="2589"/>
      <c r="AA111" s="1121">
        <f xml:space="preserve"> IF( SUM( AC111:AC111 ) = 0, 0,#REF! )</f>
        <v>0</v>
      </c>
      <c r="AB111" s="2589"/>
    </row>
    <row r="112" spans="2:28" ht="38" thickBot="1">
      <c r="B112" s="1388" t="s">
        <v>13118</v>
      </c>
      <c r="C112" s="1334" t="s">
        <v>13205</v>
      </c>
      <c r="D112" s="1413">
        <v>0.84399999999999997</v>
      </c>
      <c r="E112" s="1334" t="s">
        <v>1387</v>
      </c>
      <c r="F112" s="1334">
        <v>3</v>
      </c>
      <c r="G112" s="1347">
        <v>1.3240000000000001</v>
      </c>
      <c r="H112" s="1343"/>
      <c r="I112" s="2088">
        <v>0</v>
      </c>
      <c r="J112" s="1414">
        <f t="shared" si="9"/>
        <v>0</v>
      </c>
      <c r="K112" s="1401"/>
      <c r="L112" s="1415">
        <v>0</v>
      </c>
      <c r="M112" s="1416">
        <f t="shared" si="10"/>
        <v>0</v>
      </c>
      <c r="N112" s="1404"/>
      <c r="O112" s="1415">
        <v>0</v>
      </c>
      <c r="P112" s="1416">
        <f t="shared" si="11"/>
        <v>0</v>
      </c>
      <c r="Q112" s="1404"/>
      <c r="R112" s="1415">
        <v>0</v>
      </c>
      <c r="S112" s="1416">
        <f t="shared" si="12"/>
        <v>0</v>
      </c>
      <c r="T112" s="1404"/>
      <c r="U112" s="1415"/>
      <c r="V112" s="1416"/>
      <c r="W112" s="2609"/>
      <c r="X112" s="1398" t="s">
        <v>13206</v>
      </c>
      <c r="Y112" s="2560"/>
      <c r="Z112" s="2589"/>
      <c r="AA112" s="1121">
        <f xml:space="preserve"> IF( SUM( AC112:AC112 ) = 0, 0,#REF! )</f>
        <v>0</v>
      </c>
      <c r="AB112" s="2589"/>
    </row>
    <row r="113" spans="2:28" ht="15" thickTop="1">
      <c r="B113" s="2560"/>
      <c r="C113" s="2560"/>
      <c r="D113" s="1420"/>
      <c r="E113" s="2560"/>
      <c r="F113" s="2560"/>
      <c r="G113" s="2560"/>
      <c r="H113" s="2560"/>
      <c r="I113" s="2560"/>
      <c r="J113" s="2560"/>
      <c r="K113" s="2560"/>
      <c r="L113" s="2609"/>
      <c r="M113" s="2609"/>
      <c r="N113" s="2609"/>
      <c r="O113" s="2609"/>
      <c r="P113" s="2609"/>
      <c r="Q113" s="2609"/>
      <c r="R113" s="2609"/>
      <c r="S113" s="2609"/>
      <c r="T113" s="2609"/>
      <c r="U113" s="2609"/>
      <c r="V113" s="2609"/>
      <c r="W113" s="2609"/>
      <c r="X113" s="2560"/>
      <c r="Y113" s="2560"/>
      <c r="Z113" s="2589"/>
      <c r="AA113" s="1121">
        <f xml:space="preserve"> IF( SUM( AC113:AC113 ) = 0, 0,#REF! )</f>
        <v>0</v>
      </c>
      <c r="AB113" s="2589"/>
    </row>
    <row r="114" spans="2:28" ht="14.5" thickBot="1">
      <c r="B114" s="2560"/>
      <c r="C114" s="2560"/>
      <c r="D114" s="2560"/>
      <c r="E114" s="2560"/>
      <c r="F114" s="2560"/>
      <c r="G114" s="2560"/>
      <c r="H114" s="2560"/>
      <c r="I114" s="2560"/>
      <c r="J114" s="2560"/>
      <c r="K114" s="2560"/>
      <c r="L114" s="2609"/>
      <c r="M114" s="2609"/>
      <c r="N114" s="2609"/>
      <c r="O114" s="2609"/>
      <c r="P114" s="2609"/>
      <c r="Q114" s="2609"/>
      <c r="R114" s="2609"/>
      <c r="S114" s="2609"/>
      <c r="T114" s="2609"/>
      <c r="U114" s="2609"/>
      <c r="V114" s="2609"/>
      <c r="W114" s="2609"/>
      <c r="X114" s="2560"/>
      <c r="Y114" s="2560"/>
      <c r="Z114" s="2589"/>
      <c r="AA114" s="1121">
        <f xml:space="preserve"> IF( SUM( AC114:AC114 ) = 0, 0,#REF! )</f>
        <v>0</v>
      </c>
      <c r="AB114" s="2589"/>
    </row>
    <row r="115" spans="2:28" ht="19.5" thickTop="1">
      <c r="B115" s="1386" t="s">
        <v>13164</v>
      </c>
      <c r="C115" s="1387" t="s">
        <v>13095</v>
      </c>
      <c r="D115" s="2560"/>
      <c r="E115" s="2560"/>
      <c r="F115" s="2560"/>
      <c r="G115" s="1343"/>
      <c r="H115" s="1343"/>
      <c r="I115" s="1343"/>
      <c r="J115" s="1343"/>
      <c r="K115" s="1343"/>
      <c r="L115" s="1349"/>
      <c r="M115" s="2609"/>
      <c r="N115" s="1349"/>
      <c r="O115" s="1349"/>
      <c r="P115" s="2609"/>
      <c r="Q115" s="1349"/>
      <c r="R115" s="1349"/>
      <c r="S115" s="2609"/>
      <c r="T115" s="1349"/>
      <c r="U115" s="1349"/>
      <c r="V115" s="2609"/>
      <c r="W115" s="2609"/>
      <c r="X115" s="2560"/>
      <c r="Y115" s="2560"/>
      <c r="Z115" s="2589"/>
      <c r="AA115" s="1121">
        <f xml:space="preserve"> IF( SUM( AC115:AC115 ) = 0, 0,#REF! )</f>
        <v>0</v>
      </c>
      <c r="AB115" s="2589"/>
    </row>
    <row r="116" spans="2:28" ht="19.5" thickBot="1">
      <c r="B116" s="1388" t="s">
        <v>13207</v>
      </c>
      <c r="C116" s="1347">
        <v>7.6420000000000003</v>
      </c>
      <c r="D116" s="1355"/>
      <c r="E116" s="1355"/>
      <c r="F116" s="1355"/>
      <c r="G116" s="1343"/>
      <c r="H116" s="1343"/>
      <c r="I116" s="1343"/>
      <c r="J116" s="1343"/>
      <c r="K116" s="1343"/>
      <c r="L116" s="1349"/>
      <c r="M116" s="2609"/>
      <c r="N116" s="1349"/>
      <c r="O116" s="1349"/>
      <c r="P116" s="2609"/>
      <c r="Q116" s="1349"/>
      <c r="R116" s="1349"/>
      <c r="S116" s="2609"/>
      <c r="T116" s="1349"/>
      <c r="U116" s="1349"/>
      <c r="V116" s="2609"/>
      <c r="W116" s="2609"/>
      <c r="X116" s="2560"/>
      <c r="Y116" s="2560"/>
      <c r="Z116" s="2589"/>
      <c r="AA116" s="1121">
        <f xml:space="preserve"> IF( SUM( AC116:AC116 ) = 0, 0,#REF! )</f>
        <v>0</v>
      </c>
      <c r="AB116" s="2589"/>
    </row>
    <row r="117" spans="2:28" ht="20" thickTop="1" thickBot="1">
      <c r="B117" s="1355"/>
      <c r="C117" s="2560"/>
      <c r="D117" s="1355"/>
      <c r="E117" s="1355"/>
      <c r="F117" s="1355"/>
      <c r="G117" s="1343"/>
      <c r="H117" s="1343"/>
      <c r="I117" s="2913" t="s">
        <v>1696</v>
      </c>
      <c r="J117" s="2914"/>
      <c r="K117" s="1343"/>
      <c r="L117" s="2915" t="s">
        <v>1855</v>
      </c>
      <c r="M117" s="2916"/>
      <c r="N117" s="1349"/>
      <c r="O117" s="2915" t="s">
        <v>11035</v>
      </c>
      <c r="P117" s="2916"/>
      <c r="Q117" s="1349"/>
      <c r="R117" s="2915" t="s">
        <v>11036</v>
      </c>
      <c r="S117" s="2916"/>
      <c r="T117" s="1349"/>
      <c r="U117" s="2915" t="s">
        <v>13097</v>
      </c>
      <c r="V117" s="2916"/>
      <c r="W117" s="2609"/>
      <c r="X117" s="2560"/>
      <c r="Y117" s="2560"/>
      <c r="Z117" s="2589"/>
      <c r="AA117" s="1121">
        <f xml:space="preserve"> IF( SUM( AC117:AC117 ) = 0, 0,#REF! )</f>
        <v>0</v>
      </c>
      <c r="AB117" s="2589"/>
    </row>
    <row r="118" spans="2:28" ht="38.5" thickTop="1" thickBot="1">
      <c r="B118" s="2560"/>
      <c r="C118" s="1339" t="s">
        <v>0</v>
      </c>
      <c r="D118" s="1326" t="s">
        <v>13098</v>
      </c>
      <c r="E118" s="1326" t="s">
        <v>135</v>
      </c>
      <c r="F118" s="1326" t="s">
        <v>13040</v>
      </c>
      <c r="G118" s="1327" t="s">
        <v>13099</v>
      </c>
      <c r="H118" s="1343"/>
      <c r="I118" s="1389" t="s">
        <v>13100</v>
      </c>
      <c r="J118" s="1344" t="s">
        <v>13101</v>
      </c>
      <c r="K118" s="1343"/>
      <c r="L118" s="1390" t="s">
        <v>13100</v>
      </c>
      <c r="M118" s="1391" t="s">
        <v>13101</v>
      </c>
      <c r="N118" s="1349"/>
      <c r="O118" s="1390" t="s">
        <v>13100</v>
      </c>
      <c r="P118" s="1391" t="s">
        <v>13101</v>
      </c>
      <c r="Q118" s="1349"/>
      <c r="R118" s="1390" t="s">
        <v>13100</v>
      </c>
      <c r="S118" s="1391" t="s">
        <v>13101</v>
      </c>
      <c r="T118" s="1349"/>
      <c r="U118" s="1390" t="s">
        <v>13100</v>
      </c>
      <c r="V118" s="1391" t="s">
        <v>13101</v>
      </c>
      <c r="W118" s="2609"/>
      <c r="X118" s="1392" t="s">
        <v>1896</v>
      </c>
      <c r="Y118" s="2560"/>
      <c r="Z118" s="2589"/>
      <c r="AA118" s="1121">
        <f xml:space="preserve"> IF( SUM( AC118:AC118 ) = 0, 0,#REF! )</f>
        <v>0</v>
      </c>
      <c r="AB118" s="2589"/>
    </row>
    <row r="119" spans="2:28" ht="25.5" thickTop="1">
      <c r="B119" s="1399" t="s">
        <v>13102</v>
      </c>
      <c r="C119" s="1333" t="s">
        <v>13208</v>
      </c>
      <c r="D119" s="1422">
        <f>2317*248/1000000</f>
        <v>0.57461600000000002</v>
      </c>
      <c r="E119" s="1333" t="s">
        <v>13104</v>
      </c>
      <c r="F119" s="1333">
        <v>0</v>
      </c>
      <c r="G119" s="1346">
        <v>248</v>
      </c>
      <c r="H119" s="1343"/>
      <c r="I119" s="2082">
        <v>0</v>
      </c>
      <c r="J119" s="1417">
        <f t="shared" ref="J119:J128" si="13">IFERROR(I119/$G119,0)</f>
        <v>0</v>
      </c>
      <c r="K119" s="1401"/>
      <c r="L119" s="1402">
        <v>0</v>
      </c>
      <c r="M119" s="1403">
        <f>L119/$G119</f>
        <v>0</v>
      </c>
      <c r="N119" s="1404"/>
      <c r="O119" s="1402">
        <v>0</v>
      </c>
      <c r="P119" s="1403">
        <f>O119/$G119</f>
        <v>0</v>
      </c>
      <c r="Q119" s="1404"/>
      <c r="R119" s="1402">
        <v>0</v>
      </c>
      <c r="S119" s="1403">
        <f>R119/$G119</f>
        <v>0</v>
      </c>
      <c r="T119" s="1404"/>
      <c r="U119" s="1402"/>
      <c r="V119" s="1403"/>
      <c r="W119" s="2609"/>
      <c r="X119" s="1405" t="s">
        <v>13209</v>
      </c>
      <c r="Y119" s="2560"/>
      <c r="Z119" s="2589"/>
      <c r="AA119" s="1121">
        <f xml:space="preserve"> IF( SUM( AC119:AC119 ) = 0, 0,#REF! )</f>
        <v>0</v>
      </c>
      <c r="AB119" s="2589"/>
    </row>
    <row r="120" spans="2:28" ht="25">
      <c r="B120" s="1406" t="s">
        <v>13106</v>
      </c>
      <c r="C120" s="1341" t="s">
        <v>13210</v>
      </c>
      <c r="D120" s="1411">
        <f>2926*163/1000000</f>
        <v>0.47693799999999997</v>
      </c>
      <c r="E120" s="1341" t="s">
        <v>13104</v>
      </c>
      <c r="F120" s="1341">
        <v>0</v>
      </c>
      <c r="G120" s="1346">
        <v>163</v>
      </c>
      <c r="H120" s="1343"/>
      <c r="I120" s="2083">
        <v>0</v>
      </c>
      <c r="J120" s="1407">
        <f t="shared" si="13"/>
        <v>0</v>
      </c>
      <c r="K120" s="1401"/>
      <c r="L120" s="1408">
        <v>0</v>
      </c>
      <c r="M120" s="1409">
        <f>L120/$G120</f>
        <v>0</v>
      </c>
      <c r="N120" s="1404"/>
      <c r="O120" s="1408">
        <v>0</v>
      </c>
      <c r="P120" s="1409">
        <f>O120/$G120</f>
        <v>0</v>
      </c>
      <c r="Q120" s="1404"/>
      <c r="R120" s="1408">
        <v>0</v>
      </c>
      <c r="S120" s="1409">
        <f>R120/$G120</f>
        <v>0</v>
      </c>
      <c r="T120" s="1404"/>
      <c r="U120" s="1408"/>
      <c r="V120" s="1409"/>
      <c r="W120" s="2609"/>
      <c r="X120" s="1410" t="s">
        <v>13211</v>
      </c>
      <c r="Y120" s="2560"/>
      <c r="Z120" s="2589"/>
      <c r="AA120" s="1121">
        <f xml:space="preserve"> IF( SUM( AC120:AC120 ) = 0, 0,#REF! )</f>
        <v>0</v>
      </c>
      <c r="AB120" s="2589"/>
    </row>
    <row r="121" spans="2:28" ht="25">
      <c r="B121" s="1406" t="s">
        <v>13109</v>
      </c>
      <c r="C121" s="1341" t="s">
        <v>13212</v>
      </c>
      <c r="D121" s="1411">
        <f>100*4950/1000000</f>
        <v>0.495</v>
      </c>
      <c r="E121" s="1341" t="s">
        <v>13104</v>
      </c>
      <c r="F121" s="1341">
        <v>0</v>
      </c>
      <c r="G121" s="1346">
        <v>100</v>
      </c>
      <c r="H121" s="1343"/>
      <c r="I121" s="2083">
        <v>0</v>
      </c>
      <c r="J121" s="1407">
        <f t="shared" si="13"/>
        <v>0</v>
      </c>
      <c r="K121" s="1401"/>
      <c r="L121" s="1408">
        <v>0</v>
      </c>
      <c r="M121" s="1409">
        <f t="shared" ref="M121:M128" si="14">L121/$G121</f>
        <v>0</v>
      </c>
      <c r="N121" s="1404"/>
      <c r="O121" s="1408">
        <v>0</v>
      </c>
      <c r="P121" s="1409">
        <f t="shared" ref="P121:P128" si="15">O121/$G121</f>
        <v>0</v>
      </c>
      <c r="Q121" s="1404"/>
      <c r="R121" s="1408">
        <v>0</v>
      </c>
      <c r="S121" s="1409">
        <f t="shared" ref="S121:S128" si="16">R121/$G121</f>
        <v>0</v>
      </c>
      <c r="T121" s="1404"/>
      <c r="U121" s="1408"/>
      <c r="V121" s="1409"/>
      <c r="W121" s="2609"/>
      <c r="X121" s="1410" t="s">
        <v>13213</v>
      </c>
      <c r="Y121" s="2560"/>
      <c r="Z121" s="2589"/>
      <c r="AA121" s="1121">
        <f xml:space="preserve"> IF( SUM( AC121:AC121 ) = 0, 0,#REF! )</f>
        <v>0</v>
      </c>
      <c r="AB121" s="2589"/>
    </row>
    <row r="122" spans="2:28" ht="25">
      <c r="B122" s="1406" t="s">
        <v>13112</v>
      </c>
      <c r="C122" s="1341" t="s">
        <v>13214</v>
      </c>
      <c r="D122" s="1411">
        <f>3250*100/1000000</f>
        <v>0.32500000000000001</v>
      </c>
      <c r="E122" s="1341" t="s">
        <v>13104</v>
      </c>
      <c r="F122" s="1341">
        <v>0</v>
      </c>
      <c r="G122" s="1346">
        <v>100</v>
      </c>
      <c r="H122" s="1343"/>
      <c r="I122" s="2083">
        <v>0</v>
      </c>
      <c r="J122" s="1407">
        <f t="shared" si="13"/>
        <v>0</v>
      </c>
      <c r="K122" s="1401"/>
      <c r="L122" s="1408">
        <v>0</v>
      </c>
      <c r="M122" s="1409">
        <f t="shared" si="14"/>
        <v>0</v>
      </c>
      <c r="N122" s="1404"/>
      <c r="O122" s="1408">
        <v>0</v>
      </c>
      <c r="P122" s="1409">
        <f t="shared" si="15"/>
        <v>0</v>
      </c>
      <c r="Q122" s="1404"/>
      <c r="R122" s="1408">
        <v>0</v>
      </c>
      <c r="S122" s="1409">
        <f t="shared" si="16"/>
        <v>0</v>
      </c>
      <c r="T122" s="1404"/>
      <c r="U122" s="1408"/>
      <c r="V122" s="1409"/>
      <c r="W122" s="2609"/>
      <c r="X122" s="1410" t="s">
        <v>13215</v>
      </c>
      <c r="Y122" s="2560"/>
      <c r="Z122" s="2589"/>
      <c r="AA122" s="1121">
        <f xml:space="preserve"> IF( SUM( AC122:AC122 ) = 0, 0,#REF! )</f>
        <v>0</v>
      </c>
      <c r="AB122" s="2589"/>
    </row>
    <row r="123" spans="2:28" ht="137.5">
      <c r="B123" s="1406" t="s">
        <v>13115</v>
      </c>
      <c r="C123" s="1341" t="s">
        <v>13216</v>
      </c>
      <c r="D123" s="1411">
        <v>0.35</v>
      </c>
      <c r="E123" s="1341" t="s">
        <v>1344</v>
      </c>
      <c r="F123" s="1341">
        <v>0</v>
      </c>
      <c r="G123" s="1434">
        <v>1</v>
      </c>
      <c r="H123" s="1343"/>
      <c r="I123" s="2083">
        <v>0</v>
      </c>
      <c r="J123" s="1407">
        <f t="shared" si="13"/>
        <v>0</v>
      </c>
      <c r="K123" s="1401"/>
      <c r="L123" s="1408">
        <v>0</v>
      </c>
      <c r="M123" s="1409">
        <f t="shared" si="14"/>
        <v>0</v>
      </c>
      <c r="N123" s="1404"/>
      <c r="O123" s="1408">
        <v>0</v>
      </c>
      <c r="P123" s="1409">
        <f t="shared" si="15"/>
        <v>0</v>
      </c>
      <c r="Q123" s="1404"/>
      <c r="R123" s="1408">
        <v>0</v>
      </c>
      <c r="S123" s="1409">
        <f t="shared" si="16"/>
        <v>0</v>
      </c>
      <c r="T123" s="1404"/>
      <c r="U123" s="1408"/>
      <c r="V123" s="1409"/>
      <c r="W123" s="2609"/>
      <c r="X123" s="1410" t="s">
        <v>13217</v>
      </c>
      <c r="Y123" s="2560"/>
      <c r="Z123" s="2589"/>
      <c r="AA123" s="1121">
        <f xml:space="preserve"> IF( SUM( AC123:AC123 ) = 0, 0,#REF! )</f>
        <v>0</v>
      </c>
      <c r="AB123" s="2589"/>
    </row>
    <row r="124" spans="2:28" ht="37.5">
      <c r="B124" s="1406" t="s">
        <v>13118</v>
      </c>
      <c r="C124" s="1341" t="s">
        <v>13218</v>
      </c>
      <c r="D124" s="1411">
        <v>0.25</v>
      </c>
      <c r="E124" s="1341" t="s">
        <v>13104</v>
      </c>
      <c r="F124" s="1341">
        <v>0</v>
      </c>
      <c r="G124" s="1346">
        <v>25</v>
      </c>
      <c r="H124" s="1343"/>
      <c r="I124" s="2083">
        <v>0</v>
      </c>
      <c r="J124" s="1407">
        <f t="shared" si="13"/>
        <v>0</v>
      </c>
      <c r="K124" s="1401"/>
      <c r="L124" s="1408">
        <v>0</v>
      </c>
      <c r="M124" s="1409">
        <f t="shared" si="14"/>
        <v>0</v>
      </c>
      <c r="N124" s="1404"/>
      <c r="O124" s="1408">
        <v>0</v>
      </c>
      <c r="P124" s="1409">
        <f t="shared" si="15"/>
        <v>0</v>
      </c>
      <c r="Q124" s="1404"/>
      <c r="R124" s="1408">
        <v>0</v>
      </c>
      <c r="S124" s="1409">
        <f t="shared" si="16"/>
        <v>0</v>
      </c>
      <c r="T124" s="1404"/>
      <c r="U124" s="1408"/>
      <c r="V124" s="1409"/>
      <c r="W124" s="2609"/>
      <c r="X124" s="1410" t="s">
        <v>13219</v>
      </c>
      <c r="Y124" s="2560"/>
      <c r="Z124" s="2589"/>
      <c r="AA124" s="1121">
        <f xml:space="preserve"> IF( SUM( AC124:AC124 ) = 0, 0,#REF! )</f>
        <v>0</v>
      </c>
      <c r="AB124" s="2589"/>
    </row>
    <row r="125" spans="2:28" ht="114.75" customHeight="1">
      <c r="B125" s="1406" t="s">
        <v>13121</v>
      </c>
      <c r="C125" s="1341" t="s">
        <v>13220</v>
      </c>
      <c r="D125" s="1411">
        <v>0.5</v>
      </c>
      <c r="E125" s="1341" t="s">
        <v>13104</v>
      </c>
      <c r="F125" s="1341">
        <v>0</v>
      </c>
      <c r="G125" s="1435">
        <v>1</v>
      </c>
      <c r="H125" s="1343"/>
      <c r="I125" s="2083">
        <v>0</v>
      </c>
      <c r="J125" s="1407">
        <f t="shared" si="13"/>
        <v>0</v>
      </c>
      <c r="K125" s="1401"/>
      <c r="L125" s="1408">
        <v>0</v>
      </c>
      <c r="M125" s="1409">
        <f t="shared" si="14"/>
        <v>0</v>
      </c>
      <c r="N125" s="1404"/>
      <c r="O125" s="1408">
        <v>0</v>
      </c>
      <c r="P125" s="1409">
        <f t="shared" si="15"/>
        <v>0</v>
      </c>
      <c r="Q125" s="1404"/>
      <c r="R125" s="1408">
        <v>0</v>
      </c>
      <c r="S125" s="1409">
        <f t="shared" si="16"/>
        <v>0</v>
      </c>
      <c r="T125" s="1404"/>
      <c r="U125" s="1408"/>
      <c r="V125" s="1409"/>
      <c r="W125" s="2609"/>
      <c r="X125" s="1410" t="s">
        <v>13221</v>
      </c>
      <c r="Y125" s="2560"/>
      <c r="Z125" s="2589"/>
      <c r="AA125" s="1121">
        <f xml:space="preserve"> IF( SUM( AC125:AC125 ) = 0, 0,#REF! )</f>
        <v>0</v>
      </c>
      <c r="AB125" s="2589"/>
    </row>
    <row r="126" spans="2:28" ht="89.25" customHeight="1">
      <c r="B126" s="1406" t="s">
        <v>13124</v>
      </c>
      <c r="C126" s="1436" t="s">
        <v>13222</v>
      </c>
      <c r="D126" s="1437">
        <v>0.75</v>
      </c>
      <c r="E126" s="1436" t="s">
        <v>1344</v>
      </c>
      <c r="F126" s="1436">
        <v>0</v>
      </c>
      <c r="G126" s="1435">
        <v>1</v>
      </c>
      <c r="H126" s="1343"/>
      <c r="I126" s="2091">
        <v>0</v>
      </c>
      <c r="J126" s="1407">
        <f t="shared" si="13"/>
        <v>0</v>
      </c>
      <c r="K126" s="1401"/>
      <c r="L126" s="1408">
        <v>0</v>
      </c>
      <c r="M126" s="1409">
        <f t="shared" si="14"/>
        <v>0</v>
      </c>
      <c r="N126" s="1404"/>
      <c r="O126" s="1408">
        <v>0</v>
      </c>
      <c r="P126" s="1409">
        <f t="shared" si="15"/>
        <v>0</v>
      </c>
      <c r="Q126" s="1404"/>
      <c r="R126" s="1408">
        <v>0</v>
      </c>
      <c r="S126" s="1409">
        <f t="shared" si="16"/>
        <v>0</v>
      </c>
      <c r="T126" s="1404"/>
      <c r="U126" s="1408"/>
      <c r="V126" s="1409"/>
      <c r="W126" s="2609"/>
      <c r="X126" s="1410" t="s">
        <v>13223</v>
      </c>
      <c r="Y126" s="2560"/>
      <c r="Z126" s="2589"/>
      <c r="AA126" s="1121">
        <f xml:space="preserve"> IF( SUM( AC126:AC126 ) = 0, 0,#REF! )</f>
        <v>0</v>
      </c>
      <c r="AB126" s="2589"/>
    </row>
    <row r="127" spans="2:28" ht="75">
      <c r="B127" s="1406" t="s">
        <v>13127</v>
      </c>
      <c r="C127" s="1436" t="s">
        <v>13224</v>
      </c>
      <c r="D127" s="1437">
        <v>2</v>
      </c>
      <c r="E127" s="1436" t="s">
        <v>1344</v>
      </c>
      <c r="F127" s="1436">
        <v>0</v>
      </c>
      <c r="G127" s="1435">
        <v>1</v>
      </c>
      <c r="H127" s="1343"/>
      <c r="I127" s="2091">
        <v>0</v>
      </c>
      <c r="J127" s="1407">
        <f t="shared" si="13"/>
        <v>0</v>
      </c>
      <c r="K127" s="1401"/>
      <c r="L127" s="1408">
        <v>0</v>
      </c>
      <c r="M127" s="1409">
        <f t="shared" si="14"/>
        <v>0</v>
      </c>
      <c r="N127" s="1404"/>
      <c r="O127" s="1408">
        <v>0</v>
      </c>
      <c r="P127" s="1409">
        <f t="shared" si="15"/>
        <v>0</v>
      </c>
      <c r="Q127" s="1404"/>
      <c r="R127" s="1408">
        <v>0</v>
      </c>
      <c r="S127" s="1409">
        <f t="shared" si="16"/>
        <v>0</v>
      </c>
      <c r="T127" s="1404"/>
      <c r="U127" s="1408"/>
      <c r="V127" s="1409"/>
      <c r="W127" s="2609"/>
      <c r="X127" s="1410" t="s">
        <v>13225</v>
      </c>
      <c r="Y127" s="2560"/>
      <c r="Z127" s="2589"/>
      <c r="AA127" s="1121">
        <f xml:space="preserve"> IF( SUM( AC127:AC127 ) = 0, 0,#REF! )</f>
        <v>0</v>
      </c>
      <c r="AB127" s="2589"/>
    </row>
    <row r="128" spans="2:28" ht="25.5" thickBot="1">
      <c r="B128" s="1388" t="s">
        <v>13155</v>
      </c>
      <c r="C128" s="1334" t="s">
        <v>13226</v>
      </c>
      <c r="D128" s="1413">
        <v>1.92</v>
      </c>
      <c r="E128" s="1334" t="s">
        <v>13187</v>
      </c>
      <c r="F128" s="1334">
        <v>1</v>
      </c>
      <c r="G128" s="1347">
        <v>11.5</v>
      </c>
      <c r="H128" s="1343"/>
      <c r="I128" s="2092">
        <v>0</v>
      </c>
      <c r="J128" s="1414">
        <f t="shared" si="13"/>
        <v>0</v>
      </c>
      <c r="K128" s="1401"/>
      <c r="L128" s="1415">
        <v>0</v>
      </c>
      <c r="M128" s="1416">
        <f t="shared" si="14"/>
        <v>0</v>
      </c>
      <c r="N128" s="1404"/>
      <c r="O128" s="1415">
        <v>0</v>
      </c>
      <c r="P128" s="1416">
        <f t="shared" si="15"/>
        <v>0</v>
      </c>
      <c r="Q128" s="1404"/>
      <c r="R128" s="1415">
        <v>0</v>
      </c>
      <c r="S128" s="1416">
        <f t="shared" si="16"/>
        <v>0</v>
      </c>
      <c r="T128" s="1404"/>
      <c r="U128" s="1415"/>
      <c r="V128" s="1416"/>
      <c r="W128" s="2609"/>
      <c r="X128" s="1398" t="s">
        <v>13227</v>
      </c>
      <c r="Y128" s="2560"/>
      <c r="Z128" s="2589"/>
      <c r="AA128" s="1121">
        <f xml:space="preserve"> IF( SUM( AC128:AC128 ) = 0, 0,#REF! )</f>
        <v>0</v>
      </c>
      <c r="AB128" s="2589"/>
    </row>
    <row r="129" spans="2:28" ht="15" thickTop="1" thickBot="1">
      <c r="B129" s="2560"/>
      <c r="C129" s="2560"/>
      <c r="D129" s="2610"/>
      <c r="E129" s="2560"/>
      <c r="F129" s="2560"/>
      <c r="G129" s="2560"/>
      <c r="H129" s="2560"/>
      <c r="I129" s="2560"/>
      <c r="J129" s="2560"/>
      <c r="K129" s="2560"/>
      <c r="L129" s="2609"/>
      <c r="M129" s="2609"/>
      <c r="N129" s="2609"/>
      <c r="O129" s="2609"/>
      <c r="P129" s="2609"/>
      <c r="Q129" s="2609"/>
      <c r="R129" s="2609"/>
      <c r="S129" s="2609"/>
      <c r="T129" s="2609"/>
      <c r="U129" s="2609"/>
      <c r="V129" s="2609"/>
      <c r="W129" s="2609"/>
      <c r="X129" s="2560"/>
      <c r="Y129" s="2560"/>
      <c r="Z129" s="2589"/>
      <c r="AA129" s="1121">
        <f xml:space="preserve"> IF( SUM( AC129:AC129 ) = 0, 0,#REF! )</f>
        <v>0</v>
      </c>
      <c r="AB129" s="2589"/>
    </row>
    <row r="130" spans="2:28" ht="19.5" thickTop="1">
      <c r="B130" s="1386" t="s">
        <v>13171</v>
      </c>
      <c r="C130" s="1387" t="s">
        <v>13095</v>
      </c>
      <c r="D130" s="2560"/>
      <c r="E130" s="2560"/>
      <c r="F130" s="2560"/>
      <c r="G130" s="1343"/>
      <c r="H130" s="1343"/>
      <c r="I130" s="1343"/>
      <c r="J130" s="1343"/>
      <c r="K130" s="1343"/>
      <c r="L130" s="1349"/>
      <c r="M130" s="2609"/>
      <c r="N130" s="1349"/>
      <c r="O130" s="1349"/>
      <c r="P130" s="2609"/>
      <c r="Q130" s="1349"/>
      <c r="R130" s="1349"/>
      <c r="S130" s="2609"/>
      <c r="T130" s="1349"/>
      <c r="U130" s="1349"/>
      <c r="V130" s="2609"/>
      <c r="W130" s="2609"/>
      <c r="X130" s="2560"/>
      <c r="Y130" s="2560"/>
      <c r="Z130" s="2589"/>
      <c r="AA130" s="1121">
        <f xml:space="preserve"> IF( SUM( AC130:AC130 ) = 0, 0,#REF! )</f>
        <v>0</v>
      </c>
      <c r="AB130" s="2589"/>
    </row>
    <row r="131" spans="2:28" ht="19.5" thickBot="1">
      <c r="B131" s="1388" t="s">
        <v>13228</v>
      </c>
      <c r="C131" s="1347">
        <v>22.702000000000002</v>
      </c>
      <c r="D131" s="1355"/>
      <c r="E131" s="1355"/>
      <c r="F131" s="1355"/>
      <c r="G131" s="1343"/>
      <c r="H131" s="1343"/>
      <c r="I131" s="1343"/>
      <c r="J131" s="1343"/>
      <c r="K131" s="1343"/>
      <c r="L131" s="1349"/>
      <c r="M131" s="2609"/>
      <c r="N131" s="1349"/>
      <c r="O131" s="1349"/>
      <c r="P131" s="2609"/>
      <c r="Q131" s="1349"/>
      <c r="R131" s="1349"/>
      <c r="S131" s="2609"/>
      <c r="T131" s="1349"/>
      <c r="U131" s="1349"/>
      <c r="V131" s="2609"/>
      <c r="W131" s="2609"/>
      <c r="X131" s="2560"/>
      <c r="Y131" s="2560"/>
      <c r="Z131" s="2589"/>
      <c r="AA131" s="1121">
        <f xml:space="preserve"> IF( SUM( AC131:AC131 ) = 0, 0,#REF! )</f>
        <v>0</v>
      </c>
      <c r="AB131" s="2589"/>
    </row>
    <row r="132" spans="2:28" ht="20" thickTop="1" thickBot="1">
      <c r="B132" s="1355"/>
      <c r="C132" s="2560"/>
      <c r="D132" s="1355"/>
      <c r="E132" s="1355"/>
      <c r="F132" s="1355"/>
      <c r="G132" s="1343"/>
      <c r="H132" s="1343"/>
      <c r="I132" s="2913" t="s">
        <v>1696</v>
      </c>
      <c r="J132" s="2914"/>
      <c r="K132" s="1343"/>
      <c r="L132" s="2915" t="s">
        <v>1855</v>
      </c>
      <c r="M132" s="2916"/>
      <c r="N132" s="1349"/>
      <c r="O132" s="2915" t="s">
        <v>11035</v>
      </c>
      <c r="P132" s="2916"/>
      <c r="Q132" s="1349"/>
      <c r="R132" s="2915" t="s">
        <v>11036</v>
      </c>
      <c r="S132" s="2916"/>
      <c r="T132" s="1349"/>
      <c r="U132" s="2915" t="s">
        <v>13097</v>
      </c>
      <c r="V132" s="2916"/>
      <c r="W132" s="2609"/>
      <c r="X132" s="2560"/>
      <c r="Y132" s="2560"/>
      <c r="Z132" s="2589"/>
      <c r="AA132" s="1121">
        <f xml:space="preserve"> IF( SUM( AC132:AC132 ) = 0, 0,#REF! )</f>
        <v>0</v>
      </c>
      <c r="AB132" s="2589"/>
    </row>
    <row r="133" spans="2:28" ht="38.5" thickTop="1" thickBot="1">
      <c r="B133" s="2560"/>
      <c r="C133" s="1339" t="s">
        <v>0</v>
      </c>
      <c r="D133" s="1326" t="s">
        <v>13098</v>
      </c>
      <c r="E133" s="1326" t="s">
        <v>135</v>
      </c>
      <c r="F133" s="1326" t="s">
        <v>13040</v>
      </c>
      <c r="G133" s="1327" t="s">
        <v>13099</v>
      </c>
      <c r="H133" s="1343"/>
      <c r="I133" s="1389" t="s">
        <v>13100</v>
      </c>
      <c r="J133" s="1344" t="s">
        <v>13101</v>
      </c>
      <c r="K133" s="1343"/>
      <c r="L133" s="1390" t="s">
        <v>13100</v>
      </c>
      <c r="M133" s="1391" t="s">
        <v>13101</v>
      </c>
      <c r="N133" s="1349"/>
      <c r="O133" s="1390" t="s">
        <v>13100</v>
      </c>
      <c r="P133" s="1391" t="s">
        <v>13101</v>
      </c>
      <c r="Q133" s="1349"/>
      <c r="R133" s="1390" t="s">
        <v>13100</v>
      </c>
      <c r="S133" s="1391" t="s">
        <v>13101</v>
      </c>
      <c r="T133" s="1349"/>
      <c r="U133" s="1390" t="s">
        <v>13100</v>
      </c>
      <c r="V133" s="1391" t="s">
        <v>13101</v>
      </c>
      <c r="W133" s="2609"/>
      <c r="X133" s="1392" t="s">
        <v>1896</v>
      </c>
      <c r="Y133" s="2560"/>
      <c r="Z133" s="2589"/>
      <c r="AA133" s="1121">
        <f xml:space="preserve"> IF( SUM( AC133:AC133 ) = 0, 0,#REF! )</f>
        <v>0</v>
      </c>
      <c r="AB133" s="2589"/>
    </row>
    <row r="134" spans="2:28" ht="19.5" thickTop="1">
      <c r="B134" s="1399" t="s">
        <v>13102</v>
      </c>
      <c r="C134" s="1333" t="s">
        <v>13229</v>
      </c>
      <c r="D134" s="1422">
        <v>12.818</v>
      </c>
      <c r="E134" s="1333" t="s">
        <v>1344</v>
      </c>
      <c r="F134" s="1333">
        <v>0</v>
      </c>
      <c r="G134" s="1434">
        <v>1</v>
      </c>
      <c r="H134" s="1343"/>
      <c r="I134" s="2093">
        <v>0</v>
      </c>
      <c r="J134" s="1417">
        <f>IFERROR(I134/$G134,0)</f>
        <v>0</v>
      </c>
      <c r="K134" s="1401"/>
      <c r="L134" s="1402">
        <v>0</v>
      </c>
      <c r="M134" s="1403">
        <f>L134/$G134</f>
        <v>0</v>
      </c>
      <c r="N134" s="1404"/>
      <c r="O134" s="1402">
        <v>0</v>
      </c>
      <c r="P134" s="1403">
        <f>O134/$G134</f>
        <v>0</v>
      </c>
      <c r="Q134" s="1404"/>
      <c r="R134" s="1402">
        <v>0</v>
      </c>
      <c r="S134" s="1403">
        <f>R134/$G134</f>
        <v>0</v>
      </c>
      <c r="T134" s="1404"/>
      <c r="U134" s="1402"/>
      <c r="V134" s="1403"/>
      <c r="W134" s="2609"/>
      <c r="X134" s="1405" t="s">
        <v>13230</v>
      </c>
      <c r="Y134" s="2560"/>
      <c r="Z134" s="2589"/>
      <c r="AA134" s="1121">
        <f xml:space="preserve"> IF( SUM( AC134:AC134 ) = 0, 0,#REF! )</f>
        <v>0</v>
      </c>
      <c r="AB134" s="2589"/>
    </row>
    <row r="135" spans="2:28" ht="25.5" thickBot="1">
      <c r="B135" s="1388" t="s">
        <v>13106</v>
      </c>
      <c r="C135" s="1334" t="s">
        <v>13231</v>
      </c>
      <c r="D135" s="1413">
        <v>9.8840000000000003</v>
      </c>
      <c r="E135" s="1334" t="s">
        <v>1344</v>
      </c>
      <c r="F135" s="1334">
        <v>0</v>
      </c>
      <c r="G135" s="1438">
        <v>1</v>
      </c>
      <c r="H135" s="1343"/>
      <c r="I135" s="2094">
        <v>0</v>
      </c>
      <c r="J135" s="1414">
        <f>IFERROR(I135/$G135,0)</f>
        <v>0</v>
      </c>
      <c r="K135" s="1401"/>
      <c r="L135" s="1415">
        <v>0</v>
      </c>
      <c r="M135" s="1416">
        <f>L135/$G135</f>
        <v>0</v>
      </c>
      <c r="N135" s="1404"/>
      <c r="O135" s="1415">
        <v>0</v>
      </c>
      <c r="P135" s="1416">
        <f>O135/$G135</f>
        <v>0</v>
      </c>
      <c r="Q135" s="1404"/>
      <c r="R135" s="1415">
        <v>0</v>
      </c>
      <c r="S135" s="1416">
        <f>R135/$G135</f>
        <v>0</v>
      </c>
      <c r="T135" s="1404"/>
      <c r="U135" s="1415"/>
      <c r="V135" s="1416"/>
      <c r="W135" s="2609"/>
      <c r="X135" s="1398" t="s">
        <v>13232</v>
      </c>
      <c r="Y135" s="2560"/>
      <c r="Z135" s="2589"/>
      <c r="AA135" s="1121">
        <f xml:space="preserve"> IF( SUM( AC135:AC135 ) = 0, 0,#REF! )</f>
        <v>0</v>
      </c>
      <c r="AB135" s="2589"/>
    </row>
    <row r="136" spans="2:28" ht="14.5" thickTop="1">
      <c r="B136" s="2560"/>
      <c r="C136" s="2560"/>
      <c r="D136" s="2560"/>
      <c r="E136" s="2560"/>
      <c r="F136" s="2560"/>
      <c r="G136" s="2560"/>
      <c r="H136" s="2560"/>
      <c r="I136" s="2560"/>
      <c r="J136" s="2560"/>
      <c r="K136" s="2560"/>
      <c r="L136" s="2609"/>
      <c r="M136" s="2609"/>
      <c r="N136" s="2609"/>
      <c r="O136" s="2609"/>
      <c r="P136" s="2609"/>
      <c r="Q136" s="2609"/>
      <c r="R136" s="2609"/>
      <c r="S136" s="2609"/>
      <c r="T136" s="2609"/>
      <c r="U136" s="2609"/>
      <c r="V136" s="2609"/>
      <c r="W136" s="2609"/>
      <c r="X136" s="2560"/>
      <c r="Y136" s="2560"/>
      <c r="Z136" s="2589"/>
      <c r="AA136" s="1121">
        <f xml:space="preserve"> IF( SUM( AC136:AC136 ) = 0, 0,#REF! )</f>
        <v>0</v>
      </c>
      <c r="AB136" s="2589"/>
    </row>
    <row r="137" spans="2:28">
      <c r="B137" s="2560"/>
      <c r="C137" s="2560"/>
      <c r="D137" s="2560"/>
      <c r="E137" s="2560"/>
      <c r="F137" s="2560"/>
      <c r="G137" s="2560"/>
      <c r="H137" s="2560"/>
      <c r="I137" s="2560"/>
      <c r="J137" s="2560"/>
      <c r="K137" s="2560"/>
      <c r="L137" s="2609"/>
      <c r="M137" s="2609"/>
      <c r="N137" s="2609"/>
      <c r="O137" s="2609"/>
      <c r="P137" s="2609"/>
      <c r="Q137" s="2609"/>
      <c r="R137" s="2609"/>
      <c r="S137" s="2609"/>
      <c r="T137" s="2609"/>
      <c r="U137" s="2609"/>
      <c r="V137" s="2609"/>
      <c r="W137" s="2609"/>
      <c r="X137" s="2560"/>
      <c r="Y137" s="2560"/>
      <c r="Z137" s="2589"/>
      <c r="AA137" s="1121">
        <f xml:space="preserve"> IF( SUM( AC137:AC137 ) = 0, 0,#REF! )</f>
        <v>0</v>
      </c>
      <c r="AB137" s="2589"/>
    </row>
    <row r="138" spans="2:28" ht="25.5" thickBot="1">
      <c r="B138" s="1348" t="s">
        <v>2</v>
      </c>
      <c r="C138" s="2560"/>
      <c r="D138" s="2560"/>
      <c r="E138" s="2560"/>
      <c r="F138" s="2560"/>
      <c r="G138" s="2560"/>
      <c r="H138" s="2560"/>
      <c r="I138" s="2560"/>
      <c r="J138" s="2560"/>
      <c r="K138" s="2560"/>
      <c r="L138" s="2609"/>
      <c r="M138" s="2609"/>
      <c r="N138" s="2609"/>
      <c r="O138" s="2609"/>
      <c r="P138" s="2609"/>
      <c r="Q138" s="2609"/>
      <c r="R138" s="2609"/>
      <c r="S138" s="2609"/>
      <c r="T138" s="2609"/>
      <c r="U138" s="2609"/>
      <c r="V138" s="2609"/>
      <c r="W138" s="2609"/>
      <c r="X138" s="2560"/>
      <c r="Y138" s="2560"/>
      <c r="Z138" s="2589"/>
      <c r="AA138" s="1121">
        <f xml:space="preserve"> IF( SUM( AC138:AC138 ) = 0, 0,#REF! )</f>
        <v>0</v>
      </c>
      <c r="AB138" s="2589"/>
    </row>
    <row r="139" spans="2:28" ht="19.5" thickTop="1">
      <c r="B139" s="1386" t="s">
        <v>13094</v>
      </c>
      <c r="C139" s="1387" t="s">
        <v>13095</v>
      </c>
      <c r="D139" s="2560"/>
      <c r="E139" s="2560"/>
      <c r="F139" s="2560"/>
      <c r="G139" s="1343"/>
      <c r="H139" s="1343"/>
      <c r="I139" s="1343"/>
      <c r="J139" s="1343"/>
      <c r="K139" s="1343"/>
      <c r="L139" s="1349"/>
      <c r="M139" s="2609"/>
      <c r="N139" s="1349"/>
      <c r="O139" s="1349"/>
      <c r="P139" s="2609"/>
      <c r="Q139" s="1349"/>
      <c r="R139" s="1349"/>
      <c r="S139" s="2609"/>
      <c r="T139" s="1349"/>
      <c r="U139" s="1349"/>
      <c r="V139" s="2609"/>
      <c r="W139" s="2609"/>
      <c r="X139" s="2560"/>
      <c r="Y139" s="2560"/>
      <c r="Z139" s="2589"/>
      <c r="AA139" s="1121">
        <f xml:space="preserve"> IF( SUM( AC139:AC139 ) = 0, 0,#REF! )</f>
        <v>0</v>
      </c>
      <c r="AB139" s="2589"/>
    </row>
    <row r="140" spans="2:28" ht="19.5" thickBot="1">
      <c r="B140" s="1388" t="s">
        <v>13233</v>
      </c>
      <c r="C140" s="1347">
        <v>71.917000000000002</v>
      </c>
      <c r="D140" s="1355"/>
      <c r="E140" s="1355"/>
      <c r="F140" s="1355"/>
      <c r="G140" s="1343"/>
      <c r="H140" s="1343"/>
      <c r="I140" s="1343"/>
      <c r="J140" s="1343"/>
      <c r="K140" s="1343"/>
      <c r="L140" s="1349"/>
      <c r="M140" s="2609"/>
      <c r="N140" s="1349"/>
      <c r="O140" s="1349"/>
      <c r="P140" s="2609"/>
      <c r="Q140" s="1349"/>
      <c r="R140" s="1349"/>
      <c r="S140" s="2609"/>
      <c r="T140" s="1349"/>
      <c r="U140" s="1349"/>
      <c r="V140" s="2609"/>
      <c r="W140" s="2609"/>
      <c r="X140" s="2560"/>
      <c r="Y140" s="2560"/>
      <c r="Z140" s="2589"/>
      <c r="AA140" s="1121">
        <f xml:space="preserve"> IF( SUM( AC140:AC140 ) = 0, 0,#REF! )</f>
        <v>0</v>
      </c>
      <c r="AB140" s="2589"/>
    </row>
    <row r="141" spans="2:28" ht="20" thickTop="1" thickBot="1">
      <c r="B141" s="1355"/>
      <c r="C141" s="2560"/>
      <c r="D141" s="1355"/>
      <c r="E141" s="1355"/>
      <c r="F141" s="1355"/>
      <c r="G141" s="1343"/>
      <c r="H141" s="1343"/>
      <c r="I141" s="2913" t="s">
        <v>1696</v>
      </c>
      <c r="J141" s="2914"/>
      <c r="K141" s="1343"/>
      <c r="L141" s="2915" t="s">
        <v>1855</v>
      </c>
      <c r="M141" s="2916"/>
      <c r="N141" s="1349"/>
      <c r="O141" s="2915" t="s">
        <v>11035</v>
      </c>
      <c r="P141" s="2916"/>
      <c r="Q141" s="1349"/>
      <c r="R141" s="2915" t="s">
        <v>11036</v>
      </c>
      <c r="S141" s="2916"/>
      <c r="T141" s="1349"/>
      <c r="U141" s="2915" t="s">
        <v>13097</v>
      </c>
      <c r="V141" s="2916"/>
      <c r="W141" s="2609"/>
      <c r="X141" s="2560"/>
      <c r="Y141" s="2560"/>
      <c r="Z141" s="2589"/>
      <c r="AA141" s="1121">
        <f xml:space="preserve"> IF( SUM( AC141:AC141 ) = 0, 0,#REF! )</f>
        <v>0</v>
      </c>
      <c r="AB141" s="2589"/>
    </row>
    <row r="142" spans="2:28" ht="38.5" thickTop="1" thickBot="1">
      <c r="B142" s="2560"/>
      <c r="C142" s="1339" t="s">
        <v>0</v>
      </c>
      <c r="D142" s="1326" t="s">
        <v>13098</v>
      </c>
      <c r="E142" s="1326" t="s">
        <v>135</v>
      </c>
      <c r="F142" s="1326" t="s">
        <v>13040</v>
      </c>
      <c r="G142" s="1327" t="s">
        <v>13099</v>
      </c>
      <c r="H142" s="1343"/>
      <c r="I142" s="1389" t="s">
        <v>13100</v>
      </c>
      <c r="J142" s="1344" t="s">
        <v>13101</v>
      </c>
      <c r="K142" s="1343"/>
      <c r="L142" s="1390" t="s">
        <v>13100</v>
      </c>
      <c r="M142" s="1391" t="s">
        <v>13101</v>
      </c>
      <c r="N142" s="1349"/>
      <c r="O142" s="1390" t="s">
        <v>13100</v>
      </c>
      <c r="P142" s="1391" t="s">
        <v>13101</v>
      </c>
      <c r="Q142" s="1349"/>
      <c r="R142" s="1390" t="s">
        <v>13100</v>
      </c>
      <c r="S142" s="1391" t="s">
        <v>13101</v>
      </c>
      <c r="T142" s="1349"/>
      <c r="U142" s="1390" t="s">
        <v>13100</v>
      </c>
      <c r="V142" s="1391" t="s">
        <v>13101</v>
      </c>
      <c r="W142" s="2609"/>
      <c r="X142" s="1392" t="s">
        <v>1896</v>
      </c>
      <c r="Y142" s="2560"/>
      <c r="Z142" s="2589"/>
      <c r="AA142" s="1121">
        <f xml:space="preserve"> IF( SUM( AC142:AC142 ) = 0, 0,#REF! )</f>
        <v>0</v>
      </c>
      <c r="AB142" s="2589"/>
    </row>
    <row r="143" spans="2:28" ht="63" thickTop="1">
      <c r="B143" s="1399" t="s">
        <v>13102</v>
      </c>
      <c r="C143" s="1333" t="s">
        <v>13234</v>
      </c>
      <c r="D143" s="1422">
        <f>296.61*200000/1000000</f>
        <v>59.322000000000003</v>
      </c>
      <c r="E143" s="1333" t="s">
        <v>1387</v>
      </c>
      <c r="F143" s="1333">
        <v>3</v>
      </c>
      <c r="G143" s="1431">
        <v>200</v>
      </c>
      <c r="H143" s="1343"/>
      <c r="I143" s="2087">
        <v>0</v>
      </c>
      <c r="J143" s="1417">
        <f>IFERROR(I143/$G143,0)</f>
        <v>0</v>
      </c>
      <c r="K143" s="1401"/>
      <c r="L143" s="1402">
        <v>0</v>
      </c>
      <c r="M143" s="1403">
        <f>L143/$G143</f>
        <v>0</v>
      </c>
      <c r="N143" s="1404"/>
      <c r="O143" s="1402">
        <v>0</v>
      </c>
      <c r="P143" s="1403">
        <f>O143/$G143</f>
        <v>0</v>
      </c>
      <c r="Q143" s="1404"/>
      <c r="R143" s="1402">
        <v>0</v>
      </c>
      <c r="S143" s="1403">
        <f>R143/$G143</f>
        <v>0</v>
      </c>
      <c r="T143" s="1404"/>
      <c r="U143" s="1402"/>
      <c r="V143" s="1403"/>
      <c r="W143" s="2609"/>
      <c r="X143" s="1405" t="s">
        <v>13235</v>
      </c>
      <c r="Y143" s="2560"/>
      <c r="Z143" s="2589"/>
      <c r="AA143" s="1121">
        <f xml:space="preserve"> IF( SUM( AC143:AC143 ) = 0, 0,#REF! )</f>
        <v>0</v>
      </c>
      <c r="AB143" s="2589"/>
    </row>
    <row r="144" spans="2:28" ht="38.25" customHeight="1">
      <c r="B144" s="1406" t="s">
        <v>13106</v>
      </c>
      <c r="C144" s="1341" t="s">
        <v>13236</v>
      </c>
      <c r="D144" s="1437">
        <f>59.37*3000/1000000</f>
        <v>0.17810999999999999</v>
      </c>
      <c r="E144" s="1439" t="s">
        <v>1387</v>
      </c>
      <c r="F144" s="1436">
        <v>3</v>
      </c>
      <c r="G144" s="1440">
        <v>3</v>
      </c>
      <c r="H144" s="1343"/>
      <c r="I144" s="2090">
        <v>0</v>
      </c>
      <c r="J144" s="1407">
        <f>IFERROR(I144/$G144,0)</f>
        <v>0</v>
      </c>
      <c r="K144" s="1401"/>
      <c r="L144" s="1408">
        <v>0</v>
      </c>
      <c r="M144" s="1409">
        <f t="shared" ref="M144:M146" si="17">L144/$G144</f>
        <v>0</v>
      </c>
      <c r="N144" s="1404"/>
      <c r="O144" s="1408">
        <v>0</v>
      </c>
      <c r="P144" s="1409">
        <f t="shared" ref="P144:P146" si="18">O144/$G144</f>
        <v>0</v>
      </c>
      <c r="Q144" s="1404"/>
      <c r="R144" s="1408">
        <v>0</v>
      </c>
      <c r="S144" s="1409">
        <f t="shared" ref="S144:S146" si="19">R144/$G144</f>
        <v>0</v>
      </c>
      <c r="T144" s="1404"/>
      <c r="U144" s="1408"/>
      <c r="V144" s="1409"/>
      <c r="W144" s="2609"/>
      <c r="X144" s="1441" t="s">
        <v>13237</v>
      </c>
      <c r="Y144" s="2560"/>
      <c r="Z144" s="2589"/>
      <c r="AA144" s="1121">
        <f xml:space="preserve"> IF( SUM( AC144:AC144 ) = 0, 0,#REF! )</f>
        <v>0</v>
      </c>
      <c r="AB144" s="2589"/>
    </row>
    <row r="145" spans="2:28" ht="25.5" customHeight="1">
      <c r="B145" s="1406" t="s">
        <v>13112</v>
      </c>
      <c r="C145" s="1341" t="s">
        <v>13238</v>
      </c>
      <c r="D145" s="1437">
        <f>581.35*1500/1000000</f>
        <v>0.87202500000000005</v>
      </c>
      <c r="E145" s="1439" t="s">
        <v>1387</v>
      </c>
      <c r="F145" s="1436">
        <v>3</v>
      </c>
      <c r="G145" s="1440">
        <v>1.5</v>
      </c>
      <c r="H145" s="1343"/>
      <c r="I145" s="2090">
        <v>0</v>
      </c>
      <c r="J145" s="1407">
        <f>IFERROR(I145/$G145,0)</f>
        <v>0</v>
      </c>
      <c r="K145" s="1401"/>
      <c r="L145" s="1408">
        <v>0</v>
      </c>
      <c r="M145" s="1409">
        <f t="shared" si="17"/>
        <v>0</v>
      </c>
      <c r="N145" s="1404"/>
      <c r="O145" s="1408">
        <v>0</v>
      </c>
      <c r="P145" s="1409">
        <f t="shared" si="18"/>
        <v>0</v>
      </c>
      <c r="Q145" s="1404"/>
      <c r="R145" s="1408">
        <v>0</v>
      </c>
      <c r="S145" s="1409">
        <f t="shared" si="19"/>
        <v>0</v>
      </c>
      <c r="T145" s="1404"/>
      <c r="U145" s="1408"/>
      <c r="V145" s="1409"/>
      <c r="W145" s="2609"/>
      <c r="X145" s="1441" t="s">
        <v>13239</v>
      </c>
      <c r="Y145" s="2560"/>
      <c r="Z145" s="2589"/>
      <c r="AA145" s="1121">
        <f xml:space="preserve"> IF( SUM( AC145:AC145 ) = 0, 0,#REF! )</f>
        <v>0</v>
      </c>
      <c r="AB145" s="2589"/>
    </row>
    <row r="146" spans="2:28" ht="25.5" customHeight="1">
      <c r="B146" s="1406" t="s">
        <v>13118</v>
      </c>
      <c r="C146" s="1341" t="s">
        <v>13240</v>
      </c>
      <c r="D146" s="1437">
        <f>2724.52*200/1000000</f>
        <v>0.54490400000000005</v>
      </c>
      <c r="E146" s="1439" t="s">
        <v>1387</v>
      </c>
      <c r="F146" s="1436">
        <v>3</v>
      </c>
      <c r="G146" s="1432">
        <f>200/1000</f>
        <v>0.2</v>
      </c>
      <c r="H146" s="1343"/>
      <c r="I146" s="2090">
        <v>0</v>
      </c>
      <c r="J146" s="1407">
        <f>IFERROR(I146/$G146,0)</f>
        <v>0</v>
      </c>
      <c r="K146" s="1401"/>
      <c r="L146" s="1408">
        <v>0</v>
      </c>
      <c r="M146" s="1409">
        <f t="shared" si="17"/>
        <v>0</v>
      </c>
      <c r="N146" s="1404"/>
      <c r="O146" s="1408">
        <v>0</v>
      </c>
      <c r="P146" s="1409">
        <f t="shared" si="18"/>
        <v>0</v>
      </c>
      <c r="Q146" s="1404"/>
      <c r="R146" s="1408">
        <v>0</v>
      </c>
      <c r="S146" s="1409">
        <f t="shared" si="19"/>
        <v>0</v>
      </c>
      <c r="T146" s="1404"/>
      <c r="U146" s="1408"/>
      <c r="V146" s="1409"/>
      <c r="W146" s="2609"/>
      <c r="X146" s="1441" t="s">
        <v>13241</v>
      </c>
      <c r="Y146" s="2560"/>
      <c r="Z146" s="2589"/>
      <c r="AA146" s="1121">
        <f xml:space="preserve"> IF( SUM( AC146:AC146 ) = 0, 0,#REF! )</f>
        <v>0</v>
      </c>
      <c r="AB146" s="2589"/>
    </row>
    <row r="147" spans="2:28" ht="77.150000000000006" customHeight="1" thickBot="1">
      <c r="B147" s="1334" t="s">
        <v>13124</v>
      </c>
      <c r="C147" s="1334" t="s">
        <v>13242</v>
      </c>
      <c r="D147" s="1413">
        <v>11</v>
      </c>
      <c r="E147" s="1334" t="s">
        <v>1344</v>
      </c>
      <c r="F147" s="1334">
        <v>0</v>
      </c>
      <c r="G147" s="1438">
        <v>0.96</v>
      </c>
      <c r="H147" s="1343"/>
      <c r="I147" s="2094">
        <v>0</v>
      </c>
      <c r="J147" s="1414">
        <f>IFERROR(I147/$G147,0)</f>
        <v>0</v>
      </c>
      <c r="K147" s="1401"/>
      <c r="L147" s="1415">
        <v>0</v>
      </c>
      <c r="M147" s="1416">
        <f>L147/$G147</f>
        <v>0</v>
      </c>
      <c r="N147" s="1404"/>
      <c r="O147" s="1415">
        <v>0</v>
      </c>
      <c r="P147" s="1416">
        <f>O147/$G147</f>
        <v>0</v>
      </c>
      <c r="Q147" s="1404"/>
      <c r="R147" s="1415">
        <v>0</v>
      </c>
      <c r="S147" s="1416">
        <f>R147/$G147</f>
        <v>0</v>
      </c>
      <c r="T147" s="1404"/>
      <c r="U147" s="1415"/>
      <c r="V147" s="1416"/>
      <c r="W147" s="2609"/>
      <c r="X147" s="1398" t="s">
        <v>13243</v>
      </c>
      <c r="Y147" s="2560"/>
      <c r="Z147" s="2589"/>
      <c r="AA147" s="1121">
        <f xml:space="preserve"> IF( SUM( AC147:AC147 ) = 0, 0,#REF! )</f>
        <v>0</v>
      </c>
      <c r="AB147" s="2589"/>
    </row>
    <row r="148" spans="2:28" ht="15" thickTop="1">
      <c r="B148" s="2560"/>
      <c r="C148" s="2560"/>
      <c r="D148" s="1420"/>
      <c r="E148" s="2560"/>
      <c r="F148" s="2560"/>
      <c r="G148" s="2560"/>
      <c r="H148" s="2560"/>
      <c r="I148" s="2560"/>
      <c r="J148" s="2560"/>
      <c r="K148" s="2560"/>
      <c r="L148" s="2609"/>
      <c r="M148" s="2609"/>
      <c r="N148" s="2609"/>
      <c r="O148" s="2609"/>
      <c r="P148" s="2609"/>
      <c r="Q148" s="2609"/>
      <c r="R148" s="2609"/>
      <c r="S148" s="2609"/>
      <c r="T148" s="2609"/>
      <c r="U148" s="2609"/>
      <c r="V148" s="2609"/>
      <c r="W148" s="2609"/>
      <c r="X148" s="2560"/>
      <c r="Y148" s="2560"/>
      <c r="Z148" s="2589"/>
      <c r="AA148" s="1121">
        <f xml:space="preserve"> IF( SUM( AC148:AC148 ) = 0, 0,#REF! )</f>
        <v>0</v>
      </c>
      <c r="AB148" s="2589"/>
    </row>
    <row r="149" spans="2:28">
      <c r="B149" s="2560"/>
      <c r="C149" s="2560"/>
      <c r="D149" s="2560"/>
      <c r="E149" s="2560"/>
      <c r="F149" s="2560"/>
      <c r="G149" s="2560"/>
      <c r="H149" s="2560"/>
      <c r="I149" s="2560"/>
      <c r="J149" s="2560"/>
      <c r="K149" s="2560"/>
      <c r="L149" s="2609"/>
      <c r="M149" s="2609"/>
      <c r="N149" s="2609"/>
      <c r="O149" s="2609"/>
      <c r="P149" s="2609"/>
      <c r="Q149" s="2609"/>
      <c r="R149" s="2609"/>
      <c r="S149" s="2609"/>
      <c r="T149" s="2609"/>
      <c r="U149" s="2609"/>
      <c r="V149" s="2609"/>
      <c r="W149" s="2609"/>
      <c r="X149" s="2560"/>
      <c r="Y149" s="2560"/>
      <c r="Z149" s="2589"/>
      <c r="AA149" s="1121">
        <f xml:space="preserve"> IF( SUM( AC149:AC149 ) = 0, 0,#REF! )</f>
        <v>0</v>
      </c>
      <c r="AB149" s="2589"/>
    </row>
    <row r="150" spans="2:28">
      <c r="B150" s="2560"/>
      <c r="C150" s="2560"/>
      <c r="D150" s="2560"/>
      <c r="E150" s="2560"/>
      <c r="F150" s="2560"/>
      <c r="G150" s="2560"/>
      <c r="H150" s="2560"/>
      <c r="I150" s="2560"/>
      <c r="J150" s="2560"/>
      <c r="K150" s="2560"/>
      <c r="L150" s="2609"/>
      <c r="M150" s="2609"/>
      <c r="N150" s="2609"/>
      <c r="O150" s="2609"/>
      <c r="P150" s="2609"/>
      <c r="Q150" s="2609"/>
      <c r="R150" s="2609"/>
      <c r="S150" s="2609"/>
      <c r="T150" s="2609"/>
      <c r="U150" s="2609"/>
      <c r="V150" s="2609"/>
      <c r="W150" s="2609"/>
      <c r="X150" s="2560"/>
      <c r="Y150" s="2560"/>
      <c r="Z150" s="2589"/>
      <c r="AA150" s="1121">
        <f xml:space="preserve"> IF( SUM( AC150:AC150 ) = 0, 0,#REF! )</f>
        <v>0</v>
      </c>
      <c r="AB150" s="2589"/>
    </row>
    <row r="151" spans="2:28">
      <c r="B151" s="2560"/>
      <c r="C151" s="2560"/>
      <c r="D151" s="2560"/>
      <c r="E151" s="2560"/>
      <c r="F151" s="2560"/>
      <c r="G151" s="2560"/>
      <c r="H151" s="2560"/>
      <c r="I151" s="2560"/>
      <c r="J151" s="2560"/>
      <c r="K151" s="2560"/>
      <c r="L151" s="2609"/>
      <c r="M151" s="2609"/>
      <c r="N151" s="2609"/>
      <c r="O151" s="2609"/>
      <c r="P151" s="2609"/>
      <c r="Q151" s="2609"/>
      <c r="R151" s="2609"/>
      <c r="S151" s="2609"/>
      <c r="T151" s="2609"/>
      <c r="U151" s="2609"/>
      <c r="V151" s="2609"/>
      <c r="W151" s="2609"/>
      <c r="X151" s="2560"/>
      <c r="Y151" s="2560"/>
      <c r="Z151" s="2589"/>
      <c r="AA151" s="1121">
        <f xml:space="preserve"> IF( SUM( AC151:AC151 ) = 0, 0,#REF! )</f>
        <v>0</v>
      </c>
      <c r="AB151" s="2589"/>
    </row>
    <row r="152" spans="2:28" ht="25.5" thickBot="1">
      <c r="B152" s="1348" t="s">
        <v>13244</v>
      </c>
      <c r="C152" s="2560"/>
      <c r="D152" s="2560"/>
      <c r="E152" s="2560"/>
      <c r="F152" s="2560"/>
      <c r="G152" s="2560"/>
      <c r="H152" s="2560"/>
      <c r="I152" s="2560"/>
      <c r="J152" s="2560"/>
      <c r="K152" s="2560"/>
      <c r="L152" s="2609"/>
      <c r="M152" s="2609"/>
      <c r="N152" s="2609"/>
      <c r="O152" s="2609"/>
      <c r="P152" s="2609"/>
      <c r="Q152" s="2609"/>
      <c r="R152" s="2609"/>
      <c r="S152" s="2609"/>
      <c r="T152" s="2609"/>
      <c r="U152" s="2609"/>
      <c r="V152" s="2609"/>
      <c r="W152" s="2609"/>
      <c r="X152" s="2560"/>
      <c r="Y152" s="2560"/>
      <c r="Z152" s="2589"/>
      <c r="AA152" s="1121">
        <f xml:space="preserve"> IF( SUM( AC152:AC152 ) = 0, 0,#REF! )</f>
        <v>0</v>
      </c>
      <c r="AB152" s="2589"/>
    </row>
    <row r="153" spans="2:28" ht="19.5" thickTop="1">
      <c r="B153" s="1386" t="s">
        <v>13094</v>
      </c>
      <c r="C153" s="1387" t="s">
        <v>13095</v>
      </c>
      <c r="D153" s="2560"/>
      <c r="E153" s="2560"/>
      <c r="F153" s="2560"/>
      <c r="G153" s="1343"/>
      <c r="H153" s="1343"/>
      <c r="I153" s="1343"/>
      <c r="J153" s="1343"/>
      <c r="K153" s="1343"/>
      <c r="L153" s="1349"/>
      <c r="M153" s="2609"/>
      <c r="N153" s="1349"/>
      <c r="O153" s="1349"/>
      <c r="P153" s="2609"/>
      <c r="Q153" s="1349"/>
      <c r="R153" s="1349"/>
      <c r="S153" s="2609"/>
      <c r="T153" s="1349"/>
      <c r="U153" s="1349"/>
      <c r="V153" s="2609"/>
      <c r="W153" s="2609"/>
      <c r="X153" s="2560"/>
      <c r="Y153" s="2560"/>
      <c r="Z153" s="2589"/>
      <c r="AA153" s="1121">
        <f xml:space="preserve"> IF( SUM( AC153:AC153 ) = 0, 0,#REF! )</f>
        <v>0</v>
      </c>
      <c r="AB153" s="2589"/>
    </row>
    <row r="154" spans="2:28" ht="25.5" thickBot="1">
      <c r="B154" s="1388" t="s">
        <v>13245</v>
      </c>
      <c r="C154" s="1347">
        <v>14.943</v>
      </c>
      <c r="D154" s="1355"/>
      <c r="E154" s="1355"/>
      <c r="F154" s="1355"/>
      <c r="G154" s="1343"/>
      <c r="H154" s="1343"/>
      <c r="I154" s="1343"/>
      <c r="J154" s="1343"/>
      <c r="K154" s="1343"/>
      <c r="L154" s="1349"/>
      <c r="M154" s="2609"/>
      <c r="N154" s="1349"/>
      <c r="O154" s="1349"/>
      <c r="P154" s="2609"/>
      <c r="Q154" s="1349"/>
      <c r="R154" s="1349"/>
      <c r="S154" s="2609"/>
      <c r="T154" s="1349"/>
      <c r="U154" s="1349"/>
      <c r="V154" s="2609"/>
      <c r="W154" s="2609"/>
      <c r="X154" s="2560"/>
      <c r="Y154" s="2560"/>
      <c r="Z154" s="2589"/>
      <c r="AA154" s="1121">
        <f xml:space="preserve"> IF( SUM( AC154:AC154 ) = 0, 0,#REF! )</f>
        <v>0</v>
      </c>
      <c r="AB154" s="2589"/>
    </row>
    <row r="155" spans="2:28" ht="20" thickTop="1" thickBot="1">
      <c r="B155" s="1355"/>
      <c r="C155" s="2560"/>
      <c r="D155" s="1355"/>
      <c r="E155" s="1355"/>
      <c r="F155" s="1355"/>
      <c r="G155" s="1343"/>
      <c r="H155" s="1343"/>
      <c r="I155" s="2913" t="s">
        <v>1696</v>
      </c>
      <c r="J155" s="2914"/>
      <c r="K155" s="1343"/>
      <c r="L155" s="2915" t="s">
        <v>1855</v>
      </c>
      <c r="M155" s="2916"/>
      <c r="N155" s="1349"/>
      <c r="O155" s="2915" t="s">
        <v>11035</v>
      </c>
      <c r="P155" s="2916"/>
      <c r="Q155" s="1349"/>
      <c r="R155" s="2915" t="s">
        <v>11036</v>
      </c>
      <c r="S155" s="2916"/>
      <c r="T155" s="1349"/>
      <c r="U155" s="2915" t="s">
        <v>13097</v>
      </c>
      <c r="V155" s="2916"/>
      <c r="W155" s="2609"/>
      <c r="X155" s="2560"/>
      <c r="Y155" s="2560"/>
      <c r="Z155" s="2589"/>
      <c r="AA155" s="1121">
        <f xml:space="preserve"> IF( SUM( AC155:AC155 ) = 0, 0,#REF! )</f>
        <v>0</v>
      </c>
      <c r="AB155" s="2589"/>
    </row>
    <row r="156" spans="2:28" ht="38.5" thickTop="1" thickBot="1">
      <c r="B156" s="2560"/>
      <c r="C156" s="1339" t="s">
        <v>0</v>
      </c>
      <c r="D156" s="1326" t="s">
        <v>13098</v>
      </c>
      <c r="E156" s="1326" t="s">
        <v>135</v>
      </c>
      <c r="F156" s="1326" t="s">
        <v>13040</v>
      </c>
      <c r="G156" s="1327" t="s">
        <v>13099</v>
      </c>
      <c r="H156" s="1343"/>
      <c r="I156" s="1389" t="s">
        <v>13100</v>
      </c>
      <c r="J156" s="1344" t="s">
        <v>13101</v>
      </c>
      <c r="K156" s="1343"/>
      <c r="L156" s="1390" t="s">
        <v>13100</v>
      </c>
      <c r="M156" s="1391" t="s">
        <v>13101</v>
      </c>
      <c r="N156" s="1349"/>
      <c r="O156" s="1390" t="s">
        <v>13100</v>
      </c>
      <c r="P156" s="1391" t="s">
        <v>13101</v>
      </c>
      <c r="Q156" s="1349"/>
      <c r="R156" s="1390" t="s">
        <v>13100</v>
      </c>
      <c r="S156" s="1391" t="s">
        <v>13101</v>
      </c>
      <c r="T156" s="1349"/>
      <c r="U156" s="1390" t="s">
        <v>13100</v>
      </c>
      <c r="V156" s="1391" t="s">
        <v>13101</v>
      </c>
      <c r="W156" s="2609"/>
      <c r="X156" s="1392" t="s">
        <v>1896</v>
      </c>
      <c r="Y156" s="2560"/>
      <c r="Z156" s="2589"/>
      <c r="AA156" s="1121">
        <f xml:space="preserve"> IF( SUM( AC156:AC156 ) = 0, 0,#REF! )</f>
        <v>0</v>
      </c>
      <c r="AB156" s="2589"/>
    </row>
    <row r="157" spans="2:28" ht="50.5" thickTop="1">
      <c r="B157" s="1399" t="s">
        <v>13102</v>
      </c>
      <c r="C157" s="1333" t="s">
        <v>13246</v>
      </c>
      <c r="D157" s="1422">
        <v>1.091</v>
      </c>
      <c r="E157" s="1333" t="s">
        <v>13247</v>
      </c>
      <c r="F157" s="1333">
        <v>0</v>
      </c>
      <c r="G157" s="1429">
        <f>D157*1000000/1000</f>
        <v>1091</v>
      </c>
      <c r="H157" s="1343"/>
      <c r="I157" s="2082">
        <v>0</v>
      </c>
      <c r="J157" s="1417">
        <f>IFERROR(I157/$G157,0)</f>
        <v>0</v>
      </c>
      <c r="K157" s="1401"/>
      <c r="L157" s="1402">
        <v>0</v>
      </c>
      <c r="M157" s="1403">
        <f>L157/$G157</f>
        <v>0</v>
      </c>
      <c r="N157" s="1404"/>
      <c r="O157" s="1402">
        <v>0</v>
      </c>
      <c r="P157" s="1403">
        <f>O157/$G157</f>
        <v>0</v>
      </c>
      <c r="Q157" s="1404"/>
      <c r="R157" s="1402">
        <v>0</v>
      </c>
      <c r="S157" s="1403">
        <f>R157/$G157</f>
        <v>0</v>
      </c>
      <c r="T157" s="1404"/>
      <c r="U157" s="1402"/>
      <c r="V157" s="1403"/>
      <c r="W157" s="2609"/>
      <c r="X157" s="1405" t="s">
        <v>13248</v>
      </c>
      <c r="Y157" s="2560"/>
      <c r="Z157" s="2589"/>
      <c r="AA157" s="1121">
        <f xml:space="preserve"> IF( SUM( AC157:AC157 ) = 0, 0,#REF! )</f>
        <v>0</v>
      </c>
      <c r="AB157" s="2589"/>
    </row>
    <row r="158" spans="2:28" ht="50">
      <c r="B158" s="1406" t="s">
        <v>13106</v>
      </c>
      <c r="C158" s="1341" t="s">
        <v>13249</v>
      </c>
      <c r="D158" s="1437">
        <v>1.819</v>
      </c>
      <c r="E158" s="1439" t="s">
        <v>1344</v>
      </c>
      <c r="F158" s="1436">
        <v>0</v>
      </c>
      <c r="G158" s="1442">
        <v>1</v>
      </c>
      <c r="H158" s="1343"/>
      <c r="I158" s="2091">
        <v>0</v>
      </c>
      <c r="J158" s="1407">
        <f>IFERROR(I158/$G158,0)</f>
        <v>0</v>
      </c>
      <c r="K158" s="1401"/>
      <c r="L158" s="1408">
        <v>0</v>
      </c>
      <c r="M158" s="1409">
        <f t="shared" ref="M158:M160" si="20">L158/$G158</f>
        <v>0</v>
      </c>
      <c r="N158" s="1404"/>
      <c r="O158" s="1408">
        <v>0</v>
      </c>
      <c r="P158" s="1409">
        <f t="shared" ref="P158:P160" si="21">O158/$G158</f>
        <v>0</v>
      </c>
      <c r="Q158" s="1404"/>
      <c r="R158" s="1408">
        <v>0</v>
      </c>
      <c r="S158" s="1409">
        <f t="shared" ref="S158:S160" si="22">R158/$G158</f>
        <v>0</v>
      </c>
      <c r="T158" s="1404"/>
      <c r="U158" s="1408"/>
      <c r="V158" s="1409"/>
      <c r="W158" s="2609"/>
      <c r="X158" s="1441" t="s">
        <v>13250</v>
      </c>
      <c r="Y158" s="2560"/>
      <c r="Z158" s="2589"/>
      <c r="AA158" s="1121">
        <f xml:space="preserve"> IF( SUM( AC158:AC158 ) = 0, 0,#REF! )</f>
        <v>0</v>
      </c>
      <c r="AB158" s="2589"/>
    </row>
    <row r="159" spans="2:28" ht="18.75" customHeight="1">
      <c r="B159" s="1406" t="s">
        <v>13109</v>
      </c>
      <c r="C159" s="1341" t="s">
        <v>13251</v>
      </c>
      <c r="D159" s="1437">
        <v>0.72299999999999998</v>
      </c>
      <c r="E159" s="1439" t="s">
        <v>13104</v>
      </c>
      <c r="F159" s="1436">
        <v>0</v>
      </c>
      <c r="G159" s="1443">
        <f>D159*1000000/2411</f>
        <v>299.87557030277895</v>
      </c>
      <c r="H159" s="1343"/>
      <c r="I159" s="2083">
        <v>0</v>
      </c>
      <c r="J159" s="1407">
        <f>IFERROR(I159/$G159,0)</f>
        <v>0</v>
      </c>
      <c r="K159" s="1401"/>
      <c r="L159" s="1408">
        <v>0</v>
      </c>
      <c r="M159" s="1409">
        <f t="shared" si="20"/>
        <v>0</v>
      </c>
      <c r="N159" s="1404"/>
      <c r="O159" s="1408">
        <v>0</v>
      </c>
      <c r="P159" s="1409">
        <f t="shared" si="21"/>
        <v>0</v>
      </c>
      <c r="Q159" s="1404"/>
      <c r="R159" s="1408">
        <v>0</v>
      </c>
      <c r="S159" s="1409">
        <f t="shared" si="22"/>
        <v>0</v>
      </c>
      <c r="T159" s="1404"/>
      <c r="U159" s="1408"/>
      <c r="V159" s="1409"/>
      <c r="W159" s="2609"/>
      <c r="X159" s="1441" t="s">
        <v>13252</v>
      </c>
      <c r="Y159" s="2560"/>
      <c r="Z159" s="2589"/>
      <c r="AA159" s="1121">
        <f xml:space="preserve"> IF( SUM( AC159:AC159 ) = 0, 0,#REF! )</f>
        <v>0</v>
      </c>
      <c r="AB159" s="2589"/>
    </row>
    <row r="160" spans="2:28" ht="19">
      <c r="B160" s="1406" t="s">
        <v>13112</v>
      </c>
      <c r="C160" s="1341" t="s">
        <v>13253</v>
      </c>
      <c r="D160" s="1437">
        <v>2.2530000000000001</v>
      </c>
      <c r="E160" s="1439" t="s">
        <v>13187</v>
      </c>
      <c r="F160" s="1436">
        <v>1</v>
      </c>
      <c r="G160" s="1444">
        <f>2.253*1000000/901</f>
        <v>2500.554938956715</v>
      </c>
      <c r="H160" s="1343"/>
      <c r="I160" s="2095">
        <v>0</v>
      </c>
      <c r="J160" s="1407">
        <f>IFERROR(I160/$G160,0)</f>
        <v>0</v>
      </c>
      <c r="K160" s="1401"/>
      <c r="L160" s="1408">
        <v>0</v>
      </c>
      <c r="M160" s="1409">
        <f t="shared" si="20"/>
        <v>0</v>
      </c>
      <c r="N160" s="1404"/>
      <c r="O160" s="1408">
        <v>0</v>
      </c>
      <c r="P160" s="1409">
        <f t="shared" si="21"/>
        <v>0</v>
      </c>
      <c r="Q160" s="1404"/>
      <c r="R160" s="1408">
        <v>0</v>
      </c>
      <c r="S160" s="1409">
        <f t="shared" si="22"/>
        <v>0</v>
      </c>
      <c r="T160" s="1404"/>
      <c r="U160" s="1408"/>
      <c r="V160" s="1409"/>
      <c r="W160" s="2609"/>
      <c r="X160" s="1441" t="s">
        <v>13254</v>
      </c>
      <c r="Y160" s="2560"/>
      <c r="Z160" s="2589"/>
      <c r="AA160" s="1121">
        <f xml:space="preserve"> IF( SUM( AC160:AC160 ) = 0, 0,#REF! )</f>
        <v>0</v>
      </c>
      <c r="AB160" s="2589"/>
    </row>
    <row r="161" spans="2:28" ht="25.5" thickBot="1">
      <c r="B161" s="1334" t="s">
        <v>13115</v>
      </c>
      <c r="C161" s="1334" t="s">
        <v>13255</v>
      </c>
      <c r="D161" s="1413">
        <v>9.0570000000000004</v>
      </c>
      <c r="E161" s="1334" t="s">
        <v>1344</v>
      </c>
      <c r="F161" s="1334">
        <v>0</v>
      </c>
      <c r="G161" s="1438">
        <v>1</v>
      </c>
      <c r="H161" s="1343"/>
      <c r="I161" s="2094">
        <v>0</v>
      </c>
      <c r="J161" s="1414">
        <f>IFERROR(I161/$G161,0)</f>
        <v>0</v>
      </c>
      <c r="K161" s="1401"/>
      <c r="L161" s="1415">
        <v>0</v>
      </c>
      <c r="M161" s="1416">
        <f>L161/$G161</f>
        <v>0</v>
      </c>
      <c r="N161" s="1404"/>
      <c r="O161" s="1415">
        <v>0</v>
      </c>
      <c r="P161" s="1416">
        <f>O161/$G161</f>
        <v>0</v>
      </c>
      <c r="Q161" s="1404"/>
      <c r="R161" s="1415">
        <v>0</v>
      </c>
      <c r="S161" s="1416">
        <f>R161/$G161</f>
        <v>0</v>
      </c>
      <c r="T161" s="1404"/>
      <c r="U161" s="1415"/>
      <c r="V161" s="1416"/>
      <c r="W161" s="2609"/>
      <c r="X161" s="1398" t="s">
        <v>13256</v>
      </c>
      <c r="Y161" s="2560"/>
      <c r="Z161" s="2589"/>
      <c r="AA161" s="1121">
        <f xml:space="preserve"> IF( SUM( AC161:AC161 ) = 0, 0,#REF! )</f>
        <v>0</v>
      </c>
      <c r="AB161" s="2589"/>
    </row>
    <row r="162" spans="2:28" ht="15" thickTop="1">
      <c r="B162" s="2560"/>
      <c r="C162" s="2560"/>
      <c r="D162" s="1420"/>
      <c r="E162" s="2560"/>
      <c r="F162" s="2560"/>
      <c r="G162" s="2560"/>
      <c r="H162" s="2560"/>
      <c r="I162" s="2560"/>
      <c r="J162" s="2560"/>
      <c r="K162" s="2560"/>
      <c r="L162" s="2609"/>
      <c r="M162" s="2609"/>
      <c r="N162" s="2609"/>
      <c r="O162" s="2609"/>
      <c r="P162" s="2609"/>
      <c r="Q162" s="2609"/>
      <c r="R162" s="2609"/>
      <c r="S162" s="2609"/>
      <c r="T162" s="2609"/>
      <c r="U162" s="2609"/>
      <c r="V162" s="2609"/>
      <c r="W162" s="2609"/>
      <c r="X162" s="2560"/>
      <c r="Y162" s="2560"/>
      <c r="Z162" s="2589"/>
      <c r="AA162" s="1121">
        <f xml:space="preserve"> IF( SUM( AC162:AC162 ) = 0, 0,#REF! )</f>
        <v>0</v>
      </c>
      <c r="AB162" s="2589"/>
    </row>
    <row r="163" spans="2:28">
      <c r="B163" s="2560"/>
      <c r="C163" s="2560"/>
      <c r="D163" s="2560"/>
      <c r="E163" s="2560"/>
      <c r="F163" s="2560"/>
      <c r="G163" s="2560"/>
      <c r="H163" s="2560"/>
      <c r="I163" s="2560"/>
      <c r="J163" s="2560"/>
      <c r="K163" s="2560"/>
      <c r="L163" s="2609"/>
      <c r="M163" s="2609"/>
      <c r="N163" s="2609"/>
      <c r="O163" s="2609"/>
      <c r="P163" s="2609"/>
      <c r="Q163" s="2609"/>
      <c r="R163" s="2609"/>
      <c r="S163" s="2609"/>
      <c r="T163" s="2609"/>
      <c r="U163" s="2609"/>
      <c r="V163" s="2609"/>
      <c r="W163" s="2609"/>
      <c r="X163" s="2560"/>
      <c r="Y163" s="2560"/>
      <c r="Z163" s="2589"/>
      <c r="AA163" s="1121">
        <f xml:space="preserve"> IF( SUM( AC163:AC163 ) = 0, 0,#REF! )</f>
        <v>0</v>
      </c>
      <c r="AB163" s="2589"/>
    </row>
    <row r="164" spans="2:28">
      <c r="B164" s="2560"/>
      <c r="C164" s="2560"/>
      <c r="D164" s="2560"/>
      <c r="E164" s="2560"/>
      <c r="F164" s="2560"/>
      <c r="G164" s="2560"/>
      <c r="H164" s="2560"/>
      <c r="I164" s="2560"/>
      <c r="J164" s="2560"/>
      <c r="K164" s="2560"/>
      <c r="L164" s="2609"/>
      <c r="M164" s="2609"/>
      <c r="N164" s="2609"/>
      <c r="O164" s="2609"/>
      <c r="P164" s="2609"/>
      <c r="Q164" s="2609"/>
      <c r="R164" s="2609"/>
      <c r="S164" s="2609"/>
      <c r="T164" s="2609"/>
      <c r="U164" s="2609"/>
      <c r="V164" s="2609"/>
      <c r="W164" s="2609"/>
      <c r="X164" s="2560"/>
      <c r="Y164" s="2560"/>
      <c r="Z164" s="2589"/>
      <c r="AA164" s="1121">
        <f xml:space="preserve"> IF( SUM( AC164:AC164 ) = 0, 0,#REF! )</f>
        <v>0</v>
      </c>
      <c r="AB164" s="2589"/>
    </row>
    <row r="165" spans="2:28">
      <c r="B165" s="2560"/>
      <c r="C165" s="2560"/>
      <c r="D165" s="2560"/>
      <c r="E165" s="2560"/>
      <c r="F165" s="2560"/>
      <c r="G165" s="2560"/>
      <c r="H165" s="2560"/>
      <c r="I165" s="2560"/>
      <c r="J165" s="2560"/>
      <c r="K165" s="2560"/>
      <c r="L165" s="2609"/>
      <c r="M165" s="2609"/>
      <c r="N165" s="2609"/>
      <c r="O165" s="2609"/>
      <c r="P165" s="2609"/>
      <c r="Q165" s="2609"/>
      <c r="R165" s="2609"/>
      <c r="S165" s="2609"/>
      <c r="T165" s="2609"/>
      <c r="U165" s="2609"/>
      <c r="V165" s="2609"/>
      <c r="W165" s="2609"/>
      <c r="X165" s="2560"/>
      <c r="Y165" s="2560"/>
      <c r="Z165" s="2589"/>
      <c r="AA165" s="1121">
        <f xml:space="preserve"> IF( SUM( AC165:AC165 ) = 0, 0,#REF! )</f>
        <v>0</v>
      </c>
      <c r="AB165" s="2589"/>
    </row>
    <row r="166" spans="2:28">
      <c r="B166" s="2560"/>
      <c r="C166" s="2560"/>
      <c r="D166" s="2560"/>
      <c r="E166" s="2560"/>
      <c r="F166" s="2560"/>
      <c r="G166" s="2560"/>
      <c r="H166" s="2560"/>
      <c r="I166" s="2560"/>
      <c r="J166" s="2560"/>
      <c r="K166" s="2560"/>
      <c r="L166" s="2609"/>
      <c r="M166" s="2609"/>
      <c r="N166" s="2609"/>
      <c r="O166" s="2609"/>
      <c r="P166" s="2609"/>
      <c r="Q166" s="2609"/>
      <c r="R166" s="2609"/>
      <c r="S166" s="2609"/>
      <c r="T166" s="2609"/>
      <c r="U166" s="2609"/>
      <c r="V166" s="2609"/>
      <c r="W166" s="2609"/>
      <c r="X166" s="2560"/>
      <c r="Y166" s="2560"/>
      <c r="Z166" s="2589"/>
      <c r="AA166" s="1121">
        <f xml:space="preserve"> IF( SUM( AC166:AC166 ) = 0, 0,#REF! )</f>
        <v>0</v>
      </c>
      <c r="AB166" s="2589"/>
    </row>
    <row r="167" spans="2:28">
      <c r="B167" s="2560"/>
      <c r="C167" s="2560"/>
      <c r="D167" s="2560"/>
      <c r="E167" s="2560"/>
      <c r="F167" s="2560"/>
      <c r="G167" s="2560"/>
      <c r="H167" s="2560"/>
      <c r="I167" s="2560"/>
      <c r="J167" s="2560"/>
      <c r="K167" s="2560"/>
      <c r="L167" s="2609"/>
      <c r="M167" s="2609"/>
      <c r="N167" s="2609"/>
      <c r="O167" s="2609"/>
      <c r="P167" s="2609"/>
      <c r="Q167" s="2609"/>
      <c r="R167" s="2609"/>
      <c r="S167" s="2609"/>
      <c r="T167" s="2609"/>
      <c r="U167" s="2609"/>
      <c r="V167" s="2609"/>
      <c r="W167" s="2609"/>
      <c r="X167" s="2560"/>
      <c r="Y167" s="2560"/>
      <c r="Z167" s="2589"/>
      <c r="AA167" s="1121">
        <f xml:space="preserve"> IF( SUM( AC167:AC167 ) = 0, 0,#REF! )</f>
        <v>0</v>
      </c>
      <c r="AB167" s="2589"/>
    </row>
    <row r="168" spans="2:28">
      <c r="B168" s="2560"/>
      <c r="C168" s="2560"/>
      <c r="D168" s="2560"/>
      <c r="E168" s="2560"/>
      <c r="F168" s="2560"/>
      <c r="G168" s="2560"/>
      <c r="H168" s="2560"/>
      <c r="I168" s="2560"/>
      <c r="J168" s="2560"/>
      <c r="K168" s="2560"/>
      <c r="L168" s="2609"/>
      <c r="M168" s="2609"/>
      <c r="N168" s="2609"/>
      <c r="O168" s="2609"/>
      <c r="P168" s="2609"/>
      <c r="Q168" s="2609"/>
      <c r="R168" s="2609"/>
      <c r="S168" s="2609"/>
      <c r="T168" s="2609"/>
      <c r="U168" s="2609"/>
      <c r="V168" s="2609"/>
      <c r="W168" s="2609"/>
      <c r="X168" s="2560"/>
      <c r="Y168" s="2560"/>
      <c r="Z168" s="2589"/>
      <c r="AA168" s="1121">
        <f xml:space="preserve"> IF( SUM( AC168:AC168 ) = 0, 0,#REF! )</f>
        <v>0</v>
      </c>
      <c r="AB168" s="2589"/>
    </row>
    <row r="169" spans="2:28" ht="14.5" thickBot="1">
      <c r="B169" s="2560"/>
      <c r="C169" s="2560"/>
      <c r="D169" s="2560"/>
      <c r="E169" s="2560"/>
      <c r="F169" s="2560"/>
      <c r="G169" s="2560"/>
      <c r="H169" s="2560"/>
      <c r="I169" s="2560"/>
      <c r="J169" s="2560"/>
      <c r="K169" s="2560"/>
      <c r="L169" s="2609"/>
      <c r="M169" s="2609"/>
      <c r="N169" s="2609"/>
      <c r="O169" s="2609"/>
      <c r="P169" s="2609"/>
      <c r="Q169" s="2609"/>
      <c r="R169" s="2609"/>
      <c r="S169" s="2609"/>
      <c r="T169" s="2609"/>
      <c r="U169" s="2609"/>
      <c r="V169" s="2609"/>
      <c r="W169" s="2609"/>
      <c r="X169" s="2560"/>
      <c r="Y169" s="2560"/>
      <c r="Z169" s="2589"/>
      <c r="AA169" s="1121">
        <f xml:space="preserve"> IF( SUM( AC169:AC169 ) = 0, 0,#REF! )</f>
        <v>0</v>
      </c>
      <c r="AB169" s="2589"/>
    </row>
    <row r="170" spans="2:28" ht="19.5" thickTop="1">
      <c r="B170" s="1386" t="s">
        <v>13130</v>
      </c>
      <c r="C170" s="1387" t="s">
        <v>13095</v>
      </c>
      <c r="D170" s="2560"/>
      <c r="E170" s="2560"/>
      <c r="F170" s="2560"/>
      <c r="G170" s="1343"/>
      <c r="H170" s="1343"/>
      <c r="I170" s="1343"/>
      <c r="J170" s="1343"/>
      <c r="K170" s="1343"/>
      <c r="L170" s="1349"/>
      <c r="M170" s="2609"/>
      <c r="N170" s="1349"/>
      <c r="O170" s="1349"/>
      <c r="P170" s="2609"/>
      <c r="Q170" s="1349"/>
      <c r="R170" s="1349"/>
      <c r="S170" s="2609"/>
      <c r="T170" s="1349"/>
      <c r="U170" s="1349"/>
      <c r="V170" s="2609"/>
      <c r="W170" s="2609"/>
      <c r="X170" s="2560"/>
      <c r="Y170" s="2560"/>
      <c r="Z170" s="2589"/>
      <c r="AA170" s="1121">
        <f xml:space="preserve"> IF( SUM( AC170:AC170 ) = 0, 0,#REF! )</f>
        <v>0</v>
      </c>
      <c r="AB170" s="2589"/>
    </row>
    <row r="171" spans="2:28" ht="25.5" thickBot="1">
      <c r="B171" s="1388" t="s">
        <v>13257</v>
      </c>
      <c r="C171" s="1421">
        <v>44.06</v>
      </c>
      <c r="D171" s="1355"/>
      <c r="E171" s="1355"/>
      <c r="F171" s="1355"/>
      <c r="G171" s="1343"/>
      <c r="H171" s="1343"/>
      <c r="I171" s="1343"/>
      <c r="J171" s="1343"/>
      <c r="K171" s="1343"/>
      <c r="L171" s="1349"/>
      <c r="M171" s="2609"/>
      <c r="N171" s="1349"/>
      <c r="O171" s="1349"/>
      <c r="P171" s="2609"/>
      <c r="Q171" s="1349"/>
      <c r="R171" s="1349"/>
      <c r="S171" s="2609"/>
      <c r="T171" s="1349"/>
      <c r="U171" s="1349"/>
      <c r="V171" s="2609"/>
      <c r="W171" s="2609"/>
      <c r="X171" s="2560"/>
      <c r="Y171" s="2560"/>
      <c r="Z171" s="2589"/>
      <c r="AA171" s="1121">
        <f xml:space="preserve"> IF( SUM( AC171:AC171 ) = 0, 0,#REF! )</f>
        <v>0</v>
      </c>
      <c r="AB171" s="2589"/>
    </row>
    <row r="172" spans="2:28" ht="20" thickTop="1" thickBot="1">
      <c r="B172" s="1355"/>
      <c r="C172" s="2560"/>
      <c r="D172" s="1355"/>
      <c r="E172" s="1355"/>
      <c r="F172" s="1355"/>
      <c r="G172" s="1343"/>
      <c r="H172" s="1343"/>
      <c r="I172" s="2913" t="s">
        <v>1696</v>
      </c>
      <c r="J172" s="2914"/>
      <c r="K172" s="1343"/>
      <c r="L172" s="2915" t="s">
        <v>1855</v>
      </c>
      <c r="M172" s="2916"/>
      <c r="N172" s="1349"/>
      <c r="O172" s="2915" t="s">
        <v>11035</v>
      </c>
      <c r="P172" s="2916"/>
      <c r="Q172" s="1349"/>
      <c r="R172" s="2915" t="s">
        <v>11036</v>
      </c>
      <c r="S172" s="2916"/>
      <c r="T172" s="1349"/>
      <c r="U172" s="2915" t="s">
        <v>13097</v>
      </c>
      <c r="V172" s="2916"/>
      <c r="W172" s="2609"/>
      <c r="X172" s="2560"/>
      <c r="Y172" s="2560"/>
      <c r="Z172" s="2589"/>
      <c r="AA172" s="1121">
        <f xml:space="preserve"> IF( SUM( AC172:AC172 ) = 0, 0,#REF! )</f>
        <v>0</v>
      </c>
      <c r="AB172" s="2589"/>
    </row>
    <row r="173" spans="2:28" ht="38.5" thickTop="1" thickBot="1">
      <c r="B173" s="2560"/>
      <c r="C173" s="1339" t="s">
        <v>0</v>
      </c>
      <c r="D173" s="1326" t="s">
        <v>13098</v>
      </c>
      <c r="E173" s="1326" t="s">
        <v>135</v>
      </c>
      <c r="F173" s="1326" t="s">
        <v>13040</v>
      </c>
      <c r="G173" s="1327" t="s">
        <v>13099</v>
      </c>
      <c r="H173" s="1343"/>
      <c r="I173" s="1389" t="s">
        <v>13100</v>
      </c>
      <c r="J173" s="1344" t="s">
        <v>13101</v>
      </c>
      <c r="K173" s="1343"/>
      <c r="L173" s="1390" t="s">
        <v>13100</v>
      </c>
      <c r="M173" s="1391" t="s">
        <v>13101</v>
      </c>
      <c r="N173" s="1349"/>
      <c r="O173" s="1390" t="s">
        <v>13100</v>
      </c>
      <c r="P173" s="1391" t="s">
        <v>13101</v>
      </c>
      <c r="Q173" s="1349"/>
      <c r="R173" s="1390" t="s">
        <v>13100</v>
      </c>
      <c r="S173" s="1391" t="s">
        <v>13101</v>
      </c>
      <c r="T173" s="1349"/>
      <c r="U173" s="1390" t="s">
        <v>13100</v>
      </c>
      <c r="V173" s="1391" t="s">
        <v>13101</v>
      </c>
      <c r="W173" s="2609"/>
      <c r="X173" s="1392" t="s">
        <v>1896</v>
      </c>
      <c r="Y173" s="2560"/>
      <c r="Z173" s="2589"/>
      <c r="AA173" s="1121">
        <f xml:space="preserve"> IF( SUM( AC173:AC173 ) = 0, 0,#REF! )</f>
        <v>0</v>
      </c>
      <c r="AB173" s="2589"/>
    </row>
    <row r="174" spans="2:28" ht="25.5" thickTop="1">
      <c r="B174" s="1399" t="s">
        <v>13102</v>
      </c>
      <c r="C174" s="1333" t="s">
        <v>13258</v>
      </c>
      <c r="D174" s="1422">
        <v>32.090000000000003</v>
      </c>
      <c r="E174" s="1333" t="s">
        <v>1344</v>
      </c>
      <c r="F174" s="1333">
        <v>0</v>
      </c>
      <c r="G174" s="1445">
        <v>1</v>
      </c>
      <c r="H174" s="1343"/>
      <c r="I174" s="2093">
        <v>0</v>
      </c>
      <c r="J174" s="1417">
        <f>IFERROR(I174/$G174,0)</f>
        <v>0</v>
      </c>
      <c r="K174" s="1401"/>
      <c r="L174" s="1402">
        <v>0</v>
      </c>
      <c r="M174" s="1403">
        <f>L174/$G174</f>
        <v>0</v>
      </c>
      <c r="N174" s="1404"/>
      <c r="O174" s="1402">
        <v>0</v>
      </c>
      <c r="P174" s="1403">
        <f>O174/$G174</f>
        <v>0</v>
      </c>
      <c r="Q174" s="1404"/>
      <c r="R174" s="1402">
        <v>0</v>
      </c>
      <c r="S174" s="1403">
        <f>R174/$G174</f>
        <v>0</v>
      </c>
      <c r="T174" s="1404"/>
      <c r="U174" s="1402">
        <v>0</v>
      </c>
      <c r="V174" s="1403">
        <f>U174/$G174</f>
        <v>0</v>
      </c>
      <c r="W174" s="2609"/>
      <c r="X174" s="1405" t="s">
        <v>13259</v>
      </c>
      <c r="Y174" s="2560"/>
      <c r="Z174" s="2589"/>
      <c r="AA174" s="1121">
        <f xml:space="preserve"> IF( SUM( AC174:AC174 ) = 0, 0,#REF! )</f>
        <v>0</v>
      </c>
      <c r="AB174" s="2589"/>
    </row>
    <row r="175" spans="2:28" ht="38" thickBot="1">
      <c r="B175" s="1334" t="s">
        <v>13106</v>
      </c>
      <c r="C175" s="1334" t="s">
        <v>13260</v>
      </c>
      <c r="D175" s="1413">
        <v>11.97</v>
      </c>
      <c r="E175" s="1334" t="s">
        <v>1344</v>
      </c>
      <c r="F175" s="1334">
        <v>0</v>
      </c>
      <c r="G175" s="1438">
        <v>1</v>
      </c>
      <c r="H175" s="1343"/>
      <c r="I175" s="2094">
        <v>0</v>
      </c>
      <c r="J175" s="1414">
        <f>IFERROR(I175/$G175,0)</f>
        <v>0</v>
      </c>
      <c r="K175" s="1401"/>
      <c r="L175" s="1415">
        <v>0</v>
      </c>
      <c r="M175" s="1416">
        <f t="shared" ref="M175" si="23">L175/$G175</f>
        <v>0</v>
      </c>
      <c r="N175" s="1404"/>
      <c r="O175" s="1415">
        <v>0</v>
      </c>
      <c r="P175" s="1416">
        <f t="shared" ref="P175" si="24">O175/$G175</f>
        <v>0</v>
      </c>
      <c r="Q175" s="1404"/>
      <c r="R175" s="1415">
        <v>0</v>
      </c>
      <c r="S175" s="1416">
        <f t="shared" ref="S175" si="25">R175/$G175</f>
        <v>0</v>
      </c>
      <c r="T175" s="1404"/>
      <c r="U175" s="1415">
        <v>0</v>
      </c>
      <c r="V175" s="1416">
        <f>U175/$G175</f>
        <v>0</v>
      </c>
      <c r="W175" s="2609"/>
      <c r="X175" s="1398" t="s">
        <v>13261</v>
      </c>
      <c r="Y175" s="2560"/>
      <c r="Z175" s="2589"/>
      <c r="AA175" s="1121">
        <f xml:space="preserve"> IF( SUM( AC175:AC175 ) = 0, 0,#REF! )</f>
        <v>0</v>
      </c>
      <c r="AB175" s="2589"/>
    </row>
    <row r="176" spans="2:28" ht="15" thickTop="1">
      <c r="B176" s="2560"/>
      <c r="C176" s="2560"/>
      <c r="D176" s="1420"/>
      <c r="E176" s="2560"/>
      <c r="F176" s="2560"/>
      <c r="G176" s="2560"/>
      <c r="H176" s="2560"/>
      <c r="I176" s="2560"/>
      <c r="J176" s="2560"/>
      <c r="K176" s="2560"/>
      <c r="L176" s="2609"/>
      <c r="M176" s="2609"/>
      <c r="N176" s="2609"/>
      <c r="O176" s="2609"/>
      <c r="P176" s="2609"/>
      <c r="Q176" s="2609"/>
      <c r="R176" s="2609"/>
      <c r="S176" s="2609"/>
      <c r="T176" s="2609"/>
      <c r="U176" s="2609"/>
      <c r="V176" s="2609"/>
      <c r="W176" s="2609"/>
      <c r="X176" s="2560"/>
      <c r="Y176" s="2560"/>
      <c r="Z176" s="2589"/>
      <c r="AA176" s="1121">
        <f xml:space="preserve"> IF( SUM( AC176:AC176 ) = 0, 0,#REF! )</f>
        <v>0</v>
      </c>
      <c r="AB176" s="2589"/>
    </row>
    <row r="177" spans="2:28">
      <c r="B177" s="2560"/>
      <c r="C177" s="2560"/>
      <c r="D177" s="2560"/>
      <c r="E177" s="2560"/>
      <c r="F177" s="2560"/>
      <c r="G177" s="2560"/>
      <c r="H177" s="2560"/>
      <c r="I177" s="2560"/>
      <c r="J177" s="2560"/>
      <c r="K177" s="2560"/>
      <c r="L177" s="2609"/>
      <c r="M177" s="2609"/>
      <c r="N177" s="2609"/>
      <c r="O177" s="2609"/>
      <c r="P177" s="2609"/>
      <c r="Q177" s="2609"/>
      <c r="R177" s="2609"/>
      <c r="S177" s="2609"/>
      <c r="T177" s="2609"/>
      <c r="U177" s="2609"/>
      <c r="V177" s="2609"/>
      <c r="W177" s="2609"/>
      <c r="X177" s="2560"/>
      <c r="Y177" s="2560"/>
      <c r="Z177" s="2589"/>
      <c r="AA177" s="1121">
        <f xml:space="preserve"> IF( SUM( AC177:AC177 ) = 0, 0,#REF! )</f>
        <v>0</v>
      </c>
      <c r="AB177" s="2589"/>
    </row>
    <row r="178" spans="2:28" ht="14.5" thickBot="1">
      <c r="B178" s="2560"/>
      <c r="C178" s="2560"/>
      <c r="D178" s="2560"/>
      <c r="E178" s="2560"/>
      <c r="F178" s="2560"/>
      <c r="G178" s="2560"/>
      <c r="H178" s="2560"/>
      <c r="I178" s="2560"/>
      <c r="J178" s="2560"/>
      <c r="K178" s="2560"/>
      <c r="L178" s="2609"/>
      <c r="M178" s="2609"/>
      <c r="N178" s="2609"/>
      <c r="O178" s="2609"/>
      <c r="P178" s="2609"/>
      <c r="Q178" s="2609"/>
      <c r="R178" s="2609"/>
      <c r="S178" s="2609"/>
      <c r="T178" s="2609"/>
      <c r="U178" s="2609"/>
      <c r="V178" s="2609"/>
      <c r="W178" s="2609"/>
      <c r="X178" s="2560"/>
      <c r="Y178" s="2560"/>
      <c r="Z178" s="2589"/>
      <c r="AA178" s="1121">
        <f xml:space="preserve"> IF( SUM( AC178:AC178 ) = 0, 0,#REF! )</f>
        <v>0</v>
      </c>
      <c r="AB178" s="2589"/>
    </row>
    <row r="179" spans="2:28" ht="19.5" thickTop="1">
      <c r="B179" s="1386" t="s">
        <v>13135</v>
      </c>
      <c r="C179" s="1387" t="s">
        <v>13095</v>
      </c>
      <c r="D179" s="2560"/>
      <c r="E179" s="2560"/>
      <c r="F179" s="2560"/>
      <c r="G179" s="1343"/>
      <c r="H179" s="1343"/>
      <c r="I179" s="1343"/>
      <c r="J179" s="1343"/>
      <c r="K179" s="1343"/>
      <c r="L179" s="1349"/>
      <c r="M179" s="2609"/>
      <c r="N179" s="1349"/>
      <c r="O179" s="1349"/>
      <c r="P179" s="2609"/>
      <c r="Q179" s="1349"/>
      <c r="R179" s="1349"/>
      <c r="S179" s="2609"/>
      <c r="T179" s="1349"/>
      <c r="U179" s="1349"/>
      <c r="V179" s="2609"/>
      <c r="W179" s="2609"/>
      <c r="X179" s="2560"/>
      <c r="Y179" s="2560"/>
      <c r="Z179" s="2589"/>
      <c r="AA179" s="1121">
        <f xml:space="preserve"> IF( SUM( AC179:AC179 ) = 0, 0,#REF! )</f>
        <v>0</v>
      </c>
      <c r="AB179" s="2589"/>
    </row>
    <row r="180" spans="2:28" ht="19.5" thickBot="1">
      <c r="B180" s="1388" t="s">
        <v>13262</v>
      </c>
      <c r="C180" s="1347">
        <v>5.399</v>
      </c>
      <c r="D180" s="1355"/>
      <c r="E180" s="1355"/>
      <c r="F180" s="1355"/>
      <c r="G180" s="1343"/>
      <c r="H180" s="1343"/>
      <c r="I180" s="1343"/>
      <c r="J180" s="1343"/>
      <c r="K180" s="1343"/>
      <c r="L180" s="1349"/>
      <c r="M180" s="2609"/>
      <c r="N180" s="1349"/>
      <c r="O180" s="1349"/>
      <c r="P180" s="2609"/>
      <c r="Q180" s="1349"/>
      <c r="R180" s="1349"/>
      <c r="S180" s="2609"/>
      <c r="T180" s="1349"/>
      <c r="U180" s="1349"/>
      <c r="V180" s="2609"/>
      <c r="W180" s="2609"/>
      <c r="X180" s="2560"/>
      <c r="Y180" s="2560"/>
      <c r="Z180" s="2589"/>
      <c r="AA180" s="1121">
        <f xml:space="preserve"> IF( SUM( AC180:AC180 ) = 0, 0,#REF! )</f>
        <v>0</v>
      </c>
      <c r="AB180" s="2589"/>
    </row>
    <row r="181" spans="2:28" ht="20" thickTop="1" thickBot="1">
      <c r="B181" s="1355"/>
      <c r="C181" s="2560"/>
      <c r="D181" s="1355"/>
      <c r="E181" s="1355"/>
      <c r="F181" s="1355"/>
      <c r="G181" s="1343"/>
      <c r="H181" s="1343"/>
      <c r="I181" s="2913" t="s">
        <v>1696</v>
      </c>
      <c r="J181" s="2914"/>
      <c r="K181" s="1343"/>
      <c r="L181" s="2915" t="s">
        <v>1855</v>
      </c>
      <c r="M181" s="2916"/>
      <c r="N181" s="1349"/>
      <c r="O181" s="2915" t="s">
        <v>11035</v>
      </c>
      <c r="P181" s="2916"/>
      <c r="Q181" s="1349"/>
      <c r="R181" s="2915" t="s">
        <v>11036</v>
      </c>
      <c r="S181" s="2916"/>
      <c r="T181" s="1349"/>
      <c r="U181" s="2915" t="s">
        <v>13097</v>
      </c>
      <c r="V181" s="2916"/>
      <c r="W181" s="2609"/>
      <c r="X181" s="2560"/>
      <c r="Y181" s="2560"/>
      <c r="Z181" s="2589"/>
      <c r="AA181" s="1121">
        <f xml:space="preserve"> IF( SUM( AC181:AC181 ) = 0, 0,#REF! )</f>
        <v>0</v>
      </c>
      <c r="AB181" s="2589"/>
    </row>
    <row r="182" spans="2:28" ht="38.5" thickTop="1" thickBot="1">
      <c r="B182" s="2560"/>
      <c r="C182" s="1339" t="s">
        <v>0</v>
      </c>
      <c r="D182" s="1326" t="s">
        <v>13098</v>
      </c>
      <c r="E182" s="1326" t="s">
        <v>135</v>
      </c>
      <c r="F182" s="1326" t="s">
        <v>13040</v>
      </c>
      <c r="G182" s="1327" t="s">
        <v>13099</v>
      </c>
      <c r="H182" s="1343"/>
      <c r="I182" s="1389" t="s">
        <v>13100</v>
      </c>
      <c r="J182" s="1344" t="s">
        <v>13101</v>
      </c>
      <c r="K182" s="1343"/>
      <c r="L182" s="1390" t="s">
        <v>13100</v>
      </c>
      <c r="M182" s="1391" t="s">
        <v>13101</v>
      </c>
      <c r="N182" s="1349"/>
      <c r="O182" s="1390" t="s">
        <v>13100</v>
      </c>
      <c r="P182" s="1391" t="s">
        <v>13101</v>
      </c>
      <c r="Q182" s="1349"/>
      <c r="R182" s="1390" t="s">
        <v>13100</v>
      </c>
      <c r="S182" s="1391" t="s">
        <v>13101</v>
      </c>
      <c r="T182" s="1349"/>
      <c r="U182" s="1390" t="s">
        <v>13100</v>
      </c>
      <c r="V182" s="1391" t="s">
        <v>13101</v>
      </c>
      <c r="W182" s="2609"/>
      <c r="X182" s="1392" t="s">
        <v>1896</v>
      </c>
      <c r="Y182" s="2560"/>
      <c r="Z182" s="2589"/>
      <c r="AA182" s="1121">
        <f xml:space="preserve"> IF( SUM( AC182:AC182 ) = 0, 0,#REF! )</f>
        <v>0</v>
      </c>
      <c r="AB182" s="2589"/>
    </row>
    <row r="183" spans="2:28" ht="19.5" thickTop="1">
      <c r="B183" s="1399" t="s">
        <v>13102</v>
      </c>
      <c r="C183" s="1333" t="s">
        <v>13263</v>
      </c>
      <c r="D183" s="1422">
        <v>3.8879999999999999</v>
      </c>
      <c r="E183" s="1333" t="s">
        <v>1344</v>
      </c>
      <c r="F183" s="1333">
        <v>0</v>
      </c>
      <c r="G183" s="1445">
        <v>1</v>
      </c>
      <c r="H183" s="1343"/>
      <c r="I183" s="2093">
        <v>0</v>
      </c>
      <c r="J183" s="1417">
        <f>IFERROR(I183/$G183,0)</f>
        <v>0</v>
      </c>
      <c r="K183" s="1401"/>
      <c r="L183" s="1402">
        <v>0</v>
      </c>
      <c r="M183" s="1403">
        <f>L183/$G183</f>
        <v>0</v>
      </c>
      <c r="N183" s="1404"/>
      <c r="O183" s="1402">
        <v>0</v>
      </c>
      <c r="P183" s="1403">
        <f>O183/$G183</f>
        <v>0</v>
      </c>
      <c r="Q183" s="1404"/>
      <c r="R183" s="1402">
        <v>0</v>
      </c>
      <c r="S183" s="1403">
        <f>R183/$G183</f>
        <v>0</v>
      </c>
      <c r="T183" s="1404"/>
      <c r="U183" s="1402"/>
      <c r="V183" s="1403"/>
      <c r="W183" s="2609"/>
      <c r="X183" s="1405" t="s">
        <v>13264</v>
      </c>
      <c r="Y183" s="2560"/>
      <c r="Z183" s="2589"/>
      <c r="AA183" s="1121">
        <f xml:space="preserve"> IF( SUM( AC183:AC183 ) = 0, 0,#REF! )</f>
        <v>0</v>
      </c>
      <c r="AB183" s="2589"/>
    </row>
    <row r="184" spans="2:28" ht="37.5">
      <c r="B184" s="1406" t="s">
        <v>13106</v>
      </c>
      <c r="C184" s="1341" t="s">
        <v>13265</v>
      </c>
      <c r="D184" s="1437">
        <f>0.493117*2</f>
        <v>0.98623400000000006</v>
      </c>
      <c r="E184" s="1439" t="s">
        <v>13104</v>
      </c>
      <c r="F184" s="1436">
        <v>0</v>
      </c>
      <c r="G184" s="1446">
        <v>2</v>
      </c>
      <c r="H184" s="1343"/>
      <c r="I184" s="2083">
        <v>0</v>
      </c>
      <c r="J184" s="1407">
        <f>IFERROR(I184/$G184,0)</f>
        <v>0</v>
      </c>
      <c r="K184" s="1401"/>
      <c r="L184" s="1408">
        <v>0</v>
      </c>
      <c r="M184" s="1409">
        <f t="shared" ref="M184:M185" si="26">L184/$G184</f>
        <v>0</v>
      </c>
      <c r="N184" s="1404"/>
      <c r="O184" s="1408">
        <v>0</v>
      </c>
      <c r="P184" s="1409">
        <f t="shared" ref="P184:P185" si="27">O184/$G184</f>
        <v>0</v>
      </c>
      <c r="Q184" s="1404"/>
      <c r="R184" s="1408">
        <v>0</v>
      </c>
      <c r="S184" s="1409">
        <f t="shared" ref="S184:S185" si="28">R184/$G184</f>
        <v>0</v>
      </c>
      <c r="T184" s="1404"/>
      <c r="U184" s="1408"/>
      <c r="V184" s="1409"/>
      <c r="W184" s="2609"/>
      <c r="X184" s="1441" t="s">
        <v>13266</v>
      </c>
      <c r="Y184" s="2560"/>
      <c r="Z184" s="2589"/>
      <c r="AA184" s="1121">
        <f xml:space="preserve"> IF( SUM( AC184:AC184 ) = 0, 0,#REF! )</f>
        <v>0</v>
      </c>
      <c r="AB184" s="2589"/>
    </row>
    <row r="185" spans="2:28" ht="25.5" thickBot="1">
      <c r="B185" s="1388" t="s">
        <v>13109</v>
      </c>
      <c r="C185" s="1334" t="s">
        <v>13267</v>
      </c>
      <c r="D185" s="1413">
        <v>0.52509899999999998</v>
      </c>
      <c r="E185" s="1334" t="s">
        <v>13104</v>
      </c>
      <c r="F185" s="1334">
        <v>0</v>
      </c>
      <c r="G185" s="1438">
        <v>1</v>
      </c>
      <c r="H185" s="1343"/>
      <c r="I185" s="2094">
        <v>0</v>
      </c>
      <c r="J185" s="1414">
        <f>IFERROR(I185/$G185,0)</f>
        <v>0</v>
      </c>
      <c r="K185" s="1401"/>
      <c r="L185" s="1415">
        <v>0</v>
      </c>
      <c r="M185" s="1416">
        <f t="shared" si="26"/>
        <v>0</v>
      </c>
      <c r="N185" s="1404"/>
      <c r="O185" s="1415">
        <v>0</v>
      </c>
      <c r="P185" s="1416">
        <f t="shared" si="27"/>
        <v>0</v>
      </c>
      <c r="Q185" s="1404"/>
      <c r="R185" s="1415">
        <v>0</v>
      </c>
      <c r="S185" s="1416">
        <f t="shared" si="28"/>
        <v>0</v>
      </c>
      <c r="T185" s="1404"/>
      <c r="U185" s="1415"/>
      <c r="V185" s="1416"/>
      <c r="W185" s="2609"/>
      <c r="X185" s="1398" t="s">
        <v>13268</v>
      </c>
      <c r="Y185" s="2560"/>
      <c r="Z185" s="2589"/>
      <c r="AA185" s="1121">
        <f xml:space="preserve"> IF( SUM( AC185:AC185 ) = 0, 0,#REF! )</f>
        <v>0</v>
      </c>
      <c r="AB185" s="2589"/>
    </row>
    <row r="186" spans="2:28" ht="15" thickTop="1">
      <c r="B186" s="2560"/>
      <c r="C186" s="2560"/>
      <c r="D186" s="1420"/>
      <c r="E186" s="2560"/>
      <c r="F186" s="2560"/>
      <c r="G186" s="2560"/>
      <c r="H186" s="2560"/>
      <c r="I186" s="2560"/>
      <c r="J186" s="2560"/>
      <c r="K186" s="2560"/>
      <c r="L186" s="2560"/>
      <c r="M186" s="2560"/>
      <c r="N186" s="2560"/>
      <c r="O186" s="2560"/>
      <c r="P186" s="2560"/>
      <c r="Q186" s="2560"/>
      <c r="R186" s="2560"/>
      <c r="S186" s="2560"/>
      <c r="T186" s="2560"/>
      <c r="U186" s="2560"/>
      <c r="V186" s="2560"/>
      <c r="W186" s="2560"/>
      <c r="X186" s="2560"/>
      <c r="Y186" s="2560"/>
      <c r="Z186" s="2560"/>
      <c r="AA186" s="2560"/>
      <c r="AB186" s="2560"/>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8" priority="1" operator="equal">
      <formula>0</formula>
    </cfRule>
  </conditionalFormatting>
  <pageMargins left="0.7" right="0.7" top="0.75" bottom="0.75" header="0.3" footer="0.3"/>
  <pageSetup paperSize="8" scale="59" fitToHeight="0" orientation="portrait" r:id="rId1"/>
  <rowBreaks count="1" manualBreakCount="1">
    <brk id="74" min="1" max="24" man="1"/>
  </rowBreaks>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7" zoomScaleNormal="100" zoomScaleSheetLayoutView="100" workbookViewId="0">
      <selection activeCell="G15" sqref="G15"/>
    </sheetView>
  </sheetViews>
  <sheetFormatPr defaultColWidth="9.08203125" defaultRowHeight="15.5"/>
  <cols>
    <col min="1" max="1" width="1.58203125" style="197" customWidth="1"/>
    <col min="2" max="2" width="14" style="197" customWidth="1"/>
    <col min="3" max="3" width="22.08203125" style="197" customWidth="1"/>
    <col min="4" max="4" width="6.08203125" style="197" bestFit="1" customWidth="1"/>
    <col min="5" max="5" width="5.58203125" style="197" bestFit="1" customWidth="1"/>
    <col min="6" max="6" width="10.58203125" style="197" bestFit="1" customWidth="1"/>
    <col min="7" max="7" width="20.58203125" style="197" bestFit="1" customWidth="1"/>
    <col min="8" max="8" width="10.58203125" style="197" bestFit="1" customWidth="1"/>
    <col min="9" max="9" width="15" style="197" customWidth="1"/>
    <col min="10" max="10" width="25.58203125" style="106" bestFit="1" customWidth="1"/>
    <col min="11" max="11" width="1.58203125" style="197" customWidth="1"/>
    <col min="12" max="12" width="17.08203125" style="197" bestFit="1" customWidth="1"/>
    <col min="13" max="13" width="1.58203125" style="197" customWidth="1"/>
    <col min="14" max="14" width="31.08203125" style="197" bestFit="1" customWidth="1"/>
    <col min="15" max="15" width="1.58203125" style="197" customWidth="1"/>
    <col min="16" max="16" width="1.58203125" style="220" customWidth="1"/>
    <col min="17" max="17" width="25.08203125" style="220" customWidth="1"/>
    <col min="18" max="18" width="1.58203125" style="230" customWidth="1"/>
    <col min="19" max="21" width="8.08203125" style="230" hidden="1" customWidth="1"/>
    <col min="22" max="22" width="1.58203125" style="230" hidden="1" customWidth="1"/>
    <col min="23" max="23" width="1.58203125" style="197" customWidth="1"/>
    <col min="24" max="25" width="23.58203125" style="197" customWidth="1"/>
    <col min="26" max="26" width="14.58203125" style="197" bestFit="1" customWidth="1"/>
    <col min="27" max="27" width="15.58203125" style="197" customWidth="1"/>
    <col min="28" max="28" width="15.58203125" style="197" bestFit="1" customWidth="1"/>
    <col min="29" max="29" width="18.58203125" style="197" bestFit="1" customWidth="1"/>
    <col min="30" max="30" width="25.58203125" style="197" bestFit="1" customWidth="1"/>
    <col min="31" max="31" width="23.58203125" style="197" customWidth="1"/>
    <col min="32" max="16384" width="9.08203125" style="197"/>
  </cols>
  <sheetData>
    <row r="1" spans="2:30" s="227" customFormat="1" ht="22.5">
      <c r="B1" s="2673" t="s">
        <v>2307</v>
      </c>
      <c r="C1" s="2673"/>
      <c r="D1" s="2673"/>
      <c r="E1" s="2673"/>
      <c r="F1" s="2673"/>
      <c r="G1" s="2673"/>
      <c r="H1" s="2673"/>
      <c r="I1" s="2673"/>
      <c r="J1" s="304"/>
      <c r="P1" s="305"/>
      <c r="Q1" s="2573"/>
      <c r="R1" s="2577"/>
      <c r="S1" s="2572"/>
      <c r="T1" s="2572"/>
      <c r="U1" s="2572"/>
      <c r="V1" s="2577"/>
      <c r="X1" s="2673" t="s">
        <v>1887</v>
      </c>
      <c r="Y1" s="2673"/>
      <c r="Z1" s="2673"/>
      <c r="AA1" s="2673"/>
      <c r="AB1" s="2673"/>
      <c r="AC1" s="2673"/>
      <c r="AD1" s="304"/>
    </row>
    <row r="2" spans="2:30" s="227" customFormat="1" ht="22.5">
      <c r="B2" s="2673" t="str">
        <f>SelectCompany!B4</f>
        <v>Yorkshire Water</v>
      </c>
      <c r="C2" s="2673"/>
      <c r="D2" s="2673"/>
      <c r="E2" s="2673"/>
      <c r="F2" s="2673"/>
      <c r="G2" s="2673"/>
      <c r="H2" s="2673"/>
      <c r="I2" s="2673"/>
      <c r="J2" s="304"/>
      <c r="P2" s="305"/>
      <c r="Q2" s="2573"/>
      <c r="R2" s="2577"/>
      <c r="S2" s="2572"/>
      <c r="T2" s="2572"/>
      <c r="U2" s="2572"/>
      <c r="V2" s="2577"/>
      <c r="X2" s="2673"/>
      <c r="Y2" s="2673"/>
      <c r="Z2" s="2673"/>
      <c r="AA2" s="2673"/>
      <c r="AB2" s="2673"/>
      <c r="AC2" s="2673"/>
      <c r="AD2" s="304"/>
    </row>
    <row r="3" spans="2:30" s="227" customFormat="1" ht="19">
      <c r="B3" s="2674" t="s">
        <v>2308</v>
      </c>
      <c r="C3" s="2675"/>
      <c r="D3" s="2675"/>
      <c r="E3" s="2675"/>
      <c r="F3" s="2675"/>
      <c r="G3" s="2675"/>
      <c r="H3" s="2675"/>
      <c r="I3" s="2675"/>
      <c r="J3" s="2675"/>
      <c r="K3" s="2675"/>
      <c r="L3" s="2675"/>
      <c r="M3" s="2675"/>
      <c r="N3" s="2675"/>
      <c r="P3" s="307"/>
      <c r="Q3" s="232" t="s">
        <v>1889</v>
      </c>
      <c r="R3" s="2577"/>
      <c r="S3" s="2572"/>
      <c r="T3" s="2572"/>
      <c r="U3" s="2572"/>
      <c r="V3" s="2577"/>
      <c r="X3" s="2676" t="s">
        <v>2308</v>
      </c>
      <c r="Y3" s="2677"/>
      <c r="Z3" s="2677"/>
      <c r="AA3" s="2677"/>
      <c r="AB3" s="2677"/>
      <c r="AC3" s="2677"/>
      <c r="AD3" s="2678"/>
    </row>
    <row r="4" spans="2:30" ht="16" thickBot="1">
      <c r="B4" s="233"/>
      <c r="C4" s="233"/>
      <c r="D4" s="233"/>
      <c r="E4" s="233"/>
      <c r="F4" s="2685"/>
      <c r="G4" s="2685"/>
      <c r="H4" s="2685"/>
      <c r="I4" s="2685"/>
      <c r="J4" s="309"/>
      <c r="L4" s="2562"/>
      <c r="P4" s="2576"/>
      <c r="Q4" s="2573"/>
      <c r="R4" s="2577"/>
      <c r="S4" s="2662" t="s">
        <v>1890</v>
      </c>
      <c r="T4" s="2662"/>
      <c r="U4" s="2662"/>
      <c r="V4" s="2577"/>
      <c r="X4" s="233"/>
      <c r="Y4" s="233"/>
      <c r="Z4" s="2685"/>
      <c r="AA4" s="2685"/>
      <c r="AB4" s="2685"/>
      <c r="AC4" s="2685"/>
      <c r="AD4" s="309"/>
    </row>
    <row r="5" spans="2:30" ht="16" thickTop="1">
      <c r="B5" s="2663" t="s">
        <v>1891</v>
      </c>
      <c r="C5" s="2664"/>
      <c r="D5" s="2664" t="s">
        <v>1892</v>
      </c>
      <c r="E5" s="2664" t="s">
        <v>136</v>
      </c>
      <c r="F5" s="2667" t="s">
        <v>1893</v>
      </c>
      <c r="G5" s="2667" t="s">
        <v>1894</v>
      </c>
      <c r="H5" s="2667"/>
      <c r="I5" s="2667"/>
      <c r="J5" s="2669" t="s">
        <v>1895</v>
      </c>
      <c r="L5" s="2671" t="s">
        <v>1896</v>
      </c>
      <c r="N5" s="2671" t="s">
        <v>1897</v>
      </c>
      <c r="P5" s="2576"/>
      <c r="Q5" s="2573"/>
      <c r="R5" s="2577"/>
      <c r="S5" s="236" t="s">
        <v>1898</v>
      </c>
      <c r="T5" s="237"/>
      <c r="U5" s="237"/>
      <c r="V5" s="2577"/>
      <c r="X5" s="2663" t="s">
        <v>1891</v>
      </c>
      <c r="Y5" s="2664"/>
      <c r="Z5" s="2667" t="s">
        <v>1893</v>
      </c>
      <c r="AA5" s="2667" t="s">
        <v>1894</v>
      </c>
      <c r="AB5" s="2667"/>
      <c r="AC5" s="2667"/>
      <c r="AD5" s="2669" t="s">
        <v>1895</v>
      </c>
    </row>
    <row r="6" spans="2:30" ht="62.5" thickBot="1">
      <c r="B6" s="2665"/>
      <c r="C6" s="2666"/>
      <c r="D6" s="2666"/>
      <c r="E6" s="2666"/>
      <c r="F6" s="2668"/>
      <c r="G6" s="238" t="s">
        <v>1899</v>
      </c>
      <c r="H6" s="238" t="s">
        <v>1900</v>
      </c>
      <c r="I6" s="238" t="s">
        <v>1901</v>
      </c>
      <c r="J6" s="2670"/>
      <c r="L6" s="2672"/>
      <c r="N6" s="2672"/>
      <c r="P6" s="2576"/>
      <c r="Q6" s="2573"/>
      <c r="R6" s="2577"/>
      <c r="S6" s="2562"/>
      <c r="T6" s="2562"/>
      <c r="U6" s="2562"/>
      <c r="V6" s="2577"/>
      <c r="X6" s="2665"/>
      <c r="Y6" s="2666"/>
      <c r="Z6" s="2668"/>
      <c r="AA6" s="238" t="s">
        <v>1899</v>
      </c>
      <c r="AB6" s="238" t="s">
        <v>1900</v>
      </c>
      <c r="AC6" s="238" t="s">
        <v>1901</v>
      </c>
      <c r="AD6" s="2670"/>
    </row>
    <row r="7" spans="2:30" ht="16.5" thickTop="1" thickBot="1">
      <c r="B7" s="311"/>
      <c r="C7" s="312"/>
      <c r="D7" s="312"/>
      <c r="E7" s="312"/>
      <c r="F7" s="83"/>
      <c r="G7" s="83"/>
      <c r="H7" s="83"/>
      <c r="I7" s="83"/>
      <c r="J7" s="313"/>
      <c r="P7" s="2576"/>
      <c r="Q7" s="2573"/>
      <c r="R7" s="2577"/>
      <c r="S7" s="2573"/>
      <c r="T7" s="2573"/>
      <c r="U7" s="2573"/>
      <c r="V7" s="2577"/>
      <c r="X7" s="311"/>
      <c r="Y7" s="312"/>
      <c r="Z7" s="83"/>
      <c r="AA7" s="83"/>
      <c r="AB7" s="83"/>
      <c r="AC7" s="83"/>
      <c r="AD7" s="313"/>
    </row>
    <row r="8" spans="2:30" ht="16.5" thickTop="1" thickBot="1">
      <c r="B8" s="2635" t="s">
        <v>2309</v>
      </c>
      <c r="C8" s="2636"/>
      <c r="D8" s="325"/>
      <c r="E8" s="325"/>
      <c r="F8" s="83"/>
      <c r="G8" s="83"/>
      <c r="H8" s="83"/>
      <c r="I8" s="83"/>
      <c r="J8" s="313"/>
      <c r="P8" s="2576"/>
      <c r="Q8" s="2573"/>
      <c r="R8" s="2577"/>
      <c r="S8" s="2562"/>
      <c r="T8" s="2562"/>
      <c r="U8" s="2562"/>
      <c r="V8" s="2577"/>
      <c r="X8" s="2635" t="s">
        <v>2309</v>
      </c>
      <c r="Y8" s="2636"/>
      <c r="Z8" s="83"/>
      <c r="AA8" s="83"/>
      <c r="AB8" s="83"/>
      <c r="AC8" s="83"/>
      <c r="AD8" s="313"/>
    </row>
    <row r="9" spans="2:30" ht="16" thickTop="1">
      <c r="B9" s="2681" t="s">
        <v>1923</v>
      </c>
      <c r="C9" s="2682"/>
      <c r="D9" s="244" t="s">
        <v>137</v>
      </c>
      <c r="E9" s="244">
        <v>3</v>
      </c>
      <c r="F9" s="1817">
        <f>IFERROR('1A'!F11,0)</f>
        <v>236.66699999999992</v>
      </c>
      <c r="G9" s="1817">
        <f>IFERROR('1A'!G11,0)</f>
        <v>-8.5030000000000001</v>
      </c>
      <c r="H9" s="1817">
        <f>IFERROR('1A'!H11,0)</f>
        <v>0.94300000000000139</v>
      </c>
      <c r="I9" s="1807">
        <f>IFERROR(G9-H9,0)</f>
        <v>-9.4460000000000015</v>
      </c>
      <c r="J9" s="1818">
        <f t="shared" ref="J9:J20" si="0">IFERROR(F9+I9,0)</f>
        <v>227.22099999999992</v>
      </c>
      <c r="L9" s="248" t="s">
        <v>2310</v>
      </c>
      <c r="N9" s="250"/>
      <c r="P9" s="2578"/>
      <c r="Q9" s="2573"/>
      <c r="R9" s="2577"/>
      <c r="S9" s="237"/>
      <c r="T9" s="237"/>
      <c r="U9" s="237"/>
      <c r="V9" s="2577"/>
      <c r="X9" s="2681" t="s">
        <v>1923</v>
      </c>
      <c r="Y9" s="2682"/>
      <c r="Z9" s="314" t="s">
        <v>1925</v>
      </c>
      <c r="AA9" s="314" t="s">
        <v>1926</v>
      </c>
      <c r="AB9" s="314" t="s">
        <v>1927</v>
      </c>
      <c r="AC9" s="246" t="s">
        <v>1928</v>
      </c>
      <c r="AD9" s="315" t="s">
        <v>1929</v>
      </c>
    </row>
    <row r="10" spans="2:30">
      <c r="B10" s="2641" t="s">
        <v>1930</v>
      </c>
      <c r="C10" s="2642"/>
      <c r="D10" s="290" t="s">
        <v>137</v>
      </c>
      <c r="E10" s="290">
        <v>3</v>
      </c>
      <c r="F10" s="254">
        <v>24.018000000000001</v>
      </c>
      <c r="G10" s="254">
        <v>-25.132000000000001</v>
      </c>
      <c r="H10" s="254">
        <v>0.13700000000000001</v>
      </c>
      <c r="I10" s="1811">
        <f t="shared" ref="I10:I20" si="1">IFERROR(G10-H10,0)</f>
        <v>-25.269000000000002</v>
      </c>
      <c r="J10" s="1810">
        <f t="shared" si="0"/>
        <v>-1.2510000000000012</v>
      </c>
      <c r="L10" s="257" t="s">
        <v>2311</v>
      </c>
      <c r="N10" s="258"/>
      <c r="P10" s="2578"/>
      <c r="Q10" s="2573"/>
      <c r="R10" s="2577"/>
      <c r="S10" s="237"/>
      <c r="T10" s="237"/>
      <c r="U10" s="237"/>
      <c r="V10" s="2577"/>
      <c r="X10" s="2641" t="s">
        <v>1930</v>
      </c>
      <c r="Y10" s="2642"/>
      <c r="Z10" s="644" t="s">
        <v>2312</v>
      </c>
      <c r="AA10" s="644" t="s">
        <v>2313</v>
      </c>
      <c r="AB10" s="644" t="s">
        <v>2314</v>
      </c>
      <c r="AC10" s="255" t="s">
        <v>2315</v>
      </c>
      <c r="AD10" s="278" t="s">
        <v>2316</v>
      </c>
    </row>
    <row r="11" spans="2:30">
      <c r="B11" s="2657" t="s">
        <v>2317</v>
      </c>
      <c r="C11" s="2658"/>
      <c r="D11" s="259" t="s">
        <v>137</v>
      </c>
      <c r="E11" s="259">
        <v>3</v>
      </c>
      <c r="F11" s="254">
        <v>340.73200000000003</v>
      </c>
      <c r="G11" s="254">
        <v>-1.97</v>
      </c>
      <c r="H11" s="254">
        <v>0.161</v>
      </c>
      <c r="I11" s="1811">
        <f t="shared" si="1"/>
        <v>-2.1309999999999998</v>
      </c>
      <c r="J11" s="1810">
        <f t="shared" si="0"/>
        <v>338.60100000000006</v>
      </c>
      <c r="L11" s="257" t="s">
        <v>2318</v>
      </c>
      <c r="N11" s="258"/>
      <c r="P11" s="2578"/>
      <c r="Q11" s="251">
        <f t="shared" ref="Q11:Q19" si="2">IF( SUM( S11:U11 ) = 0, 0, $S$5 )</f>
        <v>0</v>
      </c>
      <c r="R11" s="2577"/>
      <c r="S11" s="252">
        <f t="shared" ref="S11" si="3" xml:space="preserve"> IF( ISNUMBER( F11 ), 0, 1 )</f>
        <v>0</v>
      </c>
      <c r="T11" s="252">
        <f t="shared" ref="T11:T16" si="4" xml:space="preserve"> IF( ISNUMBER( G11 ), 0, 1 )</f>
        <v>0</v>
      </c>
      <c r="U11" s="252">
        <f t="shared" ref="U11:U16" si="5" xml:space="preserve"> IF( ISNUMBER( H11 ), 0, 1 )</f>
        <v>0</v>
      </c>
      <c r="V11" s="2577"/>
      <c r="X11" s="2657" t="s">
        <v>2317</v>
      </c>
      <c r="Y11" s="2658"/>
      <c r="Z11" s="254" t="s">
        <v>2319</v>
      </c>
      <c r="AA11" s="254" t="s">
        <v>2320</v>
      </c>
      <c r="AB11" s="254" t="s">
        <v>2321</v>
      </c>
      <c r="AC11" s="255" t="s">
        <v>2322</v>
      </c>
      <c r="AD11" s="278" t="s">
        <v>2323</v>
      </c>
    </row>
    <row r="12" spans="2:30">
      <c r="B12" s="2655" t="s">
        <v>2324</v>
      </c>
      <c r="C12" s="2656"/>
      <c r="D12" s="253" t="s">
        <v>137</v>
      </c>
      <c r="E12" s="253">
        <v>3</v>
      </c>
      <c r="F12" s="254">
        <v>-13.744999999999999</v>
      </c>
      <c r="G12" s="254">
        <v>13.744999999999999</v>
      </c>
      <c r="H12" s="254">
        <v>0</v>
      </c>
      <c r="I12" s="1811">
        <f t="shared" si="1"/>
        <v>13.744999999999999</v>
      </c>
      <c r="J12" s="1810">
        <f t="shared" si="0"/>
        <v>0</v>
      </c>
      <c r="L12" s="257" t="s">
        <v>2325</v>
      </c>
      <c r="N12" s="258"/>
      <c r="P12" s="2578"/>
      <c r="Q12" s="251">
        <f t="shared" si="2"/>
        <v>0</v>
      </c>
      <c r="R12" s="2577"/>
      <c r="S12" s="252">
        <f t="shared" ref="S12:S16" si="6" xml:space="preserve"> IF( ISNUMBER( F12 ), 0, 1 )</f>
        <v>0</v>
      </c>
      <c r="T12" s="252">
        <f t="shared" si="4"/>
        <v>0</v>
      </c>
      <c r="U12" s="252">
        <f t="shared" si="5"/>
        <v>0</v>
      </c>
      <c r="V12" s="2577"/>
      <c r="X12" s="2655" t="s">
        <v>2326</v>
      </c>
      <c r="Y12" s="2656"/>
      <c r="Z12" s="254" t="s">
        <v>2327</v>
      </c>
      <c r="AA12" s="254" t="s">
        <v>2328</v>
      </c>
      <c r="AB12" s="254" t="s">
        <v>2329</v>
      </c>
      <c r="AC12" s="255" t="s">
        <v>2330</v>
      </c>
      <c r="AD12" s="278" t="s">
        <v>2331</v>
      </c>
    </row>
    <row r="13" spans="2:30">
      <c r="B13" s="2699" t="s">
        <v>2332</v>
      </c>
      <c r="C13" s="2700"/>
      <c r="D13" s="253" t="s">
        <v>137</v>
      </c>
      <c r="E13" s="253">
        <v>3</v>
      </c>
      <c r="F13" s="254">
        <v>31.962</v>
      </c>
      <c r="G13" s="254">
        <v>0</v>
      </c>
      <c r="H13" s="254">
        <v>-0.86799999999999999</v>
      </c>
      <c r="I13" s="1811">
        <f t="shared" si="1"/>
        <v>0.86799999999999999</v>
      </c>
      <c r="J13" s="1810">
        <f t="shared" si="0"/>
        <v>32.83</v>
      </c>
      <c r="L13" s="257" t="s">
        <v>2333</v>
      </c>
      <c r="N13" s="258"/>
      <c r="P13" s="2578"/>
      <c r="Q13" s="251">
        <f t="shared" si="2"/>
        <v>0</v>
      </c>
      <c r="R13" s="2577"/>
      <c r="S13" s="252">
        <f t="shared" si="6"/>
        <v>0</v>
      </c>
      <c r="T13" s="252">
        <f t="shared" si="4"/>
        <v>0</v>
      </c>
      <c r="U13" s="252">
        <f t="shared" si="5"/>
        <v>0</v>
      </c>
      <c r="V13" s="2577"/>
      <c r="X13" s="2699" t="s">
        <v>2332</v>
      </c>
      <c r="Y13" s="2700"/>
      <c r="Z13" s="254" t="s">
        <v>2334</v>
      </c>
      <c r="AA13" s="254" t="s">
        <v>2335</v>
      </c>
      <c r="AB13" s="254" t="s">
        <v>2336</v>
      </c>
      <c r="AC13" s="255" t="s">
        <v>2337</v>
      </c>
      <c r="AD13" s="278" t="s">
        <v>2338</v>
      </c>
    </row>
    <row r="14" spans="2:30">
      <c r="B14" s="2641" t="s">
        <v>2339</v>
      </c>
      <c r="C14" s="2642"/>
      <c r="D14" s="290" t="s">
        <v>137</v>
      </c>
      <c r="E14" s="290">
        <v>3</v>
      </c>
      <c r="F14" s="254">
        <v>0</v>
      </c>
      <c r="G14" s="254">
        <v>0</v>
      </c>
      <c r="H14" s="254">
        <v>0</v>
      </c>
      <c r="I14" s="1811">
        <f t="shared" si="1"/>
        <v>0</v>
      </c>
      <c r="J14" s="1810">
        <f t="shared" si="0"/>
        <v>0</v>
      </c>
      <c r="L14" s="257" t="s">
        <v>2340</v>
      </c>
      <c r="N14" s="258"/>
      <c r="P14" s="2578"/>
      <c r="Q14" s="251">
        <f t="shared" si="2"/>
        <v>0</v>
      </c>
      <c r="R14" s="2577"/>
      <c r="S14" s="252">
        <f t="shared" si="6"/>
        <v>0</v>
      </c>
      <c r="T14" s="252">
        <f t="shared" si="4"/>
        <v>0</v>
      </c>
      <c r="U14" s="252">
        <f t="shared" si="5"/>
        <v>0</v>
      </c>
      <c r="V14" s="2577"/>
      <c r="X14" s="2641" t="s">
        <v>2339</v>
      </c>
      <c r="Y14" s="2642"/>
      <c r="Z14" s="254" t="s">
        <v>2341</v>
      </c>
      <c r="AA14" s="254" t="s">
        <v>2342</v>
      </c>
      <c r="AB14" s="254" t="s">
        <v>2343</v>
      </c>
      <c r="AC14" s="255" t="s">
        <v>2344</v>
      </c>
      <c r="AD14" s="278" t="s">
        <v>2345</v>
      </c>
    </row>
    <row r="15" spans="2:30">
      <c r="B15" s="2657" t="s">
        <v>2346</v>
      </c>
      <c r="C15" s="2658"/>
      <c r="D15" s="259" t="s">
        <v>137</v>
      </c>
      <c r="E15" s="259">
        <v>3</v>
      </c>
      <c r="F15" s="254">
        <v>2.1379999999999999</v>
      </c>
      <c r="G15" s="254">
        <v>1.2669999999999999</v>
      </c>
      <c r="H15" s="254">
        <v>-0.373</v>
      </c>
      <c r="I15" s="1811">
        <f t="shared" si="1"/>
        <v>1.64</v>
      </c>
      <c r="J15" s="1810">
        <f t="shared" si="0"/>
        <v>3.7779999999999996</v>
      </c>
      <c r="L15" s="257" t="s">
        <v>2347</v>
      </c>
      <c r="N15" s="258"/>
      <c r="P15" s="2578"/>
      <c r="Q15" s="251">
        <f t="shared" si="2"/>
        <v>0</v>
      </c>
      <c r="R15" s="2577"/>
      <c r="S15" s="252">
        <f t="shared" si="6"/>
        <v>0</v>
      </c>
      <c r="T15" s="252">
        <f t="shared" si="4"/>
        <v>0</v>
      </c>
      <c r="U15" s="252">
        <f t="shared" si="5"/>
        <v>0</v>
      </c>
      <c r="V15" s="2577"/>
      <c r="X15" s="2657" t="s">
        <v>2346</v>
      </c>
      <c r="Y15" s="2658"/>
      <c r="Z15" s="254" t="s">
        <v>2348</v>
      </c>
      <c r="AA15" s="254" t="s">
        <v>2349</v>
      </c>
      <c r="AB15" s="254" t="s">
        <v>2350</v>
      </c>
      <c r="AC15" s="255" t="s">
        <v>2351</v>
      </c>
      <c r="AD15" s="278" t="s">
        <v>2352</v>
      </c>
    </row>
    <row r="16" spans="2:30">
      <c r="B16" s="2699" t="s">
        <v>2353</v>
      </c>
      <c r="C16" s="2700"/>
      <c r="D16" s="253" t="s">
        <v>137</v>
      </c>
      <c r="E16" s="253">
        <v>3</v>
      </c>
      <c r="F16" s="254">
        <v>-7.0110000000000001</v>
      </c>
      <c r="G16" s="254">
        <v>-4.0000000000000001E-3</v>
      </c>
      <c r="H16" s="254">
        <v>0</v>
      </c>
      <c r="I16" s="1811">
        <f t="shared" si="1"/>
        <v>-4.0000000000000001E-3</v>
      </c>
      <c r="J16" s="1810">
        <f t="shared" si="0"/>
        <v>-7.0149999999999997</v>
      </c>
      <c r="L16" s="257" t="s">
        <v>2354</v>
      </c>
      <c r="N16" s="258"/>
      <c r="P16" s="2578"/>
      <c r="Q16" s="251">
        <f t="shared" si="2"/>
        <v>0</v>
      </c>
      <c r="R16" s="2577"/>
      <c r="S16" s="252">
        <f t="shared" si="6"/>
        <v>0</v>
      </c>
      <c r="T16" s="252">
        <f t="shared" si="4"/>
        <v>0</v>
      </c>
      <c r="U16" s="252">
        <f t="shared" si="5"/>
        <v>0</v>
      </c>
      <c r="V16" s="2577"/>
      <c r="X16" s="2699" t="s">
        <v>2353</v>
      </c>
      <c r="Y16" s="2700"/>
      <c r="Z16" s="254" t="s">
        <v>2355</v>
      </c>
      <c r="AA16" s="254" t="s">
        <v>2356</v>
      </c>
      <c r="AB16" s="254" t="s">
        <v>2357</v>
      </c>
      <c r="AC16" s="255" t="s">
        <v>2358</v>
      </c>
      <c r="AD16" s="278" t="s">
        <v>2359</v>
      </c>
    </row>
    <row r="17" spans="2:30">
      <c r="B17" s="2641" t="s">
        <v>2360</v>
      </c>
      <c r="C17" s="2642"/>
      <c r="D17" s="290" t="s">
        <v>137</v>
      </c>
      <c r="E17" s="290">
        <v>3</v>
      </c>
      <c r="F17" s="1811">
        <f>IFERROR(SUM(F9:F16),0)</f>
        <v>614.76099999999997</v>
      </c>
      <c r="G17" s="1811">
        <f>IFERROR(SUM(G9:G16),0)</f>
        <v>-20.597000000000008</v>
      </c>
      <c r="H17" s="1811">
        <f>IFERROR(SUM(H9:H16),0)</f>
        <v>1.4432899320127035E-15</v>
      </c>
      <c r="I17" s="1811">
        <f t="shared" si="1"/>
        <v>-20.597000000000008</v>
      </c>
      <c r="J17" s="1810">
        <f t="shared" si="0"/>
        <v>594.16399999999999</v>
      </c>
      <c r="L17" s="257" t="s">
        <v>2361</v>
      </c>
      <c r="N17" s="258"/>
      <c r="P17" s="2578"/>
      <c r="Q17" s="2573"/>
      <c r="R17" s="2577"/>
      <c r="S17" s="237"/>
      <c r="T17" s="237"/>
      <c r="U17" s="237"/>
      <c r="V17" s="2577"/>
      <c r="X17" s="2641" t="s">
        <v>2360</v>
      </c>
      <c r="Y17" s="2642"/>
      <c r="Z17" s="255" t="s">
        <v>2362</v>
      </c>
      <c r="AA17" s="255" t="s">
        <v>2363</v>
      </c>
      <c r="AB17" s="255" t="s">
        <v>2364</v>
      </c>
      <c r="AC17" s="255" t="s">
        <v>2365</v>
      </c>
      <c r="AD17" s="278" t="s">
        <v>2366</v>
      </c>
    </row>
    <row r="18" spans="2:30">
      <c r="B18" s="2705" t="s">
        <v>2367</v>
      </c>
      <c r="C18" s="2706"/>
      <c r="D18" s="259" t="s">
        <v>137</v>
      </c>
      <c r="E18" s="259">
        <v>3</v>
      </c>
      <c r="F18" s="254">
        <v>-133.83199999999999</v>
      </c>
      <c r="G18" s="254">
        <v>-0.373</v>
      </c>
      <c r="H18" s="254">
        <v>0</v>
      </c>
      <c r="I18" s="1811">
        <f t="shared" si="1"/>
        <v>-0.373</v>
      </c>
      <c r="J18" s="1810">
        <f t="shared" si="0"/>
        <v>-134.20499999999998</v>
      </c>
      <c r="L18" s="257" t="s">
        <v>2368</v>
      </c>
      <c r="N18" s="258"/>
      <c r="P18" s="2578"/>
      <c r="Q18" s="251">
        <f t="shared" si="2"/>
        <v>0</v>
      </c>
      <c r="R18" s="2577"/>
      <c r="S18" s="252">
        <f t="shared" ref="S18:S19" si="7" xml:space="preserve"> IF( ISNUMBER( F18 ), 0, 1 )</f>
        <v>0</v>
      </c>
      <c r="T18" s="252">
        <f t="shared" ref="T18:T19" si="8" xml:space="preserve"> IF( ISNUMBER( G18 ), 0, 1 )</f>
        <v>0</v>
      </c>
      <c r="U18" s="252">
        <f t="shared" ref="U18:U19" si="9" xml:space="preserve"> IF( ISNUMBER( H18 ), 0, 1 )</f>
        <v>0</v>
      </c>
      <c r="V18" s="2577"/>
      <c r="X18" s="2705" t="s">
        <v>2367</v>
      </c>
      <c r="Y18" s="2706"/>
      <c r="Z18" s="254" t="s">
        <v>2369</v>
      </c>
      <c r="AA18" s="254" t="s">
        <v>2370</v>
      </c>
      <c r="AB18" s="254" t="s">
        <v>2371</v>
      </c>
      <c r="AC18" s="255" t="s">
        <v>2372</v>
      </c>
      <c r="AD18" s="278" t="s">
        <v>2373</v>
      </c>
    </row>
    <row r="19" spans="2:30">
      <c r="B19" s="2649" t="s">
        <v>2374</v>
      </c>
      <c r="C19" s="2650"/>
      <c r="D19" s="260" t="s">
        <v>137</v>
      </c>
      <c r="E19" s="260">
        <v>3</v>
      </c>
      <c r="F19" s="254">
        <v>-4.1189999999999998</v>
      </c>
      <c r="G19" s="254">
        <v>0</v>
      </c>
      <c r="H19" s="254">
        <v>0</v>
      </c>
      <c r="I19" s="1811">
        <f t="shared" si="1"/>
        <v>0</v>
      </c>
      <c r="J19" s="1810">
        <f t="shared" si="0"/>
        <v>-4.1189999999999998</v>
      </c>
      <c r="L19" s="257" t="s">
        <v>2375</v>
      </c>
      <c r="N19" s="258"/>
      <c r="P19" s="2578"/>
      <c r="Q19" s="251">
        <f t="shared" si="2"/>
        <v>0</v>
      </c>
      <c r="R19" s="2577"/>
      <c r="S19" s="252">
        <f t="shared" si="7"/>
        <v>0</v>
      </c>
      <c r="T19" s="252">
        <f t="shared" si="8"/>
        <v>0</v>
      </c>
      <c r="U19" s="252">
        <f t="shared" si="9"/>
        <v>0</v>
      </c>
      <c r="V19" s="2577"/>
      <c r="X19" s="2649" t="s">
        <v>2374</v>
      </c>
      <c r="Y19" s="2650"/>
      <c r="Z19" s="254" t="s">
        <v>2376</v>
      </c>
      <c r="AA19" s="254" t="s">
        <v>2377</v>
      </c>
      <c r="AB19" s="254" t="s">
        <v>2378</v>
      </c>
      <c r="AC19" s="255" t="s">
        <v>2379</v>
      </c>
      <c r="AD19" s="278" t="s">
        <v>2380</v>
      </c>
    </row>
    <row r="20" spans="2:30" ht="16" thickBot="1">
      <c r="B20" s="2703" t="s">
        <v>2381</v>
      </c>
      <c r="C20" s="2704"/>
      <c r="D20" s="344" t="s">
        <v>137</v>
      </c>
      <c r="E20" s="344">
        <v>3</v>
      </c>
      <c r="F20" s="1813">
        <f>IFERROR(SUM(F17:F19),0)</f>
        <v>476.80999999999995</v>
      </c>
      <c r="G20" s="1813">
        <f>IFERROR(SUM(G17:G19),0)</f>
        <v>-20.97000000000001</v>
      </c>
      <c r="H20" s="1813">
        <f>IFERROR(SUM(H17:H19),0)</f>
        <v>1.4432899320127035E-15</v>
      </c>
      <c r="I20" s="1813">
        <f t="shared" si="1"/>
        <v>-20.97000000000001</v>
      </c>
      <c r="J20" s="1806">
        <f t="shared" si="0"/>
        <v>455.83999999999992</v>
      </c>
      <c r="L20" s="320" t="s">
        <v>2382</v>
      </c>
      <c r="N20" s="269"/>
      <c r="P20" s="2578"/>
      <c r="Q20" s="2573"/>
      <c r="R20" s="2577"/>
      <c r="S20" s="237"/>
      <c r="T20" s="237"/>
      <c r="U20" s="237"/>
      <c r="V20" s="2577"/>
      <c r="X20" s="2703" t="s">
        <v>2381</v>
      </c>
      <c r="Y20" s="2704"/>
      <c r="Z20" s="265" t="s">
        <v>2383</v>
      </c>
      <c r="AA20" s="265" t="s">
        <v>2384</v>
      </c>
      <c r="AB20" s="265" t="s">
        <v>2385</v>
      </c>
      <c r="AC20" s="265" t="s">
        <v>2386</v>
      </c>
      <c r="AD20" s="280" t="s">
        <v>2387</v>
      </c>
    </row>
    <row r="21" spans="2:30" ht="16.5" thickTop="1" thickBot="1">
      <c r="B21" s="321"/>
      <c r="C21" s="322"/>
      <c r="D21" s="322"/>
      <c r="E21" s="322"/>
      <c r="F21" s="1819"/>
      <c r="G21" s="1819"/>
      <c r="H21" s="1819"/>
      <c r="I21" s="1819"/>
      <c r="J21" s="1820"/>
      <c r="P21" s="2578"/>
      <c r="Q21" s="2573"/>
      <c r="R21" s="2577"/>
      <c r="S21" s="237"/>
      <c r="T21" s="237"/>
      <c r="U21" s="237"/>
      <c r="V21" s="2577"/>
      <c r="X21" s="321"/>
      <c r="Y21" s="322"/>
      <c r="Z21" s="328"/>
      <c r="AA21" s="328"/>
      <c r="AB21" s="328"/>
      <c r="AC21" s="328"/>
      <c r="AD21" s="329"/>
    </row>
    <row r="22" spans="2:30" ht="16.5" thickTop="1" thickBot="1">
      <c r="B22" s="2635" t="s">
        <v>2388</v>
      </c>
      <c r="C22" s="2636"/>
      <c r="D22" s="325"/>
      <c r="E22" s="325"/>
      <c r="F22" s="1819"/>
      <c r="G22" s="1819"/>
      <c r="H22" s="1819"/>
      <c r="I22" s="1819"/>
      <c r="J22" s="1820"/>
      <c r="P22" s="2578"/>
      <c r="Q22" s="2573"/>
      <c r="R22" s="2577"/>
      <c r="S22" s="237"/>
      <c r="T22" s="237"/>
      <c r="U22" s="237"/>
      <c r="V22" s="2577"/>
      <c r="X22" s="2635" t="s">
        <v>2388</v>
      </c>
      <c r="Y22" s="2636"/>
      <c r="Z22" s="328"/>
      <c r="AA22" s="328"/>
      <c r="AB22" s="328"/>
      <c r="AC22" s="328"/>
      <c r="AD22" s="329"/>
    </row>
    <row r="23" spans="2:30" ht="16" thickTop="1">
      <c r="B23" s="2681" t="s">
        <v>2389</v>
      </c>
      <c r="C23" s="2682"/>
      <c r="D23" s="244" t="s">
        <v>137</v>
      </c>
      <c r="E23" s="244">
        <v>3</v>
      </c>
      <c r="F23" s="245">
        <v>-530.84900000000005</v>
      </c>
      <c r="G23" s="245">
        <v>0</v>
      </c>
      <c r="H23" s="245">
        <v>0</v>
      </c>
      <c r="I23" s="1807">
        <f t="shared" ref="I23:I27" si="10">IFERROR(G23-H23,0)</f>
        <v>0</v>
      </c>
      <c r="J23" s="1818">
        <f>IFERROR(F23+I23,0)</f>
        <v>-530.84900000000005</v>
      </c>
      <c r="L23" s="248" t="s">
        <v>2390</v>
      </c>
      <c r="N23" s="250"/>
      <c r="P23" s="2578"/>
      <c r="Q23" s="251">
        <f t="shared" ref="Q23:Q26" si="11">IF( SUM( S23:U23 ) = 0, 0, $S$5 )</f>
        <v>0</v>
      </c>
      <c r="R23" s="332"/>
      <c r="S23" s="252">
        <f t="shared" ref="S23:S26" si="12" xml:space="preserve"> IF( ISNUMBER( F23 ), 0, 1 )</f>
        <v>0</v>
      </c>
      <c r="T23" s="252">
        <f t="shared" ref="T23:T26" si="13" xml:space="preserve"> IF( ISNUMBER( G23 ), 0, 1 )</f>
        <v>0</v>
      </c>
      <c r="U23" s="252">
        <f t="shared" ref="U23:U26" si="14" xml:space="preserve"> IF( ISNUMBER( H23 ), 0, 1 )</f>
        <v>0</v>
      </c>
      <c r="V23" s="332"/>
      <c r="X23" s="2681" t="s">
        <v>2389</v>
      </c>
      <c r="Y23" s="2682"/>
      <c r="Z23" s="245" t="s">
        <v>2391</v>
      </c>
      <c r="AA23" s="245" t="s">
        <v>2392</v>
      </c>
      <c r="AB23" s="245" t="s">
        <v>2393</v>
      </c>
      <c r="AC23" s="246" t="s">
        <v>2394</v>
      </c>
      <c r="AD23" s="315" t="s">
        <v>2395</v>
      </c>
    </row>
    <row r="24" spans="2:30">
      <c r="B24" s="2641" t="s">
        <v>2396</v>
      </c>
      <c r="C24" s="2642"/>
      <c r="D24" s="290" t="s">
        <v>137</v>
      </c>
      <c r="E24" s="290">
        <v>3</v>
      </c>
      <c r="F24" s="254">
        <v>0</v>
      </c>
      <c r="G24" s="254">
        <v>24.018000000000001</v>
      </c>
      <c r="H24" s="254">
        <v>0</v>
      </c>
      <c r="I24" s="1811">
        <f t="shared" si="10"/>
        <v>24.018000000000001</v>
      </c>
      <c r="J24" s="1810">
        <f>IFERROR(F24+I24,0)</f>
        <v>24.018000000000001</v>
      </c>
      <c r="L24" s="257" t="s">
        <v>2397</v>
      </c>
      <c r="N24" s="258"/>
      <c r="P24" s="2578"/>
      <c r="Q24" s="251">
        <f t="shared" si="11"/>
        <v>0</v>
      </c>
      <c r="R24" s="332"/>
      <c r="S24" s="252">
        <f t="shared" si="12"/>
        <v>0</v>
      </c>
      <c r="T24" s="252">
        <f t="shared" si="13"/>
        <v>0</v>
      </c>
      <c r="U24" s="252">
        <f t="shared" si="14"/>
        <v>0</v>
      </c>
      <c r="V24" s="332"/>
      <c r="X24" s="2641" t="s">
        <v>2396</v>
      </c>
      <c r="Y24" s="2642"/>
      <c r="Z24" s="254" t="s">
        <v>2398</v>
      </c>
      <c r="AA24" s="254" t="s">
        <v>2399</v>
      </c>
      <c r="AB24" s="254" t="s">
        <v>2400</v>
      </c>
      <c r="AC24" s="255" t="s">
        <v>2401</v>
      </c>
      <c r="AD24" s="278" t="s">
        <v>2402</v>
      </c>
    </row>
    <row r="25" spans="2:30">
      <c r="B25" s="2657" t="s">
        <v>2403</v>
      </c>
      <c r="C25" s="2658"/>
      <c r="D25" s="259" t="s">
        <v>137</v>
      </c>
      <c r="E25" s="259">
        <v>3</v>
      </c>
      <c r="F25" s="254">
        <v>7.0670000000000002</v>
      </c>
      <c r="G25" s="254">
        <v>0</v>
      </c>
      <c r="H25" s="254">
        <v>0</v>
      </c>
      <c r="I25" s="1811">
        <f t="shared" si="10"/>
        <v>0</v>
      </c>
      <c r="J25" s="1810">
        <f>IFERROR(F25+I25,0)</f>
        <v>7.0670000000000002</v>
      </c>
      <c r="L25" s="257" t="s">
        <v>2404</v>
      </c>
      <c r="N25" s="258"/>
      <c r="P25" s="2578"/>
      <c r="Q25" s="251">
        <f t="shared" si="11"/>
        <v>0</v>
      </c>
      <c r="R25" s="332"/>
      <c r="S25" s="252">
        <f t="shared" si="12"/>
        <v>0</v>
      </c>
      <c r="T25" s="252">
        <f t="shared" si="13"/>
        <v>0</v>
      </c>
      <c r="U25" s="252">
        <f t="shared" si="14"/>
        <v>0</v>
      </c>
      <c r="V25" s="332"/>
      <c r="X25" s="2657" t="s">
        <v>2403</v>
      </c>
      <c r="Y25" s="2658"/>
      <c r="Z25" s="254" t="s">
        <v>2405</v>
      </c>
      <c r="AA25" s="254" t="s">
        <v>2406</v>
      </c>
      <c r="AB25" s="254" t="s">
        <v>2407</v>
      </c>
      <c r="AC25" s="255" t="s">
        <v>2408</v>
      </c>
      <c r="AD25" s="278" t="s">
        <v>2409</v>
      </c>
    </row>
    <row r="26" spans="2:30">
      <c r="B26" s="2655" t="s">
        <v>2410</v>
      </c>
      <c r="C26" s="2656"/>
      <c r="D26" s="253" t="s">
        <v>137</v>
      </c>
      <c r="E26" s="253">
        <v>3</v>
      </c>
      <c r="F26" s="254">
        <v>0</v>
      </c>
      <c r="G26" s="254">
        <v>0</v>
      </c>
      <c r="H26" s="254">
        <v>0</v>
      </c>
      <c r="I26" s="1811">
        <f t="shared" si="10"/>
        <v>0</v>
      </c>
      <c r="J26" s="1810">
        <f>IFERROR(F26+I26,0)</f>
        <v>0</v>
      </c>
      <c r="L26" s="257" t="s">
        <v>2411</v>
      </c>
      <c r="N26" s="258"/>
      <c r="P26" s="2578"/>
      <c r="Q26" s="251">
        <f t="shared" si="11"/>
        <v>0</v>
      </c>
      <c r="R26" s="2577"/>
      <c r="S26" s="252">
        <f t="shared" si="12"/>
        <v>0</v>
      </c>
      <c r="T26" s="252">
        <f t="shared" si="13"/>
        <v>0</v>
      </c>
      <c r="U26" s="252">
        <f t="shared" si="14"/>
        <v>0</v>
      </c>
      <c r="V26" s="2577"/>
      <c r="X26" s="2655" t="s">
        <v>2410</v>
      </c>
      <c r="Y26" s="2656"/>
      <c r="Z26" s="254" t="s">
        <v>2412</v>
      </c>
      <c r="AA26" s="254" t="s">
        <v>2413</v>
      </c>
      <c r="AB26" s="254" t="s">
        <v>2414</v>
      </c>
      <c r="AC26" s="255" t="s">
        <v>2415</v>
      </c>
      <c r="AD26" s="278" t="s">
        <v>2416</v>
      </c>
    </row>
    <row r="27" spans="2:30" ht="16" thickBot="1">
      <c r="B27" s="2697" t="s">
        <v>2417</v>
      </c>
      <c r="C27" s="2698"/>
      <c r="D27" s="319" t="s">
        <v>137</v>
      </c>
      <c r="E27" s="319">
        <v>3</v>
      </c>
      <c r="F27" s="1813">
        <f>IFERROR(SUM(F23:F26),0)</f>
        <v>-523.78200000000004</v>
      </c>
      <c r="G27" s="1813">
        <f>IFERROR(SUM(G23:G26),0)</f>
        <v>24.018000000000001</v>
      </c>
      <c r="H27" s="1813">
        <f>IFERROR(SUM(H23:H26),0)</f>
        <v>0</v>
      </c>
      <c r="I27" s="1813">
        <f t="shared" si="10"/>
        <v>24.018000000000001</v>
      </c>
      <c r="J27" s="1806">
        <f>IFERROR(F27+I27,0)</f>
        <v>-499.76400000000001</v>
      </c>
      <c r="L27" s="320" t="s">
        <v>2418</v>
      </c>
      <c r="N27" s="269"/>
      <c r="P27" s="2578"/>
      <c r="Q27" s="2573"/>
      <c r="R27" s="2577"/>
      <c r="S27" s="237"/>
      <c r="T27" s="237"/>
      <c r="U27" s="237"/>
      <c r="V27" s="2577"/>
      <c r="X27" s="2697" t="s">
        <v>2417</v>
      </c>
      <c r="Y27" s="2698"/>
      <c r="Z27" s="265" t="s">
        <v>2419</v>
      </c>
      <c r="AA27" s="265" t="s">
        <v>2420</v>
      </c>
      <c r="AB27" s="265" t="s">
        <v>2421</v>
      </c>
      <c r="AC27" s="265" t="s">
        <v>2422</v>
      </c>
      <c r="AD27" s="280" t="s">
        <v>2423</v>
      </c>
    </row>
    <row r="28" spans="2:30" ht="16.5" thickTop="1" thickBot="1">
      <c r="B28" s="322"/>
      <c r="C28" s="322"/>
      <c r="D28" s="322"/>
      <c r="E28" s="322"/>
      <c r="F28" s="1819"/>
      <c r="G28" s="1819"/>
      <c r="H28" s="1819"/>
      <c r="I28" s="1819"/>
      <c r="J28" s="1820"/>
      <c r="L28" s="249"/>
      <c r="P28" s="2578"/>
      <c r="Q28" s="2573"/>
      <c r="R28" s="2577"/>
      <c r="S28" s="237"/>
      <c r="T28" s="237"/>
      <c r="U28" s="237"/>
      <c r="V28" s="2577"/>
      <c r="X28" s="322"/>
      <c r="Y28" s="322"/>
      <c r="Z28" s="328"/>
      <c r="AA28" s="328"/>
      <c r="AB28" s="328"/>
      <c r="AC28" s="328"/>
      <c r="AD28" s="329"/>
    </row>
    <row r="29" spans="2:30" ht="29.5" customHeight="1" thickTop="1" thickBot="1">
      <c r="B29" s="2701" t="s">
        <v>2424</v>
      </c>
      <c r="C29" s="2702"/>
      <c r="D29" s="346" t="s">
        <v>137</v>
      </c>
      <c r="E29" s="346">
        <v>3</v>
      </c>
      <c r="F29" s="1822">
        <f>IFERROR(F20+F27,0)</f>
        <v>-46.972000000000094</v>
      </c>
      <c r="G29" s="1822">
        <f>IFERROR(G20+G27,0)</f>
        <v>3.0479999999999912</v>
      </c>
      <c r="H29" s="1822">
        <f>IFERROR(H20+H27,0)</f>
        <v>1.4432899320127035E-15</v>
      </c>
      <c r="I29" s="1822">
        <f t="shared" ref="I29" si="15">IFERROR(G29-H29,0)</f>
        <v>3.0479999999999898</v>
      </c>
      <c r="J29" s="1823">
        <f>IFERROR(F29+I29,0)</f>
        <v>-43.924000000000106</v>
      </c>
      <c r="L29" s="336" t="s">
        <v>2425</v>
      </c>
      <c r="N29" s="337"/>
      <c r="P29" s="2578"/>
      <c r="Q29" s="2573"/>
      <c r="R29" s="2577"/>
      <c r="S29" s="237"/>
      <c r="T29" s="237"/>
      <c r="U29" s="237"/>
      <c r="V29" s="2577"/>
      <c r="X29" s="2701" t="s">
        <v>2424</v>
      </c>
      <c r="Y29" s="2702"/>
      <c r="Z29" s="347" t="s">
        <v>2426</v>
      </c>
      <c r="AA29" s="347" t="s">
        <v>2427</v>
      </c>
      <c r="AB29" s="347" t="s">
        <v>2428</v>
      </c>
      <c r="AC29" s="347" t="s">
        <v>2429</v>
      </c>
      <c r="AD29" s="348" t="s">
        <v>2430</v>
      </c>
    </row>
    <row r="30" spans="2:30" ht="16.5" thickTop="1" thickBot="1">
      <c r="B30" s="321"/>
      <c r="C30" s="349"/>
      <c r="D30" s="349"/>
      <c r="E30" s="349"/>
      <c r="F30" s="1819"/>
      <c r="G30" s="1819"/>
      <c r="H30" s="1819"/>
      <c r="I30" s="1819"/>
      <c r="J30" s="1820"/>
      <c r="L30" s="228"/>
      <c r="P30" s="2578"/>
      <c r="Q30" s="2573"/>
      <c r="R30" s="332"/>
      <c r="S30" s="237"/>
      <c r="T30" s="237"/>
      <c r="U30" s="237"/>
      <c r="V30" s="332"/>
      <c r="X30" s="321"/>
      <c r="Y30" s="349"/>
      <c r="Z30" s="328"/>
      <c r="AA30" s="328"/>
      <c r="AB30" s="328"/>
      <c r="AC30" s="328"/>
      <c r="AD30" s="329"/>
    </row>
    <row r="31" spans="2:30" ht="16.5" thickTop="1" thickBot="1">
      <c r="B31" s="2635" t="s">
        <v>2431</v>
      </c>
      <c r="C31" s="2636"/>
      <c r="D31" s="325"/>
      <c r="E31" s="325"/>
      <c r="F31" s="1819"/>
      <c r="G31" s="1819"/>
      <c r="H31" s="1819"/>
      <c r="I31" s="1819"/>
      <c r="J31" s="1820"/>
      <c r="L31" s="228"/>
      <c r="P31" s="2578"/>
      <c r="Q31" s="2573"/>
      <c r="R31" s="332"/>
      <c r="S31" s="237"/>
      <c r="T31" s="237"/>
      <c r="U31" s="237"/>
      <c r="V31" s="332"/>
      <c r="X31" s="2635" t="s">
        <v>2431</v>
      </c>
      <c r="Y31" s="2636"/>
      <c r="Z31" s="328"/>
      <c r="AA31" s="328"/>
      <c r="AB31" s="328"/>
      <c r="AC31" s="328"/>
      <c r="AD31" s="329"/>
    </row>
    <row r="32" spans="2:30" ht="16" thickTop="1">
      <c r="B32" s="2681" t="s">
        <v>2432</v>
      </c>
      <c r="C32" s="2682"/>
      <c r="D32" s="244" t="s">
        <v>137</v>
      </c>
      <c r="E32" s="244">
        <v>3</v>
      </c>
      <c r="F32" s="245">
        <v>-62.337000000000003</v>
      </c>
      <c r="G32" s="245">
        <v>0</v>
      </c>
      <c r="H32" s="245">
        <v>0</v>
      </c>
      <c r="I32" s="1807">
        <f t="shared" ref="I32:I35" si="16">IFERROR(G32-H32,0)</f>
        <v>0</v>
      </c>
      <c r="J32" s="1818">
        <f>IFERROR(F32+I32,0)</f>
        <v>-62.337000000000003</v>
      </c>
      <c r="L32" s="248" t="s">
        <v>2433</v>
      </c>
      <c r="N32" s="250"/>
      <c r="P32" s="2578"/>
      <c r="Q32" s="251">
        <f t="shared" ref="Q32:Q34" si="17">IF( SUM( S32:U32 ) = 0, 0, $S$5 )</f>
        <v>0</v>
      </c>
      <c r="R32" s="2577"/>
      <c r="S32" s="252">
        <f t="shared" ref="S32:S34" si="18" xml:space="preserve"> IF( ISNUMBER( F32 ), 0, 1 )</f>
        <v>0</v>
      </c>
      <c r="T32" s="252">
        <f t="shared" ref="T32:T34" si="19" xml:space="preserve"> IF( ISNUMBER( G32 ), 0, 1 )</f>
        <v>0</v>
      </c>
      <c r="U32" s="252">
        <f t="shared" ref="U32:U34" si="20" xml:space="preserve"> IF( ISNUMBER( H32 ), 0, 1 )</f>
        <v>0</v>
      </c>
      <c r="V32" s="2577"/>
      <c r="X32" s="2681" t="s">
        <v>2432</v>
      </c>
      <c r="Y32" s="2682"/>
      <c r="Z32" s="245" t="s">
        <v>2434</v>
      </c>
      <c r="AA32" s="245" t="s">
        <v>2435</v>
      </c>
      <c r="AB32" s="245" t="s">
        <v>2436</v>
      </c>
      <c r="AC32" s="246" t="s">
        <v>2437</v>
      </c>
      <c r="AD32" s="315" t="s">
        <v>2438</v>
      </c>
    </row>
    <row r="33" spans="2:30">
      <c r="B33" s="2641" t="s">
        <v>2439</v>
      </c>
      <c r="C33" s="2642"/>
      <c r="D33" s="290" t="s">
        <v>137</v>
      </c>
      <c r="E33" s="290">
        <v>3</v>
      </c>
      <c r="F33" s="254">
        <v>374.67399999999998</v>
      </c>
      <c r="G33" s="254">
        <v>-3.048</v>
      </c>
      <c r="H33" s="254">
        <v>0</v>
      </c>
      <c r="I33" s="1811">
        <f t="shared" si="16"/>
        <v>-3.048</v>
      </c>
      <c r="J33" s="1810">
        <f>IFERROR(F33+I33,0)</f>
        <v>371.62599999999998</v>
      </c>
      <c r="L33" s="257" t="s">
        <v>2440</v>
      </c>
      <c r="N33" s="258"/>
      <c r="P33" s="2578"/>
      <c r="Q33" s="251">
        <f t="shared" si="17"/>
        <v>0</v>
      </c>
      <c r="R33" s="2577"/>
      <c r="S33" s="252">
        <f t="shared" si="18"/>
        <v>0</v>
      </c>
      <c r="T33" s="252">
        <f t="shared" si="19"/>
        <v>0</v>
      </c>
      <c r="U33" s="252">
        <f t="shared" si="20"/>
        <v>0</v>
      </c>
      <c r="V33" s="2577"/>
      <c r="X33" s="2641" t="s">
        <v>2439</v>
      </c>
      <c r="Y33" s="2642"/>
      <c r="Z33" s="254" t="s">
        <v>2441</v>
      </c>
      <c r="AA33" s="254" t="s">
        <v>2442</v>
      </c>
      <c r="AB33" s="254" t="s">
        <v>2443</v>
      </c>
      <c r="AC33" s="255" t="s">
        <v>2444</v>
      </c>
      <c r="AD33" s="278" t="s">
        <v>2445</v>
      </c>
    </row>
    <row r="34" spans="2:30">
      <c r="B34" s="2657" t="s">
        <v>2446</v>
      </c>
      <c r="C34" s="2658"/>
      <c r="D34" s="259" t="s">
        <v>137</v>
      </c>
      <c r="E34" s="259">
        <v>3</v>
      </c>
      <c r="F34" s="254">
        <v>0</v>
      </c>
      <c r="G34" s="254">
        <v>0</v>
      </c>
      <c r="H34" s="254">
        <v>0</v>
      </c>
      <c r="I34" s="1811">
        <f t="shared" si="16"/>
        <v>0</v>
      </c>
      <c r="J34" s="1810">
        <f>IFERROR(F34+I34,0)</f>
        <v>0</v>
      </c>
      <c r="L34" s="257" t="s">
        <v>2447</v>
      </c>
      <c r="N34" s="258"/>
      <c r="P34" s="2578"/>
      <c r="Q34" s="251">
        <f t="shared" si="17"/>
        <v>0</v>
      </c>
      <c r="R34" s="2577"/>
      <c r="S34" s="252">
        <f t="shared" si="18"/>
        <v>0</v>
      </c>
      <c r="T34" s="252">
        <f t="shared" si="19"/>
        <v>0</v>
      </c>
      <c r="U34" s="252">
        <f t="shared" si="20"/>
        <v>0</v>
      </c>
      <c r="V34" s="2577"/>
      <c r="X34" s="2657" t="s">
        <v>2446</v>
      </c>
      <c r="Y34" s="2658"/>
      <c r="Z34" s="254" t="s">
        <v>2448</v>
      </c>
      <c r="AA34" s="254" t="s">
        <v>2449</v>
      </c>
      <c r="AB34" s="254" t="s">
        <v>2450</v>
      </c>
      <c r="AC34" s="255" t="s">
        <v>2451</v>
      </c>
      <c r="AD34" s="278" t="s">
        <v>2452</v>
      </c>
    </row>
    <row r="35" spans="2:30" ht="16" thickBot="1">
      <c r="B35" s="2679" t="s">
        <v>2453</v>
      </c>
      <c r="C35" s="2680"/>
      <c r="D35" s="319" t="s">
        <v>137</v>
      </c>
      <c r="E35" s="319">
        <v>3</v>
      </c>
      <c r="F35" s="1813">
        <f>IFERROR(SUM(F32:F34),0)</f>
        <v>312.33699999999999</v>
      </c>
      <c r="G35" s="1813">
        <f>IFERROR(SUM(G32:G34),0)</f>
        <v>-3.048</v>
      </c>
      <c r="H35" s="1813">
        <f>IFERROR(SUM(H32:H34),0)</f>
        <v>0</v>
      </c>
      <c r="I35" s="1813">
        <f t="shared" si="16"/>
        <v>-3.048</v>
      </c>
      <c r="J35" s="1806">
        <f>IFERROR(F35+I35,0)</f>
        <v>309.28899999999999</v>
      </c>
      <c r="L35" s="320" t="s">
        <v>2454</v>
      </c>
      <c r="N35" s="269"/>
      <c r="P35" s="2578"/>
      <c r="Q35" s="2573"/>
      <c r="R35" s="2577"/>
      <c r="S35" s="237"/>
      <c r="T35" s="237"/>
      <c r="U35" s="237"/>
      <c r="V35" s="2577"/>
      <c r="X35" s="2679" t="s">
        <v>2453</v>
      </c>
      <c r="Y35" s="2680"/>
      <c r="Z35" s="265" t="s">
        <v>2455</v>
      </c>
      <c r="AA35" s="265" t="s">
        <v>2456</v>
      </c>
      <c r="AB35" s="265" t="s">
        <v>2457</v>
      </c>
      <c r="AC35" s="265" t="s">
        <v>2458</v>
      </c>
      <c r="AD35" s="280" t="s">
        <v>2459</v>
      </c>
    </row>
    <row r="36" spans="2:30" ht="16.5" thickTop="1" thickBot="1">
      <c r="B36" s="349"/>
      <c r="C36" s="349"/>
      <c r="D36" s="85"/>
      <c r="E36" s="85"/>
      <c r="F36" s="1793"/>
      <c r="G36" s="1793"/>
      <c r="H36" s="1793"/>
      <c r="I36" s="1793"/>
      <c r="J36" s="1820"/>
      <c r="L36" s="228"/>
      <c r="P36" s="2578"/>
      <c r="Q36" s="2573"/>
      <c r="R36" s="2577"/>
      <c r="S36" s="237"/>
      <c r="T36" s="237"/>
      <c r="U36" s="237"/>
      <c r="V36" s="2577"/>
      <c r="X36" s="349"/>
      <c r="Y36" s="349"/>
      <c r="Z36" s="271"/>
      <c r="AA36" s="271"/>
      <c r="AB36" s="271"/>
      <c r="AC36" s="271"/>
      <c r="AD36" s="329"/>
    </row>
    <row r="37" spans="2:30" ht="16.5" thickTop="1" thickBot="1">
      <c r="B37" s="2693" t="s">
        <v>2460</v>
      </c>
      <c r="C37" s="2694"/>
      <c r="D37" s="333" t="s">
        <v>137</v>
      </c>
      <c r="E37" s="333">
        <v>3</v>
      </c>
      <c r="F37" s="1822">
        <f>IFERROR(F29+F35,0)</f>
        <v>265.3649999999999</v>
      </c>
      <c r="G37" s="1822">
        <f>IFERROR(G29+G35,0)</f>
        <v>-8.8817841970012523E-15</v>
      </c>
      <c r="H37" s="1822">
        <f>IFERROR(H29+H35,0)</f>
        <v>1.4432899320127035E-15</v>
      </c>
      <c r="I37" s="1822">
        <f t="shared" ref="I37" si="21">IFERROR(G37-H37,0)</f>
        <v>-1.0325074129013956E-14</v>
      </c>
      <c r="J37" s="1823">
        <f>IFERROR(F37+I37,0)</f>
        <v>265.3649999999999</v>
      </c>
      <c r="L37" s="336" t="s">
        <v>2461</v>
      </c>
      <c r="N37" s="337"/>
      <c r="P37" s="2578"/>
      <c r="Q37" s="2573"/>
      <c r="R37" s="339"/>
      <c r="S37" s="237"/>
      <c r="T37" s="237"/>
      <c r="U37" s="237"/>
      <c r="V37" s="339"/>
      <c r="X37" s="2693" t="s">
        <v>2460</v>
      </c>
      <c r="Y37" s="2694"/>
      <c r="Z37" s="347" t="s">
        <v>2462</v>
      </c>
      <c r="AA37" s="347" t="s">
        <v>2463</v>
      </c>
      <c r="AB37" s="347" t="s">
        <v>2464</v>
      </c>
      <c r="AC37" s="347" t="s">
        <v>2465</v>
      </c>
      <c r="AD37" s="348" t="s">
        <v>2466</v>
      </c>
    </row>
    <row r="38" spans="2:30" ht="16" thickTop="1">
      <c r="P38" s="2562"/>
      <c r="Q38" s="2573"/>
      <c r="R38" s="2572"/>
      <c r="S38" s="237"/>
      <c r="T38" s="237"/>
      <c r="U38" s="237"/>
      <c r="V38" s="2572"/>
    </row>
    <row r="39" spans="2:30">
      <c r="P39" s="2562"/>
      <c r="Q39" s="2573"/>
      <c r="R39" s="2572"/>
      <c r="S39" s="237"/>
      <c r="T39" s="237"/>
      <c r="U39" s="237"/>
      <c r="V39" s="2572"/>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03" priority="14" operator="equal">
      <formula>0</formula>
    </cfRule>
  </conditionalFormatting>
  <conditionalFormatting sqref="Q18:Q19">
    <cfRule type="cellIs" dxfId="202" priority="3" operator="equal">
      <formula>0</formula>
    </cfRule>
  </conditionalFormatting>
  <conditionalFormatting sqref="Q23:Q26">
    <cfRule type="cellIs" dxfId="201" priority="2" operator="equal">
      <formula>0</formula>
    </cfRule>
  </conditionalFormatting>
  <conditionalFormatting sqref="Q32:Q34">
    <cfRule type="cellIs" dxfId="200"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topLeftCell="A19" zoomScale="66" zoomScaleNormal="55" zoomScaleSheetLayoutView="100" workbookViewId="0">
      <selection activeCell="G29" sqref="G29"/>
    </sheetView>
  </sheetViews>
  <sheetFormatPr defaultColWidth="9" defaultRowHeight="15.5"/>
  <cols>
    <col min="1" max="1" width="1.58203125" style="220" customWidth="1"/>
    <col min="2" max="2" width="84.08203125" style="220" customWidth="1"/>
    <col min="3" max="4" width="13.08203125" style="220" bestFit="1" customWidth="1"/>
    <col min="5" max="5" width="13.08203125" style="1199" bestFit="1" customWidth="1"/>
    <col min="6" max="6" width="1.58203125" style="220" customWidth="1"/>
    <col min="7" max="7" width="16.08203125" style="220" bestFit="1" customWidth="1"/>
    <col min="8" max="8" width="5.58203125" style="228" customWidth="1"/>
    <col min="9" max="9" width="28.58203125" style="228" bestFit="1" customWidth="1"/>
    <col min="10" max="10" width="1.58203125" style="228" customWidth="1"/>
    <col min="11" max="11" width="1.58203125" style="219" customWidth="1"/>
    <col min="12" max="12" width="29.08203125" style="219" bestFit="1" customWidth="1"/>
    <col min="13" max="13" width="1.58203125" style="219" customWidth="1"/>
    <col min="14" max="16" width="19.58203125" style="219" hidden="1" customWidth="1"/>
    <col min="17" max="17" width="1.58203125" style="219" hidden="1" customWidth="1"/>
    <col min="18" max="18" width="1.58203125" style="220" customWidth="1"/>
    <col min="19" max="19" width="68.58203125" style="220" customWidth="1"/>
    <col min="20" max="20" width="23.58203125" style="220" bestFit="1" customWidth="1"/>
    <col min="21" max="21" width="24.08203125" style="220" bestFit="1" customWidth="1"/>
    <col min="22" max="22" width="23.58203125" style="220" bestFit="1" customWidth="1"/>
    <col min="23" max="16384" width="9" style="220"/>
  </cols>
  <sheetData>
    <row r="1" spans="2:22" s="351" customFormat="1" ht="22.5">
      <c r="B1" s="1119" t="s">
        <v>13269</v>
      </c>
      <c r="C1" s="1119"/>
      <c r="D1" s="1119"/>
      <c r="E1" s="1119"/>
      <c r="F1" s="1119"/>
      <c r="G1" s="1119"/>
      <c r="H1" s="544"/>
      <c r="I1" s="544"/>
      <c r="J1" s="544"/>
      <c r="K1" s="783"/>
      <c r="L1" s="2560"/>
      <c r="M1" s="783"/>
      <c r="N1" s="2560"/>
      <c r="O1" s="2560"/>
      <c r="P1" s="2560"/>
      <c r="Q1" s="2589"/>
      <c r="S1" s="1119" t="s">
        <v>1887</v>
      </c>
      <c r="U1" s="2560"/>
    </row>
    <row r="2" spans="2:22" s="351" customFormat="1" ht="22.5">
      <c r="B2" s="1119" t="s">
        <v>5</v>
      </c>
      <c r="C2" s="491"/>
      <c r="D2" s="491"/>
      <c r="E2" s="491"/>
      <c r="F2" s="491"/>
      <c r="G2" s="1193"/>
      <c r="H2" s="544"/>
      <c r="I2" s="544"/>
      <c r="J2" s="544"/>
      <c r="K2" s="783"/>
      <c r="L2" s="2560"/>
      <c r="M2" s="783"/>
      <c r="N2" s="2560"/>
      <c r="O2" s="2560"/>
      <c r="P2" s="2560"/>
      <c r="Q2" s="2589"/>
      <c r="S2" s="1119"/>
      <c r="U2" s="2560"/>
    </row>
    <row r="3" spans="2:22" s="324" customFormat="1" ht="50.9" customHeight="1">
      <c r="B3" s="2781" t="s">
        <v>13270</v>
      </c>
      <c r="C3" s="2781"/>
      <c r="D3" s="2781"/>
      <c r="E3" s="2781"/>
      <c r="F3" s="2781"/>
      <c r="G3" s="2781"/>
      <c r="H3" s="2781"/>
      <c r="I3" s="2781"/>
      <c r="J3" s="544"/>
      <c r="K3" s="783"/>
      <c r="L3" s="1129" t="s">
        <v>1889</v>
      </c>
      <c r="M3" s="783"/>
      <c r="N3" s="2207"/>
      <c r="O3" s="2207"/>
      <c r="P3" s="2207"/>
      <c r="Q3" s="2207"/>
      <c r="R3" s="351"/>
      <c r="S3" s="2781" t="s">
        <v>13270</v>
      </c>
      <c r="T3" s="2781"/>
      <c r="U3" s="2781"/>
      <c r="V3" s="2781"/>
    </row>
    <row r="4" spans="2:22" ht="23" thickBot="1">
      <c r="B4" s="594"/>
      <c r="C4" s="594"/>
      <c r="D4" s="594"/>
      <c r="E4" s="594"/>
      <c r="F4" s="2590"/>
      <c r="G4" s="1194"/>
      <c r="H4" s="229"/>
      <c r="K4" s="783"/>
      <c r="L4" s="222"/>
      <c r="M4" s="783"/>
      <c r="N4" s="2603" t="s">
        <v>1890</v>
      </c>
      <c r="O4" s="2603"/>
      <c r="P4" s="2603"/>
      <c r="Q4" s="2589"/>
      <c r="R4" s="351"/>
      <c r="S4" s="594"/>
      <c r="T4" s="2562"/>
      <c r="U4" s="2560"/>
      <c r="V4" s="2562"/>
    </row>
    <row r="5" spans="2:22" ht="90.65" customHeight="1" thickTop="1">
      <c r="B5" s="2686" t="s">
        <v>1891</v>
      </c>
      <c r="C5" s="2667" t="s">
        <v>13271</v>
      </c>
      <c r="D5" s="2667"/>
      <c r="E5" s="2669"/>
      <c r="F5" s="2590"/>
      <c r="G5" s="2763" t="s">
        <v>1896</v>
      </c>
      <c r="H5" s="229"/>
      <c r="I5" s="2763" t="s">
        <v>1897</v>
      </c>
      <c r="K5" s="783"/>
      <c r="L5" s="222"/>
      <c r="M5" s="783"/>
      <c r="N5" s="2603"/>
      <c r="O5" s="2603"/>
      <c r="P5" s="2603"/>
      <c r="Q5" s="2564"/>
      <c r="R5" s="351"/>
      <c r="S5" s="2686" t="s">
        <v>1891</v>
      </c>
      <c r="T5" s="2667" t="s">
        <v>13271</v>
      </c>
      <c r="U5" s="2667"/>
      <c r="V5" s="2669"/>
    </row>
    <row r="6" spans="2:22" s="197" customFormat="1" ht="23.25" customHeight="1">
      <c r="B6" s="2769"/>
      <c r="C6" s="389" t="s">
        <v>3849</v>
      </c>
      <c r="D6" s="389" t="s">
        <v>3850</v>
      </c>
      <c r="E6" s="390" t="s">
        <v>2112</v>
      </c>
      <c r="F6" s="635"/>
      <c r="G6" s="2764"/>
      <c r="H6" s="229"/>
      <c r="I6" s="2764"/>
      <c r="J6" s="228"/>
      <c r="K6" s="783"/>
      <c r="L6" s="222"/>
      <c r="M6" s="783"/>
      <c r="N6" s="206" t="s">
        <v>1898</v>
      </c>
      <c r="O6" s="206"/>
      <c r="P6" s="206"/>
      <c r="Q6" s="783"/>
      <c r="R6" s="351"/>
      <c r="S6" s="2769"/>
      <c r="T6" s="389" t="s">
        <v>3849</v>
      </c>
      <c r="U6" s="389" t="s">
        <v>3850</v>
      </c>
      <c r="V6" s="390" t="s">
        <v>2112</v>
      </c>
    </row>
    <row r="7" spans="2:22" s="197" customFormat="1" ht="30.75" customHeight="1">
      <c r="B7" s="391" t="s">
        <v>135</v>
      </c>
      <c r="C7" s="389" t="s">
        <v>13272</v>
      </c>
      <c r="D7" s="389" t="s">
        <v>13272</v>
      </c>
      <c r="E7" s="390" t="s">
        <v>13272</v>
      </c>
      <c r="F7" s="635"/>
      <c r="G7" s="2764"/>
      <c r="H7" s="229"/>
      <c r="I7" s="2764"/>
      <c r="K7" s="783"/>
      <c r="L7" s="222"/>
      <c r="M7" s="783"/>
      <c r="N7" s="206"/>
      <c r="O7" s="206"/>
      <c r="P7" s="206"/>
      <c r="Q7" s="783"/>
      <c r="R7" s="351"/>
      <c r="S7" s="391" t="s">
        <v>135</v>
      </c>
      <c r="T7" s="389" t="s">
        <v>13272</v>
      </c>
      <c r="U7" s="389" t="s">
        <v>13272</v>
      </c>
      <c r="V7" s="390" t="s">
        <v>13272</v>
      </c>
    </row>
    <row r="8" spans="2:22" s="197" customFormat="1" ht="30.75" customHeight="1" thickBot="1">
      <c r="B8" s="392" t="s">
        <v>136</v>
      </c>
      <c r="C8" s="238">
        <v>3</v>
      </c>
      <c r="D8" s="238">
        <v>3</v>
      </c>
      <c r="E8" s="576">
        <v>3</v>
      </c>
      <c r="F8" s="635"/>
      <c r="G8" s="2765"/>
      <c r="H8" s="229"/>
      <c r="I8" s="2765"/>
      <c r="K8" s="783"/>
      <c r="L8" s="222"/>
      <c r="M8" s="783"/>
      <c r="N8" s="206"/>
      <c r="O8" s="206"/>
      <c r="P8" s="206"/>
      <c r="Q8" s="783"/>
      <c r="R8" s="351"/>
      <c r="S8" s="392" t="s">
        <v>136</v>
      </c>
      <c r="T8" s="238">
        <v>3</v>
      </c>
      <c r="U8" s="238">
        <v>3</v>
      </c>
      <c r="V8" s="576">
        <v>3</v>
      </c>
    </row>
    <row r="9" spans="2:22" s="197" customFormat="1" ht="16.5" thickTop="1" thickBot="1">
      <c r="B9" s="377"/>
      <c r="C9" s="377"/>
      <c r="D9" s="377"/>
      <c r="E9" s="313"/>
      <c r="F9" s="106"/>
      <c r="G9" s="544"/>
      <c r="H9" s="229"/>
      <c r="K9" s="783"/>
      <c r="L9" s="222"/>
      <c r="M9" s="783"/>
      <c r="N9" s="222"/>
      <c r="O9" s="222"/>
      <c r="P9" s="222"/>
      <c r="Q9" s="783"/>
      <c r="R9" s="351"/>
      <c r="S9" s="377"/>
      <c r="T9" s="377"/>
      <c r="U9" s="377"/>
      <c r="V9" s="313"/>
    </row>
    <row r="10" spans="2:22" s="197" customFormat="1" ht="16.5" thickTop="1" thickBot="1">
      <c r="B10" s="355" t="s">
        <v>13273</v>
      </c>
      <c r="C10" s="222"/>
      <c r="D10" s="222"/>
      <c r="E10" s="444"/>
      <c r="F10" s="106"/>
      <c r="G10" s="544"/>
      <c r="H10" s="229"/>
      <c r="K10" s="783"/>
      <c r="L10" s="222"/>
      <c r="M10" s="783"/>
      <c r="N10" s="222"/>
      <c r="O10" s="222"/>
      <c r="P10" s="222"/>
      <c r="Q10" s="783"/>
      <c r="R10" s="351"/>
      <c r="S10" s="355" t="s">
        <v>13273</v>
      </c>
      <c r="T10" s="222"/>
      <c r="U10" s="222"/>
      <c r="V10" s="444"/>
    </row>
    <row r="11" spans="2:22" s="197" customFormat="1" ht="16" thickTop="1">
      <c r="B11" s="413" t="s">
        <v>13274</v>
      </c>
      <c r="C11" s="1995">
        <v>654.40605000000005</v>
      </c>
      <c r="D11" s="1995">
        <v>6279.9708000000001</v>
      </c>
      <c r="E11" s="1999">
        <f>IFERROR(SUM(C11:D11),0)</f>
        <v>6934.3768500000006</v>
      </c>
      <c r="F11" s="106"/>
      <c r="G11" s="935" t="s">
        <v>13275</v>
      </c>
      <c r="H11" s="229"/>
      <c r="I11" s="250"/>
      <c r="K11" s="783"/>
      <c r="L11" s="1671">
        <f>IF( SUM( N11:P11 ) = 0, 0, $N$6 )</f>
        <v>0</v>
      </c>
      <c r="M11" s="783"/>
      <c r="N11" s="1672">
        <f xml:space="preserve"> IF( ISNUMBER(C11 ), 0, 1 )</f>
        <v>0</v>
      </c>
      <c r="O11" s="1672">
        <f t="shared" ref="O11:O14" si="0" xml:space="preserve"> IF( ISNUMBER(D11 ), 0, 1 )</f>
        <v>0</v>
      </c>
      <c r="P11" s="222"/>
      <c r="Q11" s="783"/>
      <c r="R11" s="351"/>
      <c r="S11" s="413" t="s">
        <v>13274</v>
      </c>
      <c r="T11" s="1995" t="s">
        <v>13276</v>
      </c>
      <c r="U11" s="1995" t="s">
        <v>13277</v>
      </c>
      <c r="V11" s="1999" t="s">
        <v>13278</v>
      </c>
    </row>
    <row r="12" spans="2:22" s="197" customFormat="1">
      <c r="B12" s="422" t="s">
        <v>13279</v>
      </c>
      <c r="C12" s="1996">
        <v>213.67845</v>
      </c>
      <c r="D12" s="1996">
        <v>5297.6145999999999</v>
      </c>
      <c r="E12" s="2000">
        <f>IFERROR(SUM(C12:D12),0)</f>
        <v>5511.2930500000002</v>
      </c>
      <c r="F12" s="106"/>
      <c r="G12" s="936" t="s">
        <v>13280</v>
      </c>
      <c r="H12" s="229"/>
      <c r="I12" s="2208"/>
      <c r="K12" s="783"/>
      <c r="L12" s="1671">
        <f t="shared" ref="L12:L17" si="1">IF( SUM( N12:P12 ) = 0, 0, $N$6 )</f>
        <v>0</v>
      </c>
      <c r="M12" s="783"/>
      <c r="N12" s="1672"/>
      <c r="O12" s="1672"/>
      <c r="P12" s="222"/>
      <c r="Q12" s="783"/>
      <c r="R12" s="351"/>
      <c r="S12" s="422" t="s">
        <v>13279</v>
      </c>
      <c r="T12" s="2367" t="s">
        <v>1614</v>
      </c>
      <c r="U12" s="1996" t="s">
        <v>1615</v>
      </c>
      <c r="V12" s="2000" t="s">
        <v>1616</v>
      </c>
    </row>
    <row r="13" spans="2:22" s="197" customFormat="1">
      <c r="B13" s="422" t="s">
        <v>13281</v>
      </c>
      <c r="C13" s="1996">
        <v>0</v>
      </c>
      <c r="D13" s="1996">
        <v>68638.168999999994</v>
      </c>
      <c r="E13" s="2000">
        <f t="shared" ref="E13:E14" si="2">IFERROR(SUM(C13:D13),0)</f>
        <v>68638.168999999994</v>
      </c>
      <c r="F13" s="106"/>
      <c r="G13" s="936" t="s">
        <v>13282</v>
      </c>
      <c r="H13" s="229"/>
      <c r="I13" s="520"/>
      <c r="K13" s="783"/>
      <c r="L13" s="1671">
        <f t="shared" si="1"/>
        <v>0</v>
      </c>
      <c r="M13" s="783"/>
      <c r="N13" s="1672">
        <f t="shared" ref="N13:N14" si="3" xml:space="preserve"> IF( ISNUMBER(C13 ), 0, 1 )</f>
        <v>0</v>
      </c>
      <c r="O13" s="1672">
        <f t="shared" si="0"/>
        <v>0</v>
      </c>
      <c r="P13" s="222"/>
      <c r="Q13" s="783"/>
      <c r="R13" s="351"/>
      <c r="S13" s="422" t="s">
        <v>13281</v>
      </c>
      <c r="T13" s="1996" t="s">
        <v>13283</v>
      </c>
      <c r="U13" s="1996" t="s">
        <v>13284</v>
      </c>
      <c r="V13" s="2000" t="s">
        <v>13285</v>
      </c>
    </row>
    <row r="14" spans="2:22" s="197" customFormat="1">
      <c r="B14" s="422" t="s">
        <v>13286</v>
      </c>
      <c r="C14" s="1996">
        <v>3807.1421999999998</v>
      </c>
      <c r="D14" s="1996">
        <v>3807.1421999999998</v>
      </c>
      <c r="E14" s="2000">
        <f t="shared" si="2"/>
        <v>7614.2843999999996</v>
      </c>
      <c r="F14" s="106"/>
      <c r="G14" s="936" t="s">
        <v>13287</v>
      </c>
      <c r="H14" s="229"/>
      <c r="I14" s="520"/>
      <c r="K14" s="783"/>
      <c r="L14" s="1671">
        <f t="shared" si="1"/>
        <v>0</v>
      </c>
      <c r="M14" s="783"/>
      <c r="N14" s="1672">
        <f t="shared" si="3"/>
        <v>0</v>
      </c>
      <c r="O14" s="1672">
        <f t="shared" si="0"/>
        <v>0</v>
      </c>
      <c r="P14" s="222"/>
      <c r="Q14" s="783"/>
      <c r="R14" s="351"/>
      <c r="S14" s="422" t="s">
        <v>13286</v>
      </c>
      <c r="T14" s="1996" t="s">
        <v>13288</v>
      </c>
      <c r="U14" s="1996" t="s">
        <v>13289</v>
      </c>
      <c r="V14" s="2000" t="s">
        <v>13290</v>
      </c>
    </row>
    <row r="15" spans="2:22" s="197" customFormat="1">
      <c r="B15" s="422" t="s">
        <v>13291</v>
      </c>
      <c r="C15" s="2342">
        <v>0</v>
      </c>
      <c r="D15" s="2342">
        <v>0</v>
      </c>
      <c r="E15" s="2339">
        <f>IFERROR(SUM(C15:D15),0)</f>
        <v>0</v>
      </c>
      <c r="F15" s="106"/>
      <c r="G15" s="936" t="s">
        <v>13292</v>
      </c>
      <c r="H15" s="229"/>
      <c r="I15" s="2213"/>
      <c r="K15" s="783"/>
      <c r="L15" s="1671">
        <f t="shared" si="1"/>
        <v>0</v>
      </c>
      <c r="M15" s="783"/>
      <c r="N15" s="1672"/>
      <c r="O15" s="1672"/>
      <c r="P15" s="1685"/>
      <c r="Q15" s="1685"/>
      <c r="R15" s="351"/>
      <c r="S15" s="422" t="s">
        <v>13291</v>
      </c>
      <c r="T15" s="2342" t="s">
        <v>1617</v>
      </c>
      <c r="U15" s="2342" t="s">
        <v>1618</v>
      </c>
      <c r="V15" s="2339" t="s">
        <v>1619</v>
      </c>
    </row>
    <row r="16" spans="2:22" s="197" customFormat="1">
      <c r="B16" s="422" t="s">
        <v>13293</v>
      </c>
      <c r="C16" s="2343">
        <f>IFERROR(SUM(C13:C15,C11),0)</f>
        <v>4461.5482499999998</v>
      </c>
      <c r="D16" s="2343">
        <f>IFERROR(SUM(D13:D15,D11),0)</f>
        <v>78725.281999999992</v>
      </c>
      <c r="E16" s="2339">
        <f>IFERROR(SUM(E13:E15,E11),0)</f>
        <v>83186.830249999999</v>
      </c>
      <c r="F16" s="106"/>
      <c r="G16" s="936" t="s">
        <v>13294</v>
      </c>
      <c r="H16" s="229"/>
      <c r="I16" s="2213"/>
      <c r="K16" s="783"/>
      <c r="L16" s="1671">
        <f t="shared" si="1"/>
        <v>0</v>
      </c>
      <c r="M16" s="783"/>
      <c r="N16" s="1672"/>
      <c r="O16" s="1672"/>
      <c r="P16" s="222"/>
      <c r="Q16" s="783"/>
      <c r="R16" s="351"/>
      <c r="S16" s="422" t="s">
        <v>13293</v>
      </c>
      <c r="T16" s="2343" t="s">
        <v>1620</v>
      </c>
      <c r="U16" s="2343" t="s">
        <v>1621</v>
      </c>
      <c r="V16" s="2339" t="s">
        <v>1622</v>
      </c>
    </row>
    <row r="17" spans="2:22" s="197" customFormat="1" ht="16" thickBot="1">
      <c r="B17" s="425" t="s">
        <v>13295</v>
      </c>
      <c r="C17" s="2341">
        <f>IFERROR(SUM(C12:C15),0)</f>
        <v>4020.8206499999997</v>
      </c>
      <c r="D17" s="2341">
        <f>IFERROR(SUM(D12:D15),0)</f>
        <v>77742.925799999997</v>
      </c>
      <c r="E17" s="2340">
        <f>IFERROR(SUM(E12:E15),0)</f>
        <v>81763.746450000006</v>
      </c>
      <c r="F17" s="106"/>
      <c r="G17" s="938" t="s">
        <v>13296</v>
      </c>
      <c r="H17" s="229"/>
      <c r="I17" s="522"/>
      <c r="K17" s="783"/>
      <c r="L17" s="1671">
        <f t="shared" si="1"/>
        <v>0</v>
      </c>
      <c r="M17" s="783"/>
      <c r="N17" s="222"/>
      <c r="O17" s="222"/>
      <c r="P17" s="222"/>
      <c r="Q17" s="783"/>
      <c r="R17" s="351"/>
      <c r="S17" s="425" t="s">
        <v>13295</v>
      </c>
      <c r="T17" s="2341" t="s">
        <v>13297</v>
      </c>
      <c r="U17" s="2341" t="s">
        <v>13298</v>
      </c>
      <c r="V17" s="2340" t="s">
        <v>13299</v>
      </c>
    </row>
    <row r="18" spans="2:22" s="197" customFormat="1" ht="16.5" thickTop="1" thickBot="1">
      <c r="C18" s="2542"/>
      <c r="D18" s="2542"/>
      <c r="E18" s="2543"/>
      <c r="G18" s="197" t="s">
        <v>4435</v>
      </c>
      <c r="H18" s="229"/>
      <c r="K18" s="783"/>
      <c r="L18" s="222"/>
      <c r="M18" s="783"/>
      <c r="N18" s="222"/>
      <c r="O18" s="222"/>
      <c r="P18" s="222"/>
      <c r="Q18" s="783"/>
      <c r="R18" s="351"/>
      <c r="T18" s="2026"/>
      <c r="U18" s="2026"/>
      <c r="V18" s="2210"/>
    </row>
    <row r="19" spans="2:22" s="197" customFormat="1" ht="17" thickTop="1">
      <c r="B19" s="413" t="s">
        <v>13300</v>
      </c>
      <c r="C19" s="1995">
        <v>4405.1085999999996</v>
      </c>
      <c r="D19" s="1995">
        <v>9910.2986000000001</v>
      </c>
      <c r="E19" s="1999">
        <f>IFERROR(SUM(C19:D19),0)</f>
        <v>14315.4072</v>
      </c>
      <c r="F19" s="106"/>
      <c r="G19" s="935" t="s">
        <v>13301</v>
      </c>
      <c r="H19" s="229"/>
      <c r="I19" s="519"/>
      <c r="K19" s="783"/>
      <c r="L19" s="1671">
        <f t="shared" ref="L19:L21" si="4">IF( SUM( N19:P19 ) = 0, 0, $N$6 )</f>
        <v>0</v>
      </c>
      <c r="M19" s="783"/>
      <c r="N19" s="1672">
        <f t="shared" ref="N19:O21" si="5" xml:space="preserve"> IF( ISNUMBER(C19 ), 0, 1 )</f>
        <v>0</v>
      </c>
      <c r="O19" s="1672">
        <f t="shared" si="5"/>
        <v>0</v>
      </c>
      <c r="P19" s="222"/>
      <c r="Q19" s="783"/>
      <c r="R19" s="351"/>
      <c r="S19" s="413" t="s">
        <v>13300</v>
      </c>
      <c r="T19" s="1995" t="s">
        <v>13302</v>
      </c>
      <c r="U19" s="1995" t="s">
        <v>13303</v>
      </c>
      <c r="V19" s="1999" t="s">
        <v>13304</v>
      </c>
    </row>
    <row r="20" spans="2:22" s="197" customFormat="1" ht="16.5">
      <c r="B20" s="422" t="s">
        <v>13305</v>
      </c>
      <c r="C20" s="1996">
        <v>1.5940084999999999</v>
      </c>
      <c r="D20" s="1996">
        <v>36264.798000000003</v>
      </c>
      <c r="E20" s="2000">
        <f t="shared" ref="E20:E22" si="6">IFERROR(SUM(C20:D20),0)</f>
        <v>36266.392008499999</v>
      </c>
      <c r="F20" s="106"/>
      <c r="G20" s="936" t="s">
        <v>13306</v>
      </c>
      <c r="H20" s="229"/>
      <c r="I20" s="258"/>
      <c r="K20" s="783"/>
      <c r="L20" s="1671">
        <f t="shared" si="4"/>
        <v>0</v>
      </c>
      <c r="M20" s="783"/>
      <c r="N20" s="1672">
        <f t="shared" si="5"/>
        <v>0</v>
      </c>
      <c r="O20" s="1672">
        <f t="shared" si="5"/>
        <v>0</v>
      </c>
      <c r="P20" s="222"/>
      <c r="Q20" s="783"/>
      <c r="R20" s="351"/>
      <c r="S20" s="422" t="s">
        <v>13305</v>
      </c>
      <c r="T20" s="1996" t="s">
        <v>13307</v>
      </c>
      <c r="U20" s="1996" t="s">
        <v>13308</v>
      </c>
      <c r="V20" s="2000" t="s">
        <v>13309</v>
      </c>
    </row>
    <row r="21" spans="2:22" s="197" customFormat="1" ht="16.5">
      <c r="B21" s="422" t="s">
        <v>13310</v>
      </c>
      <c r="C21" s="1996">
        <v>54.843848999999999</v>
      </c>
      <c r="D21" s="1996">
        <v>32550.185000000001</v>
      </c>
      <c r="E21" s="2339">
        <f t="shared" si="6"/>
        <v>32605.028849000002</v>
      </c>
      <c r="F21" s="106"/>
      <c r="G21" s="936" t="s">
        <v>13311</v>
      </c>
      <c r="H21" s="229"/>
      <c r="I21" s="258"/>
      <c r="K21" s="783"/>
      <c r="L21" s="1671">
        <f t="shared" si="4"/>
        <v>0</v>
      </c>
      <c r="M21" s="783"/>
      <c r="N21" s="1672">
        <f t="shared" si="5"/>
        <v>0</v>
      </c>
      <c r="O21" s="1672">
        <f t="shared" si="5"/>
        <v>0</v>
      </c>
      <c r="P21" s="222"/>
      <c r="Q21" s="783"/>
      <c r="R21" s="351"/>
      <c r="S21" s="422" t="s">
        <v>13310</v>
      </c>
      <c r="T21" s="1996" t="s">
        <v>13312</v>
      </c>
      <c r="U21" s="1996" t="s">
        <v>13313</v>
      </c>
      <c r="V21" s="2339" t="s">
        <v>13314</v>
      </c>
    </row>
    <row r="22" spans="2:22" s="197" customFormat="1" ht="16" thickBot="1">
      <c r="B22" s="425" t="s">
        <v>13315</v>
      </c>
      <c r="C22" s="1997" t="s">
        <v>13316</v>
      </c>
      <c r="D22" s="1997" t="s">
        <v>13316</v>
      </c>
      <c r="E22" s="2340">
        <f t="shared" si="6"/>
        <v>0</v>
      </c>
      <c r="F22" s="106"/>
      <c r="G22" s="938" t="s">
        <v>13317</v>
      </c>
      <c r="H22" s="229"/>
      <c r="I22" s="269"/>
      <c r="K22" s="783"/>
      <c r="L22" s="1671"/>
      <c r="M22" s="783"/>
      <c r="N22" s="1672"/>
      <c r="O22" s="1672"/>
      <c r="P22" s="222"/>
      <c r="Q22" s="783"/>
      <c r="R22" s="351"/>
      <c r="S22" s="425" t="s">
        <v>13315</v>
      </c>
      <c r="T22" s="1997" t="s">
        <v>1623</v>
      </c>
      <c r="U22" s="1997" t="s">
        <v>1624</v>
      </c>
      <c r="V22" s="2340" t="s">
        <v>1625</v>
      </c>
    </row>
    <row r="23" spans="2:22" s="197" customFormat="1" ht="16.5" thickTop="1" thickBot="1">
      <c r="B23" s="1161"/>
      <c r="C23" s="2211"/>
      <c r="D23" s="2211"/>
      <c r="E23" s="2028"/>
      <c r="F23" s="106"/>
      <c r="G23" s="527" t="s">
        <v>4435</v>
      </c>
      <c r="H23" s="229"/>
      <c r="K23" s="783"/>
      <c r="L23" s="222"/>
      <c r="M23" s="783"/>
      <c r="N23" s="222"/>
      <c r="O23" s="222"/>
      <c r="P23" s="222"/>
      <c r="Q23" s="783"/>
      <c r="R23" s="351"/>
      <c r="S23" s="1161"/>
      <c r="T23" s="2211"/>
      <c r="U23" s="2211"/>
      <c r="V23" s="2028"/>
    </row>
    <row r="24" spans="2:22" s="197" customFormat="1" ht="16.5" thickTop="1" thickBot="1">
      <c r="B24" s="1665" t="s">
        <v>13318</v>
      </c>
      <c r="C24" s="2542"/>
      <c r="D24" s="2542"/>
      <c r="E24" s="2029"/>
      <c r="F24" s="106"/>
      <c r="G24" s="544" t="s">
        <v>4435</v>
      </c>
      <c r="H24" s="229"/>
      <c r="K24" s="783"/>
      <c r="L24" s="222"/>
      <c r="M24" s="783"/>
      <c r="N24" s="222"/>
      <c r="O24" s="222"/>
      <c r="P24" s="222"/>
      <c r="Q24" s="783"/>
      <c r="R24" s="351"/>
      <c r="S24" s="1665" t="s">
        <v>13318</v>
      </c>
      <c r="T24" s="2212"/>
      <c r="U24" s="2212"/>
      <c r="V24" s="2029"/>
    </row>
    <row r="25" spans="2:22" s="197" customFormat="1" ht="16" thickTop="1">
      <c r="B25" s="413" t="s">
        <v>13319</v>
      </c>
      <c r="C25" s="1995">
        <v>57406.75</v>
      </c>
      <c r="D25" s="1995">
        <v>48297.321000000004</v>
      </c>
      <c r="E25" s="1999">
        <f>IFERROR(SUM(C25:D25),0)</f>
        <v>105704.071</v>
      </c>
      <c r="F25" s="106"/>
      <c r="G25" s="935" t="s">
        <v>13320</v>
      </c>
      <c r="H25" s="229"/>
      <c r="I25" s="519"/>
      <c r="K25" s="783"/>
      <c r="L25" s="1671">
        <f>IF( SUM( N25:P25 ) = 0, 0, $N$6 )</f>
        <v>0</v>
      </c>
      <c r="M25" s="783"/>
      <c r="N25" s="1672">
        <f t="shared" ref="N25:O29" si="7" xml:space="preserve"> IF( ISNUMBER(C25 ), 0, 1 )</f>
        <v>0</v>
      </c>
      <c r="O25" s="1672">
        <f t="shared" si="7"/>
        <v>0</v>
      </c>
      <c r="P25" s="222"/>
      <c r="Q25" s="783"/>
      <c r="R25" s="351"/>
      <c r="S25" s="413" t="s">
        <v>13319</v>
      </c>
      <c r="T25" s="1995" t="s">
        <v>13321</v>
      </c>
      <c r="U25" s="1995" t="s">
        <v>13322</v>
      </c>
      <c r="V25" s="1999" t="s">
        <v>13323</v>
      </c>
    </row>
    <row r="26" spans="2:22" s="197" customFormat="1">
      <c r="B26" s="422" t="s">
        <v>13324</v>
      </c>
      <c r="C26" s="1996">
        <v>4.3317148000000003</v>
      </c>
      <c r="D26" s="1996">
        <v>4.3317148000000003</v>
      </c>
      <c r="E26" s="2000">
        <f t="shared" ref="E26:E29" si="8">IFERROR(SUM(C26:D26),0)</f>
        <v>8.6634296000000006</v>
      </c>
      <c r="F26" s="106"/>
      <c r="G26" s="936" t="s">
        <v>13325</v>
      </c>
      <c r="H26" s="229"/>
      <c r="I26" s="520"/>
      <c r="K26" s="783"/>
      <c r="L26" s="1671">
        <f t="shared" ref="L26:L29" si="9">IF( SUM( N26:P26 ) = 0, 0, $N$6 )</f>
        <v>0</v>
      </c>
      <c r="M26" s="783"/>
      <c r="N26" s="1672">
        <f t="shared" si="7"/>
        <v>0</v>
      </c>
      <c r="O26" s="1672">
        <f t="shared" si="7"/>
        <v>0</v>
      </c>
      <c r="P26" s="222"/>
      <c r="Q26" s="783"/>
      <c r="R26" s="351"/>
      <c r="S26" s="422" t="s">
        <v>13324</v>
      </c>
      <c r="T26" s="1996" t="s">
        <v>13326</v>
      </c>
      <c r="U26" s="1996" t="s">
        <v>13327</v>
      </c>
      <c r="V26" s="2000" t="s">
        <v>13328</v>
      </c>
    </row>
    <row r="27" spans="2:22" s="197" customFormat="1">
      <c r="B27" s="422" t="s">
        <v>13329</v>
      </c>
      <c r="C27" s="1996">
        <v>0</v>
      </c>
      <c r="D27" s="1996">
        <v>0</v>
      </c>
      <c r="E27" s="2000">
        <f t="shared" si="8"/>
        <v>0</v>
      </c>
      <c r="F27" s="106"/>
      <c r="G27" s="936" t="s">
        <v>13330</v>
      </c>
      <c r="H27" s="229"/>
      <c r="I27" s="520"/>
      <c r="K27" s="783"/>
      <c r="L27" s="1671">
        <f t="shared" si="9"/>
        <v>0</v>
      </c>
      <c r="M27" s="783"/>
      <c r="N27" s="1672">
        <f t="shared" si="7"/>
        <v>0</v>
      </c>
      <c r="O27" s="1672">
        <f t="shared" si="7"/>
        <v>0</v>
      </c>
      <c r="P27" s="222"/>
      <c r="Q27" s="783"/>
      <c r="R27" s="351"/>
      <c r="S27" s="422" t="s">
        <v>13329</v>
      </c>
      <c r="T27" s="1996" t="s">
        <v>13331</v>
      </c>
      <c r="U27" s="1996" t="s">
        <v>13332</v>
      </c>
      <c r="V27" s="2000" t="s">
        <v>13333</v>
      </c>
    </row>
    <row r="28" spans="2:22" s="197" customFormat="1">
      <c r="B28" s="422" t="s">
        <v>13334</v>
      </c>
      <c r="C28" s="1996">
        <v>0.15952062</v>
      </c>
      <c r="D28" s="1996">
        <v>0.15952062</v>
      </c>
      <c r="E28" s="2000">
        <f t="shared" si="8"/>
        <v>0.31904124</v>
      </c>
      <c r="F28" s="106"/>
      <c r="G28" s="936" t="s">
        <v>13335</v>
      </c>
      <c r="H28" s="229"/>
      <c r="I28" s="520"/>
      <c r="K28" s="783"/>
      <c r="L28" s="1671">
        <f t="shared" si="9"/>
        <v>0</v>
      </c>
      <c r="M28" s="783"/>
      <c r="N28" s="1672">
        <f t="shared" si="7"/>
        <v>0</v>
      </c>
      <c r="O28" s="1672">
        <f t="shared" si="7"/>
        <v>0</v>
      </c>
      <c r="P28" s="222"/>
      <c r="Q28" s="783"/>
      <c r="R28" s="351"/>
      <c r="S28" s="422" t="s">
        <v>13334</v>
      </c>
      <c r="T28" s="1996" t="s">
        <v>13336</v>
      </c>
      <c r="U28" s="1996" t="s">
        <v>13337</v>
      </c>
      <c r="V28" s="2000" t="s">
        <v>13338</v>
      </c>
    </row>
    <row r="29" spans="2:22" s="197" customFormat="1">
      <c r="B29" s="422" t="s">
        <v>13339</v>
      </c>
      <c r="C29" s="1996">
        <v>-0.15952062</v>
      </c>
      <c r="D29" s="1996">
        <v>-0.15952062</v>
      </c>
      <c r="E29" s="2000">
        <f t="shared" si="8"/>
        <v>-0.31904124</v>
      </c>
      <c r="F29" s="106"/>
      <c r="G29" s="936" t="s">
        <v>13340</v>
      </c>
      <c r="H29" s="229"/>
      <c r="I29" s="520"/>
      <c r="K29" s="783"/>
      <c r="L29" s="1671">
        <f t="shared" si="9"/>
        <v>0</v>
      </c>
      <c r="M29" s="783"/>
      <c r="N29" s="1672">
        <f t="shared" si="7"/>
        <v>0</v>
      </c>
      <c r="O29" s="1672">
        <f t="shared" si="7"/>
        <v>0</v>
      </c>
      <c r="P29" s="222"/>
      <c r="Q29" s="783"/>
      <c r="R29" s="351"/>
      <c r="S29" s="422" t="s">
        <v>13339</v>
      </c>
      <c r="T29" s="1996" t="s">
        <v>13341</v>
      </c>
      <c r="U29" s="1996" t="s">
        <v>13342</v>
      </c>
      <c r="V29" s="2000" t="s">
        <v>13343</v>
      </c>
    </row>
    <row r="30" spans="2:22" s="197" customFormat="1">
      <c r="B30" s="422" t="s">
        <v>13344</v>
      </c>
      <c r="C30" s="2343">
        <f>IFERROR(SUM(C25,C27:C29),0)</f>
        <v>57406.75</v>
      </c>
      <c r="D30" s="2343">
        <f>IFERROR(SUM(D25,D27:D29),0)</f>
        <v>48297.321000000004</v>
      </c>
      <c r="E30" s="2339">
        <f>IFERROR(SUM(E27:E29,E25),0)</f>
        <v>105704.071</v>
      </c>
      <c r="F30" s="106"/>
      <c r="G30" s="936" t="s">
        <v>13345</v>
      </c>
      <c r="H30" s="229"/>
      <c r="I30" s="2213"/>
      <c r="K30" s="783"/>
      <c r="L30" s="1671"/>
      <c r="M30" s="783"/>
      <c r="N30" s="1672"/>
      <c r="O30" s="1672"/>
      <c r="P30" s="222"/>
      <c r="Q30" s="783"/>
      <c r="R30" s="351"/>
      <c r="S30" s="422" t="s">
        <v>13344</v>
      </c>
      <c r="T30" s="2343" t="s">
        <v>1626</v>
      </c>
      <c r="U30" s="2343" t="s">
        <v>1627</v>
      </c>
      <c r="V30" s="2339" t="s">
        <v>1628</v>
      </c>
    </row>
    <row r="31" spans="2:22" s="197" customFormat="1" ht="16" thickBot="1">
      <c r="B31" s="425" t="s">
        <v>13346</v>
      </c>
      <c r="C31" s="2341">
        <f>IFERROR(SUM(C26:C29),0)</f>
        <v>4.3317148000000003</v>
      </c>
      <c r="D31" s="2341">
        <f>IFERROR(SUM(D26:D29),0)</f>
        <v>4.3317148000000003</v>
      </c>
      <c r="E31" s="2340">
        <f>IFERROR(SUM(E26:E29),0)</f>
        <v>8.6634296000000006</v>
      </c>
      <c r="F31" s="106"/>
      <c r="G31" s="938" t="s">
        <v>13347</v>
      </c>
      <c r="H31" s="229"/>
      <c r="I31" s="522"/>
      <c r="K31" s="783"/>
      <c r="L31" s="1671"/>
      <c r="M31" s="783"/>
      <c r="N31" s="222"/>
      <c r="O31" s="222"/>
      <c r="P31" s="222"/>
      <c r="Q31" s="783"/>
      <c r="R31" s="351"/>
      <c r="S31" s="425" t="s">
        <v>13346</v>
      </c>
      <c r="T31" s="2341" t="s">
        <v>13348</v>
      </c>
      <c r="U31" s="2341" t="s">
        <v>13349</v>
      </c>
      <c r="V31" s="2340" t="s">
        <v>13350</v>
      </c>
    </row>
    <row r="32" spans="2:22" s="197" customFormat="1" ht="16.5" thickTop="1" thickBot="1">
      <c r="B32" s="174"/>
      <c r="C32" s="2022"/>
      <c r="D32" s="2022"/>
      <c r="E32" s="2030"/>
      <c r="F32" s="106"/>
      <c r="G32" s="174" t="s">
        <v>4435</v>
      </c>
      <c r="H32" s="229"/>
      <c r="I32" s="1670"/>
      <c r="K32" s="783"/>
      <c r="L32" s="1671"/>
      <c r="M32" s="783"/>
      <c r="N32" s="222"/>
      <c r="O32" s="222"/>
      <c r="P32" s="222"/>
      <c r="Q32" s="783"/>
      <c r="R32" s="351"/>
      <c r="S32" s="174"/>
      <c r="T32" s="2022"/>
      <c r="U32" s="2022"/>
      <c r="V32" s="2030"/>
    </row>
    <row r="33" spans="1:22" s="197" customFormat="1" ht="17" thickTop="1">
      <c r="B33" s="413" t="s">
        <v>13351</v>
      </c>
      <c r="C33" s="1995">
        <v>56762.722000000002</v>
      </c>
      <c r="D33" s="1995">
        <v>47755.514000000003</v>
      </c>
      <c r="E33" s="1999">
        <f>IFERROR(SUM(C33:D33),0)</f>
        <v>104518.236</v>
      </c>
      <c r="F33" s="106"/>
      <c r="G33" s="935" t="s">
        <v>13352</v>
      </c>
      <c r="H33" s="229"/>
      <c r="I33" s="250"/>
      <c r="K33" s="783"/>
      <c r="L33" s="1671">
        <f t="shared" ref="L33:L35" si="10">IF( SUM( N33:P33 ) = 0, 0, $N$6 )</f>
        <v>0</v>
      </c>
      <c r="M33" s="783"/>
      <c r="N33" s="1672">
        <f t="shared" ref="N33:O35" si="11" xml:space="preserve"> IF( ISNUMBER(C33 ), 0, 1 )</f>
        <v>0</v>
      </c>
      <c r="O33" s="1672">
        <f t="shared" si="11"/>
        <v>0</v>
      </c>
      <c r="P33" s="222"/>
      <c r="Q33" s="783"/>
      <c r="R33" s="351"/>
      <c r="S33" s="413" t="s">
        <v>13351</v>
      </c>
      <c r="T33" s="1995" t="s">
        <v>13353</v>
      </c>
      <c r="U33" s="1995" t="s">
        <v>13354</v>
      </c>
      <c r="V33" s="1999" t="s">
        <v>13355</v>
      </c>
    </row>
    <row r="34" spans="1:22" s="197" customFormat="1" ht="16.5">
      <c r="B34" s="422" t="s">
        <v>13356</v>
      </c>
      <c r="C34" s="1996">
        <v>237.48847000000001</v>
      </c>
      <c r="D34" s="1996">
        <v>199.80338</v>
      </c>
      <c r="E34" s="2000">
        <f t="shared" ref="E34:E35" si="12">IFERROR(SUM(C34:D34),0)</f>
        <v>437.29185000000001</v>
      </c>
      <c r="F34" s="106"/>
      <c r="G34" s="936" t="s">
        <v>13357</v>
      </c>
      <c r="H34" s="229"/>
      <c r="I34" s="258"/>
      <c r="K34" s="783"/>
      <c r="L34" s="1671">
        <f t="shared" si="10"/>
        <v>0</v>
      </c>
      <c r="M34" s="783"/>
      <c r="N34" s="1672">
        <f t="shared" si="11"/>
        <v>0</v>
      </c>
      <c r="O34" s="1672">
        <f t="shared" si="11"/>
        <v>0</v>
      </c>
      <c r="P34" s="222"/>
      <c r="Q34" s="783"/>
      <c r="R34" s="351"/>
      <c r="S34" s="422" t="s">
        <v>13356</v>
      </c>
      <c r="T34" s="1996" t="s">
        <v>13358</v>
      </c>
      <c r="U34" s="1996" t="s">
        <v>13359</v>
      </c>
      <c r="V34" s="2000" t="s">
        <v>13360</v>
      </c>
    </row>
    <row r="35" spans="1:22" s="197" customFormat="1" ht="16.5">
      <c r="B35" s="422" t="s">
        <v>13361</v>
      </c>
      <c r="C35" s="1996">
        <v>406.69898000000001</v>
      </c>
      <c r="D35" s="1996">
        <v>342.16325999999998</v>
      </c>
      <c r="E35" s="2000">
        <f t="shared" si="12"/>
        <v>748.86223999999993</v>
      </c>
      <c r="F35" s="106"/>
      <c r="G35" s="936" t="s">
        <v>13362</v>
      </c>
      <c r="H35" s="229"/>
      <c r="I35" s="258"/>
      <c r="K35" s="783"/>
      <c r="L35" s="1671">
        <f t="shared" si="10"/>
        <v>0</v>
      </c>
      <c r="M35" s="783"/>
      <c r="N35" s="1672">
        <f t="shared" si="11"/>
        <v>0</v>
      </c>
      <c r="O35" s="1672">
        <f t="shared" si="11"/>
        <v>0</v>
      </c>
      <c r="P35" s="222"/>
      <c r="Q35" s="783"/>
      <c r="R35" s="351"/>
      <c r="S35" s="422" t="s">
        <v>13361</v>
      </c>
      <c r="T35" s="1996" t="s">
        <v>13363</v>
      </c>
      <c r="U35" s="1996" t="s">
        <v>13364</v>
      </c>
      <c r="V35" s="2000" t="s">
        <v>13365</v>
      </c>
    </row>
    <row r="36" spans="1:22" s="197" customFormat="1" ht="16" thickBot="1">
      <c r="B36" s="425" t="s">
        <v>13366</v>
      </c>
      <c r="C36" s="1997">
        <v>0</v>
      </c>
      <c r="D36" s="1997">
        <v>0</v>
      </c>
      <c r="E36" s="2340">
        <f>IFERROR(SUM(C36:D36),0)</f>
        <v>0</v>
      </c>
      <c r="F36" s="106"/>
      <c r="G36" s="938" t="s">
        <v>13367</v>
      </c>
      <c r="H36" s="229"/>
      <c r="I36" s="269"/>
      <c r="K36" s="783"/>
      <c r="L36" s="1671"/>
      <c r="M36" s="783"/>
      <c r="N36" s="1672"/>
      <c r="O36" s="1672"/>
      <c r="P36" s="222"/>
      <c r="Q36" s="783"/>
      <c r="R36" s="351"/>
      <c r="S36" s="425" t="s">
        <v>13366</v>
      </c>
      <c r="T36" s="1997" t="s">
        <v>1629</v>
      </c>
      <c r="U36" s="1997" t="s">
        <v>1630</v>
      </c>
      <c r="V36" s="2340" t="s">
        <v>1631</v>
      </c>
    </row>
    <row r="37" spans="1:22" s="197" customFormat="1" ht="16.5" thickTop="1" thickBot="1">
      <c r="A37" s="2560"/>
      <c r="B37" s="222"/>
      <c r="C37" s="2542"/>
      <c r="D37" s="2542"/>
      <c r="E37" s="2543"/>
      <c r="F37" s="222"/>
      <c r="G37" s="222" t="s">
        <v>4435</v>
      </c>
      <c r="H37" s="229"/>
      <c r="I37" s="222"/>
      <c r="J37" s="222"/>
      <c r="K37" s="783"/>
      <c r="L37" s="222"/>
      <c r="M37" s="783"/>
      <c r="N37" s="222"/>
      <c r="O37" s="222"/>
      <c r="P37" s="222"/>
      <c r="Q37" s="783"/>
      <c r="R37" s="351"/>
      <c r="S37" s="222"/>
      <c r="T37" s="2023"/>
      <c r="U37" s="2023"/>
      <c r="V37" s="2214"/>
    </row>
    <row r="38" spans="1:22" s="197" customFormat="1" ht="16.5" thickTop="1" thickBot="1">
      <c r="B38" s="1665" t="s">
        <v>13368</v>
      </c>
      <c r="C38" s="2542"/>
      <c r="D38" s="2542"/>
      <c r="E38" s="2543"/>
      <c r="F38" s="222"/>
      <c r="G38" s="222" t="s">
        <v>4435</v>
      </c>
      <c r="H38" s="229"/>
      <c r="I38" s="222"/>
      <c r="J38" s="222"/>
      <c r="K38" s="783"/>
      <c r="L38" s="222"/>
      <c r="M38" s="783"/>
      <c r="N38" s="222"/>
      <c r="O38" s="222"/>
      <c r="P38" s="222"/>
      <c r="Q38" s="783"/>
      <c r="R38" s="351"/>
      <c r="S38" s="1665" t="s">
        <v>13368</v>
      </c>
      <c r="T38" s="2023"/>
      <c r="U38" s="2023"/>
      <c r="V38" s="2214"/>
    </row>
    <row r="39" spans="1:22" s="197" customFormat="1" ht="16" thickTop="1">
      <c r="B39" s="413" t="s">
        <v>13369</v>
      </c>
      <c r="C39" s="1995">
        <v>175.04536999999999</v>
      </c>
      <c r="D39" s="1995">
        <v>175.04536999999999</v>
      </c>
      <c r="E39" s="1999">
        <f>IFERROR(SUM(C39:D39),0)</f>
        <v>350.09073999999998</v>
      </c>
      <c r="F39" s="106"/>
      <c r="G39" s="935" t="s">
        <v>13370</v>
      </c>
      <c r="H39" s="229"/>
      <c r="I39" s="519"/>
      <c r="K39" s="783"/>
      <c r="L39" s="1671">
        <f t="shared" ref="L39:L40" si="13">IF( SUM( N39:P39 ) = 0, 0, $N$6 )</f>
        <v>0</v>
      </c>
      <c r="M39" s="783"/>
      <c r="N39" s="1672">
        <f t="shared" ref="N39:O40" si="14" xml:space="preserve"> IF( ISNUMBER(C39 ), 0, 1 )</f>
        <v>0</v>
      </c>
      <c r="O39" s="1672">
        <f t="shared" si="14"/>
        <v>0</v>
      </c>
      <c r="P39" s="222"/>
      <c r="Q39" s="783"/>
      <c r="R39" s="351"/>
      <c r="S39" s="413" t="s">
        <v>13369</v>
      </c>
      <c r="T39" s="1995" t="s">
        <v>13371</v>
      </c>
      <c r="U39" s="1995" t="s">
        <v>13372</v>
      </c>
      <c r="V39" s="1999" t="s">
        <v>13373</v>
      </c>
    </row>
    <row r="40" spans="1:22" s="197" customFormat="1">
      <c r="B40" s="422" t="s">
        <v>13374</v>
      </c>
      <c r="C40" s="1996">
        <v>2134.1936999999998</v>
      </c>
      <c r="D40" s="1996">
        <v>6142.6048000000001</v>
      </c>
      <c r="E40" s="2000">
        <f t="shared" ref="E40:E46" si="15">IFERROR(SUM(C40:D40),0)</f>
        <v>8276.7985000000008</v>
      </c>
      <c r="F40" s="106"/>
      <c r="G40" s="936" t="s">
        <v>13375</v>
      </c>
      <c r="H40" s="229"/>
      <c r="I40" s="520"/>
      <c r="K40" s="783"/>
      <c r="L40" s="1671">
        <f t="shared" si="13"/>
        <v>0</v>
      </c>
      <c r="M40" s="783"/>
      <c r="N40" s="1672">
        <f t="shared" si="14"/>
        <v>0</v>
      </c>
      <c r="O40" s="1672">
        <f t="shared" si="14"/>
        <v>0</v>
      </c>
      <c r="P40" s="222"/>
      <c r="Q40" s="783"/>
      <c r="R40" s="351"/>
      <c r="S40" s="422" t="s">
        <v>13374</v>
      </c>
      <c r="T40" s="1996" t="s">
        <v>13376</v>
      </c>
      <c r="U40" s="1996" t="s">
        <v>13377</v>
      </c>
      <c r="V40" s="2000" t="s">
        <v>13378</v>
      </c>
    </row>
    <row r="41" spans="1:22" s="197" customFormat="1" ht="31">
      <c r="B41" s="422" t="s">
        <v>13379</v>
      </c>
      <c r="C41" s="1996">
        <v>20236.933230875715</v>
      </c>
      <c r="D41" s="1996">
        <v>17025.692295569432</v>
      </c>
      <c r="E41" s="2000">
        <f>IFERROR(SUM(C41:D41),0)</f>
        <v>37262.625526445147</v>
      </c>
      <c r="F41" s="106"/>
      <c r="G41" s="936" t="s">
        <v>13380</v>
      </c>
      <c r="H41" s="229"/>
      <c r="I41" s="520"/>
      <c r="K41" s="783"/>
      <c r="L41" s="2209"/>
      <c r="M41" s="783"/>
      <c r="N41" s="1672"/>
      <c r="O41" s="1672"/>
      <c r="P41" s="1685"/>
      <c r="Q41" s="1685"/>
      <c r="R41" s="351"/>
      <c r="S41" s="422" t="s">
        <v>13379</v>
      </c>
      <c r="T41" s="1996" t="s">
        <v>1632</v>
      </c>
      <c r="U41" s="1996" t="s">
        <v>1633</v>
      </c>
      <c r="V41" s="2000" t="s">
        <v>1634</v>
      </c>
    </row>
    <row r="42" spans="1:22" s="197" customFormat="1" ht="31">
      <c r="B42" s="422" t="s">
        <v>13381</v>
      </c>
      <c r="C42" s="1996">
        <v>0</v>
      </c>
      <c r="D42" s="1996">
        <v>0</v>
      </c>
      <c r="E42" s="2000">
        <f t="shared" si="15"/>
        <v>0</v>
      </c>
      <c r="F42" s="106"/>
      <c r="G42" s="936" t="s">
        <v>13382</v>
      </c>
      <c r="H42" s="229"/>
      <c r="I42" s="520"/>
      <c r="K42" s="783"/>
      <c r="L42" s="2209"/>
      <c r="M42" s="783"/>
      <c r="N42" s="1672"/>
      <c r="O42" s="1672"/>
      <c r="P42" s="1685"/>
      <c r="Q42" s="1685"/>
      <c r="R42" s="351"/>
      <c r="S42" s="422" t="s">
        <v>13381</v>
      </c>
      <c r="T42" s="1996" t="s">
        <v>1635</v>
      </c>
      <c r="U42" s="1996" t="s">
        <v>1636</v>
      </c>
      <c r="V42" s="2000" t="s">
        <v>1637</v>
      </c>
    </row>
    <row r="43" spans="1:22" s="197" customFormat="1">
      <c r="B43" s="422" t="s">
        <v>13383</v>
      </c>
      <c r="C43" s="1996">
        <v>33.234990000000003</v>
      </c>
      <c r="D43" s="1996">
        <v>134.273167</v>
      </c>
      <c r="E43" s="2000">
        <f t="shared" si="15"/>
        <v>167.50815700000001</v>
      </c>
      <c r="F43" s="106"/>
      <c r="G43" s="936" t="s">
        <v>13384</v>
      </c>
      <c r="H43" s="229"/>
      <c r="I43" s="520"/>
      <c r="K43" s="783"/>
      <c r="L43" s="2209"/>
      <c r="M43" s="783"/>
      <c r="N43" s="1672"/>
      <c r="O43" s="1672"/>
      <c r="P43" s="1685"/>
      <c r="Q43" s="1685"/>
      <c r="R43" s="351"/>
      <c r="S43" s="422" t="s">
        <v>13383</v>
      </c>
      <c r="T43" s="1996" t="s">
        <v>1638</v>
      </c>
      <c r="U43" s="1996" t="s">
        <v>1639</v>
      </c>
      <c r="V43" s="2000" t="s">
        <v>1640</v>
      </c>
    </row>
    <row r="44" spans="1:22" s="197" customFormat="1">
      <c r="B44" s="422" t="s">
        <v>13385</v>
      </c>
      <c r="C44" s="1996">
        <v>1336.221979380957</v>
      </c>
      <c r="D44" s="1996">
        <v>2485.1982574809567</v>
      </c>
      <c r="E44" s="2000">
        <f t="shared" si="15"/>
        <v>3821.4202368619135</v>
      </c>
      <c r="F44" s="106"/>
      <c r="G44" s="936" t="s">
        <v>13386</v>
      </c>
      <c r="H44" s="229"/>
      <c r="I44" s="520"/>
      <c r="K44" s="783"/>
      <c r="L44" s="2209"/>
      <c r="M44" s="783"/>
      <c r="N44" s="1672"/>
      <c r="O44" s="1672"/>
      <c r="P44" s="1685"/>
      <c r="Q44" s="1685"/>
      <c r="R44" s="351"/>
      <c r="S44" s="422"/>
      <c r="T44" s="1996" t="s">
        <v>1641</v>
      </c>
      <c r="U44" s="1996" t="s">
        <v>1642</v>
      </c>
      <c r="V44" s="2000" t="s">
        <v>1643</v>
      </c>
    </row>
    <row r="45" spans="1:22" s="197" customFormat="1">
      <c r="B45" s="422" t="s">
        <v>13387</v>
      </c>
      <c r="C45" s="1996">
        <v>36883.550000000003</v>
      </c>
      <c r="D45" s="1996">
        <v>6376.65</v>
      </c>
      <c r="E45" s="2000">
        <f t="shared" si="15"/>
        <v>43260.200000000004</v>
      </c>
      <c r="F45" s="106"/>
      <c r="G45" s="936" t="s">
        <v>13388</v>
      </c>
      <c r="H45" s="229"/>
      <c r="I45" s="520"/>
      <c r="K45" s="783"/>
      <c r="L45" s="2209"/>
      <c r="M45" s="783"/>
      <c r="N45" s="1672"/>
      <c r="O45" s="1672"/>
      <c r="P45" s="1685"/>
      <c r="Q45" s="1685"/>
      <c r="R45" s="351"/>
      <c r="S45" s="422" t="s">
        <v>13389</v>
      </c>
      <c r="T45" s="1996" t="s">
        <v>1644</v>
      </c>
      <c r="U45" s="1996" t="s">
        <v>1645</v>
      </c>
      <c r="V45" s="2000" t="s">
        <v>1646</v>
      </c>
    </row>
    <row r="46" spans="1:22" s="197" customFormat="1">
      <c r="B46" s="422" t="s">
        <v>13390</v>
      </c>
      <c r="C46" s="1996">
        <v>0</v>
      </c>
      <c r="D46" s="1996">
        <v>0</v>
      </c>
      <c r="E46" s="2000">
        <f t="shared" si="15"/>
        <v>0</v>
      </c>
      <c r="F46" s="106"/>
      <c r="G46" s="936" t="s">
        <v>13391</v>
      </c>
      <c r="H46" s="229"/>
      <c r="I46" s="520"/>
      <c r="K46" s="783"/>
      <c r="L46" s="2209"/>
      <c r="M46" s="783"/>
      <c r="N46" s="1672"/>
      <c r="O46" s="1672"/>
      <c r="P46" s="1685"/>
      <c r="Q46" s="1685"/>
      <c r="R46" s="351"/>
      <c r="S46" s="422" t="s">
        <v>13392</v>
      </c>
      <c r="T46" s="1996" t="s">
        <v>1647</v>
      </c>
      <c r="U46" s="1996" t="s">
        <v>1648</v>
      </c>
      <c r="V46" s="2000" t="s">
        <v>1649</v>
      </c>
    </row>
    <row r="47" spans="1:22" s="197" customFormat="1">
      <c r="B47" s="422" t="s">
        <v>13393</v>
      </c>
      <c r="C47" s="2344">
        <f>IFERROR(SUM(C39:C41, C43:C46),0)</f>
        <v>60799.179270256674</v>
      </c>
      <c r="D47" s="2344">
        <f>IFERROR(SUM(D39:D41, D43:D46),0)</f>
        <v>32339.463890050385</v>
      </c>
      <c r="E47" s="2345">
        <f>IFERROR(SUM(E39:E41, E43:E46),0)</f>
        <v>93138.643160307067</v>
      </c>
      <c r="F47" s="106"/>
      <c r="G47" s="936" t="s">
        <v>13394</v>
      </c>
      <c r="H47" s="229"/>
      <c r="I47" s="520"/>
      <c r="K47" s="783"/>
      <c r="L47" s="1671"/>
      <c r="M47" s="783"/>
      <c r="N47" s="1672"/>
      <c r="O47" s="1672"/>
      <c r="P47" s="222"/>
      <c r="Q47" s="783"/>
      <c r="R47" s="351"/>
      <c r="S47" s="422" t="s">
        <v>13393</v>
      </c>
      <c r="T47" s="2344" t="s">
        <v>1650</v>
      </c>
      <c r="U47" s="2344" t="s">
        <v>1651</v>
      </c>
      <c r="V47" s="2345" t="s">
        <v>1652</v>
      </c>
    </row>
    <row r="48" spans="1:22" s="197" customFormat="1" ht="16" thickBot="1">
      <c r="B48" s="425" t="s">
        <v>13395</v>
      </c>
      <c r="C48" s="1666">
        <f>IFERROR(SUM(C39:C40, C42:C46),0)</f>
        <v>40562.24603938096</v>
      </c>
      <c r="D48" s="1666">
        <f>IFERROR(SUM(D39:D40, D42:D46),0)</f>
        <v>15313.771594480957</v>
      </c>
      <c r="E48" s="2346">
        <f>IFERROR(SUM(E39:E40, E42:E46),0)</f>
        <v>55876.01763386192</v>
      </c>
      <c r="F48" s="106"/>
      <c r="G48" s="938" t="s">
        <v>13396</v>
      </c>
      <c r="H48" s="229"/>
      <c r="I48" s="522"/>
      <c r="K48" s="783"/>
      <c r="L48" s="1671"/>
      <c r="M48" s="783"/>
      <c r="N48" s="1672"/>
      <c r="O48" s="1672"/>
      <c r="P48" s="222"/>
      <c r="Q48" s="783"/>
      <c r="R48" s="351"/>
      <c r="S48" s="425" t="s">
        <v>13395</v>
      </c>
      <c r="T48" s="1666" t="s">
        <v>1653</v>
      </c>
      <c r="U48" s="1666" t="s">
        <v>1654</v>
      </c>
      <c r="V48" s="2346" t="s">
        <v>1655</v>
      </c>
    </row>
    <row r="49" spans="1:22" s="197" customFormat="1" ht="16.5" thickTop="1" thickBot="1">
      <c r="B49" s="327"/>
      <c r="C49" s="2544"/>
      <c r="D49" s="2544"/>
      <c r="E49" s="2545"/>
      <c r="F49" s="327"/>
      <c r="G49" s="327" t="s">
        <v>4435</v>
      </c>
      <c r="H49" s="229"/>
      <c r="I49" s="670"/>
      <c r="K49" s="783"/>
      <c r="L49" s="222"/>
      <c r="M49" s="783"/>
      <c r="N49" s="222"/>
      <c r="O49" s="222"/>
      <c r="P49" s="222"/>
      <c r="Q49" s="783"/>
      <c r="R49" s="351"/>
      <c r="S49" s="327"/>
      <c r="T49" s="2215"/>
      <c r="U49" s="2215"/>
      <c r="V49" s="2216"/>
    </row>
    <row r="50" spans="1:22" s="197" customFormat="1" ht="17" thickTop="1">
      <c r="A50" s="2560"/>
      <c r="B50" s="413" t="s">
        <v>13397</v>
      </c>
      <c r="C50" s="1995">
        <v>7469.0626000000002</v>
      </c>
      <c r="D50" s="1995">
        <v>10529.555</v>
      </c>
      <c r="E50" s="1999">
        <f t="shared" ref="E50:E52" si="16">IFERROR(SUM(C50:D50),0)</f>
        <v>17998.617600000001</v>
      </c>
      <c r="F50" s="106"/>
      <c r="G50" s="935" t="s">
        <v>13398</v>
      </c>
      <c r="H50" s="229"/>
      <c r="I50" s="250"/>
      <c r="J50" s="222"/>
      <c r="K50" s="783"/>
      <c r="L50" s="1671">
        <f t="shared" ref="L50:L52" si="17">IF( SUM( N50:P50 ) = 0, 0, $N$6 )</f>
        <v>0</v>
      </c>
      <c r="M50" s="783"/>
      <c r="N50" s="1672">
        <f t="shared" ref="N50:O52" si="18" xml:space="preserve"> IF( ISNUMBER(C50 ), 0, 1 )</f>
        <v>0</v>
      </c>
      <c r="O50" s="1672">
        <f t="shared" si="18"/>
        <v>0</v>
      </c>
      <c r="P50" s="222"/>
      <c r="Q50" s="783"/>
      <c r="R50" s="351"/>
      <c r="S50" s="413" t="s">
        <v>13397</v>
      </c>
      <c r="T50" s="1995" t="s">
        <v>13399</v>
      </c>
      <c r="U50" s="1995" t="s">
        <v>13400</v>
      </c>
      <c r="V50" s="1999" t="s">
        <v>13401</v>
      </c>
    </row>
    <row r="51" spans="1:22" s="197" customFormat="1" ht="16.5">
      <c r="A51" s="2560"/>
      <c r="B51" s="422" t="s">
        <v>13402</v>
      </c>
      <c r="C51" s="1996">
        <v>21.738932999999999</v>
      </c>
      <c r="D51" s="1996">
        <v>85.754741999999993</v>
      </c>
      <c r="E51" s="2000">
        <f t="shared" si="16"/>
        <v>107.493675</v>
      </c>
      <c r="F51" s="106"/>
      <c r="G51" s="936" t="s">
        <v>13403</v>
      </c>
      <c r="H51" s="229"/>
      <c r="I51" s="258"/>
      <c r="J51" s="222"/>
      <c r="K51" s="783"/>
      <c r="L51" s="1671">
        <f t="shared" si="17"/>
        <v>0</v>
      </c>
      <c r="M51" s="783"/>
      <c r="N51" s="1672">
        <f t="shared" si="18"/>
        <v>0</v>
      </c>
      <c r="O51" s="1672">
        <f t="shared" si="18"/>
        <v>0</v>
      </c>
      <c r="P51" s="222"/>
      <c r="Q51" s="783"/>
      <c r="R51" s="351"/>
      <c r="S51" s="422" t="s">
        <v>13402</v>
      </c>
      <c r="T51" s="1996" t="s">
        <v>13404</v>
      </c>
      <c r="U51" s="1996" t="s">
        <v>13405</v>
      </c>
      <c r="V51" s="2000" t="s">
        <v>13406</v>
      </c>
    </row>
    <row r="52" spans="1:22" s="197" customFormat="1" ht="16.5">
      <c r="A52" s="2560"/>
      <c r="B52" s="422" t="s">
        <v>13407</v>
      </c>
      <c r="C52" s="1996">
        <v>69.885035000000002</v>
      </c>
      <c r="D52" s="1996">
        <v>120.47653</v>
      </c>
      <c r="E52" s="2000">
        <f t="shared" si="16"/>
        <v>190.36156499999998</v>
      </c>
      <c r="F52" s="106"/>
      <c r="G52" s="936" t="s">
        <v>13408</v>
      </c>
      <c r="H52" s="229"/>
      <c r="I52" s="258"/>
      <c r="J52" s="222"/>
      <c r="K52" s="783"/>
      <c r="L52" s="1671">
        <f t="shared" si="17"/>
        <v>0</v>
      </c>
      <c r="M52" s="783"/>
      <c r="N52" s="1672">
        <f t="shared" si="18"/>
        <v>0</v>
      </c>
      <c r="O52" s="1672">
        <f t="shared" si="18"/>
        <v>0</v>
      </c>
      <c r="P52" s="222"/>
      <c r="Q52" s="783"/>
      <c r="R52" s="351"/>
      <c r="S52" s="422" t="s">
        <v>13407</v>
      </c>
      <c r="T52" s="1996" t="s">
        <v>13409</v>
      </c>
      <c r="U52" s="1996" t="s">
        <v>13410</v>
      </c>
      <c r="V52" s="2000" t="s">
        <v>13411</v>
      </c>
    </row>
    <row r="53" spans="1:22" s="197" customFormat="1" ht="16" thickBot="1">
      <c r="B53" s="425" t="s">
        <v>13412</v>
      </c>
      <c r="C53" s="1997" t="s">
        <v>13316</v>
      </c>
      <c r="D53" s="1997" t="s">
        <v>13316</v>
      </c>
      <c r="E53" s="2001">
        <f>IFERROR(SUM(C53:D53),0)</f>
        <v>0</v>
      </c>
      <c r="F53" s="106"/>
      <c r="G53" s="938" t="s">
        <v>13413</v>
      </c>
      <c r="H53" s="229"/>
      <c r="I53" s="269"/>
      <c r="K53" s="783"/>
      <c r="L53" s="1671"/>
      <c r="M53" s="783"/>
      <c r="N53" s="1672"/>
      <c r="O53" s="1672"/>
      <c r="P53" s="222"/>
      <c r="Q53" s="783"/>
      <c r="R53" s="351"/>
      <c r="S53" s="425" t="s">
        <v>13412</v>
      </c>
      <c r="T53" s="1997" t="s">
        <v>1656</v>
      </c>
      <c r="U53" s="1997" t="s">
        <v>1657</v>
      </c>
      <c r="V53" s="2001" t="s">
        <v>1658</v>
      </c>
    </row>
    <row r="54" spans="1:22" s="197" customFormat="1" ht="16.5" thickTop="1" thickBot="1">
      <c r="A54" s="2560"/>
      <c r="B54" s="222"/>
      <c r="C54" s="2542"/>
      <c r="D54" s="2542"/>
      <c r="E54" s="2543"/>
      <c r="F54" s="222"/>
      <c r="G54" s="222" t="s">
        <v>4435</v>
      </c>
      <c r="H54" s="229"/>
      <c r="I54" s="222"/>
      <c r="J54" s="222"/>
      <c r="K54" s="783"/>
      <c r="L54" s="222"/>
      <c r="M54" s="783"/>
      <c r="N54" s="222"/>
      <c r="O54" s="222"/>
      <c r="P54" s="222"/>
      <c r="Q54" s="783"/>
      <c r="R54" s="351"/>
      <c r="S54" s="222"/>
      <c r="T54" s="2023"/>
      <c r="U54" s="2023"/>
      <c r="V54" s="2214"/>
    </row>
    <row r="55" spans="1:22" s="197" customFormat="1" ht="16.5" thickTop="1" thickBot="1">
      <c r="B55" s="355" t="s">
        <v>13414</v>
      </c>
      <c r="C55" s="2542"/>
      <c r="D55" s="2542"/>
      <c r="E55" s="2029"/>
      <c r="F55" s="106"/>
      <c r="G55" s="544" t="s">
        <v>4435</v>
      </c>
      <c r="H55" s="229"/>
      <c r="K55" s="783"/>
      <c r="L55" s="222"/>
      <c r="M55" s="783"/>
      <c r="N55" s="222"/>
      <c r="O55" s="222"/>
      <c r="P55" s="222"/>
      <c r="Q55" s="783"/>
      <c r="R55" s="351"/>
      <c r="S55" s="355" t="s">
        <v>13414</v>
      </c>
      <c r="T55" s="2212"/>
      <c r="U55" s="2212"/>
      <c r="V55" s="2029"/>
    </row>
    <row r="56" spans="1:22" s="197" customFormat="1" ht="16" thickTop="1">
      <c r="B56" s="413" t="s">
        <v>13415</v>
      </c>
      <c r="C56" s="2347">
        <f>IFERROR(SUM(C16+C30+C47),0)</f>
        <v>122667.47752025668</v>
      </c>
      <c r="D56" s="2347">
        <f>IFERROR(SUM(D16+D30+D47),0)</f>
        <v>159362.0668900504</v>
      </c>
      <c r="E56" s="1999">
        <f>IFERROR(SUM(C56:D56),0)</f>
        <v>282029.54441030708</v>
      </c>
      <c r="F56" s="106"/>
      <c r="G56" s="935" t="s">
        <v>13416</v>
      </c>
      <c r="H56" s="229"/>
      <c r="I56" s="250"/>
      <c r="K56" s="783"/>
      <c r="L56" s="1671">
        <f t="shared" ref="L56:L57" si="19">IF( SUM( N56:P56 ) = 0, 0, $N$6 )</f>
        <v>0</v>
      </c>
      <c r="M56" s="783"/>
      <c r="N56" s="1672">
        <f t="shared" ref="N56:O57" si="20" xml:space="preserve"> IF( ISNUMBER(C56 ), 0, 1 )</f>
        <v>0</v>
      </c>
      <c r="O56" s="1672">
        <f t="shared" si="20"/>
        <v>0</v>
      </c>
      <c r="P56" s="222"/>
      <c r="Q56" s="783"/>
      <c r="R56" s="351"/>
      <c r="S56" s="413" t="s">
        <v>13415</v>
      </c>
      <c r="T56" s="2347" t="s">
        <v>13417</v>
      </c>
      <c r="U56" s="2347" t="s">
        <v>13418</v>
      </c>
      <c r="V56" s="1999" t="s">
        <v>13419</v>
      </c>
    </row>
    <row r="57" spans="1:22" s="197" customFormat="1" ht="16" thickBot="1">
      <c r="B57" s="425" t="s">
        <v>13420</v>
      </c>
      <c r="C57" s="2348">
        <f>IFERROR(SUM(C17+C31+C48),0)</f>
        <v>44587.39840418096</v>
      </c>
      <c r="D57" s="2348">
        <f>IFERROR(SUM(D17+D31+D48),0)</f>
        <v>93061.029109280964</v>
      </c>
      <c r="E57" s="2001">
        <f t="shared" ref="E57" si="21">IFERROR(SUM(C57:D57),0)</f>
        <v>137648.42751346191</v>
      </c>
      <c r="F57" s="222"/>
      <c r="G57" s="938" t="s">
        <v>13421</v>
      </c>
      <c r="H57" s="229"/>
      <c r="I57" s="1673"/>
      <c r="K57" s="783"/>
      <c r="L57" s="1671">
        <f t="shared" si="19"/>
        <v>0</v>
      </c>
      <c r="M57" s="783"/>
      <c r="N57" s="1672">
        <f t="shared" si="20"/>
        <v>0</v>
      </c>
      <c r="O57" s="1672">
        <f t="shared" si="20"/>
        <v>0</v>
      </c>
      <c r="P57" s="222"/>
      <c r="Q57" s="783"/>
      <c r="R57" s="351"/>
      <c r="S57" s="425" t="s">
        <v>13420</v>
      </c>
      <c r="T57" s="2348" t="s">
        <v>13422</v>
      </c>
      <c r="U57" s="2348" t="s">
        <v>13423</v>
      </c>
      <c r="V57" s="2001" t="s">
        <v>13424</v>
      </c>
    </row>
    <row r="58" spans="1:22" s="197" customFormat="1" ht="16.5" thickTop="1" thickBot="1">
      <c r="A58" s="2611"/>
      <c r="B58" s="2214"/>
      <c r="C58" s="2542"/>
      <c r="D58" s="2542"/>
      <c r="E58" s="2543"/>
      <c r="F58" s="2214"/>
      <c r="G58" s="2214" t="s">
        <v>4435</v>
      </c>
      <c r="H58" s="229"/>
      <c r="I58" s="2214"/>
      <c r="J58" s="2214"/>
      <c r="K58" s="783"/>
      <c r="L58" s="222"/>
      <c r="M58" s="783"/>
      <c r="N58" s="222"/>
      <c r="O58" s="222"/>
      <c r="P58" s="222"/>
      <c r="Q58" s="783"/>
      <c r="R58" s="351"/>
      <c r="S58" s="2214"/>
      <c r="T58" s="2023"/>
      <c r="U58" s="2023"/>
      <c r="V58" s="2214"/>
    </row>
    <row r="59" spans="1:22" s="197" customFormat="1" ht="16.5" thickTop="1" thickBot="1">
      <c r="B59" s="1665" t="s">
        <v>13425</v>
      </c>
      <c r="C59" s="2542"/>
      <c r="D59" s="2542"/>
      <c r="E59" s="2543"/>
      <c r="F59" s="2214"/>
      <c r="G59" s="2214" t="s">
        <v>4435</v>
      </c>
      <c r="H59" s="229"/>
      <c r="I59" s="2214"/>
      <c r="K59" s="783"/>
      <c r="L59" s="222"/>
      <c r="M59" s="783"/>
      <c r="N59" s="222"/>
      <c r="O59" s="222"/>
      <c r="P59" s="222"/>
      <c r="Q59" s="783"/>
      <c r="R59" s="351"/>
      <c r="S59" s="1665" t="s">
        <v>13425</v>
      </c>
      <c r="T59" s="2023"/>
      <c r="U59" s="2023"/>
      <c r="V59" s="2214"/>
    </row>
    <row r="60" spans="1:22" s="197" customFormat="1" ht="16" thickTop="1">
      <c r="B60" s="1674" t="s">
        <v>13426</v>
      </c>
      <c r="C60" s="2550" t="s">
        <v>13316</v>
      </c>
      <c r="D60" s="2550">
        <v>162.32070999999999</v>
      </c>
      <c r="E60" s="1999">
        <f t="shared" ref="E60:E63" si="22">IFERROR(SUM(C60:D60),0)</f>
        <v>162.32070999999999</v>
      </c>
      <c r="F60" s="2214"/>
      <c r="G60" s="935" t="s">
        <v>13427</v>
      </c>
      <c r="H60" s="229"/>
      <c r="I60" s="1675"/>
      <c r="K60" s="783"/>
      <c r="L60" s="1671">
        <f t="shared" ref="L60:L63" si="23">IF( SUM( N60:P60 ) = 0, 0, $N$6 )</f>
        <v>0</v>
      </c>
      <c r="M60" s="783"/>
      <c r="N60" s="222"/>
      <c r="O60" s="222"/>
      <c r="P60" s="1672">
        <f t="shared" ref="P60:P64" si="24" xml:space="preserve"> IF( ISNUMBER(E60 ), 0, 1 )</f>
        <v>0</v>
      </c>
      <c r="Q60" s="783"/>
      <c r="R60" s="351"/>
      <c r="S60" s="1674" t="s">
        <v>13426</v>
      </c>
      <c r="T60" s="2349" t="s">
        <v>13428</v>
      </c>
      <c r="U60" s="2349" t="s">
        <v>13429</v>
      </c>
      <c r="V60" s="1999" t="s">
        <v>13430</v>
      </c>
    </row>
    <row r="61" spans="1:22" s="197" customFormat="1">
      <c r="B61" s="1676" t="s">
        <v>13431</v>
      </c>
      <c r="C61" s="2551" t="s">
        <v>13316</v>
      </c>
      <c r="D61" s="2551" t="s">
        <v>13316</v>
      </c>
      <c r="E61" s="2000">
        <f t="shared" si="22"/>
        <v>0</v>
      </c>
      <c r="F61" s="2214"/>
      <c r="G61" s="936" t="s">
        <v>13432</v>
      </c>
      <c r="H61" s="229"/>
      <c r="I61" s="1093"/>
      <c r="K61" s="783"/>
      <c r="L61" s="1671">
        <f t="shared" si="23"/>
        <v>0</v>
      </c>
      <c r="M61" s="783"/>
      <c r="N61" s="222"/>
      <c r="O61" s="222"/>
      <c r="P61" s="1672">
        <f t="shared" si="24"/>
        <v>0</v>
      </c>
      <c r="Q61" s="783"/>
      <c r="R61" s="351"/>
      <c r="S61" s="1676" t="s">
        <v>13431</v>
      </c>
      <c r="T61" s="2350" t="s">
        <v>13433</v>
      </c>
      <c r="U61" s="2350" t="s">
        <v>13434</v>
      </c>
      <c r="V61" s="2000" t="s">
        <v>13435</v>
      </c>
    </row>
    <row r="62" spans="1:22">
      <c r="A62" s="2562"/>
      <c r="B62" s="1676" t="s">
        <v>13436</v>
      </c>
      <c r="C62" s="2551" t="s">
        <v>13316</v>
      </c>
      <c r="D62" s="2551" t="s">
        <v>13316</v>
      </c>
      <c r="E62" s="2000">
        <f t="shared" si="22"/>
        <v>0</v>
      </c>
      <c r="F62" s="2562"/>
      <c r="G62" s="936" t="s">
        <v>13437</v>
      </c>
      <c r="H62" s="229"/>
      <c r="I62" s="2351"/>
      <c r="J62" s="229"/>
      <c r="K62" s="783"/>
      <c r="L62" s="2560"/>
      <c r="M62" s="783"/>
      <c r="N62" s="2564"/>
      <c r="O62" s="2564"/>
      <c r="P62" s="2564"/>
      <c r="Q62" s="2564"/>
      <c r="R62" s="351"/>
      <c r="S62" s="2368" t="s">
        <v>13436</v>
      </c>
      <c r="T62" s="2350" t="s">
        <v>1659</v>
      </c>
      <c r="U62" s="2350" t="s">
        <v>1660</v>
      </c>
      <c r="V62" s="2000" t="s">
        <v>1661</v>
      </c>
    </row>
    <row r="63" spans="1:22" s="197" customFormat="1">
      <c r="B63" s="1676" t="s">
        <v>13438</v>
      </c>
      <c r="C63" s="2551" t="s">
        <v>13316</v>
      </c>
      <c r="D63" s="2551" t="s">
        <v>13316</v>
      </c>
      <c r="E63" s="2000">
        <f t="shared" si="22"/>
        <v>0</v>
      </c>
      <c r="F63" s="2214"/>
      <c r="G63" s="936" t="s">
        <v>13439</v>
      </c>
      <c r="H63" s="229"/>
      <c r="I63" s="1093"/>
      <c r="K63" s="783"/>
      <c r="L63" s="1671">
        <f t="shared" si="23"/>
        <v>0</v>
      </c>
      <c r="M63" s="783"/>
      <c r="N63" s="222"/>
      <c r="O63" s="222"/>
      <c r="P63" s="1672">
        <f t="shared" si="24"/>
        <v>0</v>
      </c>
      <c r="Q63" s="783"/>
      <c r="R63" s="351"/>
      <c r="S63" s="1676" t="s">
        <v>13438</v>
      </c>
      <c r="T63" s="2350" t="s">
        <v>13440</v>
      </c>
      <c r="U63" s="2350" t="s">
        <v>13441</v>
      </c>
      <c r="V63" s="2000" t="s">
        <v>13442</v>
      </c>
    </row>
    <row r="64" spans="1:22" s="197" customFormat="1" ht="16" thickBot="1">
      <c r="B64" s="1677" t="s">
        <v>13443</v>
      </c>
      <c r="C64" s="2341">
        <f>IFERROR(SUM(C60:C63),0)</f>
        <v>0</v>
      </c>
      <c r="D64" s="2341">
        <f>IFERROR(SUM(D60:D63),0)</f>
        <v>162.32070999999999</v>
      </c>
      <c r="E64" s="2001">
        <f>IFERROR(SUM(E60:E63),0)</f>
        <v>162.32070999999999</v>
      </c>
      <c r="F64" s="2214"/>
      <c r="G64" s="938" t="s">
        <v>13444</v>
      </c>
      <c r="H64" s="229"/>
      <c r="I64" s="1673"/>
      <c r="K64" s="783"/>
      <c r="L64" s="222"/>
      <c r="M64" s="783"/>
      <c r="N64" s="222"/>
      <c r="O64" s="222"/>
      <c r="P64" s="1672">
        <f t="shared" si="24"/>
        <v>0</v>
      </c>
      <c r="Q64" s="783"/>
      <c r="R64" s="351"/>
      <c r="S64" s="1677" t="s">
        <v>13443</v>
      </c>
      <c r="T64" s="2341" t="s">
        <v>13445</v>
      </c>
      <c r="U64" s="2341" t="s">
        <v>13446</v>
      </c>
      <c r="V64" s="2001" t="s">
        <v>13447</v>
      </c>
    </row>
    <row r="65" spans="1:22" s="197" customFormat="1" ht="16" thickTop="1">
      <c r="B65" s="222"/>
      <c r="C65" s="2542"/>
      <c r="D65" s="2542"/>
      <c r="E65" s="2542"/>
      <c r="F65" s="2214"/>
      <c r="G65" s="174" t="s">
        <v>4435</v>
      </c>
      <c r="H65" s="229"/>
      <c r="I65" s="222"/>
      <c r="K65" s="783"/>
      <c r="L65" s="222"/>
      <c r="M65" s="783"/>
      <c r="N65" s="222"/>
      <c r="O65" s="222"/>
      <c r="P65" s="1672"/>
      <c r="Q65" s="783"/>
      <c r="R65" s="351"/>
      <c r="S65" s="222"/>
      <c r="T65" s="2023"/>
      <c r="U65" s="2023"/>
      <c r="V65" s="2023"/>
    </row>
    <row r="66" spans="1:22" s="197" customFormat="1" ht="16" thickBot="1">
      <c r="B66" s="222"/>
      <c r="C66" s="2542"/>
      <c r="D66" s="2542"/>
      <c r="E66" s="2542"/>
      <c r="F66" s="222"/>
      <c r="G66" s="222" t="s">
        <v>4435</v>
      </c>
      <c r="H66" s="229"/>
      <c r="I66" s="222"/>
      <c r="K66" s="783"/>
      <c r="L66" s="222"/>
      <c r="M66" s="783"/>
      <c r="N66" s="222"/>
      <c r="O66" s="222"/>
      <c r="P66" s="222"/>
      <c r="Q66" s="783"/>
      <c r="R66" s="351"/>
      <c r="S66" s="222"/>
      <c r="T66" s="2023"/>
      <c r="U66" s="2023"/>
      <c r="V66" s="2023"/>
    </row>
    <row r="67" spans="1:22" ht="16.5" thickTop="1" thickBot="1">
      <c r="A67" s="197"/>
      <c r="B67" s="1665" t="s">
        <v>13448</v>
      </c>
      <c r="C67" s="2542"/>
      <c r="D67" s="2542"/>
      <c r="E67" s="2217"/>
      <c r="F67" s="222"/>
      <c r="G67" s="222" t="s">
        <v>4435</v>
      </c>
      <c r="H67" s="229"/>
      <c r="I67" s="222"/>
      <c r="J67" s="197"/>
      <c r="K67" s="783"/>
      <c r="L67" s="222"/>
      <c r="M67" s="783"/>
      <c r="N67" s="222"/>
      <c r="O67" s="222"/>
      <c r="P67" s="222"/>
      <c r="Q67" s="783"/>
      <c r="R67" s="351"/>
      <c r="S67" s="1665" t="s">
        <v>13448</v>
      </c>
      <c r="T67" s="2023"/>
      <c r="U67" s="2023"/>
      <c r="V67" s="2217"/>
    </row>
    <row r="68" spans="1:22" ht="16" thickTop="1">
      <c r="A68" s="197"/>
      <c r="B68" s="413" t="s">
        <v>13449</v>
      </c>
      <c r="C68" s="2347">
        <f>IFERROR(C56-C64,0)</f>
        <v>122667.47752025668</v>
      </c>
      <c r="D68" s="2347">
        <f>IFERROR(D56-D64,0)</f>
        <v>159199.7461800504</v>
      </c>
      <c r="E68" s="1999">
        <f t="shared" ref="E68" si="25">IFERROR(SUM(C68:D68),0)</f>
        <v>281867.22370030708</v>
      </c>
      <c r="F68" s="222"/>
      <c r="G68" s="935" t="s">
        <v>13450</v>
      </c>
      <c r="H68" s="229"/>
      <c r="I68" s="519"/>
      <c r="J68" s="229"/>
      <c r="K68" s="783"/>
      <c r="L68" s="1671">
        <f t="shared" ref="L68:L69" si="26">IF( SUM( N68:P68 ) = 0, 0, $N$6 )</f>
        <v>0</v>
      </c>
      <c r="M68" s="783"/>
      <c r="N68" s="1672">
        <f t="shared" ref="N68:O69" si="27" xml:space="preserve"> IF( ISNUMBER(C68 ), 0, 1 )</f>
        <v>0</v>
      </c>
      <c r="O68" s="1672">
        <f t="shared" si="27"/>
        <v>0</v>
      </c>
      <c r="P68" s="222"/>
      <c r="Q68" s="783"/>
      <c r="R68" s="351"/>
      <c r="S68" s="413" t="s">
        <v>13449</v>
      </c>
      <c r="T68" s="1995" t="s">
        <v>13451</v>
      </c>
      <c r="U68" s="1995" t="s">
        <v>13452</v>
      </c>
      <c r="V68" s="1999" t="s">
        <v>13453</v>
      </c>
    </row>
    <row r="69" spans="1:22" ht="16" thickBot="1">
      <c r="A69" s="197"/>
      <c r="B69" s="425" t="s">
        <v>13454</v>
      </c>
      <c r="C69" s="2417">
        <f>IFERROR(C57,0)</f>
        <v>44587.39840418096</v>
      </c>
      <c r="D69" s="2417">
        <f>IFERROR(D57,0)</f>
        <v>93061.029109280964</v>
      </c>
      <c r="E69" s="2001">
        <f>IFERROR(SUM(C69:D69),0)</f>
        <v>137648.42751346191</v>
      </c>
      <c r="F69" s="222"/>
      <c r="G69" s="938" t="s">
        <v>13455</v>
      </c>
      <c r="H69" s="229"/>
      <c r="I69" s="522"/>
      <c r="J69" s="229"/>
      <c r="K69" s="783"/>
      <c r="L69" s="1671">
        <f t="shared" si="26"/>
        <v>0</v>
      </c>
      <c r="M69" s="783"/>
      <c r="N69" s="1672">
        <f t="shared" si="27"/>
        <v>0</v>
      </c>
      <c r="O69" s="1672">
        <f t="shared" si="27"/>
        <v>0</v>
      </c>
      <c r="P69" s="222"/>
      <c r="Q69" s="783"/>
      <c r="R69" s="351"/>
      <c r="S69" s="425" t="s">
        <v>13454</v>
      </c>
      <c r="T69" s="1997" t="s">
        <v>13456</v>
      </c>
      <c r="U69" s="1997" t="s">
        <v>13457</v>
      </c>
      <c r="V69" s="2001" t="s">
        <v>13458</v>
      </c>
    </row>
    <row r="70" spans="1:22" ht="16.5" thickTop="1" thickBot="1">
      <c r="A70" s="197"/>
      <c r="B70" s="222"/>
      <c r="C70" s="2542"/>
      <c r="D70" s="2542"/>
      <c r="E70" s="2542"/>
      <c r="F70" s="222"/>
      <c r="G70" s="222" t="s">
        <v>4435</v>
      </c>
      <c r="H70" s="229"/>
      <c r="I70" s="222"/>
      <c r="K70" s="783"/>
      <c r="L70" s="222"/>
      <c r="M70" s="783"/>
      <c r="N70" s="222"/>
      <c r="O70" s="222"/>
      <c r="P70" s="222"/>
      <c r="Q70" s="783"/>
      <c r="R70" s="351"/>
      <c r="S70" s="222"/>
      <c r="T70" s="2023"/>
      <c r="U70" s="2023"/>
      <c r="V70" s="2023"/>
    </row>
    <row r="71" spans="1:22" ht="16" thickTop="1">
      <c r="A71" s="2562"/>
      <c r="B71" s="556" t="s">
        <v>1891</v>
      </c>
      <c r="C71" s="2024" t="s">
        <v>3849</v>
      </c>
      <c r="D71" s="2025" t="s">
        <v>3850</v>
      </c>
      <c r="E71" s="2542"/>
      <c r="F71" s="222"/>
      <c r="G71" s="222" t="s">
        <v>4435</v>
      </c>
      <c r="H71" s="229"/>
      <c r="I71" s="222"/>
      <c r="K71" s="783"/>
      <c r="L71" s="222"/>
      <c r="M71" s="783"/>
      <c r="N71" s="222"/>
      <c r="O71" s="222"/>
      <c r="P71" s="222"/>
      <c r="Q71" s="783"/>
      <c r="R71" s="351"/>
      <c r="S71" s="556" t="s">
        <v>1891</v>
      </c>
      <c r="T71" s="2024" t="s">
        <v>3849</v>
      </c>
      <c r="U71" s="2025" t="s">
        <v>3850</v>
      </c>
      <c r="V71" s="2023"/>
    </row>
    <row r="72" spans="1:22" ht="16.5">
      <c r="A72" s="2562"/>
      <c r="B72" s="391" t="s">
        <v>135</v>
      </c>
      <c r="C72" s="2364" t="s">
        <v>13459</v>
      </c>
      <c r="D72" s="2365" t="s">
        <v>13459</v>
      </c>
      <c r="E72" s="2542"/>
      <c r="F72" s="197"/>
      <c r="G72" s="197" t="s">
        <v>4435</v>
      </c>
      <c r="H72" s="229"/>
      <c r="K72" s="783"/>
      <c r="L72" s="222"/>
      <c r="M72" s="783"/>
      <c r="N72" s="222"/>
      <c r="O72" s="222"/>
      <c r="P72" s="222"/>
      <c r="Q72" s="783"/>
      <c r="R72" s="351"/>
      <c r="S72" s="391" t="s">
        <v>135</v>
      </c>
      <c r="T72" s="2364" t="s">
        <v>13459</v>
      </c>
      <c r="U72" s="2365" t="s">
        <v>13459</v>
      </c>
      <c r="V72" s="2023"/>
    </row>
    <row r="73" spans="1:22" ht="16" thickBot="1">
      <c r="A73" s="2562"/>
      <c r="B73" s="392" t="s">
        <v>136</v>
      </c>
      <c r="C73" s="2362">
        <v>3</v>
      </c>
      <c r="D73" s="2363">
        <v>3</v>
      </c>
      <c r="E73" s="2542"/>
      <c r="F73" s="197"/>
      <c r="G73" s="197" t="s">
        <v>4435</v>
      </c>
      <c r="H73" s="229"/>
      <c r="K73" s="783"/>
      <c r="L73" s="222"/>
      <c r="M73" s="783"/>
      <c r="N73" s="222"/>
      <c r="O73" s="222"/>
      <c r="P73" s="222"/>
      <c r="Q73" s="783"/>
      <c r="R73" s="351"/>
      <c r="S73" s="392" t="s">
        <v>136</v>
      </c>
      <c r="T73" s="2362">
        <v>3</v>
      </c>
      <c r="U73" s="2363">
        <v>3</v>
      </c>
      <c r="V73" s="2023"/>
    </row>
    <row r="74" spans="1:22" ht="16.5" thickTop="1" thickBot="1">
      <c r="A74" s="2562"/>
      <c r="B74" s="197"/>
      <c r="C74" s="2542"/>
      <c r="D74" s="2542"/>
      <c r="E74" s="2027"/>
      <c r="F74" s="197"/>
      <c r="G74" s="197" t="s">
        <v>4435</v>
      </c>
      <c r="H74" s="229"/>
      <c r="K74" s="783"/>
      <c r="L74" s="222"/>
      <c r="M74" s="783"/>
      <c r="N74" s="222"/>
      <c r="O74" s="222"/>
      <c r="P74" s="222"/>
      <c r="Q74" s="783"/>
      <c r="R74" s="351"/>
      <c r="S74" s="197"/>
      <c r="T74" s="2026"/>
      <c r="U74" s="2026"/>
      <c r="V74" s="2027"/>
    </row>
    <row r="75" spans="1:22" ht="16.5" thickTop="1" thickBot="1">
      <c r="A75" s="2562"/>
      <c r="B75" s="355" t="s">
        <v>13460</v>
      </c>
      <c r="C75" s="2027"/>
      <c r="D75" s="2027"/>
      <c r="E75" s="2027"/>
      <c r="F75" s="197"/>
      <c r="G75" s="197" t="s">
        <v>4435</v>
      </c>
      <c r="H75" s="229"/>
      <c r="K75" s="783"/>
      <c r="L75" s="222"/>
      <c r="M75" s="783"/>
      <c r="N75" s="222"/>
      <c r="O75" s="222"/>
      <c r="P75" s="222"/>
      <c r="Q75" s="783"/>
      <c r="R75" s="351"/>
      <c r="S75" s="355" t="s">
        <v>13460</v>
      </c>
      <c r="T75" s="2027"/>
      <c r="U75" s="2027"/>
      <c r="V75" s="2027"/>
    </row>
    <row r="76" spans="1:22" ht="16" thickTop="1">
      <c r="A76" s="2562"/>
      <c r="B76" s="1678" t="s">
        <v>13461</v>
      </c>
      <c r="C76" s="2546">
        <v>320.8355903364349</v>
      </c>
      <c r="D76" s="2547"/>
      <c r="E76" s="2360"/>
      <c r="F76" s="197"/>
      <c r="G76" s="935" t="s">
        <v>13462</v>
      </c>
      <c r="H76" s="229"/>
      <c r="I76" s="519"/>
      <c r="K76" s="783"/>
      <c r="L76" s="1671">
        <f t="shared" ref="L76:L77" si="28">IF( SUM( N76:P76 ) = 0, 0, $N$6 )</f>
        <v>0</v>
      </c>
      <c r="M76" s="783"/>
      <c r="N76" s="1672">
        <f t="shared" ref="N76" si="29" xml:space="preserve"> IF( ISNUMBER(C76 ), 0, 1 )</f>
        <v>0</v>
      </c>
      <c r="O76" s="222"/>
      <c r="P76" s="222"/>
      <c r="Q76" s="783"/>
      <c r="R76" s="351"/>
      <c r="S76" s="1678" t="s">
        <v>13461</v>
      </c>
      <c r="T76" s="1998" t="s">
        <v>13463</v>
      </c>
      <c r="U76" s="2352"/>
      <c r="V76" s="2360"/>
    </row>
    <row r="77" spans="1:22" ht="16" thickBot="1">
      <c r="A77" s="2562"/>
      <c r="B77" s="2353" t="s">
        <v>13464</v>
      </c>
      <c r="C77" s="2548"/>
      <c r="D77" s="2549">
        <v>251.96536519212918</v>
      </c>
      <c r="E77" s="2361"/>
      <c r="F77" s="197"/>
      <c r="G77" s="938" t="s">
        <v>13465</v>
      </c>
      <c r="H77" s="229"/>
      <c r="I77" s="522"/>
      <c r="K77" s="783"/>
      <c r="L77" s="1671">
        <f t="shared" si="28"/>
        <v>0</v>
      </c>
      <c r="M77" s="783"/>
      <c r="N77" s="222"/>
      <c r="O77" s="1672">
        <f t="shared" ref="O77" si="30" xml:space="preserve"> IF( ISNUMBER(D77 ), 0, 1 )</f>
        <v>0</v>
      </c>
      <c r="P77" s="222"/>
      <c r="Q77" s="783"/>
      <c r="R77" s="351"/>
      <c r="S77" s="2353" t="s">
        <v>13464</v>
      </c>
      <c r="T77" s="2354"/>
      <c r="U77" s="2355" t="s">
        <v>13466</v>
      </c>
      <c r="V77" s="2361"/>
    </row>
    <row r="78" spans="1:22" ht="16.5" thickTop="1" thickBot="1">
      <c r="A78" s="2562"/>
      <c r="B78" s="2562"/>
      <c r="C78" s="2570"/>
      <c r="D78" s="2570"/>
      <c r="F78" s="2562"/>
      <c r="G78" s="2562" t="s">
        <v>4435</v>
      </c>
      <c r="H78" s="229"/>
      <c r="K78" s="783"/>
      <c r="L78" s="228"/>
      <c r="M78" s="783"/>
      <c r="N78" s="228"/>
      <c r="O78" s="228"/>
      <c r="P78" s="228"/>
      <c r="Q78" s="228"/>
      <c r="R78" s="351"/>
      <c r="S78" s="2562"/>
      <c r="T78" s="2562"/>
      <c r="U78" s="2562"/>
      <c r="V78" s="1199"/>
    </row>
    <row r="79" spans="1:22" ht="16" thickTop="1">
      <c r="A79" s="2562"/>
      <c r="B79" s="556" t="s">
        <v>1891</v>
      </c>
      <c r="C79" s="2024" t="s">
        <v>3849</v>
      </c>
      <c r="D79" s="2024" t="s">
        <v>3850</v>
      </c>
      <c r="E79" s="575" t="s">
        <v>2112</v>
      </c>
      <c r="F79" s="222"/>
      <c r="G79" s="222" t="s">
        <v>4435</v>
      </c>
      <c r="H79" s="229"/>
      <c r="I79" s="222"/>
      <c r="K79" s="783"/>
      <c r="L79" s="222"/>
      <c r="M79" s="783"/>
      <c r="N79" s="222"/>
      <c r="O79" s="222"/>
      <c r="P79" s="222"/>
      <c r="Q79" s="783"/>
      <c r="R79" s="351"/>
      <c r="S79" s="556" t="s">
        <v>1891</v>
      </c>
      <c r="T79" s="2024" t="s">
        <v>3849</v>
      </c>
      <c r="U79" s="2024" t="s">
        <v>3850</v>
      </c>
      <c r="V79" s="575" t="s">
        <v>2112</v>
      </c>
    </row>
    <row r="80" spans="1:22" ht="16.5">
      <c r="A80" s="2562"/>
      <c r="B80" s="391" t="s">
        <v>135</v>
      </c>
      <c r="C80" s="389" t="s">
        <v>13272</v>
      </c>
      <c r="D80" s="389" t="s">
        <v>13272</v>
      </c>
      <c r="E80" s="390" t="s">
        <v>13272</v>
      </c>
      <c r="F80" s="197"/>
      <c r="G80" s="197" t="s">
        <v>4435</v>
      </c>
      <c r="H80" s="229"/>
      <c r="K80" s="783"/>
      <c r="L80" s="222"/>
      <c r="M80" s="783"/>
      <c r="N80" s="222"/>
      <c r="O80" s="222"/>
      <c r="P80" s="222"/>
      <c r="Q80" s="783"/>
      <c r="R80" s="351"/>
      <c r="S80" s="391" t="s">
        <v>135</v>
      </c>
      <c r="T80" s="389" t="s">
        <v>13272</v>
      </c>
      <c r="U80" s="389" t="s">
        <v>13272</v>
      </c>
      <c r="V80" s="390" t="s">
        <v>13272</v>
      </c>
    </row>
    <row r="81" spans="2:22" ht="16" thickBot="1">
      <c r="B81" s="392" t="s">
        <v>136</v>
      </c>
      <c r="C81" s="238">
        <v>3</v>
      </c>
      <c r="D81" s="238">
        <v>3</v>
      </c>
      <c r="E81" s="576">
        <v>3</v>
      </c>
      <c r="F81" s="197"/>
      <c r="G81" s="197" t="s">
        <v>4435</v>
      </c>
      <c r="H81" s="229"/>
      <c r="K81" s="783"/>
      <c r="L81" s="222"/>
      <c r="M81" s="783"/>
      <c r="N81" s="222"/>
      <c r="O81" s="222"/>
      <c r="P81" s="222"/>
      <c r="Q81" s="783"/>
      <c r="R81" s="351"/>
      <c r="S81" s="392" t="s">
        <v>136</v>
      </c>
      <c r="T81" s="238">
        <v>3</v>
      </c>
      <c r="U81" s="238">
        <v>3</v>
      </c>
      <c r="V81" s="576">
        <v>3</v>
      </c>
    </row>
    <row r="82" spans="2:22" ht="16.5" thickTop="1" thickBot="1">
      <c r="B82" s="2562"/>
      <c r="C82" s="2570"/>
      <c r="D82" s="2570"/>
      <c r="F82" s="2562"/>
      <c r="G82" s="2562" t="s">
        <v>4435</v>
      </c>
      <c r="H82" s="229"/>
      <c r="K82" s="783"/>
      <c r="L82" s="2560"/>
      <c r="M82" s="783"/>
      <c r="N82" s="2560"/>
      <c r="O82" s="2560"/>
      <c r="P82" s="2560"/>
      <c r="Q82" s="2560"/>
      <c r="R82" s="351"/>
      <c r="S82" s="2562"/>
      <c r="T82" s="2562"/>
      <c r="U82" s="2562"/>
      <c r="V82" s="1199"/>
    </row>
    <row r="83" spans="2:22" s="197" customFormat="1" ht="16.5" thickTop="1" thickBot="1">
      <c r="B83" s="355" t="s">
        <v>2410</v>
      </c>
      <c r="C83" s="2542"/>
      <c r="D83" s="2542"/>
      <c r="E83" s="2542"/>
      <c r="F83" s="2214"/>
      <c r="G83" s="174" t="s">
        <v>4435</v>
      </c>
      <c r="H83" s="229"/>
      <c r="I83" s="222"/>
      <c r="K83" s="783"/>
      <c r="L83" s="222"/>
      <c r="M83" s="783"/>
      <c r="N83" s="1685"/>
      <c r="O83" s="1685"/>
      <c r="P83" s="1672"/>
      <c r="Q83" s="1685"/>
      <c r="R83" s="351"/>
      <c r="S83" s="355" t="s">
        <v>2410</v>
      </c>
      <c r="T83" s="2023"/>
      <c r="U83" s="2023"/>
      <c r="V83" s="2023"/>
    </row>
    <row r="84" spans="2:22" s="197" customFormat="1" ht="16.5" thickTop="1" thickBot="1">
      <c r="B84" s="2356" t="s">
        <v>13467</v>
      </c>
      <c r="C84" s="2552">
        <f>C25-C26</f>
        <v>57402.418285200001</v>
      </c>
      <c r="D84" s="2552">
        <f>D25-D26</f>
        <v>48292.989285200005</v>
      </c>
      <c r="E84" s="2358">
        <f>IFERROR(SUM(C84:D84),0)</f>
        <v>105695.40757040001</v>
      </c>
      <c r="F84" s="2214"/>
      <c r="G84" s="943" t="s">
        <v>13468</v>
      </c>
      <c r="H84" s="229"/>
      <c r="I84" s="1690"/>
      <c r="K84" s="783"/>
      <c r="L84" s="2366">
        <f>IF( SUM( N84:P84 ) = 0, 0, $N$6 )</f>
        <v>0</v>
      </c>
      <c r="M84" s="783"/>
      <c r="N84" s="1685"/>
      <c r="O84" s="1685"/>
      <c r="P84" s="1672">
        <f xml:space="preserve"> IF( ISNUMBER(E84 ), 0, 1 )</f>
        <v>0</v>
      </c>
      <c r="Q84" s="1685"/>
      <c r="R84" s="351"/>
      <c r="S84" s="2356" t="s">
        <v>13467</v>
      </c>
      <c r="T84" s="2357" t="s">
        <v>13469</v>
      </c>
      <c r="U84" s="2357" t="s">
        <v>13470</v>
      </c>
      <c r="V84" s="2358" t="s">
        <v>13471</v>
      </c>
    </row>
    <row r="85" spans="2:22" s="197" customFormat="1" ht="16.5" thickTop="1" thickBot="1">
      <c r="B85" s="222"/>
      <c r="C85" s="2542"/>
      <c r="D85" s="2542"/>
      <c r="E85" s="2338"/>
      <c r="F85" s="2214"/>
      <c r="G85" s="174"/>
      <c r="H85" s="229"/>
      <c r="I85" s="222"/>
      <c r="K85" s="783"/>
      <c r="L85" s="2366"/>
      <c r="M85" s="783"/>
      <c r="N85" s="1685"/>
      <c r="O85" s="1685"/>
      <c r="P85" s="1672"/>
      <c r="Q85" s="1685"/>
      <c r="R85" s="351"/>
      <c r="S85" s="222"/>
      <c r="T85" s="2023"/>
      <c r="U85" s="2023"/>
      <c r="V85" s="2338"/>
    </row>
    <row r="86" spans="2:22" s="197" customFormat="1" ht="16" thickTop="1">
      <c r="B86" s="2924" t="s">
        <v>1891</v>
      </c>
      <c r="C86" s="2921" t="s">
        <v>13472</v>
      </c>
      <c r="D86" s="2922"/>
      <c r="E86" s="2923"/>
      <c r="F86" s="2214"/>
      <c r="G86" s="174"/>
      <c r="H86" s="229"/>
      <c r="I86" s="222"/>
      <c r="K86" s="783"/>
      <c r="L86" s="2366"/>
      <c r="M86" s="783"/>
      <c r="N86" s="1685"/>
      <c r="O86" s="1685"/>
      <c r="P86" s="1672"/>
      <c r="Q86" s="1685"/>
      <c r="R86" s="351"/>
      <c r="S86" s="2924" t="s">
        <v>1891</v>
      </c>
      <c r="T86" s="2921" t="s">
        <v>13472</v>
      </c>
      <c r="U86" s="2922"/>
      <c r="V86" s="2923"/>
    </row>
    <row r="87" spans="2:22" s="197" customFormat="1">
      <c r="B87" s="2925"/>
      <c r="C87" s="2422" t="s">
        <v>3849</v>
      </c>
      <c r="D87" s="2422" t="s">
        <v>3850</v>
      </c>
      <c r="E87" s="2423" t="s">
        <v>2112</v>
      </c>
      <c r="F87" s="2214"/>
      <c r="G87" s="174"/>
      <c r="H87" s="229"/>
      <c r="I87" s="222"/>
      <c r="K87" s="783"/>
      <c r="L87" s="2366"/>
      <c r="M87" s="783"/>
      <c r="N87" s="1685"/>
      <c r="O87" s="1685"/>
      <c r="P87" s="1672"/>
      <c r="Q87" s="1685"/>
      <c r="R87" s="351"/>
      <c r="S87" s="2925"/>
      <c r="T87" s="2422" t="s">
        <v>3849</v>
      </c>
      <c r="U87" s="2422" t="s">
        <v>3850</v>
      </c>
      <c r="V87" s="2423" t="s">
        <v>2112</v>
      </c>
    </row>
    <row r="88" spans="2:22" s="197" customFormat="1" ht="16.5">
      <c r="B88" s="391" t="s">
        <v>135</v>
      </c>
      <c r="C88" s="389" t="s">
        <v>13272</v>
      </c>
      <c r="D88" s="389" t="s">
        <v>13272</v>
      </c>
      <c r="E88" s="390" t="s">
        <v>13272</v>
      </c>
      <c r="F88" s="2214"/>
      <c r="G88" s="174"/>
      <c r="H88" s="229"/>
      <c r="I88" s="222"/>
      <c r="K88" s="783"/>
      <c r="L88" s="2366"/>
      <c r="M88" s="783"/>
      <c r="N88" s="1685"/>
      <c r="O88" s="1685"/>
      <c r="P88" s="1672"/>
      <c r="Q88" s="1685"/>
      <c r="R88" s="351"/>
      <c r="S88" s="391" t="s">
        <v>135</v>
      </c>
      <c r="T88" s="389" t="s">
        <v>13272</v>
      </c>
      <c r="U88" s="389" t="s">
        <v>13272</v>
      </c>
      <c r="V88" s="390" t="s">
        <v>13272</v>
      </c>
    </row>
    <row r="89" spans="2:22" s="197" customFormat="1" ht="16" thickBot="1">
      <c r="B89" s="392" t="s">
        <v>136</v>
      </c>
      <c r="C89" s="238">
        <v>3</v>
      </c>
      <c r="D89" s="238">
        <v>3</v>
      </c>
      <c r="E89" s="576">
        <v>3</v>
      </c>
      <c r="F89" s="2214"/>
      <c r="G89" s="174"/>
      <c r="H89" s="229"/>
      <c r="I89" s="222"/>
      <c r="K89" s="783"/>
      <c r="L89" s="2366"/>
      <c r="M89" s="783"/>
      <c r="N89" s="1685"/>
      <c r="O89" s="1685"/>
      <c r="P89" s="1672"/>
      <c r="Q89" s="1685"/>
      <c r="R89" s="351"/>
      <c r="S89" s="392" t="s">
        <v>136</v>
      </c>
      <c r="T89" s="238">
        <v>3</v>
      </c>
      <c r="U89" s="238">
        <v>3</v>
      </c>
      <c r="V89" s="576">
        <v>3</v>
      </c>
    </row>
    <row r="90" spans="2:22" s="197" customFormat="1" ht="16.5" thickTop="1" thickBot="1">
      <c r="B90" s="222"/>
      <c r="C90" s="2542"/>
      <c r="D90" s="2542"/>
      <c r="E90" s="2338"/>
      <c r="F90" s="2214"/>
      <c r="G90" s="174" t="s">
        <v>4435</v>
      </c>
      <c r="H90" s="229"/>
      <c r="I90" s="222"/>
      <c r="K90" s="783"/>
      <c r="L90" s="2366"/>
      <c r="M90" s="783"/>
      <c r="N90" s="1685"/>
      <c r="O90" s="1685"/>
      <c r="P90" s="1672"/>
      <c r="Q90" s="1685"/>
      <c r="R90" s="351"/>
      <c r="S90" s="222"/>
      <c r="T90" s="2023"/>
      <c r="U90" s="2023"/>
      <c r="V90" s="2338"/>
    </row>
    <row r="91" spans="2:22" s="197" customFormat="1" ht="16.5" thickTop="1" thickBot="1">
      <c r="B91" s="1665" t="s">
        <v>13473</v>
      </c>
      <c r="C91" s="178"/>
      <c r="D91" s="178"/>
      <c r="E91" s="178"/>
      <c r="G91" s="197" t="s">
        <v>4435</v>
      </c>
      <c r="H91" s="229"/>
      <c r="K91" s="783"/>
      <c r="L91" s="2560"/>
      <c r="M91" s="783"/>
      <c r="N91" s="114"/>
      <c r="O91" s="114"/>
      <c r="P91" s="222"/>
      <c r="Q91" s="222"/>
      <c r="R91" s="351"/>
      <c r="S91" s="355" t="s">
        <v>13473</v>
      </c>
    </row>
    <row r="92" spans="2:22" s="197" customFormat="1" ht="16.5" thickTop="1" thickBot="1">
      <c r="B92" s="413" t="s">
        <v>13474</v>
      </c>
      <c r="C92" s="1995">
        <v>15089</v>
      </c>
      <c r="D92" s="1995">
        <v>28440</v>
      </c>
      <c r="E92" s="2425">
        <v>61331</v>
      </c>
      <c r="F92" s="106"/>
      <c r="G92" s="935" t="s">
        <v>13475</v>
      </c>
      <c r="H92" s="229"/>
      <c r="K92" s="783"/>
      <c r="L92" s="2560"/>
      <c r="M92" s="783"/>
      <c r="N92" s="114"/>
      <c r="O92" s="114"/>
      <c r="P92" s="222"/>
      <c r="Q92" s="222"/>
      <c r="R92" s="351"/>
      <c r="S92" s="2612" t="s">
        <v>13474</v>
      </c>
      <c r="T92" s="1995" t="s">
        <v>1662</v>
      </c>
      <c r="U92" s="1995" t="s">
        <v>1663</v>
      </c>
      <c r="V92" s="2425" t="s">
        <v>1664</v>
      </c>
    </row>
    <row r="93" spans="2:22" ht="16.5" thickTop="1" thickBot="1">
      <c r="B93" s="425" t="s">
        <v>13476</v>
      </c>
      <c r="C93" s="1997">
        <v>31436</v>
      </c>
      <c r="D93" s="1997">
        <v>51430</v>
      </c>
      <c r="E93" s="2424">
        <v>100668</v>
      </c>
      <c r="F93" s="106"/>
      <c r="G93" s="938" t="s">
        <v>13477</v>
      </c>
      <c r="H93" s="229"/>
      <c r="I93" s="1690"/>
      <c r="J93" s="229"/>
      <c r="K93" s="783"/>
      <c r="L93" s="2560"/>
      <c r="M93" s="783"/>
      <c r="N93" s="2560"/>
      <c r="O93" s="2560"/>
      <c r="P93" s="2560"/>
      <c r="Q93" s="2560"/>
      <c r="R93" s="351"/>
      <c r="S93" s="2612" t="s">
        <v>13476</v>
      </c>
      <c r="T93" s="1997" t="s">
        <v>1665</v>
      </c>
      <c r="U93" s="1997" t="s">
        <v>1666</v>
      </c>
      <c r="V93" s="2433" t="s">
        <v>1667</v>
      </c>
    </row>
    <row r="94" spans="2:22" ht="16.5" thickTop="1" thickBot="1">
      <c r="B94" s="2562"/>
      <c r="C94" s="2570"/>
      <c r="D94" s="2570"/>
      <c r="E94" s="2570"/>
      <c r="F94" s="2562"/>
      <c r="G94" s="2562" t="s">
        <v>4435</v>
      </c>
      <c r="H94" s="229"/>
      <c r="I94" s="229"/>
      <c r="J94" s="229"/>
      <c r="K94" s="783"/>
      <c r="L94" s="2560"/>
      <c r="M94" s="783"/>
      <c r="N94" s="2564"/>
      <c r="O94" s="2564"/>
      <c r="P94" s="2564"/>
      <c r="Q94" s="2564"/>
      <c r="R94" s="351"/>
      <c r="S94" s="2562"/>
      <c r="T94" s="2562"/>
      <c r="U94" s="2562"/>
      <c r="V94" s="2562"/>
    </row>
    <row r="95" spans="2:22" s="197" customFormat="1" ht="16.5" thickTop="1" thickBot="1">
      <c r="B95" s="1665" t="s">
        <v>13478</v>
      </c>
      <c r="C95" s="178"/>
      <c r="D95" s="178"/>
      <c r="E95" s="178"/>
      <c r="G95" s="197" t="s">
        <v>4435</v>
      </c>
      <c r="H95" s="229"/>
      <c r="K95" s="783"/>
      <c r="L95" s="2366"/>
      <c r="M95" s="783"/>
      <c r="N95" s="1672"/>
      <c r="O95" s="1672"/>
      <c r="P95" s="1685"/>
      <c r="Q95" s="1685"/>
      <c r="R95" s="351"/>
      <c r="S95" s="355" t="s">
        <v>13478</v>
      </c>
    </row>
    <row r="96" spans="2:22" ht="16.5" thickTop="1" thickBot="1">
      <c r="B96" s="2612" t="s">
        <v>13478</v>
      </c>
      <c r="C96" s="2359">
        <v>56770</v>
      </c>
      <c r="D96" s="2359">
        <v>57423</v>
      </c>
      <c r="E96" s="2416">
        <v>114193</v>
      </c>
      <c r="F96" s="106"/>
      <c r="G96" s="943" t="s">
        <v>13479</v>
      </c>
      <c r="H96" s="229"/>
      <c r="I96" s="1690"/>
      <c r="J96" s="229"/>
      <c r="K96" s="783"/>
      <c r="L96" s="2560"/>
      <c r="M96" s="783"/>
      <c r="N96" s="2564"/>
      <c r="O96" s="2564"/>
      <c r="P96" s="2564"/>
      <c r="Q96" s="2564"/>
      <c r="R96" s="351"/>
      <c r="S96" s="2612" t="s">
        <v>13480</v>
      </c>
      <c r="T96" s="2359" t="s">
        <v>1668</v>
      </c>
      <c r="U96" s="2359" t="s">
        <v>1669</v>
      </c>
      <c r="V96" s="2416" t="s">
        <v>1670</v>
      </c>
    </row>
    <row r="97" spans="8:18" ht="16" thickTop="1">
      <c r="H97" s="229"/>
      <c r="I97" s="229"/>
      <c r="J97" s="229"/>
      <c r="K97" s="2560"/>
      <c r="L97" s="2560"/>
      <c r="M97" s="2560"/>
      <c r="N97" s="2560"/>
      <c r="O97" s="2560"/>
      <c r="P97" s="2560"/>
      <c r="Q97" s="2560"/>
      <c r="R97" s="351"/>
    </row>
    <row r="98" spans="8:18">
      <c r="H98" s="229"/>
      <c r="I98" s="229"/>
      <c r="J98" s="229"/>
      <c r="K98" s="2560"/>
      <c r="L98" s="2560"/>
      <c r="M98" s="2560"/>
      <c r="N98" s="2560"/>
      <c r="O98" s="2560"/>
      <c r="P98" s="2560"/>
      <c r="Q98" s="2560"/>
      <c r="R98" s="2562"/>
    </row>
    <row r="99" spans="8:18">
      <c r="H99" s="229"/>
      <c r="I99" s="229"/>
      <c r="J99" s="229"/>
      <c r="K99" s="2560"/>
      <c r="L99" s="2560"/>
      <c r="M99" s="2560"/>
      <c r="N99" s="2560"/>
      <c r="O99" s="2560"/>
      <c r="P99" s="2560"/>
      <c r="Q99" s="2560"/>
      <c r="R99" s="2562"/>
    </row>
    <row r="100" spans="8:18">
      <c r="H100" s="229"/>
      <c r="I100" s="229"/>
      <c r="J100" s="229"/>
      <c r="K100" s="2560"/>
      <c r="L100" s="2560"/>
      <c r="M100" s="2560"/>
      <c r="N100" s="2560"/>
      <c r="O100" s="2560"/>
      <c r="P100" s="2560"/>
      <c r="Q100" s="2560"/>
      <c r="R100" s="2562"/>
    </row>
    <row r="101" spans="8:18">
      <c r="H101" s="229"/>
      <c r="I101" s="229"/>
      <c r="J101" s="229"/>
      <c r="K101" s="2560"/>
      <c r="L101" s="2560"/>
      <c r="M101" s="2560"/>
      <c r="N101" s="2560"/>
      <c r="O101" s="2560"/>
      <c r="P101" s="2560"/>
      <c r="Q101" s="2560"/>
      <c r="R101" s="2562"/>
    </row>
  </sheetData>
  <sheetProtection formatColumns="0" formatRows="0"/>
  <mergeCells count="13">
    <mergeCell ref="T86:V86"/>
    <mergeCell ref="C86:E86"/>
    <mergeCell ref="B86:B87"/>
    <mergeCell ref="S86:S87"/>
    <mergeCell ref="T5:V5"/>
    <mergeCell ref="S3:V3"/>
    <mergeCell ref="B3:G3"/>
    <mergeCell ref="H3:I3"/>
    <mergeCell ref="C5:E5"/>
    <mergeCell ref="B5:B6"/>
    <mergeCell ref="G5:G8"/>
    <mergeCell ref="I5:I8"/>
    <mergeCell ref="S5:S6"/>
  </mergeCells>
  <conditionalFormatting sqref="L11:L17 L39:L48 L60:L61 L63 L84:L90">
    <cfRule type="cellIs" dxfId="7" priority="14" operator="equal">
      <formula>0</formula>
    </cfRule>
  </conditionalFormatting>
  <conditionalFormatting sqref="L19:L22">
    <cfRule type="cellIs" dxfId="6" priority="12" operator="equal">
      <formula>0</formula>
    </cfRule>
  </conditionalFormatting>
  <conditionalFormatting sqref="L25:L36">
    <cfRule type="cellIs" dxfId="5" priority="6" operator="equal">
      <formula>0</formula>
    </cfRule>
  </conditionalFormatting>
  <conditionalFormatting sqref="L50:L53">
    <cfRule type="cellIs" dxfId="4" priority="5" operator="equal">
      <formula>0</formula>
    </cfRule>
  </conditionalFormatting>
  <conditionalFormatting sqref="L56:L57">
    <cfRule type="cellIs" dxfId="3" priority="9" operator="equal">
      <formula>0</formula>
    </cfRule>
  </conditionalFormatting>
  <conditionalFormatting sqref="L68:L69">
    <cfRule type="cellIs" dxfId="2" priority="8" operator="equal">
      <formula>0</formula>
    </cfRule>
  </conditionalFormatting>
  <conditionalFormatting sqref="L76:L77">
    <cfRule type="cellIs" dxfId="1" priority="7"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C69:D69"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Normal="100" zoomScaleSheetLayoutView="100" workbookViewId="0">
      <pane ySplit="6" topLeftCell="A7" activePane="bottomLeft" state="frozen"/>
      <selection pane="bottomLeft" activeCell="I14" sqref="I14"/>
    </sheetView>
  </sheetViews>
  <sheetFormatPr defaultColWidth="8.58203125" defaultRowHeight="14"/>
  <cols>
    <col min="1" max="1" width="1.58203125" style="220" customWidth="1"/>
    <col min="2" max="2" width="47.58203125" style="220" bestFit="1" customWidth="1"/>
    <col min="3" max="3" width="7" style="220" customWidth="1"/>
    <col min="4" max="4" width="5.08203125" style="220" customWidth="1"/>
    <col min="5" max="9" width="12.5" style="220" customWidth="1"/>
    <col min="10" max="10" width="1.58203125" style="220" customWidth="1"/>
    <col min="11" max="11" width="12.5" style="220" customWidth="1"/>
    <col min="12" max="12" width="1.58203125" style="220" customWidth="1"/>
    <col min="13" max="13" width="33.58203125" style="220" customWidth="1"/>
    <col min="14" max="15" width="1.58203125" style="220" customWidth="1"/>
    <col min="16" max="16" width="25.08203125" style="220" customWidth="1"/>
    <col min="17" max="17" width="1.58203125" style="230" customWidth="1"/>
    <col min="18" max="22" width="8.08203125" style="230" hidden="1" customWidth="1"/>
    <col min="23" max="23" width="1.58203125" style="230" hidden="1" customWidth="1"/>
    <col min="24" max="24" width="1.58203125" style="220" customWidth="1"/>
    <col min="25" max="25" width="49.58203125" style="220" customWidth="1"/>
    <col min="26" max="30" width="12.5" style="220" customWidth="1"/>
    <col min="31" max="31" width="1.58203125" style="220" customWidth="1"/>
    <col min="32" max="16384" width="8.58203125" style="220"/>
  </cols>
  <sheetData>
    <row r="1" spans="1:30" s="351" customFormat="1" ht="22.5">
      <c r="B1" s="2673" t="s">
        <v>2467</v>
      </c>
      <c r="C1" s="2673"/>
      <c r="D1" s="2673"/>
      <c r="E1" s="2673"/>
      <c r="F1" s="2673"/>
      <c r="G1" s="2673"/>
      <c r="H1" s="2673"/>
      <c r="I1" s="2673"/>
      <c r="J1" s="304"/>
      <c r="K1" s="227"/>
      <c r="O1" s="305"/>
      <c r="P1" s="2573"/>
      <c r="Q1" s="2577"/>
      <c r="R1" s="2572"/>
      <c r="S1" s="2572"/>
      <c r="T1" s="2572"/>
      <c r="U1" s="2572"/>
      <c r="V1" s="2572"/>
      <c r="W1" s="2577"/>
      <c r="Y1" s="2673" t="s">
        <v>1887</v>
      </c>
      <c r="Z1" s="2673"/>
      <c r="AA1" s="2673"/>
      <c r="AB1" s="2673"/>
      <c r="AC1" s="2673"/>
      <c r="AD1" s="2673"/>
    </row>
    <row r="2" spans="1:30" s="351" customFormat="1" ht="22.5">
      <c r="B2" s="2673" t="str">
        <f>SelectCompany!B4</f>
        <v>Yorkshire Water</v>
      </c>
      <c r="C2" s="2673"/>
      <c r="D2" s="2673"/>
      <c r="E2" s="2673"/>
      <c r="F2" s="2673"/>
      <c r="G2" s="2673"/>
      <c r="H2" s="2673"/>
      <c r="I2" s="2673"/>
      <c r="J2" s="304"/>
      <c r="K2" s="227"/>
      <c r="O2" s="305"/>
      <c r="P2" s="2573"/>
      <c r="Q2" s="2577"/>
      <c r="R2" s="2572"/>
      <c r="S2" s="2572"/>
      <c r="T2" s="2572"/>
      <c r="U2" s="2572"/>
      <c r="V2" s="2572"/>
      <c r="W2" s="2577"/>
      <c r="Y2" s="2673"/>
      <c r="Z2" s="2673"/>
      <c r="AA2" s="2673"/>
      <c r="AB2" s="2673"/>
      <c r="AC2" s="2673"/>
      <c r="AD2" s="352"/>
    </row>
    <row r="3" spans="1:30" ht="19">
      <c r="A3" s="2562"/>
      <c r="B3" s="2674" t="s">
        <v>2468</v>
      </c>
      <c r="C3" s="2675"/>
      <c r="D3" s="2675"/>
      <c r="E3" s="2675"/>
      <c r="F3" s="2675"/>
      <c r="G3" s="2675"/>
      <c r="H3" s="2675"/>
      <c r="I3" s="2675"/>
      <c r="J3" s="2675"/>
      <c r="K3" s="2675"/>
      <c r="L3" s="2675"/>
      <c r="M3" s="2675"/>
      <c r="N3" s="2562"/>
      <c r="O3" s="307"/>
      <c r="P3" s="232" t="s">
        <v>1889</v>
      </c>
      <c r="Q3" s="2577"/>
      <c r="R3" s="2572"/>
      <c r="S3" s="2572"/>
      <c r="T3" s="2572"/>
      <c r="U3" s="2572"/>
      <c r="V3" s="2572"/>
      <c r="W3" s="2577"/>
      <c r="X3" s="2562"/>
      <c r="Y3" s="2676" t="s">
        <v>2468</v>
      </c>
      <c r="Z3" s="2677"/>
      <c r="AA3" s="2677"/>
      <c r="AB3" s="2677"/>
      <c r="AC3" s="2677"/>
      <c r="AD3" s="2677"/>
    </row>
    <row r="4" spans="1:30" ht="16" thickBot="1">
      <c r="A4" s="2562"/>
      <c r="B4" s="233"/>
      <c r="C4" s="233"/>
      <c r="D4" s="233"/>
      <c r="E4" s="2562"/>
      <c r="F4" s="2562"/>
      <c r="G4" s="2562"/>
      <c r="H4" s="2562"/>
      <c r="I4" s="2562"/>
      <c r="J4" s="2562"/>
      <c r="K4" s="2562"/>
      <c r="L4" s="2562"/>
      <c r="M4" s="2562"/>
      <c r="N4" s="2562"/>
      <c r="O4" s="2576"/>
      <c r="P4" s="2573"/>
      <c r="Q4" s="2577"/>
      <c r="R4" s="2662" t="s">
        <v>1890</v>
      </c>
      <c r="S4" s="2662"/>
      <c r="T4" s="2662"/>
      <c r="U4" s="2662"/>
      <c r="V4" s="2662"/>
      <c r="W4" s="2577"/>
      <c r="X4" s="2562"/>
      <c r="Y4" s="233"/>
      <c r="Z4" s="2562"/>
      <c r="AA4" s="2562"/>
      <c r="AB4" s="2562"/>
      <c r="AC4" s="2562"/>
      <c r="AD4" s="2562"/>
    </row>
    <row r="5" spans="1:30" ht="16" thickTop="1">
      <c r="A5" s="197"/>
      <c r="B5" s="2686" t="s">
        <v>1891</v>
      </c>
      <c r="C5" s="2664" t="s">
        <v>1892</v>
      </c>
      <c r="D5" s="2664" t="s">
        <v>136</v>
      </c>
      <c r="E5" s="2667" t="s">
        <v>2469</v>
      </c>
      <c r="F5" s="2667" t="s">
        <v>2470</v>
      </c>
      <c r="G5" s="2667" t="s">
        <v>2471</v>
      </c>
      <c r="H5" s="2667"/>
      <c r="I5" s="2669" t="s">
        <v>2112</v>
      </c>
      <c r="J5" s="197"/>
      <c r="K5" s="2671" t="s">
        <v>1896</v>
      </c>
      <c r="L5" s="197"/>
      <c r="M5" s="2671" t="s">
        <v>1897</v>
      </c>
      <c r="N5" s="197"/>
      <c r="O5" s="2576"/>
      <c r="P5" s="2573"/>
      <c r="Q5" s="2577"/>
      <c r="R5" s="236" t="s">
        <v>1898</v>
      </c>
      <c r="S5" s="237"/>
      <c r="T5" s="237"/>
      <c r="U5" s="237"/>
      <c r="V5" s="237"/>
      <c r="W5" s="2577"/>
      <c r="X5" s="2562"/>
      <c r="Y5" s="2686" t="s">
        <v>1891</v>
      </c>
      <c r="Z5" s="2667" t="s">
        <v>2469</v>
      </c>
      <c r="AA5" s="2667" t="s">
        <v>2470</v>
      </c>
      <c r="AB5" s="2667" t="s">
        <v>2471</v>
      </c>
      <c r="AC5" s="2667"/>
      <c r="AD5" s="2669" t="s">
        <v>2112</v>
      </c>
    </row>
    <row r="6" spans="1:30" ht="35.9" customHeight="1" thickBot="1">
      <c r="A6" s="197"/>
      <c r="B6" s="2687"/>
      <c r="C6" s="2666"/>
      <c r="D6" s="2666"/>
      <c r="E6" s="2668"/>
      <c r="F6" s="2668"/>
      <c r="G6" s="353" t="s">
        <v>2472</v>
      </c>
      <c r="H6" s="353" t="s">
        <v>2473</v>
      </c>
      <c r="I6" s="2670"/>
      <c r="J6" s="197"/>
      <c r="K6" s="2672"/>
      <c r="L6" s="197"/>
      <c r="M6" s="2672"/>
      <c r="N6" s="197"/>
      <c r="O6" s="2576"/>
      <c r="P6" s="2573"/>
      <c r="Q6" s="2577"/>
      <c r="R6" s="2562"/>
      <c r="S6" s="2562"/>
      <c r="T6" s="2562"/>
      <c r="U6" s="2562"/>
      <c r="V6" s="2562"/>
      <c r="W6" s="2577"/>
      <c r="X6" s="2562"/>
      <c r="Y6" s="2687"/>
      <c r="Z6" s="2668"/>
      <c r="AA6" s="2668"/>
      <c r="AB6" s="353" t="s">
        <v>2472</v>
      </c>
      <c r="AC6" s="353" t="s">
        <v>2473</v>
      </c>
      <c r="AD6" s="2670"/>
    </row>
    <row r="7" spans="1:30" ht="16.5" thickTop="1" thickBot="1">
      <c r="A7" s="197"/>
      <c r="B7" s="233"/>
      <c r="C7" s="233"/>
      <c r="D7" s="233"/>
      <c r="E7" s="83"/>
      <c r="F7" s="83"/>
      <c r="G7" s="313"/>
      <c r="H7" s="313"/>
      <c r="I7" s="83"/>
      <c r="J7" s="197"/>
      <c r="K7" s="197"/>
      <c r="L7" s="197"/>
      <c r="M7" s="197"/>
      <c r="N7" s="197"/>
      <c r="O7" s="2576"/>
      <c r="P7" s="2573"/>
      <c r="Q7" s="2577"/>
      <c r="R7" s="2573"/>
      <c r="S7" s="2573"/>
      <c r="T7" s="2573"/>
      <c r="U7" s="2573"/>
      <c r="V7" s="2573"/>
      <c r="W7" s="2577"/>
      <c r="X7" s="2562"/>
      <c r="Y7" s="233"/>
      <c r="Z7" s="83"/>
      <c r="AA7" s="83"/>
      <c r="AB7" s="313"/>
      <c r="AC7" s="313"/>
      <c r="AD7" s="83"/>
    </row>
    <row r="8" spans="1:30" ht="16.5" thickTop="1" thickBot="1">
      <c r="A8" s="197"/>
      <c r="B8" s="355" t="s">
        <v>2474</v>
      </c>
      <c r="C8" s="356"/>
      <c r="D8" s="356"/>
      <c r="E8" s="311"/>
      <c r="F8" s="357"/>
      <c r="G8" s="357"/>
      <c r="H8" s="357"/>
      <c r="I8" s="83"/>
      <c r="J8" s="197"/>
      <c r="K8" s="197"/>
      <c r="L8" s="197"/>
      <c r="M8" s="197"/>
      <c r="N8" s="197"/>
      <c r="O8" s="2576"/>
      <c r="P8" s="2573"/>
      <c r="Q8" s="2577"/>
      <c r="R8" s="2562"/>
      <c r="S8" s="2562"/>
      <c r="T8" s="2562"/>
      <c r="U8" s="2562"/>
      <c r="V8" s="2562"/>
      <c r="W8" s="2577"/>
      <c r="X8" s="2562"/>
      <c r="Y8" s="355" t="s">
        <v>2474</v>
      </c>
      <c r="Z8" s="311"/>
      <c r="AA8" s="357"/>
      <c r="AB8" s="357"/>
      <c r="AC8" s="357"/>
      <c r="AD8" s="83"/>
    </row>
    <row r="9" spans="1:30" ht="16" thickTop="1">
      <c r="A9" s="197"/>
      <c r="B9" s="358" t="s">
        <v>2475</v>
      </c>
      <c r="C9" s="244" t="s">
        <v>137</v>
      </c>
      <c r="D9" s="244">
        <v>3</v>
      </c>
      <c r="E9" s="245">
        <v>2957.5349999999999</v>
      </c>
      <c r="F9" s="245">
        <v>-249.85599999999997</v>
      </c>
      <c r="G9" s="245">
        <v>3446.91</v>
      </c>
      <c r="H9" s="245">
        <v>256.964</v>
      </c>
      <c r="I9" s="1808">
        <f>IFERROR(SUM(E9:H9 ),0)</f>
        <v>6411.5529999999999</v>
      </c>
      <c r="J9" s="197"/>
      <c r="K9" s="248" t="s">
        <v>2476</v>
      </c>
      <c r="L9" s="197"/>
      <c r="M9" s="250"/>
      <c r="N9" s="197"/>
      <c r="O9" s="2578"/>
      <c r="P9" s="251">
        <f>IF( SUM( R9:V9 ) = 0, 0, $R$5 )</f>
        <v>0</v>
      </c>
      <c r="Q9" s="2577"/>
      <c r="R9" s="252">
        <f xml:space="preserve"> IF( ISNUMBER( E9 ), 0, 1 )</f>
        <v>0</v>
      </c>
      <c r="S9" s="252">
        <f xml:space="preserve"> IF( ISNUMBER( F9 ), 0, 1 )</f>
        <v>0</v>
      </c>
      <c r="T9" s="252">
        <f xml:space="preserve"> IF( ISNUMBER( G9 ), 0, 1 )</f>
        <v>0</v>
      </c>
      <c r="U9" s="252">
        <f xml:space="preserve"> IF( ISNUMBER( H9 ), 0, 1 )</f>
        <v>0</v>
      </c>
      <c r="V9" s="237"/>
      <c r="W9" s="2577"/>
      <c r="X9" s="2562"/>
      <c r="Y9" s="358" t="s">
        <v>2475</v>
      </c>
      <c r="Z9" s="245" t="s">
        <v>2477</v>
      </c>
      <c r="AA9" s="245" t="s">
        <v>2478</v>
      </c>
      <c r="AB9" s="245" t="s">
        <v>2479</v>
      </c>
      <c r="AC9" s="245" t="s">
        <v>2480</v>
      </c>
      <c r="AD9" s="247" t="s">
        <v>2481</v>
      </c>
    </row>
    <row r="10" spans="1:30" ht="15.5">
      <c r="A10" s="197"/>
      <c r="B10" s="359" t="s">
        <v>2258</v>
      </c>
      <c r="C10" s="290" t="s">
        <v>137</v>
      </c>
      <c r="D10" s="290">
        <v>3</v>
      </c>
      <c r="E10" s="2369">
        <f>-IFERROR('1C'!J43,0)</f>
        <v>0</v>
      </c>
      <c r="F10" s="1824"/>
      <c r="G10" s="1824"/>
      <c r="H10" s="1824"/>
      <c r="I10" s="256">
        <f>+E10</f>
        <v>0</v>
      </c>
      <c r="J10" s="197"/>
      <c r="K10" s="257" t="s">
        <v>2482</v>
      </c>
      <c r="L10" s="197"/>
      <c r="M10" s="258"/>
      <c r="N10" s="197"/>
      <c r="O10" s="2578"/>
      <c r="P10" s="2573"/>
      <c r="Q10" s="2577"/>
      <c r="R10" s="2573"/>
      <c r="S10" s="2573"/>
      <c r="T10" s="2573"/>
      <c r="U10" s="2573"/>
      <c r="V10" s="2573"/>
      <c r="W10" s="2577"/>
      <c r="X10" s="2562"/>
      <c r="Y10" s="359" t="s">
        <v>2258</v>
      </c>
      <c r="Z10" s="360"/>
      <c r="AA10" s="361"/>
      <c r="AB10" s="361"/>
      <c r="AC10" s="361"/>
      <c r="AD10" s="362" t="s">
        <v>2483</v>
      </c>
    </row>
    <row r="11" spans="1:30" ht="15.5">
      <c r="A11" s="197"/>
      <c r="B11" s="363" t="s">
        <v>1697</v>
      </c>
      <c r="C11" s="259" t="s">
        <v>137</v>
      </c>
      <c r="D11" s="259">
        <v>3</v>
      </c>
      <c r="E11" s="2221">
        <f>SUM(E9:E10)</f>
        <v>2957.5349999999999</v>
      </c>
      <c r="F11" s="2221">
        <f>SUM(F9:F10)</f>
        <v>-249.85599999999997</v>
      </c>
      <c r="G11" s="2221">
        <f>SUM(G9:G10)</f>
        <v>3446.91</v>
      </c>
      <c r="H11" s="2221">
        <f>SUM(H9:H10)</f>
        <v>256.964</v>
      </c>
      <c r="I11" s="1812">
        <f>SUM(E11:H11)</f>
        <v>6411.5529999999999</v>
      </c>
      <c r="J11" s="197"/>
      <c r="K11" s="257" t="s">
        <v>2484</v>
      </c>
      <c r="L11" s="197"/>
      <c r="M11" s="258"/>
      <c r="N11" s="197"/>
      <c r="O11" s="2578"/>
      <c r="P11" s="2573"/>
      <c r="Q11" s="2577"/>
      <c r="R11" s="2573"/>
      <c r="S11" s="2573"/>
      <c r="T11" s="2573"/>
      <c r="U11" s="2573"/>
      <c r="V11" s="2573"/>
      <c r="W11" s="2577"/>
      <c r="X11" s="2562"/>
      <c r="Y11" s="363" t="s">
        <v>1697</v>
      </c>
      <c r="Z11" s="364"/>
      <c r="AA11" s="361"/>
      <c r="AB11" s="361"/>
      <c r="AC11" s="361"/>
      <c r="AD11" s="256" t="s">
        <v>2485</v>
      </c>
    </row>
    <row r="12" spans="1:30" ht="15.5">
      <c r="A12" s="197"/>
      <c r="B12" s="365" t="s">
        <v>1698</v>
      </c>
      <c r="C12" s="253" t="s">
        <v>137</v>
      </c>
      <c r="D12" s="253">
        <v>3</v>
      </c>
      <c r="E12" s="1825"/>
      <c r="F12" s="1824"/>
      <c r="G12" s="1824"/>
      <c r="H12" s="1824"/>
      <c r="I12" s="367">
        <v>-253.87</v>
      </c>
      <c r="J12" s="197"/>
      <c r="K12" s="257" t="s">
        <v>2486</v>
      </c>
      <c r="L12" s="197"/>
      <c r="M12" s="258"/>
      <c r="N12" s="197"/>
      <c r="O12" s="2578"/>
      <c r="P12" s="251">
        <f t="shared" ref="P12:P13" si="0">IF( SUM( R12:V12 ) = 0, 0, $R$5 )</f>
        <v>0</v>
      </c>
      <c r="Q12" s="2577"/>
      <c r="R12" s="2573"/>
      <c r="S12" s="2573"/>
      <c r="T12" s="2573"/>
      <c r="U12" s="2573"/>
      <c r="V12" s="252">
        <f xml:space="preserve"> IF( ISNUMBER( I12 ), 0, 1 )</f>
        <v>0</v>
      </c>
      <c r="W12" s="2577"/>
      <c r="X12" s="2562"/>
      <c r="Y12" s="365" t="s">
        <v>1698</v>
      </c>
      <c r="Z12" s="366"/>
      <c r="AA12" s="361"/>
      <c r="AB12" s="361"/>
      <c r="AC12" s="361"/>
      <c r="AD12" s="367" t="s">
        <v>2487</v>
      </c>
    </row>
    <row r="13" spans="1:30" ht="15.5">
      <c r="A13" s="197"/>
      <c r="B13" s="365" t="s">
        <v>1699</v>
      </c>
      <c r="C13" s="253" t="s">
        <v>137</v>
      </c>
      <c r="D13" s="253">
        <v>3</v>
      </c>
      <c r="E13" s="1825"/>
      <c r="F13" s="1824"/>
      <c r="G13" s="1824"/>
      <c r="H13" s="1824"/>
      <c r="I13" s="367">
        <v>-40</v>
      </c>
      <c r="J13" s="197"/>
      <c r="K13" s="257" t="s">
        <v>2488</v>
      </c>
      <c r="L13" s="197"/>
      <c r="M13" s="258"/>
      <c r="N13" s="197"/>
      <c r="O13" s="2578"/>
      <c r="P13" s="251">
        <f t="shared" si="0"/>
        <v>0</v>
      </c>
      <c r="Q13" s="2577"/>
      <c r="R13" s="2573"/>
      <c r="S13" s="2573"/>
      <c r="T13" s="2573"/>
      <c r="U13" s="2573"/>
      <c r="V13" s="252">
        <f xml:space="preserve"> IF( ISNUMBER( I13 ), 0, 1 )</f>
        <v>0</v>
      </c>
      <c r="W13" s="2577"/>
      <c r="X13" s="2562"/>
      <c r="Y13" s="365" t="s">
        <v>1699</v>
      </c>
      <c r="Z13" s="366"/>
      <c r="AA13" s="361"/>
      <c r="AB13" s="361"/>
      <c r="AC13" s="361"/>
      <c r="AD13" s="367" t="s">
        <v>2489</v>
      </c>
    </row>
    <row r="14" spans="1:30" ht="16" thickBot="1">
      <c r="A14" s="197"/>
      <c r="B14" s="368" t="s">
        <v>2490</v>
      </c>
      <c r="C14" s="319" t="s">
        <v>137</v>
      </c>
      <c r="D14" s="319">
        <v>3</v>
      </c>
      <c r="E14" s="1826"/>
      <c r="F14" s="1827"/>
      <c r="G14" s="1827"/>
      <c r="H14" s="1827"/>
      <c r="I14" s="1814">
        <f>IFERROR(SUM( I11:I13 ),0)</f>
        <v>6117.683</v>
      </c>
      <c r="J14" s="197"/>
      <c r="K14" s="320" t="s">
        <v>2491</v>
      </c>
      <c r="L14" s="197"/>
      <c r="M14" s="269"/>
      <c r="N14" s="197"/>
      <c r="O14" s="2578"/>
      <c r="P14" s="2573"/>
      <c r="Q14" s="2577"/>
      <c r="R14" s="2573"/>
      <c r="S14" s="2573"/>
      <c r="T14" s="2573"/>
      <c r="U14" s="2573"/>
      <c r="V14" s="2573"/>
      <c r="W14" s="2577"/>
      <c r="X14" s="2562"/>
      <c r="Y14" s="368" t="s">
        <v>2490</v>
      </c>
      <c r="Z14" s="369"/>
      <c r="AA14" s="370"/>
      <c r="AB14" s="370"/>
      <c r="AC14" s="370"/>
      <c r="AD14" s="266" t="s">
        <v>2492</v>
      </c>
    </row>
    <row r="15" spans="1:30" ht="16.5" thickTop="1" thickBot="1">
      <c r="A15" s="197"/>
      <c r="B15" s="322"/>
      <c r="C15" s="322"/>
      <c r="D15" s="322"/>
      <c r="E15" s="1828"/>
      <c r="F15" s="1829"/>
      <c r="G15" s="1829"/>
      <c r="H15" s="1829"/>
      <c r="I15" s="1829"/>
      <c r="J15" s="197"/>
      <c r="K15" s="249"/>
      <c r="L15" s="197"/>
      <c r="M15" s="197"/>
      <c r="N15" s="197"/>
      <c r="O15" s="2578"/>
      <c r="P15" s="2573"/>
      <c r="Q15" s="2577"/>
      <c r="R15" s="2573"/>
      <c r="S15" s="2573"/>
      <c r="T15" s="2573"/>
      <c r="U15" s="2573"/>
      <c r="V15" s="2573"/>
      <c r="W15" s="2577"/>
      <c r="X15" s="2562"/>
      <c r="Y15" s="322"/>
      <c r="Z15" s="322"/>
      <c r="AA15" s="83"/>
      <c r="AB15" s="83"/>
      <c r="AC15" s="83"/>
      <c r="AD15" s="83"/>
    </row>
    <row r="16" spans="1:30" ht="16.5" thickTop="1" thickBot="1">
      <c r="A16" s="197"/>
      <c r="B16" s="355" t="s">
        <v>2493</v>
      </c>
      <c r="C16" s="356"/>
      <c r="D16" s="356"/>
      <c r="E16" s="1830"/>
      <c r="F16" s="1831"/>
      <c r="G16" s="1831"/>
      <c r="H16" s="1831"/>
      <c r="I16" s="1829"/>
      <c r="J16" s="197"/>
      <c r="K16" s="197"/>
      <c r="L16" s="197"/>
      <c r="M16" s="197"/>
      <c r="N16" s="197"/>
      <c r="O16" s="2578"/>
      <c r="P16" s="2573"/>
      <c r="Q16" s="2577"/>
      <c r="R16" s="2573"/>
      <c r="S16" s="2573"/>
      <c r="T16" s="2573"/>
      <c r="U16" s="2573"/>
      <c r="V16" s="2573"/>
      <c r="W16" s="2577"/>
      <c r="X16" s="2562"/>
      <c r="Y16" s="355" t="s">
        <v>2493</v>
      </c>
      <c r="Z16" s="311"/>
      <c r="AA16" s="357"/>
      <c r="AB16" s="357"/>
      <c r="AC16" s="357"/>
      <c r="AD16" s="83"/>
    </row>
    <row r="17" spans="1:30" ht="16" thickTop="1">
      <c r="A17" s="197"/>
      <c r="B17" s="358" t="s">
        <v>2493</v>
      </c>
      <c r="C17" s="244" t="s">
        <v>1344</v>
      </c>
      <c r="D17" s="244">
        <v>3</v>
      </c>
      <c r="E17" s="1832"/>
      <c r="F17" s="1832"/>
      <c r="G17" s="1832"/>
      <c r="H17" s="1832"/>
      <c r="I17" s="1838">
        <f>IFERROR(I14/(SUM('4C'!J46:N46)),0)</f>
        <v>0.70200645631544789</v>
      </c>
      <c r="J17" s="197"/>
      <c r="K17" s="248" t="s">
        <v>2494</v>
      </c>
      <c r="L17" s="197"/>
      <c r="M17" s="250"/>
      <c r="N17" s="197"/>
      <c r="O17" s="2578"/>
      <c r="P17" s="2573"/>
      <c r="Q17" s="2577"/>
      <c r="R17" s="2573"/>
      <c r="S17" s="2573"/>
      <c r="T17" s="2573"/>
      <c r="U17" s="2573"/>
      <c r="V17" s="2573"/>
      <c r="W17" s="2577"/>
      <c r="X17" s="2562"/>
      <c r="Y17" s="358" t="s">
        <v>2493</v>
      </c>
      <c r="Z17" s="371"/>
      <c r="AA17" s="371"/>
      <c r="AB17" s="371"/>
      <c r="AC17" s="371"/>
      <c r="AD17" s="372" t="s">
        <v>2495</v>
      </c>
    </row>
    <row r="18" spans="1:30" ht="16" thickBot="1">
      <c r="A18" s="197"/>
      <c r="B18" s="373" t="s">
        <v>2496</v>
      </c>
      <c r="C18" s="297" t="s">
        <v>1344</v>
      </c>
      <c r="D18" s="297">
        <v>3</v>
      </c>
      <c r="E18" s="1833"/>
      <c r="F18" s="1834"/>
      <c r="G18" s="1834"/>
      <c r="H18" s="1834"/>
      <c r="I18" s="376">
        <v>0.72340000000000004</v>
      </c>
      <c r="J18" s="197"/>
      <c r="K18" s="320" t="s">
        <v>2497</v>
      </c>
      <c r="L18" s="197"/>
      <c r="M18" s="269"/>
      <c r="N18" s="197"/>
      <c r="O18" s="2578"/>
      <c r="P18" s="251">
        <f>IF( SUM( R18:V18 ) = 0, 0, $R$5 )</f>
        <v>0</v>
      </c>
      <c r="Q18" s="2577"/>
      <c r="R18" s="2573"/>
      <c r="S18" s="2573"/>
      <c r="T18" s="2573"/>
      <c r="U18" s="2573"/>
      <c r="V18" s="252">
        <f xml:space="preserve"> IF( ISNUMBER( I18 ), 0, 1 )</f>
        <v>0</v>
      </c>
      <c r="W18" s="2577"/>
      <c r="X18" s="2562"/>
      <c r="Y18" s="373" t="s">
        <v>2496</v>
      </c>
      <c r="Z18" s="374"/>
      <c r="AA18" s="375"/>
      <c r="AB18" s="375"/>
      <c r="AC18" s="375"/>
      <c r="AD18" s="376" t="s">
        <v>2498</v>
      </c>
    </row>
    <row r="19" spans="1:30" ht="16.5" thickTop="1" thickBot="1">
      <c r="A19" s="197"/>
      <c r="B19" s="377"/>
      <c r="C19" s="377"/>
      <c r="D19" s="377"/>
      <c r="E19" s="1835"/>
      <c r="F19" s="1829"/>
      <c r="G19" s="1829"/>
      <c r="H19" s="1829"/>
      <c r="I19" s="1829"/>
      <c r="J19" s="197"/>
      <c r="K19" s="249"/>
      <c r="L19" s="197"/>
      <c r="M19" s="197"/>
      <c r="N19" s="197"/>
      <c r="O19" s="2578"/>
      <c r="P19" s="2573"/>
      <c r="Q19" s="2577"/>
      <c r="R19" s="2573"/>
      <c r="S19" s="2573"/>
      <c r="T19" s="2573"/>
      <c r="U19" s="2573"/>
      <c r="V19" s="2573"/>
      <c r="W19" s="2577"/>
      <c r="X19" s="2562"/>
      <c r="Y19" s="377"/>
      <c r="Z19" s="377"/>
      <c r="AA19" s="83"/>
      <c r="AB19" s="83"/>
      <c r="AC19" s="83"/>
      <c r="AD19" s="83"/>
    </row>
    <row r="20" spans="1:30" ht="16.5" thickTop="1" thickBot="1">
      <c r="A20" s="197"/>
      <c r="B20" s="355" t="s">
        <v>2499</v>
      </c>
      <c r="C20" s="356"/>
      <c r="D20" s="356"/>
      <c r="E20" s="1830"/>
      <c r="F20" s="1831"/>
      <c r="G20" s="1831"/>
      <c r="H20" s="1831"/>
      <c r="I20" s="1829"/>
      <c r="J20" s="197"/>
      <c r="K20" s="197"/>
      <c r="L20" s="197"/>
      <c r="M20" s="197"/>
      <c r="N20" s="197"/>
      <c r="O20" s="2578"/>
      <c r="P20" s="2573"/>
      <c r="Q20" s="2577"/>
      <c r="R20" s="2573"/>
      <c r="S20" s="2573"/>
      <c r="T20" s="2573"/>
      <c r="U20" s="2573"/>
      <c r="V20" s="2573"/>
      <c r="W20" s="2577"/>
      <c r="X20" s="2562"/>
      <c r="Y20" s="355" t="s">
        <v>2499</v>
      </c>
      <c r="Z20" s="311"/>
      <c r="AA20" s="357"/>
      <c r="AB20" s="357"/>
      <c r="AC20" s="357"/>
      <c r="AD20" s="83"/>
    </row>
    <row r="21" spans="1:30" ht="16" thickTop="1">
      <c r="A21" s="197"/>
      <c r="B21" s="358" t="s">
        <v>2500</v>
      </c>
      <c r="C21" s="244" t="s">
        <v>137</v>
      </c>
      <c r="D21" s="244">
        <v>3</v>
      </c>
      <c r="E21" s="245">
        <v>64.383602313999972</v>
      </c>
      <c r="F21" s="245">
        <v>6.8598908840000314</v>
      </c>
      <c r="G21" s="245">
        <v>669.37422674753691</v>
      </c>
      <c r="H21" s="245">
        <v>27.60973024502988</v>
      </c>
      <c r="I21" s="378">
        <f>IFERROR(SUM(E21:H21 ),0)</f>
        <v>768.22745019056674</v>
      </c>
      <c r="J21" s="197"/>
      <c r="K21" s="248" t="s">
        <v>2501</v>
      </c>
      <c r="L21" s="197"/>
      <c r="M21" s="250"/>
      <c r="N21" s="197"/>
      <c r="O21" s="2578"/>
      <c r="P21" s="251">
        <f t="shared" ref="P21:P22" si="1">IF( SUM( R21:V21 ) = 0, 0, $R$5 )</f>
        <v>0</v>
      </c>
      <c r="Q21" s="2577"/>
      <c r="R21" s="252">
        <f t="shared" ref="R21:R22" si="2" xml:space="preserve"> IF( ISNUMBER( E21 ), 0, 1 )</f>
        <v>0</v>
      </c>
      <c r="S21" s="252">
        <f t="shared" ref="S21:S22" si="3" xml:space="preserve"> IF( ISNUMBER( F21 ), 0, 1 )</f>
        <v>0</v>
      </c>
      <c r="T21" s="252">
        <f t="shared" ref="T21:T22" si="4" xml:space="preserve"> IF( ISNUMBER( G21 ), 0, 1 )</f>
        <v>0</v>
      </c>
      <c r="U21" s="252">
        <f t="shared" ref="U21:U22" si="5" xml:space="preserve"> IF( ISNUMBER( H21 ), 0, 1 )</f>
        <v>0</v>
      </c>
      <c r="V21" s="2573"/>
      <c r="W21" s="2577"/>
      <c r="X21" s="2562"/>
      <c r="Y21" s="358" t="s">
        <v>2500</v>
      </c>
      <c r="Z21" s="245" t="s">
        <v>2502</v>
      </c>
      <c r="AA21" s="245" t="s">
        <v>2503</v>
      </c>
      <c r="AB21" s="245" t="s">
        <v>2504</v>
      </c>
      <c r="AC21" s="245" t="s">
        <v>2505</v>
      </c>
      <c r="AD21" s="378" t="s">
        <v>2506</v>
      </c>
    </row>
    <row r="22" spans="1:30" ht="16" thickBot="1">
      <c r="A22" s="197"/>
      <c r="B22" s="373" t="s">
        <v>2507</v>
      </c>
      <c r="C22" s="297" t="s">
        <v>137</v>
      </c>
      <c r="D22" s="297">
        <v>3</v>
      </c>
      <c r="E22" s="264">
        <v>64.383602313999972</v>
      </c>
      <c r="F22" s="264">
        <v>6.8598908840000314</v>
      </c>
      <c r="G22" s="264">
        <v>105.04737105889998</v>
      </c>
      <c r="H22" s="264">
        <v>1.5587603699999999</v>
      </c>
      <c r="I22" s="379">
        <f>IFERROR(SUM(E22:H22 ),0)</f>
        <v>177.84962462689998</v>
      </c>
      <c r="J22" s="197"/>
      <c r="K22" s="320" t="s">
        <v>2508</v>
      </c>
      <c r="L22" s="197"/>
      <c r="M22" s="269"/>
      <c r="N22" s="197"/>
      <c r="O22" s="2578"/>
      <c r="P22" s="251">
        <f t="shared" si="1"/>
        <v>0</v>
      </c>
      <c r="Q22" s="2577"/>
      <c r="R22" s="252">
        <f t="shared" si="2"/>
        <v>0</v>
      </c>
      <c r="S22" s="252">
        <f t="shared" si="3"/>
        <v>0</v>
      </c>
      <c r="T22" s="252">
        <f t="shared" si="4"/>
        <v>0</v>
      </c>
      <c r="U22" s="252">
        <f t="shared" si="5"/>
        <v>0</v>
      </c>
      <c r="V22" s="2573"/>
      <c r="W22" s="2577"/>
      <c r="X22" s="2562"/>
      <c r="Y22" s="373" t="s">
        <v>2507</v>
      </c>
      <c r="Z22" s="264" t="s">
        <v>2509</v>
      </c>
      <c r="AA22" s="264" t="s">
        <v>2510</v>
      </c>
      <c r="AB22" s="264" t="s">
        <v>2511</v>
      </c>
      <c r="AC22" s="264" t="s">
        <v>2512</v>
      </c>
      <c r="AD22" s="379" t="s">
        <v>2513</v>
      </c>
    </row>
    <row r="23" spans="1:30" ht="16.5" thickTop="1" thickBot="1">
      <c r="A23" s="197"/>
      <c r="B23" s="197"/>
      <c r="C23" s="197"/>
      <c r="D23" s="197"/>
      <c r="E23" s="839"/>
      <c r="F23" s="839"/>
      <c r="G23" s="1836"/>
      <c r="H23" s="1836"/>
      <c r="I23" s="839"/>
      <c r="J23" s="197"/>
      <c r="K23" s="197"/>
      <c r="L23" s="197"/>
      <c r="M23" s="197"/>
      <c r="N23" s="197"/>
      <c r="O23" s="2578"/>
      <c r="P23" s="2573"/>
      <c r="Q23" s="332"/>
      <c r="R23" s="2573"/>
      <c r="S23" s="2573"/>
      <c r="T23" s="2573"/>
      <c r="U23" s="2573"/>
      <c r="V23" s="2573"/>
      <c r="W23" s="332"/>
      <c r="X23" s="2562"/>
      <c r="Y23" s="197"/>
      <c r="Z23" s="197"/>
      <c r="AA23" s="197"/>
      <c r="AB23" s="106"/>
      <c r="AC23" s="106"/>
      <c r="AD23" s="197"/>
    </row>
    <row r="24" spans="1:30" ht="16.5" thickTop="1" thickBot="1">
      <c r="A24" s="197"/>
      <c r="B24" s="355" t="s">
        <v>2514</v>
      </c>
      <c r="C24" s="356"/>
      <c r="D24" s="356"/>
      <c r="E24" s="1830"/>
      <c r="F24" s="1831"/>
      <c r="G24" s="1831"/>
      <c r="H24" s="1831"/>
      <c r="I24" s="1829"/>
      <c r="J24" s="197"/>
      <c r="K24" s="197"/>
      <c r="L24" s="197"/>
      <c r="M24" s="197"/>
      <c r="N24" s="197"/>
      <c r="O24" s="2578"/>
      <c r="P24" s="2573"/>
      <c r="Q24" s="332"/>
      <c r="R24" s="2573"/>
      <c r="S24" s="2573"/>
      <c r="T24" s="2573"/>
      <c r="U24" s="2573"/>
      <c r="V24" s="2573"/>
      <c r="W24" s="332"/>
      <c r="X24" s="2562"/>
      <c r="Y24" s="355" t="s">
        <v>2514</v>
      </c>
      <c r="Z24" s="311"/>
      <c r="AA24" s="357"/>
      <c r="AB24" s="357"/>
      <c r="AC24" s="357"/>
      <c r="AD24" s="83"/>
    </row>
    <row r="25" spans="1:30" ht="16.5" customHeight="1" thickTop="1">
      <c r="A25" s="197"/>
      <c r="B25" s="358" t="s">
        <v>2515</v>
      </c>
      <c r="C25" s="244" t="s">
        <v>1344</v>
      </c>
      <c r="D25" s="244">
        <v>3</v>
      </c>
      <c r="E25" s="2222">
        <f>IFERROR(+E21/E11,0)</f>
        <v>2.1769345862010077E-2</v>
      </c>
      <c r="F25" s="2222">
        <f>IFERROR(+F21/F11,0)</f>
        <v>-2.7455377833632302E-2</v>
      </c>
      <c r="G25" s="2222">
        <f>IFERROR(+G21/G11,0)</f>
        <v>0.19419544657317334</v>
      </c>
      <c r="H25" s="2222">
        <f>IFERROR(+H21/H11,0)</f>
        <v>0.10744590777318955</v>
      </c>
      <c r="I25" s="2223">
        <f>IFERROR(+I21/I11,0)</f>
        <v>0.11981924663035098</v>
      </c>
      <c r="J25" s="197"/>
      <c r="K25" s="248" t="s">
        <v>2516</v>
      </c>
      <c r="L25" s="197"/>
      <c r="M25" s="250"/>
      <c r="N25" s="197"/>
      <c r="O25" s="2578"/>
      <c r="P25" s="251">
        <f t="shared" ref="P25:P26" si="6">IF( SUM( R25:V25 ) = 0, 0, $R$5 )</f>
        <v>0</v>
      </c>
      <c r="Q25" s="332"/>
      <c r="R25" s="252">
        <f t="shared" ref="R25:R26" si="7" xml:space="preserve"> IF( ISNUMBER( E25 ), 0, 1 )</f>
        <v>0</v>
      </c>
      <c r="S25" s="252">
        <f t="shared" ref="S25:S26" si="8" xml:space="preserve"> IF( ISNUMBER( F25 ), 0, 1 )</f>
        <v>0</v>
      </c>
      <c r="T25" s="252">
        <f t="shared" ref="T25:T26" si="9" xml:space="preserve"> IF( ISNUMBER( G25 ), 0, 1 )</f>
        <v>0</v>
      </c>
      <c r="U25" s="252">
        <f t="shared" ref="U25:U26" si="10" xml:space="preserve"> IF( ISNUMBER( H25 ), 0, 1 )</f>
        <v>0</v>
      </c>
      <c r="V25" s="2573"/>
      <c r="W25" s="332"/>
      <c r="X25" s="2562"/>
      <c r="Y25" s="358" t="s">
        <v>2515</v>
      </c>
      <c r="Z25" s="380" t="s">
        <v>2517</v>
      </c>
      <c r="AA25" s="380" t="s">
        <v>2518</v>
      </c>
      <c r="AB25" s="380" t="s">
        <v>2519</v>
      </c>
      <c r="AC25" s="380" t="s">
        <v>2520</v>
      </c>
      <c r="AD25" s="2109" t="s">
        <v>2521</v>
      </c>
    </row>
    <row r="26" spans="1:30" ht="16" thickBot="1">
      <c r="A26" s="197"/>
      <c r="B26" s="373" t="s">
        <v>2522</v>
      </c>
      <c r="C26" s="297" t="s">
        <v>1344</v>
      </c>
      <c r="D26" s="297">
        <v>3</v>
      </c>
      <c r="E26" s="2224">
        <f>IFERROR(+E22/E11,0)</f>
        <v>2.1769345862010077E-2</v>
      </c>
      <c r="F26" s="2224">
        <f>IFERROR(+F22/F11,0)</f>
        <v>-2.7455377833632302E-2</v>
      </c>
      <c r="G26" s="2224">
        <f>IFERROR(+G22/G11,0)</f>
        <v>3.0475809075055624E-2</v>
      </c>
      <c r="H26" s="2224">
        <f>IFERROR(+H22/H11,0)</f>
        <v>6.066065168661758E-3</v>
      </c>
      <c r="I26" s="2225">
        <f>IFERROR(+I22/I11,0)</f>
        <v>2.7738930743752721E-2</v>
      </c>
      <c r="J26" s="197"/>
      <c r="K26" s="320" t="s">
        <v>2523</v>
      </c>
      <c r="L26" s="197"/>
      <c r="M26" s="269"/>
      <c r="N26" s="197"/>
      <c r="O26" s="2578"/>
      <c r="P26" s="251">
        <f t="shared" si="6"/>
        <v>0</v>
      </c>
      <c r="Q26" s="2577"/>
      <c r="R26" s="252">
        <f t="shared" si="7"/>
        <v>0</v>
      </c>
      <c r="S26" s="252">
        <f t="shared" si="8"/>
        <v>0</v>
      </c>
      <c r="T26" s="252">
        <f t="shared" si="9"/>
        <v>0</v>
      </c>
      <c r="U26" s="252">
        <f t="shared" si="10"/>
        <v>0</v>
      </c>
      <c r="V26" s="2573"/>
      <c r="W26" s="2577"/>
      <c r="X26" s="2562"/>
      <c r="Y26" s="373" t="s">
        <v>2522</v>
      </c>
      <c r="Z26" s="381" t="s">
        <v>2524</v>
      </c>
      <c r="AA26" s="381" t="s">
        <v>2525</v>
      </c>
      <c r="AB26" s="381" t="s">
        <v>2526</v>
      </c>
      <c r="AC26" s="381" t="s">
        <v>2527</v>
      </c>
      <c r="AD26" s="376" t="s">
        <v>2528</v>
      </c>
    </row>
    <row r="27" spans="1:30" ht="16.5" thickTop="1" thickBot="1">
      <c r="A27" s="197"/>
      <c r="B27" s="377"/>
      <c r="C27" s="377"/>
      <c r="D27" s="377"/>
      <c r="E27" s="1837"/>
      <c r="F27" s="1829"/>
      <c r="G27" s="1829"/>
      <c r="H27" s="1829"/>
      <c r="I27" s="1829"/>
      <c r="J27" s="197"/>
      <c r="K27" s="249"/>
      <c r="L27" s="197"/>
      <c r="M27" s="197"/>
      <c r="N27" s="197"/>
      <c r="O27" s="2578"/>
      <c r="P27" s="2573"/>
      <c r="Q27" s="2577"/>
      <c r="R27" s="2573"/>
      <c r="S27" s="2573"/>
      <c r="T27" s="2573"/>
      <c r="U27" s="2573"/>
      <c r="V27" s="2573"/>
      <c r="W27" s="2577"/>
      <c r="X27" s="2562"/>
      <c r="Y27" s="377"/>
      <c r="Z27" s="313"/>
      <c r="AA27" s="83"/>
      <c r="AB27" s="83"/>
      <c r="AC27" s="83"/>
      <c r="AD27" s="83"/>
    </row>
    <row r="28" spans="1:30" ht="16.5" thickTop="1" thickBot="1">
      <c r="A28" s="197"/>
      <c r="B28" s="355" t="s">
        <v>2529</v>
      </c>
      <c r="C28" s="356"/>
      <c r="D28" s="356"/>
      <c r="E28" s="1830"/>
      <c r="F28" s="1831"/>
      <c r="G28" s="1831"/>
      <c r="H28" s="1831"/>
      <c r="I28" s="1829"/>
      <c r="J28" s="197"/>
      <c r="K28" s="197"/>
      <c r="L28" s="197"/>
      <c r="M28" s="197"/>
      <c r="N28" s="197"/>
      <c r="O28" s="2578"/>
      <c r="P28" s="2573"/>
      <c r="Q28" s="2577"/>
      <c r="R28" s="2573"/>
      <c r="S28" s="2573"/>
      <c r="T28" s="2573"/>
      <c r="U28" s="2573"/>
      <c r="V28" s="2573"/>
      <c r="W28" s="2577"/>
      <c r="X28" s="2562"/>
      <c r="Y28" s="355" t="s">
        <v>2529</v>
      </c>
      <c r="Z28" s="311"/>
      <c r="AA28" s="357"/>
      <c r="AB28" s="357"/>
      <c r="AC28" s="357"/>
      <c r="AD28" s="83"/>
    </row>
    <row r="29" spans="1:30" ht="16.5" thickTop="1" thickBot="1">
      <c r="A29" s="197"/>
      <c r="B29" s="382" t="s">
        <v>2530</v>
      </c>
      <c r="C29" s="333" t="s">
        <v>138</v>
      </c>
      <c r="D29" s="333">
        <v>3</v>
      </c>
      <c r="E29" s="383">
        <v>11.163358207052243</v>
      </c>
      <c r="F29" s="383">
        <v>80.512860828608282</v>
      </c>
      <c r="G29" s="383">
        <v>21.068140973032527</v>
      </c>
      <c r="H29" s="383">
        <v>7.6780434008049552</v>
      </c>
      <c r="I29" s="623">
        <v>13.646049218574893</v>
      </c>
      <c r="J29" s="197"/>
      <c r="K29" s="336" t="s">
        <v>2531</v>
      </c>
      <c r="L29" s="197"/>
      <c r="M29" s="337"/>
      <c r="N29" s="197"/>
      <c r="O29" s="2578"/>
      <c r="P29" s="251">
        <f>IF( SUM( R29:V29 ) = 0, 0, $R$5 )</f>
        <v>0</v>
      </c>
      <c r="Q29" s="2577"/>
      <c r="R29" s="252">
        <f t="shared" ref="R29:U29" si="11" xml:space="preserve"> IF( ISNUMBER( E29 ), 0, 1 )</f>
        <v>0</v>
      </c>
      <c r="S29" s="252">
        <f t="shared" si="11"/>
        <v>0</v>
      </c>
      <c r="T29" s="252">
        <f t="shared" si="11"/>
        <v>0</v>
      </c>
      <c r="U29" s="252">
        <f t="shared" si="11"/>
        <v>0</v>
      </c>
      <c r="V29" s="2573"/>
      <c r="W29" s="2577"/>
      <c r="X29" s="2562"/>
      <c r="Y29" s="382" t="s">
        <v>2530</v>
      </c>
      <c r="Z29" s="383" t="s">
        <v>2532</v>
      </c>
      <c r="AA29" s="383" t="s">
        <v>2533</v>
      </c>
      <c r="AB29" s="383" t="s">
        <v>2534</v>
      </c>
      <c r="AC29" s="383" t="s">
        <v>2535</v>
      </c>
      <c r="AD29" s="384" t="s">
        <v>2536</v>
      </c>
    </row>
    <row r="30" spans="1:30" ht="16" thickTop="1">
      <c r="A30" s="197"/>
      <c r="B30" s="197"/>
      <c r="C30" s="197"/>
      <c r="D30" s="197"/>
      <c r="E30" s="197"/>
      <c r="F30" s="197"/>
      <c r="G30" s="197"/>
      <c r="H30" s="197"/>
      <c r="I30" s="83"/>
      <c r="J30" s="197"/>
      <c r="K30" s="197"/>
      <c r="L30" s="197"/>
      <c r="M30" s="197"/>
      <c r="N30" s="197"/>
      <c r="O30" s="2562"/>
      <c r="P30" s="2573"/>
      <c r="Q30" s="323"/>
      <c r="R30" s="237"/>
      <c r="S30" s="237"/>
      <c r="T30" s="237"/>
      <c r="U30" s="237"/>
      <c r="V30" s="237"/>
      <c r="W30" s="323"/>
      <c r="X30" s="2562"/>
      <c r="Y30" s="2562"/>
      <c r="Z30" s="2562"/>
      <c r="AA30" s="2562"/>
      <c r="AB30" s="2562"/>
      <c r="AC30" s="2562"/>
      <c r="AD30" s="2562"/>
    </row>
    <row r="31" spans="1:30" ht="15.5">
      <c r="A31" s="197"/>
      <c r="B31" s="197"/>
      <c r="C31" s="197"/>
      <c r="D31" s="197"/>
      <c r="E31" s="197"/>
      <c r="F31" s="197"/>
      <c r="G31" s="197"/>
      <c r="H31" s="197"/>
      <c r="I31" s="197"/>
      <c r="J31" s="197"/>
      <c r="K31" s="197"/>
      <c r="L31" s="197"/>
      <c r="M31" s="197"/>
      <c r="N31" s="197"/>
      <c r="O31" s="2562"/>
      <c r="P31" s="2573"/>
      <c r="Q31" s="323"/>
      <c r="R31" s="2574"/>
      <c r="S31" s="2575"/>
      <c r="T31" s="2575"/>
      <c r="U31" s="2575"/>
      <c r="V31" s="2575"/>
      <c r="W31" s="323"/>
      <c r="X31" s="2562"/>
      <c r="Y31" s="2562"/>
      <c r="Z31" s="2562"/>
      <c r="AA31" s="2562"/>
      <c r="AB31" s="2562"/>
      <c r="AC31" s="2562"/>
      <c r="AD31" s="2562"/>
    </row>
    <row r="32" spans="1:30" ht="15.5">
      <c r="A32" s="197"/>
      <c r="B32" s="197"/>
      <c r="C32" s="197"/>
      <c r="D32" s="197"/>
      <c r="E32" s="197"/>
      <c r="F32" s="197"/>
      <c r="G32" s="197"/>
      <c r="H32" s="197"/>
      <c r="I32" s="197"/>
      <c r="J32" s="197"/>
      <c r="K32" s="197"/>
      <c r="L32" s="197"/>
      <c r="M32" s="197"/>
      <c r="N32" s="197"/>
      <c r="O32" s="2562"/>
      <c r="P32" s="2573"/>
      <c r="Q32" s="2572"/>
      <c r="R32" s="237"/>
      <c r="S32" s="237"/>
      <c r="T32" s="237"/>
      <c r="U32" s="237"/>
      <c r="V32" s="237"/>
      <c r="W32" s="2572"/>
      <c r="X32" s="2562"/>
      <c r="Y32" s="2562"/>
      <c r="Z32" s="2562"/>
      <c r="AA32" s="2562"/>
      <c r="AB32" s="2562"/>
      <c r="AC32" s="2562"/>
      <c r="AD32" s="2562"/>
    </row>
    <row r="33" spans="1:22" ht="15.5">
      <c r="A33" s="197"/>
      <c r="B33" s="197"/>
      <c r="C33" s="197"/>
      <c r="D33" s="197"/>
      <c r="E33" s="197"/>
      <c r="F33" s="197"/>
      <c r="G33" s="197"/>
      <c r="H33" s="197"/>
      <c r="I33" s="197"/>
      <c r="J33" s="197"/>
      <c r="K33" s="197"/>
      <c r="L33" s="197"/>
      <c r="M33" s="197"/>
      <c r="N33" s="197"/>
      <c r="O33" s="2562"/>
      <c r="P33" s="2573"/>
      <c r="Q33" s="2572"/>
      <c r="R33" s="237"/>
      <c r="S33" s="237"/>
      <c r="T33" s="237"/>
      <c r="U33" s="237"/>
      <c r="V33" s="237"/>
    </row>
    <row r="34" spans="1:22" ht="15.5">
      <c r="A34" s="2562"/>
      <c r="B34" s="197"/>
      <c r="C34" s="197"/>
      <c r="D34" s="197"/>
      <c r="E34" s="197"/>
      <c r="F34" s="197"/>
      <c r="G34" s="197"/>
      <c r="H34" s="197"/>
      <c r="I34" s="197"/>
      <c r="J34" s="197"/>
      <c r="K34" s="197"/>
      <c r="L34" s="197"/>
      <c r="M34" s="197"/>
      <c r="N34" s="2562"/>
      <c r="O34" s="2562"/>
      <c r="P34" s="2562"/>
      <c r="Q34" s="2572"/>
      <c r="R34" s="2572"/>
      <c r="S34" s="2572"/>
      <c r="T34" s="2572"/>
      <c r="U34" s="2572"/>
      <c r="V34" s="2572"/>
    </row>
    <row r="35" spans="1:22" ht="15.5">
      <c r="A35" s="2562"/>
      <c r="B35" s="197"/>
      <c r="C35" s="197"/>
      <c r="D35" s="197"/>
      <c r="E35" s="197"/>
      <c r="F35" s="197"/>
      <c r="G35" s="197"/>
      <c r="H35" s="197"/>
      <c r="I35" s="197"/>
      <c r="J35" s="197"/>
      <c r="K35" s="197"/>
      <c r="L35" s="197"/>
      <c r="M35" s="197"/>
      <c r="N35" s="2562"/>
      <c r="O35" s="2562"/>
      <c r="P35" s="2562"/>
      <c r="Q35" s="2572"/>
      <c r="R35" s="2572"/>
      <c r="S35" s="2572"/>
      <c r="T35" s="2572"/>
      <c r="U35" s="2572"/>
      <c r="V35" s="2572"/>
    </row>
    <row r="36" spans="1:22" ht="15.5">
      <c r="A36" s="2562"/>
      <c r="B36" s="197"/>
      <c r="C36" s="197"/>
      <c r="D36" s="197"/>
      <c r="E36" s="197"/>
      <c r="F36" s="197"/>
      <c r="G36" s="197"/>
      <c r="H36" s="197"/>
      <c r="I36" s="197"/>
      <c r="J36" s="197"/>
      <c r="K36" s="197"/>
      <c r="L36" s="197"/>
      <c r="M36" s="197"/>
      <c r="N36" s="2562"/>
      <c r="O36" s="2562"/>
      <c r="P36" s="2562"/>
      <c r="Q36" s="2572"/>
      <c r="R36" s="2572"/>
      <c r="S36" s="2572"/>
      <c r="T36" s="2572"/>
      <c r="U36" s="2572"/>
      <c r="V36" s="2572"/>
    </row>
    <row r="37" spans="1:22" ht="15.5">
      <c r="A37" s="2562"/>
      <c r="B37" s="197"/>
      <c r="C37" s="197"/>
      <c r="D37" s="197"/>
      <c r="E37" s="197"/>
      <c r="F37" s="197"/>
      <c r="G37" s="197"/>
      <c r="H37" s="197"/>
      <c r="I37" s="197"/>
      <c r="J37" s="197"/>
      <c r="K37" s="197"/>
      <c r="L37" s="197"/>
      <c r="M37" s="197"/>
      <c r="N37" s="2562"/>
      <c r="O37" s="2562"/>
      <c r="P37" s="2562"/>
      <c r="Q37" s="2572"/>
      <c r="R37" s="2572"/>
      <c r="S37" s="2572"/>
      <c r="T37" s="2572"/>
      <c r="U37" s="2572"/>
      <c r="V37" s="2572"/>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199" priority="15" operator="equal">
      <formula>0</formula>
    </cfRule>
  </conditionalFormatting>
  <conditionalFormatting sqref="P12:P13">
    <cfRule type="cellIs" dxfId="198" priority="5" operator="equal">
      <formula>0</formula>
    </cfRule>
  </conditionalFormatting>
  <conditionalFormatting sqref="P18">
    <cfRule type="cellIs" dxfId="197" priority="4" operator="equal">
      <formula>0</formula>
    </cfRule>
  </conditionalFormatting>
  <conditionalFormatting sqref="P21:P22">
    <cfRule type="cellIs" dxfId="196" priority="3" operator="equal">
      <formula>0</formula>
    </cfRule>
  </conditionalFormatting>
  <conditionalFormatting sqref="P25:P26">
    <cfRule type="cellIs" dxfId="195" priority="2" operator="equal">
      <formula>0</formula>
    </cfRule>
  </conditionalFormatting>
  <conditionalFormatting sqref="P29">
    <cfRule type="cellIs" dxfId="194" priority="1"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91C5B9BE643243AE611DE6F4026488" ma:contentTypeVersion="8" ma:contentTypeDescription="Create a new document." ma:contentTypeScope="" ma:versionID="d284b3e7c16199a3c31f0d22654bd5ed">
  <xsd:schema xmlns:xsd="http://www.w3.org/2001/XMLSchema" xmlns:xs="http://www.w3.org/2001/XMLSchema" xmlns:p="http://schemas.microsoft.com/office/2006/metadata/properties" xmlns:ns2="f6185b32-a121-492a-aeb7-5380a9853aa3" targetNamespace="http://schemas.microsoft.com/office/2006/metadata/properties" ma:root="true" ma:fieldsID="1bea24cac95cacc5d64cc7273acdbc76" ns2:_="">
    <xsd:import namespace="f6185b32-a121-492a-aeb7-5380a9853aa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185b32-a121-492a-aeb7-5380a9853a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3C38C68-8EDF-4BA0-96DC-4285444E44E3}"/>
</file>

<file path=customXml/itemProps2.xml><?xml version="1.0" encoding="utf-8"?>
<ds:datastoreItem xmlns:ds="http://schemas.openxmlformats.org/officeDocument/2006/customXml" ds:itemID="{D1E5F134-E86F-4DB4-BD2E-449CC5906ADF}"/>
</file>

<file path=customXml/itemProps3.xml><?xml version="1.0" encoding="utf-8"?>
<ds:datastoreItem xmlns:ds="http://schemas.openxmlformats.org/officeDocument/2006/customXml" ds:itemID="{ECEC20AD-55B5-4E64-817E-C3B158E6E55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81</vt:i4>
      </vt:variant>
      <vt:variant>
        <vt:lpstr>Named Ranges</vt:lpstr>
      </vt:variant>
      <vt:variant>
        <vt:i4>164</vt:i4>
      </vt:variant>
    </vt:vector>
  </HeadingPairs>
  <TitlesOfParts>
    <vt:vector size="245" baseType="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2H</vt:lpstr>
      <vt:lpstr>2I</vt:lpstr>
      <vt:lpstr>2J</vt:lpstr>
      <vt:lpstr>2K</vt:lpstr>
      <vt:lpstr>2G</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2025-11-26T17:30:09Z</dcterms:created>
  <dcterms:modified xsi:type="dcterms:W3CDTF">2025-11-26T17:30:29Z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04dfc70-0289-4bbf-a1df-2e48919102f8_Enabled">
    <vt:lpwstr>true</vt:lpwstr>
  </property>
  <property fmtid="{D5CDD505-2E9C-101B-9397-08002B2CF9AE}" pid="3" name="MSIP_Label_d04dfc70-0289-4bbf-a1df-2e48919102f8_SetDate">
    <vt:lpwstr>2025-11-26T17:30:13Z</vt:lpwstr>
  </property>
  <property fmtid="{D5CDD505-2E9C-101B-9397-08002B2CF9AE}" pid="4" name="MSIP_Label_d04dfc70-0289-4bbf-a1df-2e48919102f8_Method">
    <vt:lpwstr>Standard</vt:lpwstr>
  </property>
  <property fmtid="{D5CDD505-2E9C-101B-9397-08002B2CF9AE}" pid="5" name="MSIP_Label_d04dfc70-0289-4bbf-a1df-2e48919102f8_Name">
    <vt:lpwstr>Private2</vt:lpwstr>
  </property>
  <property fmtid="{D5CDD505-2E9C-101B-9397-08002B2CF9AE}" pid="6" name="MSIP_Label_d04dfc70-0289-4bbf-a1df-2e48919102f8_SiteId">
    <vt:lpwstr>92ebd22d-0a9c-4516-a68f-ba966853a8f3</vt:lpwstr>
  </property>
  <property fmtid="{D5CDD505-2E9C-101B-9397-08002B2CF9AE}" pid="7" name="MSIP_Label_d04dfc70-0289-4bbf-a1df-2e48919102f8_ActionId">
    <vt:lpwstr>9da5b164-4138-4e5c-bdc9-7b48124c9ee9</vt:lpwstr>
  </property>
  <property fmtid="{D5CDD505-2E9C-101B-9397-08002B2CF9AE}" pid="8" name="MSIP_Label_d04dfc70-0289-4bbf-a1df-2e48919102f8_ContentBits">
    <vt:lpwstr>0</vt:lpwstr>
  </property>
  <property fmtid="{D5CDD505-2E9C-101B-9397-08002B2CF9AE}" pid="9" name="MSIP_Label_d04dfc70-0289-4bbf-a1df-2e48919102f8_Tag">
    <vt:lpwstr>10, 3, 0, 1</vt:lpwstr>
  </property>
  <property fmtid="{D5CDD505-2E9C-101B-9397-08002B2CF9AE}" pid="10" name="ContentTypeId">
    <vt:lpwstr>0x0101001391C5B9BE643243AE611DE6F4026488</vt:lpwstr>
  </property>
</Properties>
</file>